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ustomProperty4.bin" ContentType="application/vnd.openxmlformats-officedocument.spreadsheetml.customProperty"/>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3.xml" ContentType="application/vnd.openxmlformats-officedocument.drawing+xml"/>
  <Override PartName="/xl/comments3.xml" ContentType="application/vnd.openxmlformats-officedocument.spreadsheetml.comments+xml"/>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drawings/drawing4.xml" ContentType="application/vnd.openxmlformats-officedocument.drawing+xml"/>
  <Override PartName="/xl/comments4.xml" ContentType="application/vnd.openxmlformats-officedocument.spreadsheetml.comments+xml"/>
  <Override PartName="/xl/customProperty11.bin" ContentType="application/vnd.openxmlformats-officedocument.spreadsheetml.customProperty"/>
  <Override PartName="/xl/drawings/drawing5.xml" ContentType="application/vnd.openxmlformats-officedocument.drawing+xml"/>
  <Override PartName="/xl/comments5.xml" ContentType="application/vnd.openxmlformats-officedocument.spreadsheetml.comments+xml"/>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drawings/drawing6.xml" ContentType="application/vnd.openxmlformats-officedocument.drawing+xml"/>
  <Override PartName="/xl/comments6.xml" ContentType="application/vnd.openxmlformats-officedocument.spreadsheetml.comments+xml"/>
  <Override PartName="/xl/customProperty15.bin" ContentType="application/vnd.openxmlformats-officedocument.spreadsheetml.customProperty"/>
  <Override PartName="/xl/drawings/drawing7.xml" ContentType="application/vnd.openxmlformats-officedocument.drawing+xml"/>
  <Override PartName="/xl/comments7.xml" ContentType="application/vnd.openxmlformats-officedocument.spreadsheetml.comments+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drawings/drawing8.xml" ContentType="application/vnd.openxmlformats-officedocument.drawing+xml"/>
  <Override PartName="/xl/comments8.xml" ContentType="application/vnd.openxmlformats-officedocument.spreadsheetml.comments+xml"/>
  <Override PartName="/xl/customProperty19.bin" ContentType="application/vnd.openxmlformats-officedocument.spreadsheetml.customProperty"/>
  <Override PartName="/xl/drawings/drawing9.xml" ContentType="application/vnd.openxmlformats-officedocument.drawing+xml"/>
  <Override PartName="/xl/comments9.xml" ContentType="application/vnd.openxmlformats-officedocument.spreadsheetml.comments+xml"/>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10.xml" ContentType="application/vnd.openxmlformats-officedocument.drawing+xml"/>
  <Override PartName="/xl/comments10.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drawings/drawing11.xml" ContentType="application/vnd.openxmlformats-officedocument.drawing+xml"/>
  <Override PartName="/xl/comments1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drawings/drawing12.xml" ContentType="application/vnd.openxmlformats-officedocument.drawing+xml"/>
  <Override PartName="/xl/comments12.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13.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omments14.xml" ContentType="application/vnd.openxmlformats-officedocument.spreadsheetml.comments+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omments15.xml" ContentType="application/vnd.openxmlformats-officedocument.spreadsheetml.comments+xml"/>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omments16.xml" ContentType="application/vnd.openxmlformats-officedocument.spreadsheetml.comments+xml"/>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omments17.xml" ContentType="application/vnd.openxmlformats-officedocument.spreadsheetml.comments+xml"/>
  <Override PartName="/xl/customProperty44.bin" ContentType="application/vnd.openxmlformats-officedocument.spreadsheetml.customProperty"/>
  <Override PartName="/xl/customProperty45.bin" ContentType="application/vnd.openxmlformats-officedocument.spreadsheetml.customProperty"/>
  <Override PartName="/xl/customProperty46.bin" ContentType="application/vnd.openxmlformats-officedocument.spreadsheetml.customProperty"/>
  <Override PartName="/xl/comments18.xml" ContentType="application/vnd.openxmlformats-officedocument.spreadsheetml.comments+xml"/>
  <Override PartName="/xl/customProperty47.bin" ContentType="application/vnd.openxmlformats-officedocument.spreadsheetml.customProperty"/>
  <Override PartName="/xl/customProperty48.bin" ContentType="application/vnd.openxmlformats-officedocument.spreadsheetml.customProperty"/>
  <Override PartName="/xl/customProperty49.bin" ContentType="application/vnd.openxmlformats-officedocument.spreadsheetml.customProperty"/>
  <Override PartName="/xl/comments19.xml" ContentType="application/vnd.openxmlformats-officedocument.spreadsheetml.comments+xml"/>
  <Override PartName="/xl/customProperty50.bin" ContentType="application/vnd.openxmlformats-officedocument.spreadsheetml.customProperty"/>
  <Override PartName="/xl/customProperty51.bin" ContentType="application/vnd.openxmlformats-officedocument.spreadsheetml.customProperty"/>
  <Override PartName="/xl/customProperty52.bin" ContentType="application/vnd.openxmlformats-officedocument.spreadsheetml.customProperty"/>
  <Override PartName="/xl/drawings/drawing13.xml" ContentType="application/vnd.openxmlformats-officedocument.drawing+xml"/>
  <Override PartName="/xl/comments20.xml" ContentType="application/vnd.openxmlformats-officedocument.spreadsheetml.comments+xml"/>
  <Override PartName="/xl/customProperty53.bin" ContentType="application/vnd.openxmlformats-officedocument.spreadsheetml.customProperty"/>
  <Override PartName="/xl/customProperty54.bin" ContentType="application/vnd.openxmlformats-officedocument.spreadsheetml.customProperty"/>
  <Override PartName="/xl/customProperty55.bin" ContentType="application/vnd.openxmlformats-officedocument.spreadsheetml.customProperty"/>
  <Override PartName="/xl/comments21.xml" ContentType="application/vnd.openxmlformats-officedocument.spreadsheetml.comments+xml"/>
  <Override PartName="/xl/customProperty56.bin" ContentType="application/vnd.openxmlformats-officedocument.spreadsheetml.customProperty"/>
  <Override PartName="/xl/customProperty57.bin" ContentType="application/vnd.openxmlformats-officedocument.spreadsheetml.customProperty"/>
  <Override PartName="/xl/customProperty58.bin" ContentType="application/vnd.openxmlformats-officedocument.spreadsheetml.customProperty"/>
  <Override PartName="/xl/drawings/drawing14.xml" ContentType="application/vnd.openxmlformats-officedocument.drawing+xml"/>
  <Override PartName="/xl/comments22.xml" ContentType="application/vnd.openxmlformats-officedocument.spreadsheetml.comments+xml"/>
  <Override PartName="/xl/customProperty59.bin" ContentType="application/vnd.openxmlformats-officedocument.spreadsheetml.customProperty"/>
  <Override PartName="/xl/customProperty60.bin" ContentType="application/vnd.openxmlformats-officedocument.spreadsheetml.customProperty"/>
  <Override PartName="/xl/customProperty61.bin" ContentType="application/vnd.openxmlformats-officedocument.spreadsheetml.customProperty"/>
  <Override PartName="/xl/comments23.xml" ContentType="application/vnd.openxmlformats-officedocument.spreadsheetml.comments+xml"/>
  <Override PartName="/xl/customProperty62.bin" ContentType="application/vnd.openxmlformats-officedocument.spreadsheetml.customProperty"/>
  <Override PartName="/xl/customProperty63.bin" ContentType="application/vnd.openxmlformats-officedocument.spreadsheetml.customProperty"/>
  <Override PartName="/xl/customProperty64.bin" ContentType="application/vnd.openxmlformats-officedocument.spreadsheetml.customProperty"/>
  <Override PartName="/xl/comments24.xml" ContentType="application/vnd.openxmlformats-officedocument.spreadsheetml.comments+xml"/>
  <Override PartName="/xl/customProperty65.bin" ContentType="application/vnd.openxmlformats-officedocument.spreadsheetml.customProperty"/>
  <Override PartName="/xl/customProperty66.bin" ContentType="application/vnd.openxmlformats-officedocument.spreadsheetml.customProperty"/>
  <Override PartName="/xl/customProperty67.bin" ContentType="application/vnd.openxmlformats-officedocument.spreadsheetml.customProperty"/>
  <Override PartName="/xl/comments25.xml" ContentType="application/vnd.openxmlformats-officedocument.spreadsheetml.comments+xml"/>
  <Override PartName="/xl/customProperty68.bin" ContentType="application/vnd.openxmlformats-officedocument.spreadsheetml.customProperty"/>
  <Override PartName="/xl/customProperty69.bin" ContentType="application/vnd.openxmlformats-officedocument.spreadsheetml.customProperty"/>
  <Override PartName="/xl/customProperty70.bin" ContentType="application/vnd.openxmlformats-officedocument.spreadsheetml.customProperty"/>
  <Override PartName="/xl/drawings/drawing15.xml" ContentType="application/vnd.openxmlformats-officedocument.drawing+xml"/>
  <Override PartName="/xl/comments26.xml" ContentType="application/vnd.openxmlformats-officedocument.spreadsheetml.comments+xml"/>
  <Override PartName="/xl/customProperty71.bin" ContentType="application/vnd.openxmlformats-officedocument.spreadsheetml.customProperty"/>
  <Override PartName="/xl/customProperty72.bin" ContentType="application/vnd.openxmlformats-officedocument.spreadsheetml.customProperty"/>
  <Override PartName="/xl/customProperty73.bin" ContentType="application/vnd.openxmlformats-officedocument.spreadsheetml.customProperty"/>
  <Override PartName="/xl/drawings/drawing16.xml" ContentType="application/vnd.openxmlformats-officedocument.drawing+xml"/>
  <Override PartName="/xl/comments27.xml" ContentType="application/vnd.openxmlformats-officedocument.spreadsheetml.comments+xml"/>
  <Override PartName="/xl/customProperty74.bin" ContentType="application/vnd.openxmlformats-officedocument.spreadsheetml.customProperty"/>
  <Override PartName="/xl/customProperty75.bin" ContentType="application/vnd.openxmlformats-officedocument.spreadsheetml.customProperty"/>
  <Override PartName="/xl/customProperty76.bin" ContentType="application/vnd.openxmlformats-officedocument.spreadsheetml.customProperty"/>
  <Override PartName="/xl/drawings/drawing17.xml" ContentType="application/vnd.openxmlformats-officedocument.drawing+xml"/>
  <Override PartName="/xl/comments28.xml" ContentType="application/vnd.openxmlformats-officedocument.spreadsheetml.comments+xml"/>
  <Override PartName="/xl/customProperty77.bin" ContentType="application/vnd.openxmlformats-officedocument.spreadsheetml.customProperty"/>
  <Override PartName="/xl/customProperty78.bin" ContentType="application/vnd.openxmlformats-officedocument.spreadsheetml.customProperty"/>
  <Override PartName="/xl/customProperty79.bin" ContentType="application/vnd.openxmlformats-officedocument.spreadsheetml.customProperty"/>
  <Override PartName="/xl/drawings/drawing18.xml" ContentType="application/vnd.openxmlformats-officedocument.drawing+xml"/>
  <Override PartName="/xl/comments29.xml" ContentType="application/vnd.openxmlformats-officedocument.spreadsheetml.comments+xml"/>
  <Override PartName="/xl/customProperty80.bin" ContentType="application/vnd.openxmlformats-officedocument.spreadsheetml.customProperty"/>
  <Override PartName="/xl/customProperty81.bin" ContentType="application/vnd.openxmlformats-officedocument.spreadsheetml.customProperty"/>
  <Override PartName="/xl/customProperty82.bin" ContentType="application/vnd.openxmlformats-officedocument.spreadsheetml.customProperty"/>
  <Override PartName="/xl/drawings/drawing19.xml" ContentType="application/vnd.openxmlformats-officedocument.drawing+xml"/>
  <Override PartName="/xl/comments30.xml" ContentType="application/vnd.openxmlformats-officedocument.spreadsheetml.comments+xml"/>
  <Override PartName="/xl/customProperty83.bin" ContentType="application/vnd.openxmlformats-officedocument.spreadsheetml.customProperty"/>
  <Override PartName="/xl/customProperty84.bin" ContentType="application/vnd.openxmlformats-officedocument.spreadsheetml.customProperty"/>
  <Override PartName="/xl/customProperty85.bin" ContentType="application/vnd.openxmlformats-officedocument.spreadsheetml.customProperty"/>
  <Override PartName="/xl/drawings/drawing20.xml" ContentType="application/vnd.openxmlformats-officedocument.drawing+xml"/>
  <Override PartName="/xl/comments31.xml" ContentType="application/vnd.openxmlformats-officedocument.spreadsheetml.comments+xml"/>
  <Override PartName="/xl/customProperty86.bin" ContentType="application/vnd.openxmlformats-officedocument.spreadsheetml.customProperty"/>
  <Override PartName="/xl/customProperty87.bin" ContentType="application/vnd.openxmlformats-officedocument.spreadsheetml.customProperty"/>
  <Override PartName="/xl/customProperty88.bin" ContentType="application/vnd.openxmlformats-officedocument.spreadsheetml.customProperty"/>
  <Override PartName="/xl/drawings/drawing21.xml" ContentType="application/vnd.openxmlformats-officedocument.drawing+xml"/>
  <Override PartName="/xl/comments32.xml" ContentType="application/vnd.openxmlformats-officedocument.spreadsheetml.comments+xml"/>
  <Override PartName="/xl/customProperty89.bin" ContentType="application/vnd.openxmlformats-officedocument.spreadsheetml.customProperty"/>
  <Override PartName="/xl/customProperty90.bin" ContentType="application/vnd.openxmlformats-officedocument.spreadsheetml.customProperty"/>
  <Override PartName="/xl/customProperty91.bin" ContentType="application/vnd.openxmlformats-officedocument.spreadsheetml.customProperty"/>
  <Override PartName="/xl/drawings/drawing22.xml" ContentType="application/vnd.openxmlformats-officedocument.drawing+xml"/>
  <Override PartName="/xl/comments33.xml" ContentType="application/vnd.openxmlformats-officedocument.spreadsheetml.comments+xml"/>
  <Override PartName="/xl/customProperty92.bin" ContentType="application/vnd.openxmlformats-officedocument.spreadsheetml.customProperty"/>
  <Override PartName="/xl/customProperty93.bin" ContentType="application/vnd.openxmlformats-officedocument.spreadsheetml.customProperty"/>
  <Override PartName="/xl/customProperty94.bin" ContentType="application/vnd.openxmlformats-officedocument.spreadsheetml.customProperty"/>
  <Override PartName="/xl/drawings/drawing23.xml" ContentType="application/vnd.openxmlformats-officedocument.drawing+xml"/>
  <Override PartName="/xl/comments34.xml" ContentType="application/vnd.openxmlformats-officedocument.spreadsheetml.comments+xml"/>
  <Override PartName="/xl/customProperty95.bin" ContentType="application/vnd.openxmlformats-officedocument.spreadsheetml.customProperty"/>
  <Override PartName="/xl/customProperty96.bin" ContentType="application/vnd.openxmlformats-officedocument.spreadsheetml.customProperty"/>
  <Override PartName="/xl/customProperty97.bin" ContentType="application/vnd.openxmlformats-officedocument.spreadsheetml.customProperty"/>
  <Override PartName="/xl/drawings/drawing24.xml" ContentType="application/vnd.openxmlformats-officedocument.drawing+xml"/>
  <Override PartName="/xl/comments35.xml" ContentType="application/vnd.openxmlformats-officedocument.spreadsheetml.comments+xml"/>
  <Override PartName="/xl/comments36.xml" ContentType="application/vnd.openxmlformats-officedocument.spreadsheetml.comments+xml"/>
  <Override PartName="/xl/customProperty98.bin" ContentType="application/vnd.openxmlformats-officedocument.spreadsheetml.customProperty"/>
  <Override PartName="/xl/drawings/drawing25.xml" ContentType="application/vnd.openxmlformats-officedocument.drawing+xml"/>
  <Override PartName="/xl/comments37.xml" ContentType="application/vnd.openxmlformats-officedocument.spreadsheetml.comments+xml"/>
  <Override PartName="/xl/customProperty99.bin" ContentType="application/vnd.openxmlformats-officedocument.spreadsheetml.customProperty"/>
  <Override PartName="/xl/customProperty100.bin" ContentType="application/vnd.openxmlformats-officedocument.spreadsheetml.customProperty"/>
  <Override PartName="/xl/customProperty101.bin" ContentType="application/vnd.openxmlformats-officedocument.spreadsheetml.customProperty"/>
  <Override PartName="/xl/comments38.xml" ContentType="application/vnd.openxmlformats-officedocument.spreadsheetml.comments+xml"/>
  <Override PartName="/xl/customProperty102.bin" ContentType="application/vnd.openxmlformats-officedocument.spreadsheetml.customProperty"/>
  <Override PartName="/xl/drawings/drawing26.xml" ContentType="application/vnd.openxmlformats-officedocument.drawing+xml"/>
  <Override PartName="/xl/comments39.xml" ContentType="application/vnd.openxmlformats-officedocument.spreadsheetml.comments+xml"/>
  <Override PartName="/xl/customProperty103.bin" ContentType="application/vnd.openxmlformats-officedocument.spreadsheetml.customProperty"/>
  <Override PartName="/xl/customProperty104.bin" ContentType="application/vnd.openxmlformats-officedocument.spreadsheetml.customProperty"/>
  <Override PartName="/xl/customProperty105.bin" ContentType="application/vnd.openxmlformats-officedocument.spreadsheetml.customProperty"/>
  <Override PartName="/xl/drawings/drawing27.xml" ContentType="application/vnd.openxmlformats-officedocument.drawing+xml"/>
  <Override PartName="/xl/comments40.xml" ContentType="application/vnd.openxmlformats-officedocument.spreadsheetml.comments+xml"/>
  <Override PartName="/xl/customProperty106.bin" ContentType="application/vnd.openxmlformats-officedocument.spreadsheetml.customProperty"/>
  <Override PartName="/xl/drawings/drawing28.xml" ContentType="application/vnd.openxmlformats-officedocument.drawing+xml"/>
  <Override PartName="/xl/comments41.xml" ContentType="application/vnd.openxmlformats-officedocument.spreadsheetml.comments+xml"/>
  <Override PartName="/xl/customProperty107.bin" ContentType="application/vnd.openxmlformats-officedocument.spreadsheetml.customProperty"/>
  <Override PartName="/xl/customProperty108.bin" ContentType="application/vnd.openxmlformats-officedocument.spreadsheetml.customProperty"/>
  <Override PartName="/xl/customProperty109.bin" ContentType="application/vnd.openxmlformats-officedocument.spreadsheetml.customProperty"/>
  <Override PartName="/xl/drawings/drawing29.xml" ContentType="application/vnd.openxmlformats-officedocument.drawing+xml"/>
  <Override PartName="/xl/comments42.xml" ContentType="application/vnd.openxmlformats-officedocument.spreadsheetml.comments+xml"/>
  <Override PartName="/xl/customProperty110.bin" ContentType="application/vnd.openxmlformats-officedocument.spreadsheetml.customProperty"/>
  <Override PartName="/xl/drawings/drawing30.xml" ContentType="application/vnd.openxmlformats-officedocument.drawing+xml"/>
  <Override PartName="/xl/comments43.xml" ContentType="application/vnd.openxmlformats-officedocument.spreadsheetml.comments+xml"/>
  <Override PartName="/xl/customProperty111.bin" ContentType="application/vnd.openxmlformats-officedocument.spreadsheetml.customProperty"/>
  <Override PartName="/xl/customProperty112.bin" ContentType="application/vnd.openxmlformats-officedocument.spreadsheetml.customProperty"/>
  <Override PartName="/xl/customProperty113.bin" ContentType="application/vnd.openxmlformats-officedocument.spreadsheetml.customProperty"/>
  <Override PartName="/xl/drawings/drawing31.xml" ContentType="application/vnd.openxmlformats-officedocument.drawing+xml"/>
  <Override PartName="/xl/comments44.xml" ContentType="application/vnd.openxmlformats-officedocument.spreadsheetml.comments+xml"/>
  <Override PartName="/xl/customProperty114.bin" ContentType="application/vnd.openxmlformats-officedocument.spreadsheetml.customProperty"/>
  <Override PartName="/xl/drawings/drawing32.xml" ContentType="application/vnd.openxmlformats-officedocument.drawing+xml"/>
  <Override PartName="/xl/comments45.xml" ContentType="application/vnd.openxmlformats-officedocument.spreadsheetml.comments+xml"/>
  <Override PartName="/xl/customProperty115.bin" ContentType="application/vnd.openxmlformats-officedocument.spreadsheetml.customProperty"/>
  <Override PartName="/xl/customProperty116.bin" ContentType="application/vnd.openxmlformats-officedocument.spreadsheetml.customProperty"/>
  <Override PartName="/xl/customProperty117.bin" ContentType="application/vnd.openxmlformats-officedocument.spreadsheetml.customProperty"/>
  <Override PartName="/xl/drawings/drawing33.xml" ContentType="application/vnd.openxmlformats-officedocument.drawing+xml"/>
  <Override PartName="/xl/comments46.xml" ContentType="application/vnd.openxmlformats-officedocument.spreadsheetml.comments+xml"/>
  <Override PartName="/xl/customProperty118.bin" ContentType="application/vnd.openxmlformats-officedocument.spreadsheetml.customProperty"/>
  <Override PartName="/xl/drawings/drawing34.xml" ContentType="application/vnd.openxmlformats-officedocument.drawing+xml"/>
  <Override PartName="/xl/comments47.xml" ContentType="application/vnd.openxmlformats-officedocument.spreadsheetml.comments+xml"/>
  <Override PartName="/xl/customProperty119.bin" ContentType="application/vnd.openxmlformats-officedocument.spreadsheetml.customProperty"/>
  <Override PartName="/xl/customProperty120.bin" ContentType="application/vnd.openxmlformats-officedocument.spreadsheetml.customProperty"/>
  <Override PartName="/xl/customProperty121.bin" ContentType="application/vnd.openxmlformats-officedocument.spreadsheetml.customProperty"/>
  <Override PartName="/xl/drawings/drawing35.xml" ContentType="application/vnd.openxmlformats-officedocument.drawing+xml"/>
  <Override PartName="/xl/comments48.xml" ContentType="application/vnd.openxmlformats-officedocument.spreadsheetml.comments+xml"/>
  <Override PartName="/xl/customProperty122.bin" ContentType="application/vnd.openxmlformats-officedocument.spreadsheetml.customProperty"/>
  <Override PartName="/xl/drawings/drawing36.xml" ContentType="application/vnd.openxmlformats-officedocument.drawing+xml"/>
  <Override PartName="/xl/comments49.xml" ContentType="application/vnd.openxmlformats-officedocument.spreadsheetml.comments+xml"/>
  <Override PartName="/xl/customProperty123.bin" ContentType="application/vnd.openxmlformats-officedocument.spreadsheetml.customProperty"/>
  <Override PartName="/xl/customProperty124.bin" ContentType="application/vnd.openxmlformats-officedocument.spreadsheetml.customProperty"/>
  <Override PartName="/xl/customProperty125.bin" ContentType="application/vnd.openxmlformats-officedocument.spreadsheetml.customProperty"/>
  <Override PartName="/xl/drawings/drawing37.xml" ContentType="application/vnd.openxmlformats-officedocument.drawing+xml"/>
  <Override PartName="/xl/comments50.xml" ContentType="application/vnd.openxmlformats-officedocument.spreadsheetml.comments+xml"/>
  <Override PartName="/xl/customProperty126.bin" ContentType="application/vnd.openxmlformats-officedocument.spreadsheetml.customProperty"/>
  <Override PartName="/xl/drawings/drawing38.xml" ContentType="application/vnd.openxmlformats-officedocument.drawing+xml"/>
  <Override PartName="/xl/comments51.xml" ContentType="application/vnd.openxmlformats-officedocument.spreadsheetml.comments+xml"/>
  <Override PartName="/xl/customProperty127.bin" ContentType="application/vnd.openxmlformats-officedocument.spreadsheetml.customProperty"/>
  <Override PartName="/xl/customProperty128.bin" ContentType="application/vnd.openxmlformats-officedocument.spreadsheetml.customProperty"/>
  <Override PartName="/xl/customProperty129.bin" ContentType="application/vnd.openxmlformats-officedocument.spreadsheetml.customProperty"/>
  <Override PartName="/xl/drawings/drawing39.xml" ContentType="application/vnd.openxmlformats-officedocument.drawing+xml"/>
  <Override PartName="/xl/comments52.xml" ContentType="application/vnd.openxmlformats-officedocument.spreadsheetml.comments+xml"/>
  <Override PartName="/xl/customProperty130.bin" ContentType="application/vnd.openxmlformats-officedocument.spreadsheetml.customProperty"/>
  <Override PartName="/xl/customProperty131.bin" ContentType="application/vnd.openxmlformats-officedocument.spreadsheetml.customProperty"/>
  <Override PartName="/xl/customProperty132.bin" ContentType="application/vnd.openxmlformats-officedocument.spreadsheetml.customProperty"/>
  <Override PartName="/xl/drawings/drawing40.xml" ContentType="application/vnd.openxmlformats-officedocument.drawing+xml"/>
  <Override PartName="/xl/comments53.xml" ContentType="application/vnd.openxmlformats-officedocument.spreadsheetml.comments+xml"/>
  <Override PartName="/xl/comments54.xml" ContentType="application/vnd.openxmlformats-officedocument.spreadsheetml.comments+xml"/>
  <Override PartName="/xl/customProperty133.bin" ContentType="application/vnd.openxmlformats-officedocument.spreadsheetml.customProperty"/>
  <Override PartName="/xl/drawings/drawing41.xml" ContentType="application/vnd.openxmlformats-officedocument.drawing+xml"/>
  <Override PartName="/xl/comments55.xml" ContentType="application/vnd.openxmlformats-officedocument.spreadsheetml.comments+xml"/>
  <Override PartName="/xl/customProperty134.bin" ContentType="application/vnd.openxmlformats-officedocument.spreadsheetml.customProperty"/>
  <Override PartName="/xl/drawings/drawing42.xml" ContentType="application/vnd.openxmlformats-officedocument.drawing+xml"/>
  <Override PartName="/xl/comments56.xml" ContentType="application/vnd.openxmlformats-officedocument.spreadsheetml.comments+xml"/>
  <Override PartName="/xl/comments57.xml" ContentType="application/vnd.openxmlformats-officedocument.spreadsheetml.comments+xml"/>
  <Override PartName="/xl/comments58.xml" ContentType="application/vnd.openxmlformats-officedocument.spreadsheetml.comments+xml"/>
  <Override PartName="/xl/customProperty135.bin" ContentType="application/vnd.openxmlformats-officedocument.spreadsheetml.customProperty"/>
  <Override PartName="/xl/customProperty136.bin" ContentType="application/vnd.openxmlformats-officedocument.spreadsheetml.customProperty"/>
  <Override PartName="/xl/customProperty137.bin" ContentType="application/vnd.openxmlformats-officedocument.spreadsheetml.customProperty"/>
  <Override PartName="/xl/drawings/drawing43.xml" ContentType="application/vnd.openxmlformats-officedocument.drawing+xml"/>
  <Override PartName="/xl/comments59.xml" ContentType="application/vnd.openxmlformats-officedocument.spreadsheetml.comments+xml"/>
  <Override PartName="/xl/customProperty138.bin" ContentType="application/vnd.openxmlformats-officedocument.spreadsheetml.customProperty"/>
  <Override PartName="/xl/customProperty139.bin" ContentType="application/vnd.openxmlformats-officedocument.spreadsheetml.customProperty"/>
  <Override PartName="/xl/customProperty140.bin" ContentType="application/vnd.openxmlformats-officedocument.spreadsheetml.customProperty"/>
  <Override PartName="/xl/comments60.xml" ContentType="application/vnd.openxmlformats-officedocument.spreadsheetml.comments+xml"/>
  <Override PartName="/xl/customProperty141.bin" ContentType="application/vnd.openxmlformats-officedocument.spreadsheetml.customProperty"/>
  <Override PartName="/xl/customProperty142.bin" ContentType="application/vnd.openxmlformats-officedocument.spreadsheetml.customProperty"/>
  <Override PartName="/xl/customProperty143.bin" ContentType="application/vnd.openxmlformats-officedocument.spreadsheetml.customProperty"/>
  <Override PartName="/xl/drawings/drawing44.xml" ContentType="application/vnd.openxmlformats-officedocument.drawing+xml"/>
  <Override PartName="/xl/comments61.xml" ContentType="application/vnd.openxmlformats-officedocument.spreadsheetml.comments+xml"/>
  <Override PartName="/xl/customProperty144.bin" ContentType="application/vnd.openxmlformats-officedocument.spreadsheetml.customProperty"/>
  <Override PartName="/xl/customProperty145.bin" ContentType="application/vnd.openxmlformats-officedocument.spreadsheetml.customProperty"/>
  <Override PartName="/xl/customProperty146.bin" ContentType="application/vnd.openxmlformats-officedocument.spreadsheetml.customProperty"/>
  <Override PartName="/xl/drawings/drawing45.xml" ContentType="application/vnd.openxmlformats-officedocument.drawing+xml"/>
  <Override PartName="/xl/comments62.xml" ContentType="application/vnd.openxmlformats-officedocument.spreadsheetml.comments+xml"/>
  <Override PartName="/xl/customProperty147.bin" ContentType="application/vnd.openxmlformats-officedocument.spreadsheetml.customProperty"/>
  <Override PartName="/xl/customProperty148.bin" ContentType="application/vnd.openxmlformats-officedocument.spreadsheetml.customProperty"/>
  <Override PartName="/xl/customProperty149.bin" ContentType="application/vnd.openxmlformats-officedocument.spreadsheetml.customProperty"/>
  <Override PartName="/xl/drawings/drawing46.xml" ContentType="application/vnd.openxmlformats-officedocument.drawing+xml"/>
  <Override PartName="/xl/comments63.xml" ContentType="application/vnd.openxmlformats-officedocument.spreadsheetml.comments+xml"/>
  <Override PartName="/xl/customProperty150.bin" ContentType="application/vnd.openxmlformats-officedocument.spreadsheetml.customProperty"/>
  <Override PartName="/xl/customProperty151.bin" ContentType="application/vnd.openxmlformats-officedocument.spreadsheetml.customProperty"/>
  <Override PartName="/xl/customProperty152.bin" ContentType="application/vnd.openxmlformats-officedocument.spreadsheetml.customProperty"/>
  <Override PartName="/xl/drawings/drawing47.xml" ContentType="application/vnd.openxmlformats-officedocument.drawing+xml"/>
  <Override PartName="/xl/comments64.xml" ContentType="application/vnd.openxmlformats-officedocument.spreadsheetml.comments+xml"/>
  <Override PartName="/xl/customProperty153.bin" ContentType="application/vnd.openxmlformats-officedocument.spreadsheetml.customProperty"/>
  <Override PartName="/xl/customProperty154.bin" ContentType="application/vnd.openxmlformats-officedocument.spreadsheetml.customProperty"/>
  <Override PartName="/xl/customProperty155.bin" ContentType="application/vnd.openxmlformats-officedocument.spreadsheetml.customProperty"/>
  <Override PartName="/xl/drawings/drawing48.xml" ContentType="application/vnd.openxmlformats-officedocument.drawing+xml"/>
  <Override PartName="/xl/comments65.xml" ContentType="application/vnd.openxmlformats-officedocument.spreadsheetml.comments+xml"/>
  <Override PartName="/xl/customProperty156.bin" ContentType="application/vnd.openxmlformats-officedocument.spreadsheetml.customProperty"/>
  <Override PartName="/xl/drawings/drawing49.xml" ContentType="application/vnd.openxmlformats-officedocument.drawing+xml"/>
  <Override PartName="/xl/comments66.xml" ContentType="application/vnd.openxmlformats-officedocument.spreadsheetml.comments+xml"/>
  <Override PartName="/xl/customProperty157.bin" ContentType="application/vnd.openxmlformats-officedocument.spreadsheetml.customProperty"/>
  <Override PartName="/xl/customProperty158.bin" ContentType="application/vnd.openxmlformats-officedocument.spreadsheetml.customProperty"/>
  <Override PartName="/xl/customProperty159.bin" ContentType="application/vnd.openxmlformats-officedocument.spreadsheetml.customProperty"/>
  <Override PartName="/xl/drawings/drawing50.xml" ContentType="application/vnd.openxmlformats-officedocument.drawing+xml"/>
  <Override PartName="/xl/comments67.xml" ContentType="application/vnd.openxmlformats-officedocument.spreadsheetml.comments+xml"/>
  <Override PartName="/xl/customProperty160.bin" ContentType="application/vnd.openxmlformats-officedocument.spreadsheetml.customProperty"/>
  <Override PartName="/xl/drawings/drawing51.xml" ContentType="application/vnd.openxmlformats-officedocument.drawing+xml"/>
  <Override PartName="/xl/comments68.xml" ContentType="application/vnd.openxmlformats-officedocument.spreadsheetml.comments+xml"/>
  <Override PartName="/xl/customProperty161.bin" ContentType="application/vnd.openxmlformats-officedocument.spreadsheetml.customProperty"/>
  <Override PartName="/xl/customProperty162.bin" ContentType="application/vnd.openxmlformats-officedocument.spreadsheetml.customProperty"/>
  <Override PartName="/xl/customProperty163.bin" ContentType="application/vnd.openxmlformats-officedocument.spreadsheetml.customProperty"/>
  <Override PartName="/xl/drawings/drawing52.xml" ContentType="application/vnd.openxmlformats-officedocument.drawing+xml"/>
  <Override PartName="/xl/comments69.xml" ContentType="application/vnd.openxmlformats-officedocument.spreadsheetml.comments+xml"/>
  <Override PartName="/xl/customProperty164.bin" ContentType="application/vnd.openxmlformats-officedocument.spreadsheetml.customProperty"/>
  <Override PartName="/xl/drawings/drawing53.xml" ContentType="application/vnd.openxmlformats-officedocument.drawing+xml"/>
  <Override PartName="/xl/comments7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9"/>
  <workbookPr codeName="ThisWorkbook" defaultThemeVersion="124226"/>
  <mc:AlternateContent xmlns:mc="http://schemas.openxmlformats.org/markup-compatibility/2006">
    <mc:Choice Requires="x15">
      <x15ac:absPath xmlns:x15ac="http://schemas.microsoft.com/office/spreadsheetml/2010/11/ac" url="/Users/Shared/hodgeswardelliott Dropbox/3-Hotels/1_Active/FL/FL Miami Beach Anglers South Beach (2024 AL)/1 - MIRROR/1 - Financials/Detailed Financials/"/>
    </mc:Choice>
  </mc:AlternateContent>
  <xr:revisionPtr revIDLastSave="0" documentId="8_{98F19EA5-42B6-6B40-AE30-A7D5AC67CE8F}" xr6:coauthVersionLast="47" xr6:coauthVersionMax="47" xr10:uidLastSave="{00000000-0000-0000-0000-000000000000}"/>
  <bookViews>
    <workbookView xWindow="0" yWindow="500" windowWidth="28800" windowHeight="15720" tabRatio="805" activeTab="4" xr2:uid="{00000000-000D-0000-FFFF-FFFF00000000}"/>
  </bookViews>
  <sheets>
    <sheet name="29kbtUVTfkeuWbdEUFpQfA==" sheetId="5" state="veryHidden" r:id="rId1"/>
    <sheet name="SetUp" sheetId="71" r:id="rId2"/>
    <sheet name="YohATNUe5UGPqdNsFUsWuw==" sheetId="37" state="veryHidden" r:id="rId3"/>
    <sheet name="H7ex38sMH0C2Ea9J_Fj9lA==" sheetId="4" state="veryHidden" r:id="rId4"/>
    <sheet name="Summary" sheetId="120" r:id="rId5"/>
    <sheet name="Rooms" sheetId="73" r:id="rId6"/>
    <sheet name="s4RryB0aVEmArvsx5IO4vg==" sheetId="6" state="veryHidden" r:id="rId7"/>
    <sheet name="MMA" sheetId="74" r:id="rId8"/>
    <sheet name="FWlM+MMqVEi3q2BtJrMqZQ==" sheetId="7" state="veryHidden" r:id="rId9"/>
    <sheet name="Resv" sheetId="75" r:id="rId10"/>
    <sheet name="80rXvpVVqE+kLTBSLKMPEg==" sheetId="16" state="veryHidden" r:id="rId11"/>
    <sheet name="4YPTAMm3BE6g8OgC2E+oJA==" sheetId="17" state="veryHidden" r:id="rId12"/>
    <sheet name="n_dm_sBWZE6psB0vosAz1Q==" sheetId="9" state="veryHidden" r:id="rId13"/>
    <sheet name="nkm7+A1rAEaSlqjY3NA14g==" sheetId="39" state="veryHidden" r:id="rId14"/>
    <sheet name="R893yzqfMUOrUK6CHRYw9A==" sheetId="51" state="veryHidden" r:id="rId15"/>
    <sheet name="uGc7eZ8wXky3IzrH91nTFQ==" sheetId="55" state="veryHidden" r:id="rId16"/>
    <sheet name="gfsa23AWLUasHo3IHBY55w==" sheetId="52" state="veryHidden" r:id="rId17"/>
    <sheet name="3uEOQqnLz0WEj01WLZePMA==" sheetId="56" state="veryHidden" r:id="rId18"/>
    <sheet name="lZswHSX9z0WodCFYZPsU_g==" sheetId="53" state="veryHidden" r:id="rId19"/>
    <sheet name="pXdfkLBBDUmKpB6ic+Lqsg==" sheetId="57" state="veryHidden" r:id="rId20"/>
    <sheet name="wwcXak0520qpT4K9TgcLVA==" sheetId="61" state="veryHidden" r:id="rId21"/>
    <sheet name="rcb_K41VPEiD78AKGwdnMQ==" sheetId="62" state="veryHidden" r:id="rId22"/>
    <sheet name="lt2I6MkWykSAZkA76q6tqg==" sheetId="63" state="veryHidden" r:id="rId23"/>
    <sheet name="+J++T8iebEmQRHQBQbskvQ==" sheetId="64" state="veryHidden" r:id="rId24"/>
    <sheet name="DghisZAX30yMVMeLB6kHyw==" sheetId="54" state="veryHidden" r:id="rId25"/>
    <sheet name="KNXDeWIpjUqDbbeYeMIiRA==" sheetId="58" state="veryHidden" r:id="rId26"/>
    <sheet name="gnh1benLx0+b2_noJWpVbQ==" sheetId="11" state="veryHidden" r:id="rId27"/>
    <sheet name="989jUuxYzkG810mRnBoPtA==" sheetId="59" state="veryHidden" r:id="rId28"/>
    <sheet name="fORCvcCubkmtj1mwfGkniA==" sheetId="65" state="veryHidden" r:id="rId29"/>
    <sheet name="U7EqG2Be1EmA9Mmab95Ymg==" sheetId="66" state="veryHidden" r:id="rId30"/>
    <sheet name="LHcHZTh0fk2qIKbepKmmRg==" sheetId="67" state="veryHidden" r:id="rId31"/>
    <sheet name="reBJVPj5TUCcqCAMw2lgkg==" sheetId="68" state="veryHidden" r:id="rId32"/>
    <sheet name="5zTse0v7KE2TMiuCP61ndA==" sheetId="69" state="veryHidden" r:id="rId33"/>
    <sheet name="ux3QkSX6v0y5Funa6amBfA==" sheetId="70" state="veryHidden" r:id="rId34"/>
    <sheet name="AP2y9kEZIUOS3024oUkDZw==" sheetId="15" state="veryHidden" r:id="rId35"/>
    <sheet name="R+EwkMTdu06NARpgDrBzuQ==" sheetId="24" state="veryHidden" r:id="rId36"/>
    <sheet name="FB_Cons" sheetId="121" r:id="rId37"/>
    <sheet name="OTH_OP" sheetId="101" r:id="rId38"/>
    <sheet name="R7CUAR0T6UGxhXEjNHO+8Q==" sheetId="18" state="veryHidden" r:id="rId39"/>
    <sheet name="Telcom_Legacy" sheetId="102" r:id="rId40"/>
    <sheet name="YahapHnPmUqjw_d31NPOWw==" sheetId="19" state="veryHidden" r:id="rId41"/>
    <sheet name="HC_SPA" sheetId="103" r:id="rId42"/>
    <sheet name="DGkF+9z2e0muE_Q9pwVEjw==" sheetId="20" state="veryHidden" r:id="rId43"/>
    <sheet name="Parking" sheetId="104" r:id="rId44"/>
    <sheet name="KGGppncgtkaFGfG+Mo1_AA==" sheetId="21" state="veryHidden" r:id="rId45"/>
    <sheet name="Retail" sheetId="105" r:id="rId46"/>
    <sheet name="uO8gmYSHLkCps67oY9Oh7g==" sheetId="22" state="veryHidden" r:id="rId47"/>
    <sheet name="FB_Retail" sheetId="106" r:id="rId48"/>
    <sheet name="bTP3cAHQYUa5ZlhJSIC+vA==" sheetId="23" state="veryHidden" r:id="rId49"/>
    <sheet name="Minor_Op" sheetId="107" r:id="rId50"/>
    <sheet name="lTY+EZuh50eBlRDOZLKuqA==" sheetId="25" state="veryHidden" r:id="rId51"/>
    <sheet name="MISC_INC" sheetId="108" r:id="rId52"/>
    <sheet name="6YAooQ2zG06RabxmXZbjzw==" sheetId="26" state="veryHidden" r:id="rId53"/>
    <sheet name="0rjpnXheOkGjC+P_AmqM7g==" sheetId="27" state="veryHidden" r:id="rId54"/>
    <sheet name="AG" sheetId="122" r:id="rId55"/>
    <sheet name="IT" sheetId="111" r:id="rId56"/>
    <sheet name="HR_Detail" sheetId="110" r:id="rId57"/>
    <sheet name="SM" sheetId="123" r:id="rId58"/>
    <sheet name="POM" sheetId="124" r:id="rId59"/>
    <sheet name="EC" sheetId="125" r:id="rId60"/>
    <sheet name="Mgt_Fees" sheetId="126" r:id="rId61"/>
    <sheet name="Non_Op" sheetId="127" r:id="rId62"/>
    <sheet name="CpDBdyUtEkKzRudEFXKMDQ==" sheetId="28" state="veryHidden" r:id="rId63"/>
    <sheet name="gXklmCuLAUCPV4A0vc5XsQ==" sheetId="29" state="veryHidden" r:id="rId64"/>
    <sheet name="CKkrCwTeO02egxjzlWr7fQ==" sheetId="30" state="veryHidden" r:id="rId65"/>
    <sheet name="0_snXtuSTUWNI3_4pUbkrg==" sheetId="31" state="veryHidden" r:id="rId66"/>
    <sheet name="EETjXJIQQkWtPchdwHUfew==" sheetId="32" state="veryHidden" r:id="rId67"/>
    <sheet name="76TTIBOJA02jD3Q18eFxMg==" sheetId="33" state="veryHidden" r:id="rId68"/>
    <sheet name="qZ8LUr1h8kGMwIzchI163A==" sheetId="34" state="veryHidden" r:id="rId69"/>
    <sheet name="Laundry" sheetId="117" r:id="rId70"/>
    <sheet name="q+7yCdhj2kaVIAcvsZXZtg==" sheetId="35" state="veryHidden" r:id="rId71"/>
    <sheet name="Dining" sheetId="118" r:id="rId72"/>
    <sheet name="_dv5TzhKgEmBJy1iLpRPIA==" sheetId="36" state="veryHidden" r:id="rId73"/>
    <sheet name="PR_Related" sheetId="119" r:id="rId74"/>
  </sheets>
  <definedNames>
    <definedName name="_EPMOffline" localSheetId="72">"'PR_Related"</definedName>
    <definedName name="_EPMOffline" localSheetId="23">"'Venue6_KPI"</definedName>
    <definedName name="_EPMOffline" localSheetId="65">"'EC"</definedName>
    <definedName name="_EPMOffline" localSheetId="53">"'HR_Detail"</definedName>
    <definedName name="_EPMOffline" localSheetId="0">"'SetUp"</definedName>
    <definedName name="_EPMOffline" localSheetId="17">"'Venue3_KPI"</definedName>
    <definedName name="_EPMOffline" localSheetId="11">"'FB_KPI"</definedName>
    <definedName name="_EPMOffline" localSheetId="32">"'BCC_Local"</definedName>
    <definedName name="_EPMOffline" localSheetId="52">"'AG"</definedName>
    <definedName name="_EPMOffline" localSheetId="67">"'Non_Op"</definedName>
    <definedName name="_EPMOffline" localSheetId="10">"'FB_Cons"</definedName>
    <definedName name="_EPMOffline" localSheetId="27">"'IRD_KPI"</definedName>
    <definedName name="_EPMOffline" localSheetId="34">"'Mini_Bar"</definedName>
    <definedName name="_EPMOffline" localSheetId="48">"'Minor_Op"</definedName>
    <definedName name="_EPMOffline" localSheetId="64">"'POM"</definedName>
    <definedName name="_EPMOffline" localSheetId="62">"'IT"</definedName>
    <definedName name="_EPMOffline" localSheetId="24">"'VenueBar"</definedName>
    <definedName name="_EPMOffline" localSheetId="42">"'Parking"</definedName>
    <definedName name="_EPMOffline" localSheetId="66">"'Mgt_Fees"</definedName>
    <definedName name="_EPMOffline" localSheetId="28">"'BCC_CONS"</definedName>
    <definedName name="_EPMOffline" localSheetId="8">"'Resv"</definedName>
    <definedName name="_EPMOffline" localSheetId="16">"'Venue3"</definedName>
    <definedName name="_EPMOffline" localSheetId="26">"'IRD"</definedName>
    <definedName name="_EPMOffline" localSheetId="63">"'SM"</definedName>
    <definedName name="_EPMOffline" localSheetId="3">"'Rooms"</definedName>
    <definedName name="_EPMOffline" localSheetId="44">"'Retail"</definedName>
    <definedName name="_EPMOffline" localSheetId="25">"'VenueBar_KPI"</definedName>
    <definedName name="_EPMOffline" localSheetId="30">"'BCC_Group"</definedName>
    <definedName name="_EPMOffline" localSheetId="22">"'Venue6"</definedName>
    <definedName name="_EPMOffline" localSheetId="50">"'MISC_INC"</definedName>
    <definedName name="_EPMOffline" localSheetId="18">"'Venue4"</definedName>
    <definedName name="_EPMOffline" localSheetId="12">"'Venue1"</definedName>
    <definedName name="_EPMOffline" localSheetId="13">"'Venue1_KPI"</definedName>
    <definedName name="_EPMOffline" localSheetId="19">"'Venue4_KPI"</definedName>
    <definedName name="_EPMOffline" localSheetId="70">"'Dining"</definedName>
    <definedName name="_EPMOffline" localSheetId="68">"'Laundry"</definedName>
    <definedName name="_EPMOffline" localSheetId="35">"'OTH_OP"</definedName>
    <definedName name="_EPMOffline" localSheetId="38">"'Telcom_Legacy"</definedName>
    <definedName name="_EPMOffline" localSheetId="14">"'Venue2"</definedName>
    <definedName name="_EPMOffline" localSheetId="21">"'Venue5_KPI"</definedName>
    <definedName name="_EPMOffline" localSheetId="31">"'BCC_KPI_Group"</definedName>
    <definedName name="_EPMOffline" localSheetId="6">"'MMA"</definedName>
    <definedName name="_EPMOffline" localSheetId="29">"'BCC_CONS_KPI"</definedName>
    <definedName name="_EPMOffline" localSheetId="15">"'Venue2_KPI"</definedName>
    <definedName name="_EPMOffline" localSheetId="46">"'FB_Retail"</definedName>
    <definedName name="_EPMOffline" localSheetId="33">"'BCC_KPI_Local"</definedName>
    <definedName name="_EPMOffline" localSheetId="20">"'Venue5"</definedName>
    <definedName name="_EPMOffline" localSheetId="40">"'HC_SPA"</definedName>
    <definedName name="_EPMOffline" localSheetId="2">"'Summary"</definedName>
    <definedName name="_epmOfflineCondition_" localSheetId="72" hidden="1">1</definedName>
    <definedName name="_epmOfflineCondition_" localSheetId="23" hidden="1">1</definedName>
    <definedName name="_epmOfflineCondition_" localSheetId="65" hidden="1">1</definedName>
    <definedName name="_epmOfflineCondition_" localSheetId="53" hidden="1">1</definedName>
    <definedName name="_epmOfflineCondition_" localSheetId="0" hidden="1">1</definedName>
    <definedName name="_epmOfflineCondition_" localSheetId="17" hidden="1">1</definedName>
    <definedName name="_epmOfflineCondition_" localSheetId="11" hidden="1">1</definedName>
    <definedName name="_epmOfflineCondition_" localSheetId="32" hidden="1">1</definedName>
    <definedName name="_epmOfflineCondition_" localSheetId="52" hidden="1">1</definedName>
    <definedName name="_epmOfflineCondition_" localSheetId="67" hidden="1">1</definedName>
    <definedName name="_epmOfflineCondition_" localSheetId="10" hidden="1">1</definedName>
    <definedName name="_epmOfflineCondition_" localSheetId="27" hidden="1">1</definedName>
    <definedName name="_epmOfflineCondition_" localSheetId="34" hidden="1">1</definedName>
    <definedName name="_epmOfflineCondition_" localSheetId="48" hidden="1">1</definedName>
    <definedName name="_epmOfflineCondition_" localSheetId="64" hidden="1">1</definedName>
    <definedName name="_epmOfflineCondition_" localSheetId="62" hidden="1">1</definedName>
    <definedName name="_epmOfflineCondition_" localSheetId="24" hidden="1">1</definedName>
    <definedName name="_epmOfflineCondition_" localSheetId="42" hidden="1">1</definedName>
    <definedName name="_epmOfflineCondition_" localSheetId="71" hidden="1">1</definedName>
    <definedName name="_epmOfflineCondition_" localSheetId="66" hidden="1">1</definedName>
    <definedName name="_epmOfflineCondition_" localSheetId="47" hidden="1">1</definedName>
    <definedName name="_epmOfflineCondition_" localSheetId="28" hidden="1">1</definedName>
    <definedName name="_epmOfflineCondition_" localSheetId="8" hidden="1">1</definedName>
    <definedName name="_epmOfflineCondition_" localSheetId="16" hidden="1">1</definedName>
    <definedName name="_epmOfflineCondition_" localSheetId="26" hidden="1">1</definedName>
    <definedName name="_epmOfflineCondition_" localSheetId="63" hidden="1">1</definedName>
    <definedName name="_epmOfflineCondition_" localSheetId="3" hidden="1">1</definedName>
    <definedName name="_epmOfflineCondition_" localSheetId="41" hidden="1">1</definedName>
    <definedName name="_epmOfflineCondition_" localSheetId="56" hidden="1">1</definedName>
    <definedName name="_epmOfflineCondition_" localSheetId="55" hidden="1">1</definedName>
    <definedName name="_epmOfflineCondition_" localSheetId="44" hidden="1">1</definedName>
    <definedName name="_epmOfflineCondition_" localSheetId="25" hidden="1">1</definedName>
    <definedName name="_epmOfflineCondition_" localSheetId="69" hidden="1">1</definedName>
    <definedName name="_epmOfflineCondition_" localSheetId="30" hidden="1">1</definedName>
    <definedName name="_epmOfflineCondition_" localSheetId="22" hidden="1">1</definedName>
    <definedName name="_epmOfflineCondition_" localSheetId="50" hidden="1">1</definedName>
    <definedName name="_epmOfflineCondition_" localSheetId="18" hidden="1">1</definedName>
    <definedName name="_epmOfflineCondition_" localSheetId="49" hidden="1">1</definedName>
    <definedName name="_epmOfflineCondition_" localSheetId="51" hidden="1">1</definedName>
    <definedName name="_epmOfflineCondition_" localSheetId="7" hidden="1">1</definedName>
    <definedName name="_epmOfflineCondition_" localSheetId="12" hidden="1">1</definedName>
    <definedName name="_epmOfflineCondition_" localSheetId="13" hidden="1">1</definedName>
    <definedName name="_epmOfflineCondition_" localSheetId="37" hidden="1">1</definedName>
    <definedName name="_epmOfflineCondition_" localSheetId="43" hidden="1">1</definedName>
    <definedName name="_epmOfflineCondition_" localSheetId="73" hidden="1">1</definedName>
    <definedName name="_epmOfflineCondition_" localSheetId="19" hidden="1">1</definedName>
    <definedName name="_epmOfflineCondition_" localSheetId="70" hidden="1">1</definedName>
    <definedName name="_epmOfflineCondition_" localSheetId="68" hidden="1">1</definedName>
    <definedName name="_epmOfflineCondition_" localSheetId="35" hidden="1">1</definedName>
    <definedName name="_epmOfflineCondition_" localSheetId="38" hidden="1">1</definedName>
    <definedName name="_epmOfflineCondition_" localSheetId="14" hidden="1">1</definedName>
    <definedName name="_epmOfflineCondition_" localSheetId="21" hidden="1">1</definedName>
    <definedName name="_epmOfflineCondition_" localSheetId="31" hidden="1">1</definedName>
    <definedName name="_epmOfflineCondition_" localSheetId="9" hidden="1">1</definedName>
    <definedName name="_epmOfflineCondition_" localSheetId="45" hidden="1">1</definedName>
    <definedName name="_epmOfflineCondition_" localSheetId="5" hidden="1">1</definedName>
    <definedName name="_epmOfflineCondition_" localSheetId="6" hidden="1">1</definedName>
    <definedName name="_epmOfflineCondition_" localSheetId="1" hidden="1">1</definedName>
    <definedName name="_epmOfflineCondition_" localSheetId="39" hidden="1">1</definedName>
    <definedName name="_epmOfflineCondition_" localSheetId="29" hidden="1">1</definedName>
    <definedName name="_epmOfflineCondition_" localSheetId="15" hidden="1">1</definedName>
    <definedName name="_epmOfflineCondition_" localSheetId="46" hidden="1">1</definedName>
    <definedName name="_epmOfflineCondition_" localSheetId="33" hidden="1">1</definedName>
    <definedName name="_epmOfflineCondition_" localSheetId="20" hidden="1">1</definedName>
    <definedName name="_epmOfflineCondition_" localSheetId="40" hidden="1">1</definedName>
    <definedName name="_epmOfflineCondition_" localSheetId="2" hidden="1">1</definedName>
    <definedName name="EPMWorkbookOptions_1" hidden="1">"dDQAAB+LCAAAAAAABADtW21vokoU/r7J/gfjdwUUX7axbijS1b0qBrB3N83GII51Uhy4w1jbf38HBEWlFlq2orHpCz1z5sx5Hs45wxFofH+em7kngB1ooes8V2TzOYAMawLRw3V+QaYFrpr/3vz6pfGvhR/HlvUo24SqOjk6DzlXz87kOj8jxL5imOVyWVyWixZ+YEosyzG/el3VmIG5nl8rw7eVCxA5REcGyNNVc7mGaCEEDHdNzRIXGANE"</definedName>
    <definedName name="EPMWorkbookOptions_2" hidden="1">"7iBYeoNbwy2d6L6Uyvv6HKyWXS9JwNxeYOitOXQAHmAwBdSeAYoURr45uh30RjcDsady7Ojen/RoWLg0tg3dth3G0W2GHjN/Rvf/wLlNLESPbiFy3aVHU910Nn8bjOvDxiPBtk1o6CH2YnsW2Ni2EhL7gJu+LztLr4ja4y7GEB3sgfkY4CGC/y2AZ/VeEEV52Nf+FO/bHP11I3SFviipbUnSKOg9/T2LbQiwjo3ZS0ipzTWYKPne5BacA+QG"</definedName>
    <definedName name="EPMWorkbookOptions_3" hidden="1">"a0hJMAxrgUiDiRrcwcqkx4MoaNIPWfkdECEOFUXqH4kDUSfgwcIvn01CS9AEVREDDjRZo+HQ+nkcEtwSoGLj0zmQBoKi9aRNTrQq7JEYALaOCZV/ejZ0+pooB/iFbndEBZJCRUfhoYOIaH02BVqnJwUMlFjuW/Gn0D8OfI3KPht9TxLUoSKpFDz9HkhKR251xPfizzHxkAarfgztgZHQQBtOJgCt13EOELZWuoMOHEMTkpfU9zKPONejJsEL"</definedName>
    <definedName name="EPMWorkbookOptions_4" hidden="1">"4EaL988BzG97lQqGJHtRZkEk2EuyiyHRbpBZGLGLeWYRxK3HmQWQpMymD2JL+WAVDoPddFF7lVqdWZtFRcu0sO9rxMChqR76iJlRm4+rQLtVAp7Jrf5kYUioX16ruJq8N7Yzvw0fZib9ISowaccLJsGuCTd2DurE8OcWYoeEAEWP7xhao36d8LhaaWyKYRurM1jgqhWWK9e5kIGoc+vNlfEE4CbbYFYHkdYd29RfBtiyAaaRylWqlSkYTwuV"</definedName>
    <definedName name="EPMWorkbookOptions_5" hidden="1">"6oQv8KXpt0K9AkCB1UGJn4xrfG1cdlfenhVhuKs76xO3umiKYuiNKzNfJfW23bcbdan27MArBM3rvBs4+Ygrt9dPbby5hy5TU6SkxnIcG6txyzIZDSZOHIVS4a+l7c3CgQg4DhV9IHdZlq+zbPzU5c4vdW+Gaqcvqeqw39nk73DEc/WTj9aUKVGkHx25r15YWbFS8lip093vwkg4TniOr586I9mp88n6/YgaXy5XKjzPx6/xpfOr8R+4m+Db"</definedName>
    <definedName name="EPMWorkbookOptions_6" hidden="1">"zGSUpkWHIGpiV1alU+cjO1mb6AOuiKSt1ji2Xq/FT9ry+SXtB+5++TYvQXoITuJPMKMbiGq1XE7QQfBnGKjvvUXpW8xkmKZIRqlyIWNNxkjodk+djuyUsAR3L1L56LJyftXrI88W+EYvQXoITlOxycpV4/1dXPJQrZ5fqCoDbdW5ievWpRvrIQjfYibjNEUyhmrr1NnITtbGv62cSrrWzi9d3/vIlm8wk/GZGhdeO3tho3j/i36dBxvZqV3J"</definedName>
    <definedName name="EPMWorkbookOptions_7" hidden="1">"nihJpX7Vz69+vf+hS9/kuUdpDKUtb15V2tKx5jZ1bPMM0hbOBhP1ksaWNLBNl95/fyUs3H/npaGAKQbOTEayDVDw4M+20NMTTaBj16iMVP0JBJq7Yk83eLmHIiMe54H2/oCn33HudAz1sQl6AD9s1PfkX79sbPhvDjX/B+cgYkl0NAAA"</definedName>
    <definedName name="EV__EVCOM_OPTIONS__" hidden="1">8</definedName>
    <definedName name="EV__EXPOPTIONS__" hidden="1">1</definedName>
    <definedName name="EV__LASTREFTIME__" hidden="1">43507.7052199074</definedName>
    <definedName name="Ev__LimitedCV" localSheetId="72" hidden="1">"Application:FINANCE|Application:FINANCE|Account:GOI|Category:ACTUAL_CON|Datasrc:TOTALADJ|Department:D_CON|Intco:All_InterCo|Rptcurrency:LC|Time:2015.TOTAL|Measures:PERIODIC"</definedName>
    <definedName name="Ev__LimitedCV" localSheetId="23" hidden="1">"Application:FINANCE|Application:FINANCE|Account:GOI|Category:ACTUAL_CON|Datasrc:TOTALADJ|Department:D_REST_OUTLET|Intco:All_InterCo|Rptcurrency:LC|Time:2015.TOTAL|Measures:PERIODIC"</definedName>
    <definedName name="Ev__LimitedCV" localSheetId="65" hidden="1">"Application:FINANCE|Application:FINANCE|Account:GOI|Category:ACTUAL_CON|Datasrc:TOTALADJ|Department:D_EC_CON|Intco:All_InterCo|Rptcurrency:LC|Time:2015.TOTAL|Measures:PERIODIC"</definedName>
    <definedName name="Ev__LimitedCV" localSheetId="53" hidden="1">"Application:FINANCE|Application:FINANCE|Account:GOI|Category:ACTUAL_CON|Datasrc:TOTALADJ|Department:D_AGHR|Intco:All_InterCo|Rptcurrency:LC|Time:2015.TOTAL|Measures:PERIODIC"</definedName>
    <definedName name="Ev__LimitedCV" localSheetId="0" hidden="1">"Application:FINANCE|Application:FINANCE|Account:GOI|Category:CURRENT|Datasrc:TOTALADJ|Department:D_CON|Intco:All_InterCo|Time:2015.TOTAL|Measures:PERIODIC"</definedName>
    <definedName name="Ev__LimitedCV" localSheetId="17" hidden="1">"Application:FINANCE|Application:FINANCE|Account:GOI|Category:ACTUAL_CON|Datasrc:TOTALADJ|Department:D_REST_OUTLET|Intco:All_InterCo|Rptcurrency:LC|Time:2015.TOTAL|Measures:PERIODIC"</definedName>
    <definedName name="Ev__LimitedCV" localSheetId="11" hidden="1">"Application:FINANCE|Application:FINANCE|Account:GOI|Category:ACTUAL_CON|Datasrc:TOTALADJ|Department:D_REST_OUTLET|Intco:All_InterCo|Rptcurrency:LC|Time:2015.TOTAL|Measures:PERIODIC"</definedName>
    <definedName name="Ev__LimitedCV" localSheetId="32" hidden="1">"Application:FINANCE|Application:FINANCE|Account:GOI|Category:ACTUAL_CON|Datasrc:TOTALADJ|Department:D_BCC_CON|Intco:All_InterCo|Rptcurrency:LC|Time:2015.TOTAL|Measures:PERIODIC"</definedName>
    <definedName name="Ev__LimitedCV" localSheetId="52" hidden="1">"Application:FINANCE|Application:FINANCE|Account:GOI|Category:ACTUAL_CON|Datasrc:TOTALADJ|Department:D_AG_CON|Intco:All_InterCo|Rptcurrency:LC|Time:2015.TOTAL|Measures:PERIODIC"</definedName>
    <definedName name="Ev__LimitedCV" localSheetId="67" hidden="1">"Application:FINANCE|Application:FINANCE|Account:GOI|Category:ACTUAL_CON|Datasrc:TOTALADJ|Department:D_FIXED|Intco:All_InterCo|Rptcurrency:LC|Time:2015.TOTAL|Measures:PERIODIC"</definedName>
    <definedName name="Ev__LimitedCV" localSheetId="10" hidden="1">"Application:FINANCE|Application:FINANCE|Account:GOI|Category:ACTUAL_CON|Datasrc:TOTALADJ|Department:D_REST_CON|Intco:All_InterCo|Rptcurrency:LC|Time:2015.TOTAL|Measures:PERIODIC"</definedName>
    <definedName name="Ev__LimitedCV" localSheetId="27" hidden="1">"Application:FINANCE|Application:FINANCE|Account:GOI|Category:ACTUAL_CON|Datasrc:TOTALADJ|Department:D_REST_OUTLET|Intco:All_InterCo|Rptcurrency:LC|Time:2015.TOTAL|Measures:PERIODIC"</definedName>
    <definedName name="Ev__LimitedCV" localSheetId="34" hidden="1">"Application:FINANCE|Application:FINANCE|Account:GOI|Category:ACTUAL_CON|Datasrc:TOTALADJ|Department:D1149|Intco:All_InterCo|Rptcurrency:LC|Time:2015.TOTAL|Measures:PERIODIC"</definedName>
    <definedName name="Ev__LimitedCV" localSheetId="48" hidden="1">"Application:FINANCE|Application:FINANCE|Account:GOI|Category:ACTUAL_CON|Datasrc:TOTALADJ|Department:D1138|Intco:All_InterCo|Rptcurrency:LC|Time:2015.TOTAL|Measures:PERIODIC"</definedName>
    <definedName name="Ev__LimitedCV" localSheetId="64" hidden="1">"Application:FINANCE|Application:FINANCE|Account:GOI|Category:ACTUAL_CON|Datasrc:TOTALADJ|Department:D_PM_CON|Intco:All_InterCo|Rptcurrency:LC|Time:2015.TOTAL|Measures:PERIODIC"</definedName>
    <definedName name="Ev__LimitedCV" localSheetId="62" hidden="1">"Application:FINANCE|Application:FINANCE|Account:GOI|Category:ACTUAL_CON|Datasrc:TOTALADJ|Department:D_IT_CON|Intco:All_InterCo|Rptcurrency:LC|Time:2015.TOTAL|Measures:PERIODIC"</definedName>
    <definedName name="Ev__LimitedCV" localSheetId="24" hidden="1">"Application:FINANCE|Application:FINANCE|Account:GOI|Category:ACTUAL_CON|Datasrc:TOTALADJ|Department:D_REST_OUTLET|Intco:All_InterCo|Rptcurrency:LC|Time:2015.TOTAL|Measures:PERIODIC"</definedName>
    <definedName name="Ev__LimitedCV" localSheetId="42" hidden="1">"Application:FINANCE|Application:FINANCE|Account:GOI|Category:ACTUAL_CON|Datasrc:TOTALADJ|Department:D1133|Intco:All_InterCo|Rptcurrency:LC|Time:2015.TOTAL|Measures:PERIODIC"</definedName>
    <definedName name="Ev__LimitedCV" localSheetId="71" hidden="1">"Application:FINANCE|Application:FINANCE|Account:GOI|Category:ACTUAL_CON|Datasrc:TOTALADJ|Department:D2259|Intco:All_InterCo|Rptcurrency:LC|Time:2015.TOTAL|Measures:PERIODIC"</definedName>
    <definedName name="Ev__LimitedCV" localSheetId="66" hidden="1">"Application:FINANCE|Application:FINANCE|Account:GOI|Category:ACTUAL_CON|Datasrc:TOTALADJ|Department:D_MGMT_CON|Intco:All_InterCo|Rptcurrency:LC|Time:2015.TOTAL|Measures:PERIODIC"</definedName>
    <definedName name="Ev__LimitedCV" localSheetId="47" hidden="1">"Application:FINANCE|Application:FINANCE|Account:GOI|Category:ACTUAL_CON|Datasrc:TOTALADJ|Department:D2149|Intco:All_InterCo|Rptcurrency:LC|Time:2015.TOTAL|Measures:PERIODIC"</definedName>
    <definedName name="Ev__LimitedCV" localSheetId="8" hidden="1">"Application:FINANCE|Application:FINANCE|Account:GOI|Category:ACTUAL_CON|Datasrc:TOTALADJ|Department:D_RESV_CON|Intco:All_InterCo|Rptcurrency:LC|Time:2015.TOTAL|Measures:PERIODIC"</definedName>
    <definedName name="Ev__LimitedCV" localSheetId="16" hidden="1">"Application:FINANCE|Application:FINANCE|Account:GOI|Category:ACTUAL_CON|Datasrc:TOTALADJ|Department:D_REST_OUTLET|Intco:All_InterCo|Rptcurrency:LC|Time:2015.TOTAL|Measures:PERIODIC"</definedName>
    <definedName name="Ev__LimitedCV" localSheetId="26" hidden="1">"Application:FINANCE|Application:FINANCE|Account:GOI|Category:ACTUAL_CON|Datasrc:TOTALADJ|Department:D_RS_CON|Intco:All_InterCo|Rptcurrency:LC|Time:2015.TOTAL|Measures:PERIODIC"</definedName>
    <definedName name="Ev__LimitedCV" localSheetId="63" hidden="1">"Application:FINANCE|Application:FINANCE|Account:GOI|Category:ACTUAL_CON|Datasrc:TOTALADJ|Department:D_SM_CON|Intco:All_InterCo|Rptcurrency:LC|Time:2015.TOTAL|Measures:PERIODIC"</definedName>
    <definedName name="Ev__LimitedCV" localSheetId="3" hidden="1">"Application:FINANCE|Application:FINANCE|Account:GOI|Category:ACTUAL_CON|Datasrc:TOTALADJ|Department:D_ROOMS_CON|Intco:All_InterCo|Rptcurrency:LC|Time:2015.TOTAL|Measures:PERIODIC"</definedName>
    <definedName name="Ev__LimitedCV" localSheetId="41" hidden="1">"Application:FINANCE|Application:FINANCE|Account:GOI|Category:ACTUAL_CON|Datasrc:TOTALADJ|Department:D1132|Intco:All_InterCo|Rptcurrency:LC|Time:2015.TOTAL|Measures:PERIODIC"</definedName>
    <definedName name="Ev__LimitedCV" localSheetId="56" hidden="1">"Application:FINANCE|Application:FINANCE|Account:GOI|Category:ACTUAL_CON|Datasrc:TOTALADJ|Department:D_AGHR|Intco:All_InterCo|Rptcurrency:LC|Time:2015.TOTAL|Measures:PERIODIC"</definedName>
    <definedName name="Ev__LimitedCV" localSheetId="55" hidden="1">"Application:FINANCE|Application:FINANCE|Account:GOI|Category:ACTUAL_CON|Datasrc:TOTALADJ|Department:D_IT_CON|Intco:All_InterCo|Rptcurrency:LC|Time:2015.TOTAL|Measures:PERIODIC"</definedName>
    <definedName name="Ev__LimitedCV" localSheetId="44" hidden="1">"Application:FINANCE|Application:FINANCE|Account:GOI|Category:ACTUAL_CON|Datasrc:TOTALADJ|Department:D1136|Intco:All_InterCo|Rptcurrency:LC|Time:2015.TOTAL|Measures:PERIODIC"</definedName>
    <definedName name="Ev__LimitedCV" localSheetId="25" hidden="1">"Application:FINANCE|Application:FINANCE|Account:GOI|Category:ACTUAL_CON|Datasrc:TOTALADJ|Department:D_REST_OUTLET|Intco:All_InterCo|Rptcurrency:LC|Time:2015.TOTAL|Measures:PERIODIC"</definedName>
    <definedName name="Ev__LimitedCV" localSheetId="69" hidden="1">"Application:FINANCE|Application:FINANCE|Account:GOI|Category:ACTUAL_CON|Datasrc:TOTALADJ|Department:D1228|Intco:All_InterCo|Rptcurrency:LC|Time:2015.TOTAL|Measures:PERIODIC"</definedName>
    <definedName name="Ev__LimitedCV" localSheetId="30" hidden="1">"Application:FINANCE|Application:FINANCE|Account:GOI|Category:ACTUAL_CON|Datasrc:TOTALADJ|Department:D_BCC_CON|Intco:All_InterCo|Rptcurrency:LC|Time:2015.TOTAL|Measures:PERIODIC"</definedName>
    <definedName name="Ev__LimitedCV" localSheetId="22" hidden="1">"Application:FINANCE|Application:FINANCE|Account:GOI|Category:ACTUAL_CON|Datasrc:TOTALADJ|Department:D_REST_OUTLET|Intco:All_InterCo|Rptcurrency:LC|Time:2015.TOTAL|Measures:PERIODIC"</definedName>
    <definedName name="Ev__LimitedCV" localSheetId="50" hidden="1">"Application:FINANCE|Application:FINANCE|Account:GOI|Category:ACTUAL_CON|Datasrc:TOTALADJ|Department:D_ROI_CON|Intco:All_InterCo|Rptcurrency:LC|Time:2015.TOTAL|Measures:PERIODIC"</definedName>
    <definedName name="Ev__LimitedCV" localSheetId="18" hidden="1">"Application:FINANCE|Application:FINANCE|Account:GOI|Category:ACTUAL_CON|Datasrc:TOTALADJ|Department:D_REST_OUTLET|Intco:All_InterCo|Rptcurrency:LC|Time:2015.TOTAL|Measures:PERIODIC"</definedName>
    <definedName name="Ev__LimitedCV" localSheetId="49" hidden="1">"Application:FINANCE|Application:FINANCE|Account:GOI|Category:ACTUAL_CON|Datasrc:TOTALADJ|Department:D1138|Intco:All_InterCo|Rptcurrency:LC|Time:2015.TOTAL|Measures:PERIODIC"</definedName>
    <definedName name="Ev__LimitedCV" localSheetId="51" hidden="1">"Application:FINANCE|Application:FINANCE|Account:GOI|Category:ACTUAL_CON|Datasrc:TOTALADJ|Department:D_ROI_CON|Intco:All_InterCo|Rptcurrency:LC|Time:2015.TOTAL|Measures:PERIODIC"</definedName>
    <definedName name="Ev__LimitedCV" localSheetId="7" hidden="1">"Application:FINANCE|Application:FINANCE|Account:GOI|Category:ACTUAL_CON|Datasrc:TOTALADJ|Department:D_ROOMS_CON|Intco:All_InterCo|Rptcurrency:LC|Time:2015.TOTAL|Measures:PERIODIC"</definedName>
    <definedName name="Ev__LimitedCV" localSheetId="12" hidden="1">"Application:FINANCE|Application:FINANCE|Account:GOI|Category:ACTUAL_CON|Datasrc:TOTALADJ|Department:D_REST_OUTLET|Intco:All_InterCo|Rptcurrency:LC|Time:2015.TOTAL|Measures:PERIODIC"</definedName>
    <definedName name="Ev__LimitedCV" localSheetId="13" hidden="1">"Application:FINANCE|Application:FINANCE|Account:GOI|Category:ACTUAL_CON|Datasrc:TOTALADJ|Department:D_REST_OUTLET|Intco:All_InterCo|Rptcurrency:LC|Time:2015.TOTAL|Measures:PERIODIC"</definedName>
    <definedName name="Ev__LimitedCV" localSheetId="37" hidden="1">"Application:FINANCE|Application:FINANCE|Account:GOI|Category:ACTUAL_CON|Datasrc:TOTALADJ|Department:D_OTHER_CON|Intco:All_InterCo|Rptcurrency:LC|Time:2015.TOTAL|Measures:PERIODIC"</definedName>
    <definedName name="Ev__LimitedCV" localSheetId="43" hidden="1">"Application:FINANCE|Application:FINANCE|Account:GOI|Category:ACTUAL_CON|Datasrc:TOTALADJ|Department:D1133|Intco:All_InterCo|Rptcurrency:LC|Time:2015.TOTAL|Measures:PERIODIC"</definedName>
    <definedName name="Ev__LimitedCV" localSheetId="73" hidden="1">"Application:FINANCE|Application:FINANCE|Account:GOI|Category:ACTUAL_CON|Datasrc:TOTALADJ|Department:D_CON|Intco:All_InterCo|Rptcurrency:LC|Time:2015.TOTAL|Measures:PERIODIC"</definedName>
    <definedName name="Ev__LimitedCV" localSheetId="19" hidden="1">"Application:FINANCE|Application:FINANCE|Account:GOI|Category:ACTUAL_CON|Datasrc:TOTALADJ|Department:D_REST_OUTLET|Intco:All_InterCo|Rptcurrency:LC|Time:2015.TOTAL|Measures:PERIODIC"</definedName>
    <definedName name="Ev__LimitedCV" localSheetId="70" hidden="1">"Application:FINANCE|Application:FINANCE|Account:GOI|Category:ACTUAL_CON|Datasrc:TOTALADJ|Department:D2259|Intco:All_InterCo|Rptcurrency:LC|Time:2015.TOTAL|Measures:PERIODIC"</definedName>
    <definedName name="Ev__LimitedCV" localSheetId="68" hidden="1">"Application:FINANCE|Application:FINANCE|Account:GOI|Category:ACTUAL_CON|Datasrc:TOTALADJ|Department:D1228|Intco:All_InterCo|Rptcurrency:LC|Time:2015.TOTAL|Measures:PERIODIC"</definedName>
    <definedName name="Ev__LimitedCV" localSheetId="35" hidden="1">"Application:FINANCE|Application:FINANCE|Account:GOI|Category:ACTUAL_CON|Datasrc:TOTALADJ|Department:D_OTHER_CON|Intco:All_InterCo|Rptcurrency:LC|Time:2015.TOTAL|Measures:PERIODIC"</definedName>
    <definedName name="Ev__LimitedCV" localSheetId="38" hidden="1">"Application:FINANCE|Application:FINANCE|Account:GOI|Category:ACTUAL_CON|Datasrc:TOTALADJ|Department:D_TELCOM|Intco:All_InterCo|Rptcurrency:LC|Time:2015.TOTAL|Measures:PERIODIC"</definedName>
    <definedName name="Ev__LimitedCV" localSheetId="14" hidden="1">"Application:FINANCE|Application:FINANCE|Account:GOI|Category:ACTUAL_CON|Datasrc:TOTALADJ|Department:D_REST_OUTLET|Intco:All_InterCo|Rptcurrency:LC|Time:2015.TOTAL|Measures:PERIODIC"</definedName>
    <definedName name="Ev__LimitedCV" localSheetId="21" hidden="1">"Application:FINANCE|Application:FINANCE|Account:GOI|Category:ACTUAL_CON|Datasrc:TOTALADJ|Department:D_REST_OUTLET|Intco:All_InterCo|Rptcurrency:LC|Time:2015.TOTAL|Measures:PERIODIC"</definedName>
    <definedName name="Ev__LimitedCV" localSheetId="31" hidden="1">"Application:FINANCE|Application:FINANCE|Account:GOI|Category:ACTUAL_CON|Datasrc:TOTALADJ|Department:D_REST_OUTLET|Intco:All_InterCo|Rptcurrency:LC|Time:2015.TOTAL|Measures:PERIODIC"</definedName>
    <definedName name="Ev__LimitedCV" localSheetId="9" hidden="1">"Application:FINANCE|Application:FINANCE|Account:GOI|Category:ACTUAL_CON|Datasrc:TOTALADJ|Department:D_RESV_CON|Intco:All_InterCo|Rptcurrency:LC|Time:2015.TOTAL|Measures:PERIODIC"</definedName>
    <definedName name="Ev__LimitedCV" localSheetId="45" hidden="1">"Application:FINANCE|Application:FINANCE|Account:GOI|Category:ACTUAL_CON|Datasrc:TOTALADJ|Department:D1136|Intco:All_InterCo|Rptcurrency:LC|Time:2015.TOTAL|Measures:PERIODIC"</definedName>
    <definedName name="Ev__LimitedCV" localSheetId="5" hidden="1">"Application:FINANCE|Application:FINANCE|Account:GOI|Category:ACTUAL_CON|Datasrc:TOTALADJ|Department:D_ROOMS_CON|Intco:All_InterCo|Rptcurrency:LC|Time:2015.TOTAL|Measures:PERIODIC"</definedName>
    <definedName name="Ev__LimitedCV" localSheetId="6" hidden="1">"Application:FINANCE|Application:FINANCE|Account:GOI|Category:ACTUAL_CON|Datasrc:TOTALADJ|Department:D_ROOMS_CON|Intco:All_InterCo|Rptcurrency:LC|Time:2015.TOTAL|Measures:PERIODIC"</definedName>
    <definedName name="Ev__LimitedCV" localSheetId="1" hidden="1">"Application:FINANCE|Application:FINANCE|Account:GOI|Category:CURRENT|Datasrc:TOTALADJ|Department:D_CON|Intco:All_InterCo|Time:2015.TOTAL|Measures:PERIODIC"</definedName>
    <definedName name="Ev__LimitedCV" localSheetId="39" hidden="1">"Application:FINANCE|Application:FINANCE|Account:GOI|Category:ACTUAL_CON|Datasrc:TOTALADJ|Department:D_TELCOM|Intco:All_InterCo|Rptcurrency:LC|Time:2015.TOTAL|Measures:PERIODIC"</definedName>
    <definedName name="Ev__LimitedCV" localSheetId="29" hidden="1">"Application:FINANCE|Application:FINANCE|Account:GOI|Category:ACTUAL_CON|Datasrc:TOTALADJ|Department:D_REST_OUTLET|Intco:All_InterCo|Rptcurrency:LC|Time:2015.TOTAL|Measures:PERIODIC"</definedName>
    <definedName name="Ev__LimitedCV" localSheetId="15" hidden="1">"Application:FINANCE|Application:FINANCE|Account:GOI|Category:ACTUAL_CON|Datasrc:TOTALADJ|Department:D_REST_OUTLET|Intco:All_InterCo|Rptcurrency:LC|Time:2015.TOTAL|Measures:PERIODIC"</definedName>
    <definedName name="Ev__LimitedCV" localSheetId="46" hidden="1">"Application:FINANCE|Application:FINANCE|Account:GOI|Category:ACTUAL_CON|Datasrc:TOTALADJ|Department:D2149|Intco:All_InterCo|Rptcurrency:LC|Time:2015.TOTAL|Measures:PERIODIC"</definedName>
    <definedName name="Ev__LimitedCV" localSheetId="33" hidden="1">"Application:FINANCE|Application:FINANCE|Account:GOI|Category:ACTUAL_CON|Datasrc:TOTALADJ|Department:D_REST_OUTLET|Intco:All_InterCo|Rptcurrency:LC|Time:2015.TOTAL|Measures:PERIODIC"</definedName>
    <definedName name="Ev__LimitedCV" localSheetId="20" hidden="1">"Application:FINANCE|Application:FINANCE|Account:GOI|Category:ACTUAL_CON|Datasrc:TOTALADJ|Department:D_REST_OUTLET|Intco:All_InterCo|Rptcurrency:LC|Time:2015.TOTAL|Measures:PERIODIC"</definedName>
    <definedName name="Ev__LimitedCV" localSheetId="40" hidden="1">"Application:FINANCE|Application:FINANCE|Account:GOI|Category:ACTUAL_CON|Datasrc:TOTALADJ|Department:D1132|Intco:All_InterCo|Rptcurrency:LC|Time:2015.TOTAL|Measures:PERIODIC"</definedName>
    <definedName name="Ev__LimitedCV" localSheetId="2" hidden="1">"Application:FINANCE|Application:FINANCE|Account:GOI|Category:ACTUAL_CON|Datasrc:TOTALADJ|Department:D_CON|Intco:All_InterCo|Rptcurrency:LC|Time:2015.TOTAL|Measures:PERIODIC"</definedName>
    <definedName name="EV__LOCKEDCVW__DRP" hidden="1">"R900000,BU1334,BUD_PROOF,TOTALADJ,D_ALL,LC,2024.TOTAL,Periodic"</definedName>
    <definedName name="EV__LOCKEDCVW__Finance" hidden="1">"BalanceSheet,BU1334,CURRENT,TOTALADJ,D50,All_InterCo,LC,2019.JAN,Periodic"</definedName>
    <definedName name="EV__LOCKEDCVW__FinanceDetail" hidden="1">"739010,BU1334,BUD_PROOF,TOTALADJ,D2179,All_InterCo,L_ALL,LC,2024.TOTAL,Periodic"</definedName>
    <definedName name="EV__LOCKEDCVW__HCM" hidden="1">"H_METRICS,BU1334,BUD_PROOF,TOTALADJ,D_ALL,P0_NONE,LC,2024.TOTAL,Periodic"</definedName>
    <definedName name="EV__LOCKSTATUS__" hidden="1">4</definedName>
    <definedName name="EV__MAXEXPCOLS__" hidden="1">100</definedName>
    <definedName name="EV__MAXEXPROWS__" hidden="1">1000</definedName>
    <definedName name="EV__MEMORYCVW__" hidden="1">1</definedName>
    <definedName name="EV__MEMORYCVW__INFO" hidden="1">"FINANCE"</definedName>
    <definedName name="EV__WBEVMODE__" hidden="1">0</definedName>
    <definedName name="EV__WBREFOPTIONS__" hidden="1">134217728</definedName>
    <definedName name="EV__WBVERSION__" hidden="1">0</definedName>
    <definedName name="MEWarning" hidden="1">1</definedName>
    <definedName name="_xlnm.Print_Area" localSheetId="72">'_dv5TzhKgEmBJy1iLpRPIA=='!$N$25:$AI$64</definedName>
    <definedName name="_xlnm.Print_Area" localSheetId="23">'+J++T8iebEmQRHQBQbskvQ=='!$N$25:$AI$141</definedName>
    <definedName name="_xlnm.Print_Area" localSheetId="65">'0_snXtuSTUWNI3_4pUbkrg=='!$N$25:$AI$38</definedName>
    <definedName name="_xlnm.Print_Area" localSheetId="53">'0rjpnXheOkGjC+P_AmqM7g=='!$N$25:$AI$45</definedName>
    <definedName name="_xlnm.Print_Area" localSheetId="17">'3uEOQqnLz0WEj01WLZePMA=='!$N$25:$AI$141</definedName>
    <definedName name="_xlnm.Print_Area" localSheetId="11">'4YPTAMm3BE6g8OgC2E+oJA=='!$N$25:$AI$171</definedName>
    <definedName name="_xlnm.Print_Area" localSheetId="32">'5zTse0v7KE2TMiuCP61ndA=='!$N$25:$AI$56</definedName>
    <definedName name="_xlnm.Print_Area" localSheetId="52">'6YAooQ2zG06RabxmXZbjzw=='!$N$25:$AI$72</definedName>
    <definedName name="_xlnm.Print_Area" localSheetId="67">'76TTIBOJA02jD3Q18eFxMg=='!$N$25:$AI$68</definedName>
    <definedName name="_xlnm.Print_Area" localSheetId="10">'80rXvpVVqE+kLTBSLKMPEg=='!$N$25:$AI$121</definedName>
    <definedName name="_xlnm.Print_Area" localSheetId="27">'989jUuxYzkG810mRnBoPtA=='!$N$25:$AI$141</definedName>
    <definedName name="_xlnm.Print_Area" localSheetId="34">'AP2y9kEZIUOS3024oUkDZw=='!$N$25:$AI$68</definedName>
    <definedName name="_xlnm.Print_Area" localSheetId="48">'bTP3cAHQYUa5ZlhJSIC+vA=='!$N$25:$AI$98</definedName>
    <definedName name="_xlnm.Print_Area" localSheetId="64">'CKkrCwTeO02egxjzlWr7fQ=='!$N$25:$AI$74</definedName>
    <definedName name="_xlnm.Print_Area" localSheetId="62">'CpDBdyUtEkKzRudEFXKMDQ=='!$N$25:$AI$65</definedName>
    <definedName name="_xlnm.Print_Area" localSheetId="24">'DghisZAX30yMVMeLB6kHyw=='!$N$25:$AI$100</definedName>
    <definedName name="_xlnm.Print_Area" localSheetId="42">'DGkF+9z2e0muE_Q9pwVEjw=='!$N$25:$AI$60</definedName>
    <definedName name="_xlnm.Print_Area" localSheetId="71">Dining!$N$25:$AI$59</definedName>
    <definedName name="_xlnm.Print_Area" localSheetId="66">'EETjXJIQQkWtPchdwHUfew=='!$N$25:$AI$36</definedName>
    <definedName name="_xlnm.Print_Area" localSheetId="47">FB_Retail!$N$25:$AI$72</definedName>
    <definedName name="_xlnm.Print_Area" localSheetId="28">'fORCvcCubkmtj1mwfGkniA=='!$A$1:$AI$105</definedName>
    <definedName name="_xlnm.Print_Area" localSheetId="8">'FWlM+MMqVEi3q2BtJrMqZQ=='!$N$25:$AI$74</definedName>
    <definedName name="_xlnm.Print_Area" localSheetId="16">'gfsa23AWLUasHo3IHBY55w=='!$N$25:$AI$88</definedName>
    <definedName name="_xlnm.Print_Area" localSheetId="26">'gnh1benLx0+b2_noJWpVbQ=='!$N$25:$AI$79</definedName>
    <definedName name="_xlnm.Print_Area" localSheetId="63">'gXklmCuLAUCPV4A0vc5XsQ=='!$N$25:$AI$76</definedName>
    <definedName name="_xlnm.Print_Area" localSheetId="3">'H7ex38sMH0C2Ea9J_Fj9lA=='!$N$25:$AI$98</definedName>
    <definedName name="_xlnm.Print_Area" localSheetId="41">HC_SPA!$N$25:$AI$67</definedName>
    <definedName name="_xlnm.Print_Area" localSheetId="56">HR_Detail!$N$25:$AI$45</definedName>
    <definedName name="_xlnm.Print_Area" localSheetId="55">IT!$N$25:$AI$65</definedName>
    <definedName name="_xlnm.Print_Area" localSheetId="44">'KGGppncgtkaFGfG+Mo1_AA=='!$N$25:$AI$74</definedName>
    <definedName name="_xlnm.Print_Area" localSheetId="25">'KNXDeWIpjUqDbbeYeMIiRA=='!$N$25:$AI$141</definedName>
    <definedName name="_xlnm.Print_Area" localSheetId="69">Laundry!$N$25:$AI$60</definedName>
    <definedName name="_xlnm.Print_Area" localSheetId="30">'LHcHZTh0fk2qIKbepKmmRg=='!$N$25:$AI$57</definedName>
    <definedName name="_xlnm.Print_Area" localSheetId="22">'lt2I6MkWykSAZkA76q6tqg=='!$N$25:$AI$88</definedName>
    <definedName name="_xlnm.Print_Area" localSheetId="50">'lTY+EZuh50eBlRDOZLKuqA=='!$N$25:$AI$52</definedName>
    <definedName name="_xlnm.Print_Area" localSheetId="18">'lZswHSX9z0WodCFYZPsU_g=='!$N$25:$AI$88</definedName>
    <definedName name="_xlnm.Print_Area" localSheetId="49">Minor_Op!$N$25:$AI$98</definedName>
    <definedName name="_xlnm.Print_Area" localSheetId="51">MISC_INC!$N$25:$AI$52</definedName>
    <definedName name="_xlnm.Print_Area" localSheetId="7">MMA!$N$25:$AI$152</definedName>
    <definedName name="_xlnm.Print_Area" localSheetId="12">'n_dm_sBWZE6psB0vosAz1Q=='!$N$25:$AI$122</definedName>
    <definedName name="_xlnm.Print_Area" localSheetId="13">'nkm7+A1rAEaSlqjY3NA14g=='!$N$25:$AI$141</definedName>
    <definedName name="_xlnm.Print_Area" localSheetId="37">OTH_OP!$M$25:$AH$60</definedName>
    <definedName name="_xlnm.Print_Area" localSheetId="43">Parking!$N$25:$AI$60</definedName>
    <definedName name="_xlnm.Print_Area" localSheetId="73">PR_Related!$N$25:$AI$64</definedName>
    <definedName name="_xlnm.Print_Area" localSheetId="19">'pXdfkLBBDUmKpB6ic+Lqsg=='!$N$25:$AI$141</definedName>
    <definedName name="_xlnm.Print_Area" localSheetId="70">'q+7yCdhj2kaVIAcvsZXZtg=='!$N$25:$AI$59</definedName>
    <definedName name="_xlnm.Print_Area" localSheetId="68">'qZ8LUr1h8kGMwIzchI163A=='!$N$25:$AI$60</definedName>
    <definedName name="_xlnm.Print_Area" localSheetId="35">'R+EwkMTdu06NARpgDrBzuQ=='!$M$25:$AH$60</definedName>
    <definedName name="_xlnm.Print_Area" localSheetId="38">'R7CUAR0T6UGxhXEjNHO+8Q=='!$N$25:$AI$64</definedName>
    <definedName name="_xlnm.Print_Area" localSheetId="14">'R893yzqfMUOrUK6CHRYw9A=='!$N$25:$AI$97</definedName>
    <definedName name="_xlnm.Print_Area" localSheetId="21">'rcb_K41VPEiD78AKGwdnMQ=='!$N$25:$AI$141</definedName>
    <definedName name="_xlnm.Print_Area" localSheetId="31">'reBJVPj5TUCcqCAMw2lgkg=='!$N$25:$AI$117</definedName>
    <definedName name="_xlnm.Print_Area" localSheetId="9">Resv!$N$25:$AI$74</definedName>
    <definedName name="_xlnm.Print_Area" localSheetId="45">Retail!$N$25:$AI$74</definedName>
    <definedName name="_xlnm.Print_Area" localSheetId="5">Rooms!$N$25:$AI$98</definedName>
    <definedName name="_xlnm.Print_Area" localSheetId="6">'s4RryB0aVEmArvsx5IO4vg=='!$N$25:$AI$152</definedName>
    <definedName name="_xlnm.Print_Area" localSheetId="39">Telcom_Legacy!$N$25:$AI$64</definedName>
    <definedName name="_xlnm.Print_Area" localSheetId="29">'U7EqG2Be1EmA9Mmab95Ymg=='!$N$25:$AI$137</definedName>
    <definedName name="_xlnm.Print_Area" localSheetId="15">'uGc7eZ8wXky3IzrH91nTFQ=='!$N$25:$AI$141</definedName>
    <definedName name="_xlnm.Print_Area" localSheetId="46">'uO8gmYSHLkCps67oY9Oh7g=='!$N$25:$AI$72</definedName>
    <definedName name="_xlnm.Print_Area" localSheetId="33">'ux3QkSX6v0y5Funa6amBfA=='!$N$25:$AI$114</definedName>
    <definedName name="_xlnm.Print_Area" localSheetId="20">'wwcXak0520qpT4K9TgcLVA=='!$N$25:$AI$88</definedName>
    <definedName name="_xlnm.Print_Area" localSheetId="40">'YahapHnPmUqjw_d31NPOWw=='!$N$25:$AI$67</definedName>
    <definedName name="_xlnm.Print_Area" localSheetId="2">'YohATNUe5UGPqdNsFUsWuw=='!$M$25:$AH$113</definedName>
    <definedName name="_xlnm.Print_Titles" localSheetId="72">'_dv5TzhKgEmBJy1iLpRPIA=='!$25:$32</definedName>
    <definedName name="_xlnm.Print_Titles" localSheetId="23">'+J++T8iebEmQRHQBQbskvQ=='!$25:$32</definedName>
    <definedName name="_xlnm.Print_Titles" localSheetId="65">'0_snXtuSTUWNI3_4pUbkrg=='!$25:$32</definedName>
    <definedName name="_xlnm.Print_Titles" localSheetId="53">'0rjpnXheOkGjC+P_AmqM7g=='!$25:$32</definedName>
    <definedName name="_xlnm.Print_Titles" localSheetId="17">'3uEOQqnLz0WEj01WLZePMA=='!$25:$32</definedName>
    <definedName name="_xlnm.Print_Titles" localSheetId="11">'4YPTAMm3BE6g8OgC2E+oJA=='!$25:$32</definedName>
    <definedName name="_xlnm.Print_Titles" localSheetId="32">'5zTse0v7KE2TMiuCP61ndA=='!$25:$32</definedName>
    <definedName name="_xlnm.Print_Titles" localSheetId="52">'6YAooQ2zG06RabxmXZbjzw=='!$25:$32</definedName>
    <definedName name="_xlnm.Print_Titles" localSheetId="67">'76TTIBOJA02jD3Q18eFxMg=='!$25:$32</definedName>
    <definedName name="_xlnm.Print_Titles" localSheetId="10">'80rXvpVVqE+kLTBSLKMPEg=='!$25:$32</definedName>
    <definedName name="_xlnm.Print_Titles" localSheetId="27">'989jUuxYzkG810mRnBoPtA=='!$25:$32</definedName>
    <definedName name="_xlnm.Print_Titles" localSheetId="34">'AP2y9kEZIUOS3024oUkDZw=='!$25:$32</definedName>
    <definedName name="_xlnm.Print_Titles" localSheetId="48">'bTP3cAHQYUa5ZlhJSIC+vA=='!$25:$32</definedName>
    <definedName name="_xlnm.Print_Titles" localSheetId="64">'CKkrCwTeO02egxjzlWr7fQ=='!$25:$32</definedName>
    <definedName name="_xlnm.Print_Titles" localSheetId="62">'CpDBdyUtEkKzRudEFXKMDQ=='!$25:$32</definedName>
    <definedName name="_xlnm.Print_Titles" localSheetId="24">'DghisZAX30yMVMeLB6kHyw=='!$25:$32</definedName>
    <definedName name="_xlnm.Print_Titles" localSheetId="42">'DGkF+9z2e0muE_Q9pwVEjw=='!$25:$32</definedName>
    <definedName name="_xlnm.Print_Titles" localSheetId="71">Dining!$25:$32</definedName>
    <definedName name="_xlnm.Print_Titles" localSheetId="66">'EETjXJIQQkWtPchdwHUfew=='!$25:$32</definedName>
    <definedName name="_xlnm.Print_Titles" localSheetId="47">FB_Retail!$25:$32</definedName>
    <definedName name="_xlnm.Print_Titles" localSheetId="8">'FWlM+MMqVEi3q2BtJrMqZQ=='!$25:$32</definedName>
    <definedName name="_xlnm.Print_Titles" localSheetId="16">'gfsa23AWLUasHo3IHBY55w=='!$25:$32</definedName>
    <definedName name="_xlnm.Print_Titles" localSheetId="26">'gnh1benLx0+b2_noJWpVbQ=='!$25:$32</definedName>
    <definedName name="_xlnm.Print_Titles" localSheetId="63">'gXklmCuLAUCPV4A0vc5XsQ=='!$25:$32</definedName>
    <definedName name="_xlnm.Print_Titles" localSheetId="3">'H7ex38sMH0C2Ea9J_Fj9lA=='!$25:$32</definedName>
    <definedName name="_xlnm.Print_Titles" localSheetId="41">HC_SPA!$25:$32</definedName>
    <definedName name="_xlnm.Print_Titles" localSheetId="56">HR_Detail!$25:$32</definedName>
    <definedName name="_xlnm.Print_Titles" localSheetId="55">IT!$25:$32</definedName>
    <definedName name="_xlnm.Print_Titles" localSheetId="44">'KGGppncgtkaFGfG+Mo1_AA=='!$25:$32</definedName>
    <definedName name="_xlnm.Print_Titles" localSheetId="25">'KNXDeWIpjUqDbbeYeMIiRA=='!$25:$32</definedName>
    <definedName name="_xlnm.Print_Titles" localSheetId="69">Laundry!$25:$32</definedName>
    <definedName name="_xlnm.Print_Titles" localSheetId="30">'LHcHZTh0fk2qIKbepKmmRg=='!$25:$32</definedName>
    <definedName name="_xlnm.Print_Titles" localSheetId="22">'lt2I6MkWykSAZkA76q6tqg=='!$25:$32</definedName>
    <definedName name="_xlnm.Print_Titles" localSheetId="50">'lTY+EZuh50eBlRDOZLKuqA=='!$25:$32</definedName>
    <definedName name="_xlnm.Print_Titles" localSheetId="18">'lZswHSX9z0WodCFYZPsU_g=='!$25:$32</definedName>
    <definedName name="_xlnm.Print_Titles" localSheetId="49">Minor_Op!$25:$32</definedName>
    <definedName name="_xlnm.Print_Titles" localSheetId="51">MISC_INC!$25:$32</definedName>
    <definedName name="_xlnm.Print_Titles" localSheetId="7">MMA!$25:$32</definedName>
    <definedName name="_xlnm.Print_Titles" localSheetId="12">'n_dm_sBWZE6psB0vosAz1Q=='!$25:$32</definedName>
    <definedName name="_xlnm.Print_Titles" localSheetId="13">'nkm7+A1rAEaSlqjY3NA14g=='!$25:$32</definedName>
    <definedName name="_xlnm.Print_Titles" localSheetId="37">OTH_OP!$25:$32</definedName>
    <definedName name="_xlnm.Print_Titles" localSheetId="43">Parking!$25:$32</definedName>
    <definedName name="_xlnm.Print_Titles" localSheetId="73">PR_Related!$25:$32</definedName>
    <definedName name="_xlnm.Print_Titles" localSheetId="19">'pXdfkLBBDUmKpB6ic+Lqsg=='!$25:$32</definedName>
    <definedName name="_xlnm.Print_Titles" localSheetId="70">'q+7yCdhj2kaVIAcvsZXZtg=='!$25:$32</definedName>
    <definedName name="_xlnm.Print_Titles" localSheetId="68">'qZ8LUr1h8kGMwIzchI163A=='!$25:$32</definedName>
    <definedName name="_xlnm.Print_Titles" localSheetId="35">'R+EwkMTdu06NARpgDrBzuQ=='!$25:$32</definedName>
    <definedName name="_xlnm.Print_Titles" localSheetId="38">'R7CUAR0T6UGxhXEjNHO+8Q=='!$25:$32</definedName>
    <definedName name="_xlnm.Print_Titles" localSheetId="14">'R893yzqfMUOrUK6CHRYw9A=='!$25:$32</definedName>
    <definedName name="_xlnm.Print_Titles" localSheetId="21">'rcb_K41VPEiD78AKGwdnMQ=='!$25:$32</definedName>
    <definedName name="_xlnm.Print_Titles" localSheetId="31">'reBJVPj5TUCcqCAMw2lgkg=='!$25:$32</definedName>
    <definedName name="_xlnm.Print_Titles" localSheetId="9">Resv!$25:$32</definedName>
    <definedName name="_xlnm.Print_Titles" localSheetId="45">Retail!$25:$32</definedName>
    <definedName name="_xlnm.Print_Titles" localSheetId="5">Rooms!$25:$32</definedName>
    <definedName name="_xlnm.Print_Titles" localSheetId="6">'s4RryB0aVEmArvsx5IO4vg=='!$25:$32</definedName>
    <definedName name="_xlnm.Print_Titles" localSheetId="39">Telcom_Legacy!$25:$32</definedName>
    <definedName name="_xlnm.Print_Titles" localSheetId="29">'U7EqG2Be1EmA9Mmab95Ymg=='!$25:$32</definedName>
    <definedName name="_xlnm.Print_Titles" localSheetId="15">'uGc7eZ8wXky3IzrH91nTFQ=='!$25:$32</definedName>
    <definedName name="_xlnm.Print_Titles" localSheetId="46">'uO8gmYSHLkCps67oY9Oh7g=='!$25:$32</definedName>
    <definedName name="_xlnm.Print_Titles" localSheetId="33">'ux3QkSX6v0y5Funa6amBfA=='!$25:$32</definedName>
    <definedName name="_xlnm.Print_Titles" localSheetId="20">'wwcXak0520qpT4K9TgcLVA=='!$25:$32</definedName>
    <definedName name="_xlnm.Print_Titles" localSheetId="40">'YahapHnPmUqjw_d31NPOWw=='!$25:$32</definedName>
    <definedName name="_xlnm.Print_Titles" localSheetId="2">'YohATNUe5UGPqdNsFUsWuw=='!$25:$32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67" i="119" l="1"/>
  <c r="AD67" i="119"/>
  <c r="N67" i="119"/>
  <c r="O67" i="119"/>
  <c r="P67" i="119"/>
  <c r="Q67" i="119"/>
  <c r="R67" i="119"/>
  <c r="S67" i="119"/>
  <c r="T67" i="119"/>
  <c r="U67" i="119"/>
  <c r="V67" i="119"/>
  <c r="W67" i="119"/>
  <c r="X67" i="119"/>
  <c r="Y67" i="119"/>
  <c r="Z67" i="119"/>
  <c r="AH64" i="119"/>
  <c r="AK64" i="119"/>
  <c r="AL64" i="119"/>
  <c r="AH65" i="119"/>
  <c r="AK65" i="119"/>
  <c r="AL65" i="119"/>
  <c r="AE64" i="119"/>
  <c r="AE65" i="119"/>
  <c r="AA64" i="119"/>
  <c r="AA65" i="119"/>
  <c r="AI65" i="119" s="1"/>
  <c r="AH53" i="119"/>
  <c r="AI53" i="119"/>
  <c r="AK53" i="119"/>
  <c r="AL53" i="119"/>
  <c r="AH54" i="119"/>
  <c r="AJ54" i="119"/>
  <c r="AK54" i="119"/>
  <c r="AL54" i="119"/>
  <c r="AH55" i="119"/>
  <c r="AK55" i="119"/>
  <c r="AL55" i="119"/>
  <c r="AH56" i="119"/>
  <c r="AK56" i="119"/>
  <c r="AL56" i="119"/>
  <c r="AH57" i="119"/>
  <c r="AK57" i="119"/>
  <c r="AL57" i="119"/>
  <c r="AM57" i="119"/>
  <c r="AH58" i="119"/>
  <c r="AK58" i="119"/>
  <c r="AL58" i="119"/>
  <c r="AH59" i="119"/>
  <c r="AK59" i="119"/>
  <c r="AL59" i="119"/>
  <c r="AH60" i="119"/>
  <c r="AK60" i="119"/>
  <c r="AL60" i="119"/>
  <c r="AH61" i="119"/>
  <c r="AK61" i="119"/>
  <c r="AL61" i="119"/>
  <c r="AH62" i="119"/>
  <c r="AK62" i="119"/>
  <c r="AL62" i="119"/>
  <c r="AE53" i="119"/>
  <c r="AE54" i="119"/>
  <c r="AE55" i="119"/>
  <c r="AE56" i="119"/>
  <c r="AE57" i="119"/>
  <c r="AE58" i="119"/>
  <c r="AE59" i="119"/>
  <c r="AE60" i="119"/>
  <c r="AE61" i="119"/>
  <c r="AE62" i="119"/>
  <c r="AA53" i="119"/>
  <c r="AA54" i="119"/>
  <c r="AB54" i="119" s="1"/>
  <c r="AA55" i="119"/>
  <c r="AF55" i="119" s="1"/>
  <c r="AA56" i="119"/>
  <c r="AF56" i="119" s="1"/>
  <c r="AB56" i="119"/>
  <c r="AA57" i="119"/>
  <c r="AB57" i="119" s="1"/>
  <c r="AN57" i="119" s="1"/>
  <c r="AA58" i="119"/>
  <c r="AI58" i="119" s="1"/>
  <c r="AA59" i="119"/>
  <c r="AI59" i="119" s="1"/>
  <c r="AA60" i="119"/>
  <c r="AI60" i="119" s="1"/>
  <c r="AB60" i="119"/>
  <c r="AA61" i="119"/>
  <c r="AA62" i="119"/>
  <c r="K53" i="119"/>
  <c r="K54" i="119"/>
  <c r="K55" i="119"/>
  <c r="K56" i="119"/>
  <c r="K57" i="119"/>
  <c r="K58" i="119"/>
  <c r="K59" i="119"/>
  <c r="K60" i="119"/>
  <c r="K61" i="119"/>
  <c r="K62" i="119"/>
  <c r="AH44" i="119"/>
  <c r="AK44" i="119"/>
  <c r="AL44" i="119"/>
  <c r="AH45" i="119"/>
  <c r="AK45" i="119"/>
  <c r="AL45" i="119"/>
  <c r="AH46" i="119"/>
  <c r="AK46" i="119"/>
  <c r="AL46" i="119"/>
  <c r="AH47" i="119"/>
  <c r="AI47" i="119"/>
  <c r="AK47" i="119"/>
  <c r="AL47" i="119"/>
  <c r="AH48" i="119"/>
  <c r="AK48" i="119"/>
  <c r="AL48" i="119"/>
  <c r="AH49" i="119"/>
  <c r="AK49" i="119"/>
  <c r="AL49" i="119"/>
  <c r="AH50" i="119"/>
  <c r="AK50" i="119"/>
  <c r="AL50" i="119"/>
  <c r="AE44" i="119"/>
  <c r="AE45" i="119"/>
  <c r="AE46" i="119"/>
  <c r="AE47" i="119"/>
  <c r="AF47" i="119"/>
  <c r="AE48" i="119"/>
  <c r="AF48" i="119"/>
  <c r="AE49" i="119"/>
  <c r="AE50" i="119"/>
  <c r="AA44" i="119"/>
  <c r="AA45" i="119"/>
  <c r="AJ45" i="119" s="1"/>
  <c r="AA46" i="119"/>
  <c r="AB46" i="119" s="1"/>
  <c r="AA47" i="119"/>
  <c r="AA48" i="119"/>
  <c r="AI48" i="119" s="1"/>
  <c r="AA49" i="119"/>
  <c r="AA50" i="119"/>
  <c r="K44" i="119"/>
  <c r="K45" i="119"/>
  <c r="K46" i="119"/>
  <c r="K47" i="119"/>
  <c r="K48" i="119"/>
  <c r="K49" i="119"/>
  <c r="K50" i="119"/>
  <c r="AH35" i="119"/>
  <c r="AK35" i="119"/>
  <c r="AL35" i="119"/>
  <c r="AH36" i="119"/>
  <c r="AK36" i="119"/>
  <c r="AL36" i="119"/>
  <c r="AH37" i="119"/>
  <c r="AK37" i="119"/>
  <c r="AL37" i="119"/>
  <c r="AH38" i="119"/>
  <c r="AK38" i="119"/>
  <c r="AL38" i="119"/>
  <c r="AH39" i="119"/>
  <c r="AK39" i="119"/>
  <c r="AL39" i="119"/>
  <c r="AH40" i="119"/>
  <c r="AK40" i="119"/>
  <c r="AL40" i="119"/>
  <c r="AH41" i="119"/>
  <c r="AK41" i="119"/>
  <c r="AL41" i="119"/>
  <c r="AE35" i="119"/>
  <c r="AE36" i="119"/>
  <c r="AF36" i="119"/>
  <c r="AE37" i="119"/>
  <c r="AE38" i="119"/>
  <c r="AE39" i="119"/>
  <c r="AF39" i="119"/>
  <c r="AE40" i="119"/>
  <c r="AE41" i="119"/>
  <c r="AA35" i="119"/>
  <c r="AA36" i="119"/>
  <c r="AI36" i="119" s="1"/>
  <c r="AB36" i="119"/>
  <c r="AA37" i="119"/>
  <c r="AA38" i="119"/>
  <c r="AA39" i="119"/>
  <c r="AA40" i="119"/>
  <c r="AI40" i="119" s="1"/>
  <c r="AB40" i="119"/>
  <c r="AA41" i="119"/>
  <c r="K35" i="119"/>
  <c r="K36" i="119"/>
  <c r="K37" i="119"/>
  <c r="K38" i="119"/>
  <c r="K39" i="119"/>
  <c r="K40" i="119"/>
  <c r="K41" i="119"/>
  <c r="AJ32" i="119"/>
  <c r="AK32" i="119"/>
  <c r="AL32" i="119"/>
  <c r="AM31" i="119"/>
  <c r="AN31" i="119"/>
  <c r="AA31" i="119"/>
  <c r="AG17" i="119"/>
  <c r="AG18" i="119" s="1"/>
  <c r="AD16" i="119"/>
  <c r="AD17" i="119"/>
  <c r="AD18" i="119" s="1"/>
  <c r="AA19" i="119"/>
  <c r="AA20" i="119"/>
  <c r="Z16" i="119"/>
  <c r="AA16" i="119"/>
  <c r="M11" i="119"/>
  <c r="B10" i="119"/>
  <c r="B9" i="119"/>
  <c r="B4" i="119"/>
  <c r="AA62" i="118"/>
  <c r="AD57" i="118"/>
  <c r="AK57" i="118" s="1"/>
  <c r="AE57" i="118"/>
  <c r="AG57" i="118"/>
  <c r="AH57" i="118" s="1"/>
  <c r="AL57" i="118"/>
  <c r="O57" i="118"/>
  <c r="P57" i="118"/>
  <c r="Q57" i="118"/>
  <c r="R57" i="118"/>
  <c r="S57" i="118"/>
  <c r="T57" i="118"/>
  <c r="U57" i="118"/>
  <c r="V57" i="118"/>
  <c r="W57" i="118"/>
  <c r="X57" i="118"/>
  <c r="Y57" i="118"/>
  <c r="Z57" i="118"/>
  <c r="AH55" i="118"/>
  <c r="AK55" i="118"/>
  <c r="AL55" i="118"/>
  <c r="AH56" i="118"/>
  <c r="AK56" i="118"/>
  <c r="AL56" i="118"/>
  <c r="AE55" i="118"/>
  <c r="AE56" i="118"/>
  <c r="AF56" i="118"/>
  <c r="AA55" i="118"/>
  <c r="AB55" i="118" s="1"/>
  <c r="AM55" i="118" s="1"/>
  <c r="AA56" i="118"/>
  <c r="AI56" i="118" s="1"/>
  <c r="AB56" i="118"/>
  <c r="V52" i="118"/>
  <c r="V59" i="118" s="1"/>
  <c r="AE50" i="118"/>
  <c r="AH50" i="118"/>
  <c r="AK50" i="118"/>
  <c r="AL50" i="118"/>
  <c r="K50" i="118"/>
  <c r="AA50" i="118"/>
  <c r="Q48" i="118"/>
  <c r="Q52" i="118" s="1"/>
  <c r="Q59" i="118" s="1"/>
  <c r="W48" i="118"/>
  <c r="W52" i="118" s="1"/>
  <c r="W59" i="118" s="1"/>
  <c r="Y48" i="118"/>
  <c r="Y52" i="118" s="1"/>
  <c r="Y59" i="118" s="1"/>
  <c r="AD46" i="118"/>
  <c r="AD48" i="118" s="1"/>
  <c r="AE46" i="118"/>
  <c r="AG46" i="118"/>
  <c r="AL46" i="118" s="1"/>
  <c r="AK46" i="118"/>
  <c r="O46" i="118"/>
  <c r="O48" i="118" s="1"/>
  <c r="P46" i="118"/>
  <c r="Q46" i="118"/>
  <c r="R46" i="118"/>
  <c r="R48" i="118" s="1"/>
  <c r="R52" i="118" s="1"/>
  <c r="R59" i="118" s="1"/>
  <c r="S46" i="118"/>
  <c r="S48" i="118" s="1"/>
  <c r="S52" i="118" s="1"/>
  <c r="S59" i="118" s="1"/>
  <c r="T46" i="118"/>
  <c r="T48" i="118" s="1"/>
  <c r="T52" i="118" s="1"/>
  <c r="T59" i="118" s="1"/>
  <c r="U46" i="118"/>
  <c r="U48" i="118" s="1"/>
  <c r="U52" i="118" s="1"/>
  <c r="V46" i="118"/>
  <c r="V48" i="118" s="1"/>
  <c r="W46" i="118"/>
  <c r="X46" i="118"/>
  <c r="X48" i="118" s="1"/>
  <c r="X52" i="118" s="1"/>
  <c r="X59" i="118" s="1"/>
  <c r="Y46" i="118"/>
  <c r="Z46" i="118"/>
  <c r="Z48" i="118" s="1"/>
  <c r="Z52" i="118" s="1"/>
  <c r="AH44" i="118"/>
  <c r="AI44" i="118"/>
  <c r="AK44" i="118"/>
  <c r="AL44" i="118"/>
  <c r="AH45" i="118"/>
  <c r="AK45" i="118"/>
  <c r="AL45" i="118"/>
  <c r="AE44" i="118"/>
  <c r="AE45" i="118"/>
  <c r="AA44" i="118"/>
  <c r="AF44" i="118" s="1"/>
  <c r="AA45" i="118"/>
  <c r="AB45" i="118" s="1"/>
  <c r="K44" i="118"/>
  <c r="K45" i="118"/>
  <c r="AH38" i="118"/>
  <c r="AK38" i="118"/>
  <c r="AL38" i="118"/>
  <c r="AH39" i="118"/>
  <c r="AK39" i="118"/>
  <c r="AL39" i="118"/>
  <c r="AH40" i="118"/>
  <c r="AK40" i="118"/>
  <c r="AL40" i="118"/>
  <c r="AH41" i="118"/>
  <c r="AI41" i="118"/>
  <c r="AK41" i="118"/>
  <c r="AL41" i="118"/>
  <c r="AE38" i="118"/>
  <c r="AE39" i="118"/>
  <c r="AE40" i="118"/>
  <c r="AE41" i="118"/>
  <c r="AA38" i="118"/>
  <c r="AF38" i="118" s="1"/>
  <c r="AA39" i="118"/>
  <c r="AF39" i="118" s="1"/>
  <c r="AA40" i="118"/>
  <c r="AA41" i="118"/>
  <c r="AB41" i="118"/>
  <c r="K38" i="118"/>
  <c r="K39" i="118"/>
  <c r="K40" i="118"/>
  <c r="K41" i="118"/>
  <c r="AH34" i="118"/>
  <c r="AK34" i="118"/>
  <c r="AL34" i="118"/>
  <c r="AH35" i="118"/>
  <c r="AK35" i="118"/>
  <c r="AL35" i="118"/>
  <c r="AE34" i="118"/>
  <c r="AE35" i="118"/>
  <c r="AA34" i="118"/>
  <c r="AA35" i="118"/>
  <c r="AB35" i="118" s="1"/>
  <c r="K34" i="118"/>
  <c r="K35" i="118"/>
  <c r="AJ32" i="118"/>
  <c r="AK32" i="118"/>
  <c r="AL32" i="118"/>
  <c r="AM31" i="118"/>
  <c r="AN31" i="118"/>
  <c r="AA31" i="118"/>
  <c r="AG17" i="118"/>
  <c r="AG18" i="118" s="1"/>
  <c r="AD16" i="118"/>
  <c r="AD17" i="118"/>
  <c r="AD18" i="118" s="1"/>
  <c r="AA19" i="118"/>
  <c r="AA20" i="118"/>
  <c r="AJ56" i="118" s="1"/>
  <c r="Z16" i="118"/>
  <c r="AA16" i="118"/>
  <c r="M11" i="118"/>
  <c r="B10" i="118"/>
  <c r="B9" i="118"/>
  <c r="B4" i="118"/>
  <c r="AA63" i="117"/>
  <c r="AD58" i="117"/>
  <c r="AK58" i="117" s="1"/>
  <c r="AG58" i="117"/>
  <c r="O58" i="117"/>
  <c r="P58" i="117"/>
  <c r="Q58" i="117"/>
  <c r="R58" i="117"/>
  <c r="S58" i="117"/>
  <c r="T58" i="117"/>
  <c r="U58" i="117"/>
  <c r="V58" i="117"/>
  <c r="W58" i="117"/>
  <c r="X58" i="117"/>
  <c r="Y58" i="117"/>
  <c r="Z58" i="117"/>
  <c r="AH56" i="117"/>
  <c r="AK56" i="117"/>
  <c r="AL56" i="117"/>
  <c r="AH57" i="117"/>
  <c r="AI57" i="117"/>
  <c r="AK57" i="117"/>
  <c r="AL57" i="117"/>
  <c r="AE56" i="117"/>
  <c r="AE57" i="117"/>
  <c r="AA56" i="117"/>
  <c r="AA57" i="117"/>
  <c r="AD51" i="117"/>
  <c r="AK51" i="117" s="1"/>
  <c r="AG51" i="117"/>
  <c r="O51" i="117"/>
  <c r="P51" i="117"/>
  <c r="Q51" i="117"/>
  <c r="R51" i="117"/>
  <c r="S51" i="117"/>
  <c r="T51" i="117"/>
  <c r="U51" i="117"/>
  <c r="V51" i="117"/>
  <c r="W51" i="117"/>
  <c r="X51" i="117"/>
  <c r="Y51" i="117"/>
  <c r="Z51" i="117"/>
  <c r="AH49" i="117"/>
  <c r="AK49" i="117"/>
  <c r="AL49" i="117"/>
  <c r="AH50" i="117"/>
  <c r="AI50" i="117"/>
  <c r="AK50" i="117"/>
  <c r="AL50" i="117"/>
  <c r="AE49" i="117"/>
  <c r="AE50" i="117"/>
  <c r="AA49" i="117"/>
  <c r="AA50" i="117"/>
  <c r="AB50" i="117" s="1"/>
  <c r="AM50" i="117" s="1"/>
  <c r="K49" i="117"/>
  <c r="AG46" i="117"/>
  <c r="O46" i="117"/>
  <c r="W46" i="117"/>
  <c r="X46" i="117"/>
  <c r="X53" i="117" s="1"/>
  <c r="X60" i="117" s="1"/>
  <c r="Z46" i="117"/>
  <c r="Z53" i="117" s="1"/>
  <c r="Z60" i="117" s="1"/>
  <c r="AD44" i="117"/>
  <c r="AD46" i="117" s="1"/>
  <c r="AG44" i="117"/>
  <c r="AH44" i="117" s="1"/>
  <c r="O44" i="117"/>
  <c r="P44" i="117"/>
  <c r="P46" i="117" s="1"/>
  <c r="P53" i="117" s="1"/>
  <c r="P60" i="117" s="1"/>
  <c r="Q44" i="117"/>
  <c r="Q46" i="117" s="1"/>
  <c r="Q53" i="117" s="1"/>
  <c r="Q60" i="117" s="1"/>
  <c r="R44" i="117"/>
  <c r="R46" i="117" s="1"/>
  <c r="R53" i="117" s="1"/>
  <c r="R60" i="117" s="1"/>
  <c r="S44" i="117"/>
  <c r="S46" i="117" s="1"/>
  <c r="T44" i="117"/>
  <c r="T46" i="117" s="1"/>
  <c r="T53" i="117" s="1"/>
  <c r="U44" i="117"/>
  <c r="U46" i="117" s="1"/>
  <c r="U53" i="117" s="1"/>
  <c r="U60" i="117" s="1"/>
  <c r="V44" i="117"/>
  <c r="W44" i="117"/>
  <c r="X44" i="117"/>
  <c r="Y44" i="117"/>
  <c r="Y46" i="117" s="1"/>
  <c r="Y53" i="117" s="1"/>
  <c r="Z44" i="117"/>
  <c r="AH42" i="117"/>
  <c r="AI42" i="117"/>
  <c r="AK42" i="117"/>
  <c r="AL42" i="117"/>
  <c r="AH43" i="117"/>
  <c r="AK43" i="117"/>
  <c r="AL43" i="117"/>
  <c r="AE42" i="117"/>
  <c r="AE43" i="117"/>
  <c r="AF43" i="117"/>
  <c r="AA42" i="117"/>
  <c r="AA43" i="117"/>
  <c r="AB43" i="117" s="1"/>
  <c r="K42" i="117"/>
  <c r="K43" i="117"/>
  <c r="AH35" i="117"/>
  <c r="AK35" i="117"/>
  <c r="AL35" i="117"/>
  <c r="AH36" i="117"/>
  <c r="AK36" i="117"/>
  <c r="AL36" i="117"/>
  <c r="AH37" i="117"/>
  <c r="AK37" i="117"/>
  <c r="AL37" i="117"/>
  <c r="AH38" i="117"/>
  <c r="AI38" i="117"/>
  <c r="AK38" i="117"/>
  <c r="AL38" i="117"/>
  <c r="AH39" i="117"/>
  <c r="AK39" i="117"/>
  <c r="AL39" i="117"/>
  <c r="AE35" i="117"/>
  <c r="AE36" i="117"/>
  <c r="AF36" i="117"/>
  <c r="AE37" i="117"/>
  <c r="AE38" i="117"/>
  <c r="AE39" i="117"/>
  <c r="AA35" i="117"/>
  <c r="AB35" i="117"/>
  <c r="AM35" i="117" s="1"/>
  <c r="AA36" i="117"/>
  <c r="AA37" i="117"/>
  <c r="AA38" i="117"/>
  <c r="AF38" i="117" s="1"/>
  <c r="AB38" i="117"/>
  <c r="AA39" i="117"/>
  <c r="AF39" i="117" s="1"/>
  <c r="K35" i="117"/>
  <c r="K36" i="117"/>
  <c r="K37" i="117"/>
  <c r="K38" i="117"/>
  <c r="K39" i="117"/>
  <c r="AJ32" i="117"/>
  <c r="AK32" i="117"/>
  <c r="AL32" i="117"/>
  <c r="AM31" i="117"/>
  <c r="AN31" i="117"/>
  <c r="AA31" i="117"/>
  <c r="AG17" i="117"/>
  <c r="AG18" i="117" s="1"/>
  <c r="AD16" i="117"/>
  <c r="AD17" i="117"/>
  <c r="AD18" i="117" s="1"/>
  <c r="AA19" i="117"/>
  <c r="AA20" i="117"/>
  <c r="AJ39" i="117" s="1"/>
  <c r="Z16" i="117"/>
  <c r="AA16" i="117"/>
  <c r="M11" i="117"/>
  <c r="B10" i="117"/>
  <c r="B9" i="117"/>
  <c r="B4" i="117"/>
  <c r="AG68" i="111"/>
  <c r="AD68" i="111"/>
  <c r="N67" i="111"/>
  <c r="N68" i="111"/>
  <c r="O68" i="111"/>
  <c r="P68" i="111"/>
  <c r="Q68" i="111"/>
  <c r="R68" i="111"/>
  <c r="S68" i="111"/>
  <c r="T68" i="111"/>
  <c r="U68" i="111"/>
  <c r="V68" i="111"/>
  <c r="W68" i="111"/>
  <c r="X68" i="111"/>
  <c r="Y68" i="111"/>
  <c r="Z68" i="111"/>
  <c r="AH64" i="111"/>
  <c r="AK64" i="111"/>
  <c r="AL64" i="111"/>
  <c r="AH65" i="111"/>
  <c r="AK65" i="111"/>
  <c r="AL65" i="111"/>
  <c r="AE64" i="111"/>
  <c r="AE65" i="111"/>
  <c r="AA64" i="111"/>
  <c r="AI64" i="111" s="1"/>
  <c r="AB64" i="111"/>
  <c r="AN64" i="111" s="1"/>
  <c r="AA65" i="111"/>
  <c r="AA68" i="111" s="1"/>
  <c r="AD62" i="111"/>
  <c r="AK62" i="111" s="1"/>
  <c r="AG62" i="111"/>
  <c r="AH62" i="111" s="1"/>
  <c r="O62" i="111"/>
  <c r="P62" i="111"/>
  <c r="AA62" i="111" s="1"/>
  <c r="Q62" i="111"/>
  <c r="R62" i="111"/>
  <c r="S62" i="111"/>
  <c r="T62" i="111"/>
  <c r="U62" i="111"/>
  <c r="U67" i="111" s="1"/>
  <c r="V62" i="111"/>
  <c r="W62" i="111"/>
  <c r="X62" i="111"/>
  <c r="Y62" i="111"/>
  <c r="Z62" i="111"/>
  <c r="AH56" i="111"/>
  <c r="AK56" i="111"/>
  <c r="AL56" i="111"/>
  <c r="AH57" i="111"/>
  <c r="AK57" i="111"/>
  <c r="AL57" i="111"/>
  <c r="AH58" i="111"/>
  <c r="AK58" i="111"/>
  <c r="AL58" i="111"/>
  <c r="AH59" i="111"/>
  <c r="AK59" i="111"/>
  <c r="AL59" i="111"/>
  <c r="AH60" i="111"/>
  <c r="AI60" i="111"/>
  <c r="AK60" i="111"/>
  <c r="AL60" i="111"/>
  <c r="AH61" i="111"/>
  <c r="AK61" i="111"/>
  <c r="AL61" i="111"/>
  <c r="AE56" i="111"/>
  <c r="AE57" i="111"/>
  <c r="AF57" i="111"/>
  <c r="AE58" i="111"/>
  <c r="AE59" i="111"/>
  <c r="AE60" i="111"/>
  <c r="AE61" i="111"/>
  <c r="AA56" i="111"/>
  <c r="AI56" i="111" s="1"/>
  <c r="AB56" i="111"/>
  <c r="AM56" i="111" s="1"/>
  <c r="AA57" i="111"/>
  <c r="AI57" i="111" s="1"/>
  <c r="AA58" i="111"/>
  <c r="AI58" i="111" s="1"/>
  <c r="AA59" i="111"/>
  <c r="AJ59" i="111" s="1"/>
  <c r="AB59" i="111"/>
  <c r="AM59" i="111" s="1"/>
  <c r="AA60" i="111"/>
  <c r="AF60" i="111" s="1"/>
  <c r="AA61" i="111"/>
  <c r="AB61" i="111" s="1"/>
  <c r="K56" i="111"/>
  <c r="K57" i="111"/>
  <c r="K58" i="111"/>
  <c r="K59" i="111"/>
  <c r="K60" i="111"/>
  <c r="K61" i="111"/>
  <c r="AD53" i="111"/>
  <c r="AK53" i="111" s="1"/>
  <c r="AG53" i="111"/>
  <c r="AL53" i="111" s="1"/>
  <c r="AH53" i="111"/>
  <c r="O53" i="111"/>
  <c r="P53" i="111"/>
  <c r="Q53" i="111"/>
  <c r="R53" i="111"/>
  <c r="S53" i="111"/>
  <c r="T53" i="111"/>
  <c r="U53" i="111"/>
  <c r="V53" i="111"/>
  <c r="W53" i="111"/>
  <c r="X53" i="111"/>
  <c r="Y53" i="111"/>
  <c r="Y67" i="111" s="1"/>
  <c r="Z53" i="111"/>
  <c r="AH47" i="111"/>
  <c r="AK47" i="111"/>
  <c r="AL47" i="111"/>
  <c r="AH48" i="111"/>
  <c r="AK48" i="111"/>
  <c r="AL48" i="111"/>
  <c r="AH49" i="111"/>
  <c r="AK49" i="111"/>
  <c r="AL49" i="111"/>
  <c r="AN49" i="111"/>
  <c r="AH50" i="111"/>
  <c r="AK50" i="111"/>
  <c r="AL50" i="111"/>
  <c r="AH51" i="111"/>
  <c r="AK51" i="111"/>
  <c r="AL51" i="111"/>
  <c r="AH52" i="111"/>
  <c r="AI52" i="111"/>
  <c r="AK52" i="111"/>
  <c r="AL52" i="111"/>
  <c r="AE47" i="111"/>
  <c r="AF47" i="111"/>
  <c r="AE48" i="111"/>
  <c r="AE49" i="111"/>
  <c r="AF49" i="111"/>
  <c r="AE50" i="111"/>
  <c r="AE51" i="111"/>
  <c r="AE52" i="111"/>
  <c r="AA47" i="111"/>
  <c r="AI47" i="111" s="1"/>
  <c r="AB47" i="111"/>
  <c r="AN47" i="111" s="1"/>
  <c r="AA48" i="111"/>
  <c r="AA49" i="111"/>
  <c r="AB49" i="111" s="1"/>
  <c r="AM49" i="111" s="1"/>
  <c r="AA50" i="111"/>
  <c r="AI50" i="111" s="1"/>
  <c r="AA51" i="111"/>
  <c r="AB51" i="111"/>
  <c r="AM51" i="111" s="1"/>
  <c r="AA52" i="111"/>
  <c r="AF52" i="111" s="1"/>
  <c r="K47" i="111"/>
  <c r="K48" i="111"/>
  <c r="K49" i="111"/>
  <c r="K50" i="111"/>
  <c r="K51" i="111"/>
  <c r="K52" i="111"/>
  <c r="AD44" i="111"/>
  <c r="AE44" i="111" s="1"/>
  <c r="AG44" i="111"/>
  <c r="AH44" i="111"/>
  <c r="AK44" i="111"/>
  <c r="O44" i="111"/>
  <c r="O67" i="111" s="1"/>
  <c r="P44" i="111"/>
  <c r="Q44" i="111"/>
  <c r="R44" i="111"/>
  <c r="S44" i="111"/>
  <c r="T44" i="111"/>
  <c r="U44" i="111"/>
  <c r="V44" i="111"/>
  <c r="V67" i="111" s="1"/>
  <c r="W44" i="111"/>
  <c r="W67" i="111" s="1"/>
  <c r="X44" i="111"/>
  <c r="Y44" i="111"/>
  <c r="Z44" i="111"/>
  <c r="Z67" i="111" s="1"/>
  <c r="AH39" i="111"/>
  <c r="AK39" i="111"/>
  <c r="AL39" i="111"/>
  <c r="AH40" i="111"/>
  <c r="AK40" i="111"/>
  <c r="AL40" i="111"/>
  <c r="AH41" i="111"/>
  <c r="AK41" i="111"/>
  <c r="AL41" i="111"/>
  <c r="AH42" i="111"/>
  <c r="AK42" i="111"/>
  <c r="AL42" i="111"/>
  <c r="AH43" i="111"/>
  <c r="AK43" i="111"/>
  <c r="AL43" i="111"/>
  <c r="AE39" i="111"/>
  <c r="AE40" i="111"/>
  <c r="AF40" i="111"/>
  <c r="AE41" i="111"/>
  <c r="AE42" i="111"/>
  <c r="AE43" i="111"/>
  <c r="AA39" i="111"/>
  <c r="AA40" i="111"/>
  <c r="AI40" i="111" s="1"/>
  <c r="AA41" i="111"/>
  <c r="AI41" i="111" s="1"/>
  <c r="AA42" i="111"/>
  <c r="AI42" i="111" s="1"/>
  <c r="AA43" i="111"/>
  <c r="AB43" i="111"/>
  <c r="AM43" i="111" s="1"/>
  <c r="K39" i="111"/>
  <c r="K40" i="111"/>
  <c r="K41" i="111"/>
  <c r="K42" i="111"/>
  <c r="K43" i="111"/>
  <c r="AH35" i="111"/>
  <c r="AK35" i="111"/>
  <c r="AL35" i="111"/>
  <c r="AH36" i="111"/>
  <c r="AI36" i="111"/>
  <c r="AJ36" i="111"/>
  <c r="AK36" i="111"/>
  <c r="AL36" i="111"/>
  <c r="AE35" i="111"/>
  <c r="AF35" i="111"/>
  <c r="AE36" i="111"/>
  <c r="AF36" i="111"/>
  <c r="AA35" i="111"/>
  <c r="AI35" i="111" s="1"/>
  <c r="AA36" i="111"/>
  <c r="AB36" i="111"/>
  <c r="K35" i="111"/>
  <c r="K36" i="111"/>
  <c r="AJ32" i="111"/>
  <c r="AK32" i="111"/>
  <c r="AL32" i="111"/>
  <c r="AM31" i="111"/>
  <c r="AN31" i="111"/>
  <c r="AA31" i="111"/>
  <c r="AG17" i="111"/>
  <c r="AG18" i="111" s="1"/>
  <c r="AD16" i="111"/>
  <c r="AD17" i="111"/>
  <c r="AD18" i="111" s="1"/>
  <c r="AA19" i="111"/>
  <c r="AA20" i="111"/>
  <c r="Z16" i="111"/>
  <c r="AA16" i="111"/>
  <c r="M11" i="111"/>
  <c r="B10" i="111"/>
  <c r="B9" i="111"/>
  <c r="B4" i="111"/>
  <c r="N47" i="110"/>
  <c r="AD45" i="110"/>
  <c r="AD47" i="110" s="1"/>
  <c r="AG45" i="110"/>
  <c r="AG47" i="110" s="1"/>
  <c r="AK45" i="110"/>
  <c r="O45" i="110"/>
  <c r="O47" i="110" s="1"/>
  <c r="P45" i="110"/>
  <c r="Q45" i="110"/>
  <c r="Q47" i="110" s="1"/>
  <c r="R45" i="110"/>
  <c r="R47" i="110" s="1"/>
  <c r="S45" i="110"/>
  <c r="S47" i="110" s="1"/>
  <c r="T45" i="110"/>
  <c r="T47" i="110" s="1"/>
  <c r="U45" i="110"/>
  <c r="U47" i="110" s="1"/>
  <c r="V45" i="110"/>
  <c r="V47" i="110" s="1"/>
  <c r="W45" i="110"/>
  <c r="W47" i="110" s="1"/>
  <c r="X45" i="110"/>
  <c r="X47" i="110" s="1"/>
  <c r="Y45" i="110"/>
  <c r="Y47" i="110" s="1"/>
  <c r="Z45" i="110"/>
  <c r="Z47" i="110" s="1"/>
  <c r="AH34" i="110"/>
  <c r="AK34" i="110"/>
  <c r="AL34" i="110"/>
  <c r="AH35" i="110"/>
  <c r="AK35" i="110"/>
  <c r="AL35" i="110"/>
  <c r="AH36" i="110"/>
  <c r="AK36" i="110"/>
  <c r="AL36" i="110"/>
  <c r="AH37" i="110"/>
  <c r="AK37" i="110"/>
  <c r="AL37" i="110"/>
  <c r="AH38" i="110"/>
  <c r="AK38" i="110"/>
  <c r="AL38" i="110"/>
  <c r="AH39" i="110"/>
  <c r="AK39" i="110"/>
  <c r="AL39" i="110"/>
  <c r="AH40" i="110"/>
  <c r="AK40" i="110"/>
  <c r="AL40" i="110"/>
  <c r="AH41" i="110"/>
  <c r="AK41" i="110"/>
  <c r="AL41" i="110"/>
  <c r="AH42" i="110"/>
  <c r="AK42" i="110"/>
  <c r="AL42" i="110"/>
  <c r="AH43" i="110"/>
  <c r="AK43" i="110"/>
  <c r="AL43" i="110"/>
  <c r="AH44" i="110"/>
  <c r="AK44" i="110"/>
  <c r="AL44" i="110"/>
  <c r="AE34" i="110"/>
  <c r="AE35" i="110"/>
  <c r="AE36" i="110"/>
  <c r="AF36" i="110"/>
  <c r="AE37" i="110"/>
  <c r="AE38" i="110"/>
  <c r="AE39" i="110"/>
  <c r="AE40" i="110"/>
  <c r="AE41" i="110"/>
  <c r="AE42" i="110"/>
  <c r="AE43" i="110"/>
  <c r="AE44" i="110"/>
  <c r="AF44" i="110"/>
  <c r="AA34" i="110"/>
  <c r="AF34" i="110" s="1"/>
  <c r="AA35" i="110"/>
  <c r="AI35" i="110" s="1"/>
  <c r="AA36" i="110"/>
  <c r="AI36" i="110" s="1"/>
  <c r="AA37" i="110"/>
  <c r="AI37" i="110" s="1"/>
  <c r="AA38" i="110"/>
  <c r="AI38" i="110" s="1"/>
  <c r="AA39" i="110"/>
  <c r="AJ39" i="110" s="1"/>
  <c r="AA40" i="110"/>
  <c r="AA41" i="110"/>
  <c r="AA42" i="110"/>
  <c r="AF42" i="110" s="1"/>
  <c r="AA43" i="110"/>
  <c r="AI43" i="110" s="1"/>
  <c r="AA44" i="110"/>
  <c r="AI44" i="110" s="1"/>
  <c r="K34" i="110"/>
  <c r="K35" i="110"/>
  <c r="K36" i="110"/>
  <c r="K37" i="110"/>
  <c r="K38" i="110"/>
  <c r="K39" i="110"/>
  <c r="K40" i="110"/>
  <c r="K41" i="110"/>
  <c r="K42" i="110"/>
  <c r="K43" i="110"/>
  <c r="K44" i="110"/>
  <c r="AJ32" i="110"/>
  <c r="AK32" i="110"/>
  <c r="AL32" i="110"/>
  <c r="AM31" i="110"/>
  <c r="AN31" i="110"/>
  <c r="AA31" i="110"/>
  <c r="AG17" i="110"/>
  <c r="AG18" i="110"/>
  <c r="AD16" i="110"/>
  <c r="AD17" i="110"/>
  <c r="AD18" i="110"/>
  <c r="AA19" i="110"/>
  <c r="AB37" i="110" s="1"/>
  <c r="AA20" i="110"/>
  <c r="Z16" i="110"/>
  <c r="AA16" i="110"/>
  <c r="M11" i="110"/>
  <c r="B10" i="110"/>
  <c r="B9" i="110"/>
  <c r="B4" i="110"/>
  <c r="AG54" i="108"/>
  <c r="AD54" i="108"/>
  <c r="N54" i="108"/>
  <c r="O54" i="108"/>
  <c r="P54" i="108"/>
  <c r="Q54" i="108"/>
  <c r="R54" i="108"/>
  <c r="S54" i="108"/>
  <c r="T54" i="108"/>
  <c r="U54" i="108"/>
  <c r="V54" i="108"/>
  <c r="W54" i="108"/>
  <c r="X54" i="108"/>
  <c r="Y54" i="108"/>
  <c r="Z54" i="108"/>
  <c r="AE52" i="108"/>
  <c r="AH52" i="108"/>
  <c r="AK52" i="108"/>
  <c r="AL52" i="108"/>
  <c r="AA52" i="108"/>
  <c r="AF52" i="108" s="1"/>
  <c r="AH34" i="108"/>
  <c r="AJ34" i="108"/>
  <c r="AK34" i="108"/>
  <c r="AL34" i="108"/>
  <c r="AH35" i="108"/>
  <c r="AK35" i="108"/>
  <c r="AL35" i="108"/>
  <c r="AH36" i="108"/>
  <c r="AK36" i="108"/>
  <c r="AL36" i="108"/>
  <c r="AH37" i="108"/>
  <c r="AK37" i="108"/>
  <c r="AL37" i="108"/>
  <c r="AH38" i="108"/>
  <c r="AI38" i="108"/>
  <c r="AK38" i="108"/>
  <c r="AL38" i="108"/>
  <c r="AH39" i="108"/>
  <c r="AK39" i="108"/>
  <c r="AL39" i="108"/>
  <c r="AH40" i="108"/>
  <c r="AK40" i="108"/>
  <c r="AL40" i="108"/>
  <c r="AH41" i="108"/>
  <c r="AK41" i="108"/>
  <c r="AL41" i="108"/>
  <c r="AH42" i="108"/>
  <c r="AJ42" i="108"/>
  <c r="AK42" i="108"/>
  <c r="AL42" i="108"/>
  <c r="AH43" i="108"/>
  <c r="AK43" i="108"/>
  <c r="AL43" i="108"/>
  <c r="AH44" i="108"/>
  <c r="AK44" i="108"/>
  <c r="AL44" i="108"/>
  <c r="AH45" i="108"/>
  <c r="AK45" i="108"/>
  <c r="AL45" i="108"/>
  <c r="AH46" i="108"/>
  <c r="AK46" i="108"/>
  <c r="AL46" i="108"/>
  <c r="AH47" i="108"/>
  <c r="AK47" i="108"/>
  <c r="AL47" i="108"/>
  <c r="AH48" i="108"/>
  <c r="AK48" i="108"/>
  <c r="AL48" i="108"/>
  <c r="AH49" i="108"/>
  <c r="AK49" i="108"/>
  <c r="AL49" i="108"/>
  <c r="AH50" i="108"/>
  <c r="AK50" i="108"/>
  <c r="AL50" i="108"/>
  <c r="AE34" i="108"/>
  <c r="AE35" i="108"/>
  <c r="AE36" i="108"/>
  <c r="AE37" i="108"/>
  <c r="AE38" i="108"/>
  <c r="AE39" i="108"/>
  <c r="AE40" i="108"/>
  <c r="AE41" i="108"/>
  <c r="AE42" i="108"/>
  <c r="AE43" i="108"/>
  <c r="AF43" i="108"/>
  <c r="AE44" i="108"/>
  <c r="AE45" i="108"/>
  <c r="AE46" i="108"/>
  <c r="AE47" i="108"/>
  <c r="AF47" i="108"/>
  <c r="AE48" i="108"/>
  <c r="AE49" i="108"/>
  <c r="AE50" i="108"/>
  <c r="AA34" i="108"/>
  <c r="AF34" i="108" s="1"/>
  <c r="AB34" i="108"/>
  <c r="AN34" i="108" s="1"/>
  <c r="AA35" i="108"/>
  <c r="AA36" i="108"/>
  <c r="AA37" i="108"/>
  <c r="AA38" i="108"/>
  <c r="AA39" i="108"/>
  <c r="AJ39" i="108" s="1"/>
  <c r="AA40" i="108"/>
  <c r="AA41" i="108"/>
  <c r="AA42" i="108"/>
  <c r="AF42" i="108" s="1"/>
  <c r="AB42" i="108"/>
  <c r="AN42" i="108" s="1"/>
  <c r="AA43" i="108"/>
  <c r="AI43" i="108" s="1"/>
  <c r="AA44" i="108"/>
  <c r="AI44" i="108" s="1"/>
  <c r="AA45" i="108"/>
  <c r="AA46" i="108"/>
  <c r="AA47" i="108"/>
  <c r="AI47" i="108" s="1"/>
  <c r="AA48" i="108"/>
  <c r="AA49" i="108"/>
  <c r="AA50" i="108"/>
  <c r="K34" i="108"/>
  <c r="K35" i="108"/>
  <c r="K36" i="108"/>
  <c r="K37" i="108"/>
  <c r="K38" i="108"/>
  <c r="K39" i="108"/>
  <c r="K40" i="108"/>
  <c r="K41" i="108"/>
  <c r="K42" i="108"/>
  <c r="K43" i="108"/>
  <c r="K44" i="108"/>
  <c r="K45" i="108"/>
  <c r="K46" i="108"/>
  <c r="K47" i="108"/>
  <c r="K48" i="108"/>
  <c r="K49" i="108"/>
  <c r="K50" i="108"/>
  <c r="AJ32" i="108"/>
  <c r="AK32" i="108"/>
  <c r="AL32" i="108"/>
  <c r="AM31" i="108"/>
  <c r="AN31" i="108"/>
  <c r="AA31" i="108"/>
  <c r="B29" i="108"/>
  <c r="AG17" i="108"/>
  <c r="AG18" i="108" s="1"/>
  <c r="AD16" i="108"/>
  <c r="AD17" i="108"/>
  <c r="AD18" i="108"/>
  <c r="AA19" i="108"/>
  <c r="AA20" i="108"/>
  <c r="AJ47" i="108" s="1"/>
  <c r="G19" i="108"/>
  <c r="Z16" i="108"/>
  <c r="AA16" i="108"/>
  <c r="M11" i="108"/>
  <c r="B10" i="108"/>
  <c r="B9" i="108"/>
  <c r="B4" i="108"/>
  <c r="N100" i="107"/>
  <c r="AH98" i="107"/>
  <c r="AI98" i="107"/>
  <c r="AK98" i="107"/>
  <c r="AL98" i="107"/>
  <c r="AE98" i="107"/>
  <c r="AA98" i="107"/>
  <c r="AF98" i="107" s="1"/>
  <c r="AF95" i="107"/>
  <c r="AA95" i="107"/>
  <c r="AI95" i="107" s="1"/>
  <c r="N77" i="107"/>
  <c r="N78" i="107"/>
  <c r="N79" i="107"/>
  <c r="N80" i="107"/>
  <c r="N81" i="107"/>
  <c r="N82" i="107"/>
  <c r="N83" i="107"/>
  <c r="N84" i="107"/>
  <c r="N85" i="107"/>
  <c r="N86" i="107"/>
  <c r="N87" i="107"/>
  <c r="N88" i="107"/>
  <c r="N89" i="107"/>
  <c r="N90" i="107"/>
  <c r="N91" i="107"/>
  <c r="N92" i="107"/>
  <c r="N93" i="107"/>
  <c r="N94" i="107"/>
  <c r="AL77" i="107"/>
  <c r="AL81" i="107"/>
  <c r="AK83" i="107"/>
  <c r="AL85" i="107"/>
  <c r="AK87" i="107"/>
  <c r="AK95" i="107"/>
  <c r="AL95" i="107"/>
  <c r="AM95" i="107"/>
  <c r="AN95" i="107"/>
  <c r="AG77" i="107"/>
  <c r="AH77" i="107"/>
  <c r="AG78" i="107"/>
  <c r="AG79" i="107"/>
  <c r="AG80" i="107"/>
  <c r="AG81" i="107"/>
  <c r="AH81" i="107" s="1"/>
  <c r="AG82" i="107"/>
  <c r="AG83" i="107"/>
  <c r="AG84" i="107"/>
  <c r="AG85" i="107"/>
  <c r="AH85" i="107" s="1"/>
  <c r="AG86" i="107"/>
  <c r="AG87" i="107"/>
  <c r="AG88" i="107"/>
  <c r="AG89" i="107"/>
  <c r="AL89" i="107" s="1"/>
  <c r="AH89" i="107"/>
  <c r="AG90" i="107"/>
  <c r="AG91" i="107"/>
  <c r="AG92" i="107"/>
  <c r="AG93" i="107"/>
  <c r="AL93" i="107" s="1"/>
  <c r="AH93" i="107"/>
  <c r="AG94" i="107"/>
  <c r="AD77" i="107"/>
  <c r="AD78" i="107"/>
  <c r="AE78" i="107" s="1"/>
  <c r="AD79" i="107"/>
  <c r="AK79" i="107" s="1"/>
  <c r="AD80" i="107"/>
  <c r="AE80" i="107" s="1"/>
  <c r="AD81" i="107"/>
  <c r="AD82" i="107"/>
  <c r="AE82" i="107" s="1"/>
  <c r="AD83" i="107"/>
  <c r="AE83" i="107"/>
  <c r="AD84" i="107"/>
  <c r="AE84" i="107" s="1"/>
  <c r="AD85" i="107"/>
  <c r="AD86" i="107"/>
  <c r="AE86" i="107" s="1"/>
  <c r="AD87" i="107"/>
  <c r="AE87" i="107"/>
  <c r="AD88" i="107"/>
  <c r="AD89" i="107"/>
  <c r="AD90" i="107"/>
  <c r="AE90" i="107" s="1"/>
  <c r="AD91" i="107"/>
  <c r="AD92" i="107"/>
  <c r="AK92" i="107" s="1"/>
  <c r="AD93" i="107"/>
  <c r="AD94" i="107"/>
  <c r="O77" i="107"/>
  <c r="P77" i="107"/>
  <c r="Q77" i="107"/>
  <c r="R77" i="107"/>
  <c r="S77" i="107"/>
  <c r="T77" i="107"/>
  <c r="U77" i="107"/>
  <c r="V77" i="107"/>
  <c r="W77" i="107"/>
  <c r="X77" i="107"/>
  <c r="Y77" i="107"/>
  <c r="Z77" i="107"/>
  <c r="O78" i="107"/>
  <c r="P78" i="107"/>
  <c r="Q78" i="107"/>
  <c r="R78" i="107"/>
  <c r="S78" i="107"/>
  <c r="T78" i="107"/>
  <c r="U78" i="107"/>
  <c r="V78" i="107"/>
  <c r="W78" i="107"/>
  <c r="X78" i="107"/>
  <c r="Y78" i="107"/>
  <c r="Z78" i="107"/>
  <c r="O79" i="107"/>
  <c r="P79" i="107"/>
  <c r="Q79" i="107"/>
  <c r="R79" i="107"/>
  <c r="S79" i="107"/>
  <c r="T79" i="107"/>
  <c r="U79" i="107"/>
  <c r="V79" i="107"/>
  <c r="W79" i="107"/>
  <c r="X79" i="107"/>
  <c r="Y79" i="107"/>
  <c r="Z79" i="107"/>
  <c r="O80" i="107"/>
  <c r="P80" i="107"/>
  <c r="Q80" i="107"/>
  <c r="R80" i="107"/>
  <c r="S80" i="107"/>
  <c r="T80" i="107"/>
  <c r="U80" i="107"/>
  <c r="V80" i="107"/>
  <c r="W80" i="107"/>
  <c r="X80" i="107"/>
  <c r="Y80" i="107"/>
  <c r="Z80" i="107"/>
  <c r="O81" i="107"/>
  <c r="P81" i="107"/>
  <c r="Q81" i="107"/>
  <c r="R81" i="107"/>
  <c r="S81" i="107"/>
  <c r="T81" i="107"/>
  <c r="U81" i="107"/>
  <c r="V81" i="107"/>
  <c r="W81" i="107"/>
  <c r="X81" i="107"/>
  <c r="Y81" i="107"/>
  <c r="Z81" i="107"/>
  <c r="O82" i="107"/>
  <c r="P82" i="107"/>
  <c r="Q82" i="107"/>
  <c r="R82" i="107"/>
  <c r="S82" i="107"/>
  <c r="T82" i="107"/>
  <c r="U82" i="107"/>
  <c r="V82" i="107"/>
  <c r="W82" i="107"/>
  <c r="X82" i="107"/>
  <c r="Y82" i="107"/>
  <c r="Z82" i="107"/>
  <c r="O83" i="107"/>
  <c r="P83" i="107"/>
  <c r="Q83" i="107"/>
  <c r="R83" i="107"/>
  <c r="S83" i="107"/>
  <c r="T83" i="107"/>
  <c r="U83" i="107"/>
  <c r="V83" i="107"/>
  <c r="W83" i="107"/>
  <c r="X83" i="107"/>
  <c r="Y83" i="107"/>
  <c r="Z83" i="107"/>
  <c r="O84" i="107"/>
  <c r="P84" i="107"/>
  <c r="Q84" i="107"/>
  <c r="R84" i="107"/>
  <c r="S84" i="107"/>
  <c r="T84" i="107"/>
  <c r="U84" i="107"/>
  <c r="V84" i="107"/>
  <c r="W84" i="107"/>
  <c r="X84" i="107"/>
  <c r="Y84" i="107"/>
  <c r="Z84" i="107"/>
  <c r="O85" i="107"/>
  <c r="P85" i="107"/>
  <c r="Q85" i="107"/>
  <c r="R85" i="107"/>
  <c r="S85" i="107"/>
  <c r="T85" i="107"/>
  <c r="U85" i="107"/>
  <c r="V85" i="107"/>
  <c r="W85" i="107"/>
  <c r="X85" i="107"/>
  <c r="Y85" i="107"/>
  <c r="Z85" i="107"/>
  <c r="O86" i="107"/>
  <c r="P86" i="107"/>
  <c r="Q86" i="107"/>
  <c r="R86" i="107"/>
  <c r="S86" i="107"/>
  <c r="T86" i="107"/>
  <c r="U86" i="107"/>
  <c r="V86" i="107"/>
  <c r="W86" i="107"/>
  <c r="X86" i="107"/>
  <c r="Y86" i="107"/>
  <c r="Z86" i="107"/>
  <c r="O87" i="107"/>
  <c r="P87" i="107"/>
  <c r="Q87" i="107"/>
  <c r="R87" i="107"/>
  <c r="S87" i="107"/>
  <c r="T87" i="107"/>
  <c r="U87" i="107"/>
  <c r="V87" i="107"/>
  <c r="W87" i="107"/>
  <c r="X87" i="107"/>
  <c r="Y87" i="107"/>
  <c r="Z87" i="107"/>
  <c r="O88" i="107"/>
  <c r="P88" i="107"/>
  <c r="Q88" i="107"/>
  <c r="R88" i="107"/>
  <c r="S88" i="107"/>
  <c r="T88" i="107"/>
  <c r="U88" i="107"/>
  <c r="V88" i="107"/>
  <c r="W88" i="107"/>
  <c r="X88" i="107"/>
  <c r="Y88" i="107"/>
  <c r="Z88" i="107"/>
  <c r="O89" i="107"/>
  <c r="P89" i="107"/>
  <c r="Q89" i="107"/>
  <c r="R89" i="107"/>
  <c r="S89" i="107"/>
  <c r="T89" i="107"/>
  <c r="U89" i="107"/>
  <c r="V89" i="107"/>
  <c r="W89" i="107"/>
  <c r="X89" i="107"/>
  <c r="Y89" i="107"/>
  <c r="Z89" i="107"/>
  <c r="O90" i="107"/>
  <c r="P90" i="107"/>
  <c r="Q90" i="107"/>
  <c r="R90" i="107"/>
  <c r="S90" i="107"/>
  <c r="T90" i="107"/>
  <c r="U90" i="107"/>
  <c r="V90" i="107"/>
  <c r="W90" i="107"/>
  <c r="X90" i="107"/>
  <c r="Y90" i="107"/>
  <c r="Z90" i="107"/>
  <c r="O91" i="107"/>
  <c r="P91" i="107"/>
  <c r="Q91" i="107"/>
  <c r="R91" i="107"/>
  <c r="S91" i="107"/>
  <c r="T91" i="107"/>
  <c r="U91" i="107"/>
  <c r="V91" i="107"/>
  <c r="W91" i="107"/>
  <c r="X91" i="107"/>
  <c r="Y91" i="107"/>
  <c r="Z91" i="107"/>
  <c r="O92" i="107"/>
  <c r="P92" i="107"/>
  <c r="Q92" i="107"/>
  <c r="R92" i="107"/>
  <c r="S92" i="107"/>
  <c r="T92" i="107"/>
  <c r="U92" i="107"/>
  <c r="V92" i="107"/>
  <c r="W92" i="107"/>
  <c r="X92" i="107"/>
  <c r="Y92" i="107"/>
  <c r="Z92" i="107"/>
  <c r="O93" i="107"/>
  <c r="P93" i="107"/>
  <c r="Q93" i="107"/>
  <c r="R93" i="107"/>
  <c r="S93" i="107"/>
  <c r="T93" i="107"/>
  <c r="U93" i="107"/>
  <c r="V93" i="107"/>
  <c r="W93" i="107"/>
  <c r="X93" i="107"/>
  <c r="Y93" i="107"/>
  <c r="Z93" i="107"/>
  <c r="O94" i="107"/>
  <c r="P94" i="107"/>
  <c r="Q94" i="107"/>
  <c r="R94" i="107"/>
  <c r="S94" i="107"/>
  <c r="T94" i="107"/>
  <c r="U94" i="107"/>
  <c r="V94" i="107"/>
  <c r="W94" i="107"/>
  <c r="X94" i="107"/>
  <c r="Y94" i="107"/>
  <c r="Z94" i="107"/>
  <c r="AK56" i="107"/>
  <c r="AL56" i="107"/>
  <c r="AM56" i="107"/>
  <c r="AN56" i="107"/>
  <c r="AK57" i="107"/>
  <c r="AL57" i="107"/>
  <c r="AM57" i="107"/>
  <c r="AN57" i="107"/>
  <c r="AI58" i="107"/>
  <c r="AK58" i="107"/>
  <c r="AL58" i="107"/>
  <c r="AM58" i="107"/>
  <c r="AN58" i="107"/>
  <c r="AK59" i="107"/>
  <c r="AL59" i="107"/>
  <c r="AM59" i="107"/>
  <c r="AN59" i="107"/>
  <c r="AI60" i="107"/>
  <c r="AK60" i="107"/>
  <c r="AL60" i="107"/>
  <c r="AM60" i="107"/>
  <c r="AN60" i="107"/>
  <c r="AK61" i="107"/>
  <c r="AL61" i="107"/>
  <c r="AM61" i="107"/>
  <c r="AN61" i="107"/>
  <c r="AK62" i="107"/>
  <c r="AL62" i="107"/>
  <c r="AM62" i="107"/>
  <c r="AN62" i="107"/>
  <c r="AK63" i="107"/>
  <c r="AL63" i="107"/>
  <c r="AM63" i="107"/>
  <c r="AN63" i="107"/>
  <c r="AK64" i="107"/>
  <c r="AL64" i="107"/>
  <c r="AM64" i="107"/>
  <c r="AN64" i="107"/>
  <c r="AK65" i="107"/>
  <c r="AL65" i="107"/>
  <c r="AM65" i="107"/>
  <c r="AN65" i="107"/>
  <c r="AK66" i="107"/>
  <c r="AL66" i="107"/>
  <c r="AM66" i="107"/>
  <c r="AN66" i="107"/>
  <c r="AK67" i="107"/>
  <c r="AL67" i="107"/>
  <c r="AM67" i="107"/>
  <c r="AN67" i="107"/>
  <c r="AK68" i="107"/>
  <c r="AL68" i="107"/>
  <c r="AM68" i="107"/>
  <c r="AN68" i="107"/>
  <c r="AK69" i="107"/>
  <c r="AL69" i="107"/>
  <c r="AM69" i="107"/>
  <c r="AN69" i="107"/>
  <c r="AI70" i="107"/>
  <c r="AK70" i="107"/>
  <c r="AL70" i="107"/>
  <c r="AM70" i="107"/>
  <c r="AN70" i="107"/>
  <c r="AK71" i="107"/>
  <c r="AL71" i="107"/>
  <c r="AM71" i="107"/>
  <c r="AN71" i="107"/>
  <c r="AK72" i="107"/>
  <c r="AL72" i="107"/>
  <c r="AM72" i="107"/>
  <c r="AN72" i="107"/>
  <c r="AK73" i="107"/>
  <c r="AL73" i="107"/>
  <c r="AM73" i="107"/>
  <c r="AN73" i="107"/>
  <c r="AK74" i="107"/>
  <c r="AL74" i="107"/>
  <c r="AM74" i="107"/>
  <c r="AN74" i="107"/>
  <c r="AF58" i="107"/>
  <c r="AF60" i="107"/>
  <c r="AF64" i="107"/>
  <c r="AF65" i="107"/>
  <c r="AF67" i="107"/>
  <c r="AF74" i="107"/>
  <c r="AA56" i="107"/>
  <c r="AA57" i="107"/>
  <c r="AA58" i="107"/>
  <c r="AA59" i="107"/>
  <c r="AA60" i="107"/>
  <c r="AJ60" i="107" s="1"/>
  <c r="AA61" i="107"/>
  <c r="AI61" i="107" s="1"/>
  <c r="AA62" i="107"/>
  <c r="AF62" i="107" s="1"/>
  <c r="AA63" i="107"/>
  <c r="AF63" i="107" s="1"/>
  <c r="AA64" i="107"/>
  <c r="AI64" i="107" s="1"/>
  <c r="AA65" i="107"/>
  <c r="AI65" i="107" s="1"/>
  <c r="AA66" i="107"/>
  <c r="AI66" i="107" s="1"/>
  <c r="AA67" i="107"/>
  <c r="AJ67" i="107" s="1"/>
  <c r="AA68" i="107"/>
  <c r="AA69" i="107"/>
  <c r="AI69" i="107" s="1"/>
  <c r="AA70" i="107"/>
  <c r="AF70" i="107" s="1"/>
  <c r="AA71" i="107"/>
  <c r="AF71" i="107" s="1"/>
  <c r="AA72" i="107"/>
  <c r="AA73" i="107"/>
  <c r="AA74" i="107"/>
  <c r="AI74" i="107" s="1"/>
  <c r="K56" i="107"/>
  <c r="K57" i="107"/>
  <c r="K58" i="107"/>
  <c r="K59" i="107"/>
  <c r="K60" i="107"/>
  <c r="K61" i="107"/>
  <c r="K62" i="107"/>
  <c r="K63" i="107"/>
  <c r="K64" i="107"/>
  <c r="K65" i="107"/>
  <c r="K66" i="107"/>
  <c r="K67" i="107"/>
  <c r="K68" i="107"/>
  <c r="K69" i="107"/>
  <c r="K70" i="107"/>
  <c r="K71" i="107"/>
  <c r="K72" i="107"/>
  <c r="K73" i="107"/>
  <c r="K74" i="107"/>
  <c r="B51" i="107"/>
  <c r="AH34" i="107"/>
  <c r="AK34" i="107"/>
  <c r="AL34" i="107"/>
  <c r="AH35" i="107"/>
  <c r="AK35" i="107"/>
  <c r="AL35" i="107"/>
  <c r="AH36" i="107"/>
  <c r="AK36" i="107"/>
  <c r="AL36" i="107"/>
  <c r="AH37" i="107"/>
  <c r="AK37" i="107"/>
  <c r="AL37" i="107"/>
  <c r="AH38" i="107"/>
  <c r="AK38" i="107"/>
  <c r="AL38" i="107"/>
  <c r="AH39" i="107"/>
  <c r="AK39" i="107"/>
  <c r="AL39" i="107"/>
  <c r="AH40" i="107"/>
  <c r="AK40" i="107"/>
  <c r="AL40" i="107"/>
  <c r="AH41" i="107"/>
  <c r="AK41" i="107"/>
  <c r="AL41" i="107"/>
  <c r="AH42" i="107"/>
  <c r="AK42" i="107"/>
  <c r="AL42" i="107"/>
  <c r="AH43" i="107"/>
  <c r="AK43" i="107"/>
  <c r="AL43" i="107"/>
  <c r="AH44" i="107"/>
  <c r="AK44" i="107"/>
  <c r="AL44" i="107"/>
  <c r="AH45" i="107"/>
  <c r="AK45" i="107"/>
  <c r="AL45" i="107"/>
  <c r="AH46" i="107"/>
  <c r="AJ46" i="107"/>
  <c r="AK46" i="107"/>
  <c r="AL46" i="107"/>
  <c r="AH47" i="107"/>
  <c r="AK47" i="107"/>
  <c r="AL47" i="107"/>
  <c r="AH48" i="107"/>
  <c r="AK48" i="107"/>
  <c r="AL48" i="107"/>
  <c r="AH49" i="107"/>
  <c r="AK49" i="107"/>
  <c r="AL49" i="107"/>
  <c r="AH50" i="107"/>
  <c r="AK50" i="107"/>
  <c r="AL50" i="107"/>
  <c r="AH51" i="107"/>
  <c r="AK51" i="107"/>
  <c r="AL51" i="107"/>
  <c r="AH52" i="107"/>
  <c r="AK52" i="107"/>
  <c r="AL52" i="107"/>
  <c r="AH53" i="107"/>
  <c r="AI53" i="107"/>
  <c r="AK53" i="107"/>
  <c r="AL53" i="107"/>
  <c r="AE34" i="107"/>
  <c r="AE35" i="107"/>
  <c r="AE36" i="107"/>
  <c r="AE37" i="107"/>
  <c r="AE38" i="107"/>
  <c r="AE39" i="107"/>
  <c r="AE40" i="107"/>
  <c r="AE41" i="107"/>
  <c r="AE42" i="107"/>
  <c r="AE43" i="107"/>
  <c r="AE44" i="107"/>
  <c r="AE45" i="107"/>
  <c r="AE46" i="107"/>
  <c r="AE47" i="107"/>
  <c r="AE48" i="107"/>
  <c r="AE49" i="107"/>
  <c r="AE50" i="107"/>
  <c r="AE51" i="107"/>
  <c r="AE52" i="107"/>
  <c r="AE53" i="107"/>
  <c r="AA34" i="107"/>
  <c r="AJ34" i="107" s="1"/>
  <c r="AA35" i="107"/>
  <c r="AF35" i="107" s="1"/>
  <c r="AA36" i="107"/>
  <c r="AI36" i="107" s="1"/>
  <c r="AA37" i="107"/>
  <c r="AF37" i="107" s="1"/>
  <c r="AA38" i="107"/>
  <c r="AI38" i="107" s="1"/>
  <c r="AA39" i="107"/>
  <c r="AI39" i="107" s="1"/>
  <c r="AA40" i="107"/>
  <c r="AI40" i="107" s="1"/>
  <c r="AA41" i="107"/>
  <c r="AI41" i="107" s="1"/>
  <c r="AA42" i="107"/>
  <c r="AJ42" i="107" s="1"/>
  <c r="AA43" i="107"/>
  <c r="AF43" i="107" s="1"/>
  <c r="AA44" i="107"/>
  <c r="AI44" i="107" s="1"/>
  <c r="AA45" i="107"/>
  <c r="AF45" i="107" s="1"/>
  <c r="AA46" i="107"/>
  <c r="AI46" i="107" s="1"/>
  <c r="AA47" i="107"/>
  <c r="AI47" i="107" s="1"/>
  <c r="AA48" i="107"/>
  <c r="AI48" i="107" s="1"/>
  <c r="AA49" i="107"/>
  <c r="AI49" i="107" s="1"/>
  <c r="AA50" i="107"/>
  <c r="AA51" i="107"/>
  <c r="AF51" i="107" s="1"/>
  <c r="AA52" i="107"/>
  <c r="AI52" i="107" s="1"/>
  <c r="AA53" i="107"/>
  <c r="AF53" i="107" s="1"/>
  <c r="K34" i="107"/>
  <c r="K35" i="107"/>
  <c r="K36" i="107"/>
  <c r="K37" i="107"/>
  <c r="K38" i="107"/>
  <c r="K39" i="107"/>
  <c r="K40" i="107"/>
  <c r="K41" i="107"/>
  <c r="K42" i="107"/>
  <c r="K43" i="107"/>
  <c r="K44" i="107"/>
  <c r="K45" i="107"/>
  <c r="K46" i="107"/>
  <c r="K47" i="107"/>
  <c r="K48" i="107"/>
  <c r="K49" i="107"/>
  <c r="K50" i="107"/>
  <c r="K51" i="107"/>
  <c r="K52" i="107"/>
  <c r="K53" i="107"/>
  <c r="AJ32" i="107"/>
  <c r="AK32" i="107"/>
  <c r="AL32" i="107"/>
  <c r="AM31" i="107"/>
  <c r="AN31" i="107"/>
  <c r="AA31" i="107"/>
  <c r="B29" i="107"/>
  <c r="AG17" i="107"/>
  <c r="AG18" i="107" s="1"/>
  <c r="AD16" i="107"/>
  <c r="AD17" i="107"/>
  <c r="AD18" i="107" s="1"/>
  <c r="AA19" i="107"/>
  <c r="AB98" i="107" s="1"/>
  <c r="AA20" i="107"/>
  <c r="G19" i="107"/>
  <c r="AA18" i="107"/>
  <c r="Z16" i="107"/>
  <c r="AA16" i="107"/>
  <c r="M11" i="107"/>
  <c r="B10" i="107"/>
  <c r="B9" i="107"/>
  <c r="B4" i="107"/>
  <c r="AG74" i="106"/>
  <c r="AD74" i="106"/>
  <c r="N74" i="106"/>
  <c r="O74" i="106"/>
  <c r="P74" i="106"/>
  <c r="Q74" i="106"/>
  <c r="R74" i="106"/>
  <c r="S74" i="106"/>
  <c r="T74" i="106"/>
  <c r="U74" i="106"/>
  <c r="V74" i="106"/>
  <c r="W74" i="106"/>
  <c r="X74" i="106"/>
  <c r="Y74" i="106"/>
  <c r="Z74" i="106"/>
  <c r="N75" i="106"/>
  <c r="AH71" i="106"/>
  <c r="AK71" i="106"/>
  <c r="AL71" i="106"/>
  <c r="AH72" i="106"/>
  <c r="AI72" i="106"/>
  <c r="AK72" i="106"/>
  <c r="AL72" i="106"/>
  <c r="AE71" i="106"/>
  <c r="AE72" i="106"/>
  <c r="AF72" i="106"/>
  <c r="AA71" i="106"/>
  <c r="AF71" i="106" s="1"/>
  <c r="AA72" i="106"/>
  <c r="AB72" i="106"/>
  <c r="AH67" i="106"/>
  <c r="AK67" i="106"/>
  <c r="AL67" i="106"/>
  <c r="AH68" i="106"/>
  <c r="AK68" i="106"/>
  <c r="AL68" i="106"/>
  <c r="AH69" i="106"/>
  <c r="AK69" i="106"/>
  <c r="AL69" i="106"/>
  <c r="AE67" i="106"/>
  <c r="AE68" i="106"/>
  <c r="AE69" i="106"/>
  <c r="AA67" i="106"/>
  <c r="AA68" i="106"/>
  <c r="AB68" i="106"/>
  <c r="AA69" i="106"/>
  <c r="K67" i="106"/>
  <c r="K68" i="106"/>
  <c r="AH60" i="106"/>
  <c r="AK60" i="106"/>
  <c r="AL60" i="106"/>
  <c r="AH61" i="106"/>
  <c r="AK61" i="106"/>
  <c r="AL61" i="106"/>
  <c r="AH62" i="106"/>
  <c r="AI62" i="106"/>
  <c r="AK62" i="106"/>
  <c r="AL62" i="106"/>
  <c r="AH63" i="106"/>
  <c r="AK63" i="106"/>
  <c r="AL63" i="106"/>
  <c r="AH64" i="106"/>
  <c r="AK64" i="106"/>
  <c r="AL64" i="106"/>
  <c r="AE60" i="106"/>
  <c r="AE61" i="106"/>
  <c r="AE62" i="106"/>
  <c r="AE63" i="106"/>
  <c r="AE64" i="106"/>
  <c r="AA60" i="106"/>
  <c r="AF60" i="106" s="1"/>
  <c r="AA61" i="106"/>
  <c r="AF61" i="106" s="1"/>
  <c r="AA62" i="106"/>
  <c r="AA63" i="106"/>
  <c r="AB63" i="106"/>
  <c r="AN63" i="106" s="1"/>
  <c r="AA64" i="106"/>
  <c r="AF64" i="106" s="1"/>
  <c r="K60" i="106"/>
  <c r="K61" i="106"/>
  <c r="K62" i="106"/>
  <c r="K63" i="106"/>
  <c r="K64" i="106"/>
  <c r="B58" i="106"/>
  <c r="AD56" i="106"/>
  <c r="AK56" i="106" s="1"/>
  <c r="AG56" i="106"/>
  <c r="AG75" i="106" s="1"/>
  <c r="AH56" i="106"/>
  <c r="AL56" i="106"/>
  <c r="O56" i="106"/>
  <c r="P56" i="106"/>
  <c r="P75" i="106" s="1"/>
  <c r="Q56" i="106"/>
  <c r="Q75" i="106" s="1"/>
  <c r="R56" i="106"/>
  <c r="R75" i="106" s="1"/>
  <c r="S56" i="106"/>
  <c r="S75" i="106" s="1"/>
  <c r="T56" i="106"/>
  <c r="T75" i="106" s="1"/>
  <c r="U56" i="106"/>
  <c r="U75" i="106" s="1"/>
  <c r="V56" i="106"/>
  <c r="V75" i="106" s="1"/>
  <c r="W56" i="106"/>
  <c r="W75" i="106" s="1"/>
  <c r="X56" i="106"/>
  <c r="X75" i="106" s="1"/>
  <c r="Y56" i="106"/>
  <c r="Y75" i="106" s="1"/>
  <c r="Z56" i="106"/>
  <c r="Z75" i="106" s="1"/>
  <c r="K55" i="106"/>
  <c r="K56" i="106"/>
  <c r="AA46" i="106"/>
  <c r="AF46" i="106" s="1"/>
  <c r="AA47" i="106"/>
  <c r="AF47" i="106" s="1"/>
  <c r="AA48" i="106"/>
  <c r="AI48" i="106" s="1"/>
  <c r="AA49" i="106"/>
  <c r="AI49" i="106" s="1"/>
  <c r="AA50" i="106"/>
  <c r="AA51" i="106"/>
  <c r="AA52" i="106"/>
  <c r="AA53" i="106"/>
  <c r="AI53" i="106" s="1"/>
  <c r="AA54" i="106"/>
  <c r="AF54" i="106" s="1"/>
  <c r="AI46" i="106"/>
  <c r="AK46" i="106"/>
  <c r="AL46" i="106"/>
  <c r="AM46" i="106"/>
  <c r="AN46" i="106"/>
  <c r="AI47" i="106"/>
  <c r="AK47" i="106"/>
  <c r="AL47" i="106"/>
  <c r="AM47" i="106"/>
  <c r="AN47" i="106"/>
  <c r="AK48" i="106"/>
  <c r="AL48" i="106"/>
  <c r="AM48" i="106"/>
  <c r="AN48" i="106"/>
  <c r="AK49" i="106"/>
  <c r="AL49" i="106"/>
  <c r="AM49" i="106"/>
  <c r="AN49" i="106"/>
  <c r="AI50" i="106"/>
  <c r="AK50" i="106"/>
  <c r="AL50" i="106"/>
  <c r="AM50" i="106"/>
  <c r="AN50" i="106"/>
  <c r="AK51" i="106"/>
  <c r="AL51" i="106"/>
  <c r="AM51" i="106"/>
  <c r="AN51" i="106"/>
  <c r="AI52" i="106"/>
  <c r="AK52" i="106"/>
  <c r="AL52" i="106"/>
  <c r="AM52" i="106"/>
  <c r="AN52" i="106"/>
  <c r="AK53" i="106"/>
  <c r="AL53" i="106"/>
  <c r="AM53" i="106"/>
  <c r="AN53" i="106"/>
  <c r="AK54" i="106"/>
  <c r="AL54" i="106"/>
  <c r="AM54" i="106"/>
  <c r="AN54" i="106"/>
  <c r="AI55" i="106"/>
  <c r="AK55" i="106"/>
  <c r="AL55" i="106"/>
  <c r="AM55" i="106"/>
  <c r="AN55" i="106"/>
  <c r="AF50" i="106"/>
  <c r="AF52" i="106"/>
  <c r="AF55" i="106"/>
  <c r="K46" i="106"/>
  <c r="K47" i="106"/>
  <c r="K48" i="106"/>
  <c r="K49" i="106"/>
  <c r="K50" i="106"/>
  <c r="K51" i="106"/>
  <c r="K52" i="106"/>
  <c r="K53" i="106"/>
  <c r="K54" i="106"/>
  <c r="AH34" i="106"/>
  <c r="AI34" i="106"/>
  <c r="AK34" i="106"/>
  <c r="AL34" i="106"/>
  <c r="AH35" i="106"/>
  <c r="AI35" i="106"/>
  <c r="AK35" i="106"/>
  <c r="AL35" i="106"/>
  <c r="AH36" i="106"/>
  <c r="AI36" i="106"/>
  <c r="AJ36" i="106"/>
  <c r="AK36" i="106"/>
  <c r="AL36" i="106"/>
  <c r="AH37" i="106"/>
  <c r="AK37" i="106"/>
  <c r="AL37" i="106"/>
  <c r="AH38" i="106"/>
  <c r="AK38" i="106"/>
  <c r="AL38" i="106"/>
  <c r="AH39" i="106"/>
  <c r="AK39" i="106"/>
  <c r="AL39" i="106"/>
  <c r="AH40" i="106"/>
  <c r="AK40" i="106"/>
  <c r="AL40" i="106"/>
  <c r="AH41" i="106"/>
  <c r="AK41" i="106"/>
  <c r="AL41" i="106"/>
  <c r="AH42" i="106"/>
  <c r="AI42" i="106"/>
  <c r="AK42" i="106"/>
  <c r="AL42" i="106"/>
  <c r="AH43" i="106"/>
  <c r="AJ43" i="106"/>
  <c r="AK43" i="106"/>
  <c r="AL43" i="106"/>
  <c r="AE34" i="106"/>
  <c r="AE35" i="106"/>
  <c r="AE36" i="106"/>
  <c r="AE37" i="106"/>
  <c r="AE38" i="106"/>
  <c r="AE39" i="106"/>
  <c r="AM39" i="106" s="1"/>
  <c r="AF39" i="106"/>
  <c r="AE40" i="106"/>
  <c r="AE41" i="106"/>
  <c r="AE42" i="106"/>
  <c r="AE43" i="106"/>
  <c r="AA34" i="106"/>
  <c r="AA35" i="106"/>
  <c r="AB35" i="106"/>
  <c r="AM35" i="106" s="1"/>
  <c r="AA36" i="106"/>
  <c r="AF36" i="106" s="1"/>
  <c r="AB36" i="106"/>
  <c r="AA37" i="106"/>
  <c r="AA38" i="106"/>
  <c r="AA39" i="106"/>
  <c r="AI39" i="106" s="1"/>
  <c r="AB39" i="106"/>
  <c r="AN39" i="106" s="1"/>
  <c r="AA40" i="106"/>
  <c r="AI40" i="106" s="1"/>
  <c r="AA41" i="106"/>
  <c r="AA42" i="106"/>
  <c r="AA43" i="106"/>
  <c r="AF43" i="106" s="1"/>
  <c r="K34" i="106"/>
  <c r="K35" i="106"/>
  <c r="K36" i="106"/>
  <c r="K37" i="106"/>
  <c r="K38" i="106"/>
  <c r="K39" i="106"/>
  <c r="K40" i="106"/>
  <c r="K41" i="106"/>
  <c r="K42" i="106"/>
  <c r="K43" i="106"/>
  <c r="AJ32" i="106"/>
  <c r="AK32" i="106"/>
  <c r="AL32" i="106"/>
  <c r="AM31" i="106"/>
  <c r="AN31" i="106"/>
  <c r="AA31" i="106"/>
  <c r="B29" i="106"/>
  <c r="AG17" i="106"/>
  <c r="AG18" i="106" s="1"/>
  <c r="AD16" i="106"/>
  <c r="AD17" i="106"/>
  <c r="AD18" i="106"/>
  <c r="AA19" i="106"/>
  <c r="AA20" i="106"/>
  <c r="G19" i="106"/>
  <c r="Z16" i="106"/>
  <c r="AA16" i="106"/>
  <c r="AA17" i="106"/>
  <c r="AA11" i="106" s="1"/>
  <c r="M11" i="106"/>
  <c r="B10" i="106"/>
  <c r="B9" i="106"/>
  <c r="B4" i="106"/>
  <c r="AG76" i="105"/>
  <c r="AD76" i="105"/>
  <c r="N76" i="105"/>
  <c r="O76" i="105"/>
  <c r="P76" i="105"/>
  <c r="Q76" i="105"/>
  <c r="R76" i="105"/>
  <c r="S76" i="105"/>
  <c r="T76" i="105"/>
  <c r="U76" i="105"/>
  <c r="V76" i="105"/>
  <c r="W76" i="105"/>
  <c r="X76" i="105"/>
  <c r="Y76" i="105"/>
  <c r="Z76" i="105"/>
  <c r="N77" i="105"/>
  <c r="T77" i="105"/>
  <c r="AH73" i="105"/>
  <c r="AI73" i="105"/>
  <c r="AK73" i="105"/>
  <c r="AL73" i="105"/>
  <c r="AH74" i="105"/>
  <c r="AI74" i="105"/>
  <c r="AK74" i="105"/>
  <c r="AL74" i="105"/>
  <c r="AE73" i="105"/>
  <c r="AE74" i="105"/>
  <c r="AF74" i="105"/>
  <c r="AA73" i="105"/>
  <c r="AF73" i="105" s="1"/>
  <c r="AA74" i="105"/>
  <c r="AB74" i="105"/>
  <c r="AH69" i="105"/>
  <c r="AK69" i="105"/>
  <c r="AL69" i="105"/>
  <c r="AH70" i="105"/>
  <c r="AI70" i="105"/>
  <c r="AK70" i="105"/>
  <c r="AL70" i="105"/>
  <c r="AH71" i="105"/>
  <c r="AN71" i="105" s="1"/>
  <c r="AK71" i="105"/>
  <c r="AL71" i="105"/>
  <c r="AE69" i="105"/>
  <c r="AE70" i="105"/>
  <c r="AE71" i="105"/>
  <c r="AF71" i="105"/>
  <c r="AA69" i="105"/>
  <c r="AF69" i="105" s="1"/>
  <c r="AA70" i="105"/>
  <c r="AB70" i="105" s="1"/>
  <c r="AA71" i="105"/>
  <c r="AI71" i="105" s="1"/>
  <c r="AB71" i="105"/>
  <c r="K69" i="105"/>
  <c r="K70" i="105"/>
  <c r="AH62" i="105"/>
  <c r="AI62" i="105"/>
  <c r="AK62" i="105"/>
  <c r="AL62" i="105"/>
  <c r="AH63" i="105"/>
  <c r="AK63" i="105"/>
  <c r="AL63" i="105"/>
  <c r="AH64" i="105"/>
  <c r="AI64" i="105"/>
  <c r="AK64" i="105"/>
  <c r="AL64" i="105"/>
  <c r="AH65" i="105"/>
  <c r="AK65" i="105"/>
  <c r="AL65" i="105"/>
  <c r="AH66" i="105"/>
  <c r="AK66" i="105"/>
  <c r="AL66" i="105"/>
  <c r="AE62" i="105"/>
  <c r="AE63" i="105"/>
  <c r="AE64" i="105"/>
  <c r="AF64" i="105"/>
  <c r="AE65" i="105"/>
  <c r="AE66" i="105"/>
  <c r="AA62" i="105"/>
  <c r="AF62" i="105" s="1"/>
  <c r="AA63" i="105"/>
  <c r="AA64" i="105"/>
  <c r="AA65" i="105"/>
  <c r="AF65" i="105" s="1"/>
  <c r="AB65" i="105"/>
  <c r="AN65" i="105" s="1"/>
  <c r="AA66" i="105"/>
  <c r="AF66" i="105" s="1"/>
  <c r="K62" i="105"/>
  <c r="K63" i="105"/>
  <c r="K64" i="105"/>
  <c r="K65" i="105"/>
  <c r="K66" i="105"/>
  <c r="AD58" i="105"/>
  <c r="AK58" i="105" s="1"/>
  <c r="AG58" i="105"/>
  <c r="O58" i="105"/>
  <c r="P58" i="105"/>
  <c r="P77" i="105" s="1"/>
  <c r="Q58" i="105"/>
  <c r="Q77" i="105" s="1"/>
  <c r="R58" i="105"/>
  <c r="R77" i="105" s="1"/>
  <c r="S58" i="105"/>
  <c r="S77" i="105" s="1"/>
  <c r="T58" i="105"/>
  <c r="U58" i="105"/>
  <c r="U77" i="105" s="1"/>
  <c r="V58" i="105"/>
  <c r="V77" i="105" s="1"/>
  <c r="W58" i="105"/>
  <c r="W77" i="105" s="1"/>
  <c r="X58" i="105"/>
  <c r="X77" i="105" s="1"/>
  <c r="Y58" i="105"/>
  <c r="Y77" i="105" s="1"/>
  <c r="Z58" i="105"/>
  <c r="Z77" i="105" s="1"/>
  <c r="AI57" i="105"/>
  <c r="K57" i="105"/>
  <c r="K58" i="105"/>
  <c r="B57" i="105"/>
  <c r="AA47" i="105"/>
  <c r="AA48" i="105"/>
  <c r="AF48" i="105" s="1"/>
  <c r="AA49" i="105"/>
  <c r="AA50" i="105"/>
  <c r="AI50" i="105" s="1"/>
  <c r="AA51" i="105"/>
  <c r="AI51" i="105" s="1"/>
  <c r="AA52" i="105"/>
  <c r="AA53" i="105"/>
  <c r="AF53" i="105" s="1"/>
  <c r="AA54" i="105"/>
  <c r="AA55" i="105"/>
  <c r="AA56" i="105"/>
  <c r="AF56" i="105" s="1"/>
  <c r="AK47" i="105"/>
  <c r="AL47" i="105"/>
  <c r="AM47" i="105"/>
  <c r="AN47" i="105"/>
  <c r="AI48" i="105"/>
  <c r="AK48" i="105"/>
  <c r="AL48" i="105"/>
  <c r="AM48" i="105"/>
  <c r="AN48" i="105"/>
  <c r="AI49" i="105"/>
  <c r="AJ49" i="105"/>
  <c r="AK49" i="105"/>
  <c r="AL49" i="105"/>
  <c r="AM49" i="105"/>
  <c r="AN49" i="105"/>
  <c r="AK50" i="105"/>
  <c r="AL50" i="105"/>
  <c r="AM50" i="105"/>
  <c r="AN50" i="105"/>
  <c r="AK51" i="105"/>
  <c r="AL51" i="105"/>
  <c r="AM51" i="105"/>
  <c r="AN51" i="105"/>
  <c r="AK52" i="105"/>
  <c r="AL52" i="105"/>
  <c r="AM52" i="105"/>
  <c r="AN52" i="105"/>
  <c r="AI53" i="105"/>
  <c r="AK53" i="105"/>
  <c r="AL53" i="105"/>
  <c r="AM53" i="105"/>
  <c r="AN53" i="105"/>
  <c r="AK54" i="105"/>
  <c r="AL54" i="105"/>
  <c r="AM54" i="105"/>
  <c r="AN54" i="105"/>
  <c r="AK55" i="105"/>
  <c r="AL55" i="105"/>
  <c r="AM55" i="105"/>
  <c r="AN55" i="105"/>
  <c r="AI56" i="105"/>
  <c r="AK56" i="105"/>
  <c r="AL56" i="105"/>
  <c r="AM56" i="105"/>
  <c r="AN56" i="105"/>
  <c r="AF49" i="105"/>
  <c r="AF52" i="105"/>
  <c r="AF57" i="105"/>
  <c r="K47" i="105"/>
  <c r="K48" i="105"/>
  <c r="K49" i="105"/>
  <c r="K50" i="105"/>
  <c r="K51" i="105"/>
  <c r="K52" i="105"/>
  <c r="K53" i="105"/>
  <c r="K54" i="105"/>
  <c r="K55" i="105"/>
  <c r="K56" i="105"/>
  <c r="AH34" i="105"/>
  <c r="AK34" i="105"/>
  <c r="AL34" i="105"/>
  <c r="AM34" i="105"/>
  <c r="AH35" i="105"/>
  <c r="AK35" i="105"/>
  <c r="AL35" i="105"/>
  <c r="AH36" i="105"/>
  <c r="AN36" i="105" s="1"/>
  <c r="AK36" i="105"/>
  <c r="AL36" i="105"/>
  <c r="AH37" i="105"/>
  <c r="AK37" i="105"/>
  <c r="AL37" i="105"/>
  <c r="AH38" i="105"/>
  <c r="AK38" i="105"/>
  <c r="AL38" i="105"/>
  <c r="AH39" i="105"/>
  <c r="AK39" i="105"/>
  <c r="AL39" i="105"/>
  <c r="AH40" i="105"/>
  <c r="AI40" i="105"/>
  <c r="AJ40" i="105"/>
  <c r="AK40" i="105"/>
  <c r="AL40" i="105"/>
  <c r="AH41" i="105"/>
  <c r="AK41" i="105"/>
  <c r="AL41" i="105"/>
  <c r="AH42" i="105"/>
  <c r="AK42" i="105"/>
  <c r="AL42" i="105"/>
  <c r="AH43" i="105"/>
  <c r="AK43" i="105"/>
  <c r="AL43" i="105"/>
  <c r="AH44" i="105"/>
  <c r="AK44" i="105"/>
  <c r="AL44" i="105"/>
  <c r="AM44" i="105"/>
  <c r="AN44" i="105"/>
  <c r="AE34" i="105"/>
  <c r="AE35" i="105"/>
  <c r="AE36" i="105"/>
  <c r="AF36" i="105"/>
  <c r="AE37" i="105"/>
  <c r="AE38" i="105"/>
  <c r="AE39" i="105"/>
  <c r="AE40" i="105"/>
  <c r="AF40" i="105"/>
  <c r="AE41" i="105"/>
  <c r="AE42" i="105"/>
  <c r="AE43" i="105"/>
  <c r="AE44" i="105"/>
  <c r="AF44" i="105"/>
  <c r="AA34" i="105"/>
  <c r="AB34" i="105"/>
  <c r="AN34" i="105" s="1"/>
  <c r="AA35" i="105"/>
  <c r="AF35" i="105" s="1"/>
  <c r="AA36" i="105"/>
  <c r="AI36" i="105" s="1"/>
  <c r="AB36" i="105"/>
  <c r="AA37" i="105"/>
  <c r="AJ37" i="105" s="1"/>
  <c r="AA38" i="105"/>
  <c r="AB38" i="105" s="1"/>
  <c r="AA39" i="105"/>
  <c r="AA40" i="105"/>
  <c r="AB40" i="105"/>
  <c r="AA41" i="105"/>
  <c r="AA42" i="105"/>
  <c r="AB42" i="105" s="1"/>
  <c r="AA43" i="105"/>
  <c r="AA44" i="105"/>
  <c r="AI44" i="105" s="1"/>
  <c r="AB44" i="105"/>
  <c r="K34" i="105"/>
  <c r="K35" i="105"/>
  <c r="K36" i="105"/>
  <c r="K37" i="105"/>
  <c r="K38" i="105"/>
  <c r="K39" i="105"/>
  <c r="K40" i="105"/>
  <c r="K41" i="105"/>
  <c r="K42" i="105"/>
  <c r="K43" i="105"/>
  <c r="K44" i="105"/>
  <c r="AJ32" i="105"/>
  <c r="AK32" i="105"/>
  <c r="AL32" i="105"/>
  <c r="AM31" i="105"/>
  <c r="AN31" i="105"/>
  <c r="AA31" i="105"/>
  <c r="B29" i="105"/>
  <c r="AG17" i="105"/>
  <c r="AG18" i="105" s="1"/>
  <c r="AD16" i="105"/>
  <c r="AD17" i="105"/>
  <c r="AD18" i="105" s="1"/>
  <c r="AA19" i="105"/>
  <c r="AA20" i="105"/>
  <c r="AJ69" i="105" s="1"/>
  <c r="G19" i="105"/>
  <c r="Z16" i="105"/>
  <c r="AA16" i="105"/>
  <c r="AA17" i="105"/>
  <c r="AA11" i="105" s="1"/>
  <c r="M11" i="105"/>
  <c r="B10" i="105"/>
  <c r="B9" i="105"/>
  <c r="B4" i="105"/>
  <c r="AG62" i="104"/>
  <c r="AD62" i="104"/>
  <c r="N62" i="104"/>
  <c r="O62" i="104"/>
  <c r="P62" i="104"/>
  <c r="Q62" i="104"/>
  <c r="R62" i="104"/>
  <c r="S62" i="104"/>
  <c r="T62" i="104"/>
  <c r="U62" i="104"/>
  <c r="V62" i="104"/>
  <c r="W62" i="104"/>
  <c r="X62" i="104"/>
  <c r="Y62" i="104"/>
  <c r="Z62" i="104"/>
  <c r="N63" i="104"/>
  <c r="AH59" i="104"/>
  <c r="AI59" i="104"/>
  <c r="AK59" i="104"/>
  <c r="AL59" i="104"/>
  <c r="AH60" i="104"/>
  <c r="AK60" i="104"/>
  <c r="AL60" i="104"/>
  <c r="AE59" i="104"/>
  <c r="AF59" i="104"/>
  <c r="AE60" i="104"/>
  <c r="AA59" i="104"/>
  <c r="AB59" i="104"/>
  <c r="AA60" i="104"/>
  <c r="AB60" i="104"/>
  <c r="B58" i="104"/>
  <c r="AH55" i="104"/>
  <c r="AI55" i="104"/>
  <c r="AK55" i="104"/>
  <c r="AL55" i="104"/>
  <c r="AH56" i="104"/>
  <c r="AI56" i="104"/>
  <c r="AK56" i="104"/>
  <c r="AL56" i="104"/>
  <c r="AH57" i="104"/>
  <c r="AK57" i="104"/>
  <c r="AL57" i="104"/>
  <c r="AE55" i="104"/>
  <c r="AF55" i="104"/>
  <c r="AE56" i="104"/>
  <c r="AM56" i="104" s="1"/>
  <c r="AF56" i="104"/>
  <c r="AE57" i="104"/>
  <c r="AA55" i="104"/>
  <c r="AB55" i="104"/>
  <c r="AM55" i="104" s="1"/>
  <c r="AA56" i="104"/>
  <c r="AB56" i="104"/>
  <c r="AA57" i="104"/>
  <c r="AA62" i="104" s="1"/>
  <c r="K55" i="104"/>
  <c r="K56" i="104"/>
  <c r="AH48" i="104"/>
  <c r="AK48" i="104"/>
  <c r="AL48" i="104"/>
  <c r="AH49" i="104"/>
  <c r="AK49" i="104"/>
  <c r="AL49" i="104"/>
  <c r="AH50" i="104"/>
  <c r="AK50" i="104"/>
  <c r="AL50" i="104"/>
  <c r="AH51" i="104"/>
  <c r="AK51" i="104"/>
  <c r="AL51" i="104"/>
  <c r="AH52" i="104"/>
  <c r="AK52" i="104"/>
  <c r="AL52" i="104"/>
  <c r="AE48" i="104"/>
  <c r="AE49" i="104"/>
  <c r="AE50" i="104"/>
  <c r="AE51" i="104"/>
  <c r="AE52" i="104"/>
  <c r="AA48" i="104"/>
  <c r="AA49" i="104"/>
  <c r="AF49" i="104" s="1"/>
  <c r="AA50" i="104"/>
  <c r="AI50" i="104" s="1"/>
  <c r="AA51" i="104"/>
  <c r="AI51" i="104" s="1"/>
  <c r="AB51" i="104"/>
  <c r="AM51" i="104" s="1"/>
  <c r="AA52" i="104"/>
  <c r="K48" i="104"/>
  <c r="K49" i="104"/>
  <c r="K50" i="104"/>
  <c r="K51" i="104"/>
  <c r="K52" i="104"/>
  <c r="AD44" i="104"/>
  <c r="AD63" i="104" s="1"/>
  <c r="AG44" i="104"/>
  <c r="AG63" i="104" s="1"/>
  <c r="O44" i="104"/>
  <c r="O63" i="104" s="1"/>
  <c r="P44" i="104"/>
  <c r="P63" i="104" s="1"/>
  <c r="Q44" i="104"/>
  <c r="Q63" i="104" s="1"/>
  <c r="R44" i="104"/>
  <c r="R63" i="104" s="1"/>
  <c r="S44" i="104"/>
  <c r="S63" i="104" s="1"/>
  <c r="T44" i="104"/>
  <c r="T63" i="104" s="1"/>
  <c r="U44" i="104"/>
  <c r="U63" i="104" s="1"/>
  <c r="V44" i="104"/>
  <c r="V63" i="104" s="1"/>
  <c r="W44" i="104"/>
  <c r="W63" i="104" s="1"/>
  <c r="X44" i="104"/>
  <c r="X63" i="104" s="1"/>
  <c r="Y44" i="104"/>
  <c r="Y63" i="104" s="1"/>
  <c r="Z44" i="104"/>
  <c r="Z63" i="104" s="1"/>
  <c r="K43" i="104"/>
  <c r="K44" i="104"/>
  <c r="AK41" i="104"/>
  <c r="AL41" i="104"/>
  <c r="AM41" i="104"/>
  <c r="AN41" i="104"/>
  <c r="AK42" i="104"/>
  <c r="AL42" i="104"/>
  <c r="AM42" i="104"/>
  <c r="AN42" i="104"/>
  <c r="AI43" i="104"/>
  <c r="AJ43" i="104"/>
  <c r="AK43" i="104"/>
  <c r="AL43" i="104"/>
  <c r="AM43" i="104"/>
  <c r="AN43" i="104"/>
  <c r="AF43" i="104"/>
  <c r="AA41" i="104"/>
  <c r="AI41" i="104" s="1"/>
  <c r="AA42" i="104"/>
  <c r="AJ42" i="104" s="1"/>
  <c r="K41" i="104"/>
  <c r="K42" i="104"/>
  <c r="AH34" i="104"/>
  <c r="AI34" i="104"/>
  <c r="AK34" i="104"/>
  <c r="AL34" i="104"/>
  <c r="AH35" i="104"/>
  <c r="AK35" i="104"/>
  <c r="AL35" i="104"/>
  <c r="AH36" i="104"/>
  <c r="AK36" i="104"/>
  <c r="AL36" i="104"/>
  <c r="AH37" i="104"/>
  <c r="AK37" i="104"/>
  <c r="AL37" i="104"/>
  <c r="AH38" i="104"/>
  <c r="AK38" i="104"/>
  <c r="AL38" i="104"/>
  <c r="AE34" i="104"/>
  <c r="AF34" i="104"/>
  <c r="AE35" i="104"/>
  <c r="AE36" i="104"/>
  <c r="AE37" i="104"/>
  <c r="AE38" i="104"/>
  <c r="AA34" i="104"/>
  <c r="AB34" i="104" s="1"/>
  <c r="AA35" i="104"/>
  <c r="AF35" i="104" s="1"/>
  <c r="AA36" i="104"/>
  <c r="AI36" i="104" s="1"/>
  <c r="AA37" i="104"/>
  <c r="AA38" i="104"/>
  <c r="K34" i="104"/>
  <c r="K35" i="104"/>
  <c r="K36" i="104"/>
  <c r="K37" i="104"/>
  <c r="K38" i="104"/>
  <c r="AJ32" i="104"/>
  <c r="AK32" i="104"/>
  <c r="AL32" i="104"/>
  <c r="AM31" i="104"/>
  <c r="AN31" i="104"/>
  <c r="AA31" i="104"/>
  <c r="B29" i="104"/>
  <c r="AG17" i="104"/>
  <c r="AG18" i="104"/>
  <c r="AD16" i="104"/>
  <c r="AD17" i="104"/>
  <c r="AD18" i="104"/>
  <c r="AA19" i="104"/>
  <c r="AA20" i="104"/>
  <c r="G19" i="104"/>
  <c r="Z16" i="104"/>
  <c r="AA16" i="104"/>
  <c r="AA17" i="104"/>
  <c r="AA11" i="104" s="1"/>
  <c r="M11" i="104"/>
  <c r="B10" i="104"/>
  <c r="B9" i="104"/>
  <c r="B4" i="104"/>
  <c r="AG69" i="103"/>
  <c r="AD69" i="103"/>
  <c r="N69" i="103"/>
  <c r="O69" i="103"/>
  <c r="P69" i="103"/>
  <c r="Q69" i="103"/>
  <c r="R69" i="103"/>
  <c r="S69" i="103"/>
  <c r="T69" i="103"/>
  <c r="U69" i="103"/>
  <c r="V69" i="103"/>
  <c r="W69" i="103"/>
  <c r="X69" i="103"/>
  <c r="Y69" i="103"/>
  <c r="Z69" i="103"/>
  <c r="N70" i="103"/>
  <c r="U70" i="103"/>
  <c r="AH66" i="103"/>
  <c r="AK66" i="103"/>
  <c r="AL66" i="103"/>
  <c r="AH67" i="103"/>
  <c r="AJ67" i="103"/>
  <c r="AK67" i="103"/>
  <c r="AL67" i="103"/>
  <c r="AE66" i="103"/>
  <c r="AE67" i="103"/>
  <c r="AF67" i="103"/>
  <c r="AA66" i="103"/>
  <c r="AA67" i="103"/>
  <c r="AB67" i="103" s="1"/>
  <c r="AH62" i="103"/>
  <c r="AK62" i="103"/>
  <c r="AL62" i="103"/>
  <c r="AH63" i="103"/>
  <c r="AI63" i="103"/>
  <c r="AK63" i="103"/>
  <c r="AL63" i="103"/>
  <c r="AM63" i="103"/>
  <c r="AH64" i="103"/>
  <c r="AK64" i="103"/>
  <c r="AL64" i="103"/>
  <c r="AE62" i="103"/>
  <c r="AE63" i="103"/>
  <c r="AF63" i="103"/>
  <c r="AE64" i="103"/>
  <c r="AA62" i="103"/>
  <c r="AF62" i="103" s="1"/>
  <c r="AA63" i="103"/>
  <c r="AB63" i="103"/>
  <c r="AN63" i="103" s="1"/>
  <c r="AA64" i="103"/>
  <c r="K62" i="103"/>
  <c r="K63" i="103"/>
  <c r="B58" i="103"/>
  <c r="AH55" i="103"/>
  <c r="AK55" i="103"/>
  <c r="AL55" i="103"/>
  <c r="AH56" i="103"/>
  <c r="AK56" i="103"/>
  <c r="AL56" i="103"/>
  <c r="AH57" i="103"/>
  <c r="AI57" i="103"/>
  <c r="AK57" i="103"/>
  <c r="AL57" i="103"/>
  <c r="AH58" i="103"/>
  <c r="AK58" i="103"/>
  <c r="AL58" i="103"/>
  <c r="AH59" i="103"/>
  <c r="AK59" i="103"/>
  <c r="AL59" i="103"/>
  <c r="AE55" i="103"/>
  <c r="AF55" i="103"/>
  <c r="AE56" i="103"/>
  <c r="AE57" i="103"/>
  <c r="AE58" i="103"/>
  <c r="AF58" i="103"/>
  <c r="AE59" i="103"/>
  <c r="AA55" i="103"/>
  <c r="AI55" i="103" s="1"/>
  <c r="AA56" i="103"/>
  <c r="AA57" i="103"/>
  <c r="AF57" i="103" s="1"/>
  <c r="AA58" i="103"/>
  <c r="AJ58" i="103" s="1"/>
  <c r="AB58" i="103"/>
  <c r="AM58" i="103" s="1"/>
  <c r="AA59" i="103"/>
  <c r="K55" i="103"/>
  <c r="K56" i="103"/>
  <c r="K57" i="103"/>
  <c r="K58" i="103"/>
  <c r="K59" i="103"/>
  <c r="AD51" i="103"/>
  <c r="AD70" i="103" s="1"/>
  <c r="AG51" i="103"/>
  <c r="AL51" i="103" s="1"/>
  <c r="O51" i="103"/>
  <c r="O70" i="103" s="1"/>
  <c r="P51" i="103"/>
  <c r="P70" i="103" s="1"/>
  <c r="Q51" i="103"/>
  <c r="Q70" i="103" s="1"/>
  <c r="R51" i="103"/>
  <c r="R70" i="103" s="1"/>
  <c r="S51" i="103"/>
  <c r="S70" i="103" s="1"/>
  <c r="T51" i="103"/>
  <c r="T70" i="103" s="1"/>
  <c r="U51" i="103"/>
  <c r="V51" i="103"/>
  <c r="V70" i="103" s="1"/>
  <c r="W51" i="103"/>
  <c r="W70" i="103" s="1"/>
  <c r="X51" i="103"/>
  <c r="X70" i="103" s="1"/>
  <c r="Y51" i="103"/>
  <c r="Y70" i="103" s="1"/>
  <c r="Z51" i="103"/>
  <c r="Z70" i="103" s="1"/>
  <c r="K50" i="103"/>
  <c r="K51" i="103"/>
  <c r="AI47" i="103"/>
  <c r="AJ47" i="103"/>
  <c r="AK47" i="103"/>
  <c r="AL47" i="103"/>
  <c r="AM47" i="103"/>
  <c r="AN47" i="103"/>
  <c r="AK48" i="103"/>
  <c r="AL48" i="103"/>
  <c r="AM48" i="103"/>
  <c r="AN48" i="103"/>
  <c r="AK49" i="103"/>
  <c r="AL49" i="103"/>
  <c r="AM49" i="103"/>
  <c r="AN49" i="103"/>
  <c r="AK50" i="103"/>
  <c r="AL50" i="103"/>
  <c r="AM50" i="103"/>
  <c r="AN50" i="103"/>
  <c r="AA47" i="103"/>
  <c r="AF47" i="103" s="1"/>
  <c r="AA48" i="103"/>
  <c r="AI48" i="103" s="1"/>
  <c r="AA49" i="103"/>
  <c r="AF49" i="103" s="1"/>
  <c r="AA50" i="103"/>
  <c r="AI50" i="103" s="1"/>
  <c r="K47" i="103"/>
  <c r="K48" i="103"/>
  <c r="K49" i="103"/>
  <c r="AH34" i="103"/>
  <c r="AK34" i="103"/>
  <c r="AL34" i="103"/>
  <c r="AH35" i="103"/>
  <c r="AK35" i="103"/>
  <c r="AL35" i="103"/>
  <c r="AH36" i="103"/>
  <c r="AK36" i="103"/>
  <c r="AL36" i="103"/>
  <c r="AH37" i="103"/>
  <c r="AK37" i="103"/>
  <c r="AL37" i="103"/>
  <c r="AH38" i="103"/>
  <c r="AK38" i="103"/>
  <c r="AL38" i="103"/>
  <c r="AH39" i="103"/>
  <c r="AK39" i="103"/>
  <c r="AL39" i="103"/>
  <c r="AH40" i="103"/>
  <c r="AK40" i="103"/>
  <c r="AL40" i="103"/>
  <c r="AH41" i="103"/>
  <c r="AK41" i="103"/>
  <c r="AL41" i="103"/>
  <c r="AH42" i="103"/>
  <c r="AK42" i="103"/>
  <c r="AL42" i="103"/>
  <c r="AH43" i="103"/>
  <c r="AK43" i="103"/>
  <c r="AL43" i="103"/>
  <c r="AH44" i="103"/>
  <c r="AK44" i="103"/>
  <c r="AL44" i="103"/>
  <c r="AE34" i="103"/>
  <c r="AE35" i="103"/>
  <c r="AE36" i="103"/>
  <c r="AF36" i="103"/>
  <c r="AE37" i="103"/>
  <c r="AF37" i="103"/>
  <c r="AE38" i="103"/>
  <c r="AE39" i="103"/>
  <c r="AE40" i="103"/>
  <c r="AE41" i="103"/>
  <c r="AE42" i="103"/>
  <c r="AE43" i="103"/>
  <c r="AE44" i="103"/>
  <c r="AF44" i="103"/>
  <c r="AA34" i="103"/>
  <c r="AA35" i="103"/>
  <c r="AI35" i="103" s="1"/>
  <c r="AA36" i="103"/>
  <c r="AA37" i="103"/>
  <c r="AB37" i="103"/>
  <c r="AA38" i="103"/>
  <c r="AA39" i="103"/>
  <c r="AF39" i="103" s="1"/>
  <c r="AA40" i="103"/>
  <c r="AJ40" i="103" s="1"/>
  <c r="AB40" i="103"/>
  <c r="AM40" i="103" s="1"/>
  <c r="AA41" i="103"/>
  <c r="AA42" i="103"/>
  <c r="AA43" i="103"/>
  <c r="AI43" i="103" s="1"/>
  <c r="AA44" i="103"/>
  <c r="AB44" i="103"/>
  <c r="K34" i="103"/>
  <c r="K35" i="103"/>
  <c r="K36" i="103"/>
  <c r="K37" i="103"/>
  <c r="K38" i="103"/>
  <c r="K39" i="103"/>
  <c r="K40" i="103"/>
  <c r="K41" i="103"/>
  <c r="K42" i="103"/>
  <c r="K43" i="103"/>
  <c r="K44" i="103"/>
  <c r="AJ32" i="103"/>
  <c r="AK32" i="103"/>
  <c r="AL32" i="103"/>
  <c r="AM31" i="103"/>
  <c r="AN31" i="103"/>
  <c r="AA31" i="103"/>
  <c r="B29" i="103"/>
  <c r="AG17" i="103"/>
  <c r="AG18" i="103"/>
  <c r="AD16" i="103"/>
  <c r="AD17" i="103"/>
  <c r="AD18" i="103" s="1"/>
  <c r="AA19" i="103"/>
  <c r="AA20" i="103"/>
  <c r="G19" i="103"/>
  <c r="Z16" i="103"/>
  <c r="AA16" i="103"/>
  <c r="AA17" i="103"/>
  <c r="AA11" i="103" s="1"/>
  <c r="M11" i="103"/>
  <c r="B10" i="103"/>
  <c r="B9" i="103"/>
  <c r="B4" i="103"/>
  <c r="AG66" i="102"/>
  <c r="AD66" i="102"/>
  <c r="N66" i="102"/>
  <c r="O66" i="102"/>
  <c r="P66" i="102"/>
  <c r="Q66" i="102"/>
  <c r="R66" i="102"/>
  <c r="S66" i="102"/>
  <c r="T66" i="102"/>
  <c r="U66" i="102"/>
  <c r="V66" i="102"/>
  <c r="W66" i="102"/>
  <c r="X66" i="102"/>
  <c r="Y66" i="102"/>
  <c r="Z66" i="102"/>
  <c r="N67" i="102"/>
  <c r="V67" i="102"/>
  <c r="AH63" i="102"/>
  <c r="AH64" i="102"/>
  <c r="AE63" i="102"/>
  <c r="AE64" i="102"/>
  <c r="AA63" i="102"/>
  <c r="AA64" i="102"/>
  <c r="AF64" i="102" s="1"/>
  <c r="AH59" i="102"/>
  <c r="AH60" i="102"/>
  <c r="AH61" i="102"/>
  <c r="AE59" i="102"/>
  <c r="AE60" i="102"/>
  <c r="AE61" i="102"/>
  <c r="AA59" i="102"/>
  <c r="AI59" i="102" s="1"/>
  <c r="AB59" i="102"/>
  <c r="AA60" i="102"/>
  <c r="AF60" i="102" s="1"/>
  <c r="AA61" i="102"/>
  <c r="K59" i="102"/>
  <c r="K60" i="102"/>
  <c r="B58" i="102"/>
  <c r="AH52" i="102"/>
  <c r="AI52" i="102"/>
  <c r="AH53" i="102"/>
  <c r="AH54" i="102"/>
  <c r="AH55" i="102"/>
  <c r="AI55" i="102"/>
  <c r="AH56" i="102"/>
  <c r="AI56" i="102"/>
  <c r="AE52" i="102"/>
  <c r="AE53" i="102"/>
  <c r="AE54" i="102"/>
  <c r="AE55" i="102"/>
  <c r="AF55" i="102"/>
  <c r="AE56" i="102"/>
  <c r="AA52" i="102"/>
  <c r="AF52" i="102" s="1"/>
  <c r="AB52" i="102"/>
  <c r="AA53" i="102"/>
  <c r="AI53" i="102" s="1"/>
  <c r="AB53" i="102"/>
  <c r="AA54" i="102"/>
  <c r="AI54" i="102" s="1"/>
  <c r="AB54" i="102"/>
  <c r="AA55" i="102"/>
  <c r="AB55" i="102"/>
  <c r="AA56" i="102"/>
  <c r="AF56" i="102" s="1"/>
  <c r="AB56" i="102"/>
  <c r="K52" i="102"/>
  <c r="K53" i="102"/>
  <c r="K54" i="102"/>
  <c r="K55" i="102"/>
  <c r="K56" i="102"/>
  <c r="AD48" i="102"/>
  <c r="AG48" i="102"/>
  <c r="AH48" i="102" s="1"/>
  <c r="O48" i="102"/>
  <c r="P48" i="102"/>
  <c r="P67" i="102" s="1"/>
  <c r="Q48" i="102"/>
  <c r="Q67" i="102" s="1"/>
  <c r="R48" i="102"/>
  <c r="R67" i="102" s="1"/>
  <c r="S48" i="102"/>
  <c r="S67" i="102" s="1"/>
  <c r="T48" i="102"/>
  <c r="T67" i="102" s="1"/>
  <c r="U48" i="102"/>
  <c r="U67" i="102" s="1"/>
  <c r="V48" i="102"/>
  <c r="W48" i="102"/>
  <c r="W67" i="102" s="1"/>
  <c r="X48" i="102"/>
  <c r="X67" i="102" s="1"/>
  <c r="Y48" i="102"/>
  <c r="Y67" i="102" s="1"/>
  <c r="Z48" i="102"/>
  <c r="Z67" i="102" s="1"/>
  <c r="K47" i="102"/>
  <c r="K48" i="102"/>
  <c r="AA42" i="102"/>
  <c r="AF42" i="102" s="1"/>
  <c r="AA43" i="102"/>
  <c r="AF43" i="102" s="1"/>
  <c r="AA44" i="102"/>
  <c r="AI44" i="102" s="1"/>
  <c r="AA45" i="102"/>
  <c r="AA46" i="102"/>
  <c r="AI46" i="102" s="1"/>
  <c r="AI45" i="102"/>
  <c r="AI47" i="102"/>
  <c r="AF45" i="102"/>
  <c r="AF47" i="102"/>
  <c r="K42" i="102"/>
  <c r="K43" i="102"/>
  <c r="K44" i="102"/>
  <c r="K45" i="102"/>
  <c r="K46" i="102"/>
  <c r="AH34" i="102"/>
  <c r="AH35" i="102"/>
  <c r="AH36" i="102"/>
  <c r="AI36" i="102"/>
  <c r="AH37" i="102"/>
  <c r="AH38" i="102"/>
  <c r="AI38" i="102"/>
  <c r="AH39" i="102"/>
  <c r="AE34" i="102"/>
  <c r="AE35" i="102"/>
  <c r="AE36" i="102"/>
  <c r="AE37" i="102"/>
  <c r="AF37" i="102"/>
  <c r="AE38" i="102"/>
  <c r="AE39" i="102"/>
  <c r="AA34" i="102"/>
  <c r="AA35" i="102"/>
  <c r="AF35" i="102" s="1"/>
  <c r="AA36" i="102"/>
  <c r="AF36" i="102" s="1"/>
  <c r="AB36" i="102"/>
  <c r="AA37" i="102"/>
  <c r="AI37" i="102" s="1"/>
  <c r="AB37" i="102"/>
  <c r="AA38" i="102"/>
  <c r="AF38" i="102" s="1"/>
  <c r="AB38" i="102"/>
  <c r="AA39" i="102"/>
  <c r="AF39" i="102" s="1"/>
  <c r="K34" i="102"/>
  <c r="K35" i="102"/>
  <c r="K36" i="102"/>
  <c r="K37" i="102"/>
  <c r="K38" i="102"/>
  <c r="K39" i="102"/>
  <c r="AA31" i="102"/>
  <c r="B29" i="102"/>
  <c r="AG17" i="102"/>
  <c r="AG18" i="102" s="1"/>
  <c r="AD16" i="102"/>
  <c r="AD17" i="102"/>
  <c r="AD18" i="102" s="1"/>
  <c r="AA19" i="102"/>
  <c r="G19" i="102"/>
  <c r="Z16" i="102"/>
  <c r="AA16" i="102"/>
  <c r="AA17" i="102"/>
  <c r="AA11" i="102" s="1"/>
  <c r="M11" i="102"/>
  <c r="B10" i="102"/>
  <c r="B9" i="102"/>
  <c r="B4" i="102"/>
  <c r="M62" i="101"/>
  <c r="AD60" i="101"/>
  <c r="AG60" i="101"/>
  <c r="AJ60" i="101"/>
  <c r="AK60" i="101"/>
  <c r="Z60" i="101"/>
  <c r="AE60" i="101" s="1"/>
  <c r="AC52" i="101"/>
  <c r="AD52" i="101"/>
  <c r="AF52" i="101"/>
  <c r="AK52" i="101" s="1"/>
  <c r="AG52" i="101"/>
  <c r="AJ52" i="101"/>
  <c r="AC53" i="101"/>
  <c r="AJ53" i="101" s="1"/>
  <c r="AD53" i="101"/>
  <c r="AF53" i="101"/>
  <c r="AG53" i="101" s="1"/>
  <c r="AK53" i="101"/>
  <c r="AC54" i="101"/>
  <c r="AJ54" i="101" s="1"/>
  <c r="AF54" i="101"/>
  <c r="AK54" i="101" s="1"/>
  <c r="AC55" i="101"/>
  <c r="AJ55" i="101" s="1"/>
  <c r="AF55" i="101"/>
  <c r="AK55" i="101" s="1"/>
  <c r="AC56" i="101"/>
  <c r="AJ56" i="101" s="1"/>
  <c r="AF56" i="101"/>
  <c r="AG56" i="101" s="1"/>
  <c r="AK56" i="101"/>
  <c r="AC57" i="101"/>
  <c r="AJ57" i="101" s="1"/>
  <c r="AF57" i="101"/>
  <c r="AK57" i="101" s="1"/>
  <c r="AG57" i="101"/>
  <c r="N52" i="101"/>
  <c r="O52" i="101"/>
  <c r="P52" i="101"/>
  <c r="Q52" i="101"/>
  <c r="R52" i="101"/>
  <c r="S52" i="101"/>
  <c r="T52" i="101"/>
  <c r="U52" i="101"/>
  <c r="V52" i="101"/>
  <c r="W52" i="101"/>
  <c r="X52" i="101"/>
  <c r="Y52" i="101"/>
  <c r="N53" i="101"/>
  <c r="O53" i="101"/>
  <c r="P53" i="101"/>
  <c r="Q53" i="101"/>
  <c r="R53" i="101"/>
  <c r="S53" i="101"/>
  <c r="T53" i="101"/>
  <c r="U53" i="101"/>
  <c r="V53" i="101"/>
  <c r="W53" i="101"/>
  <c r="X53" i="101"/>
  <c r="Y53" i="101"/>
  <c r="N54" i="101"/>
  <c r="O54" i="101"/>
  <c r="P54" i="101"/>
  <c r="Q54" i="101"/>
  <c r="R54" i="101"/>
  <c r="S54" i="101"/>
  <c r="T54" i="101"/>
  <c r="U54" i="101"/>
  <c r="V54" i="101"/>
  <c r="W54" i="101"/>
  <c r="X54" i="101"/>
  <c r="Y54" i="101"/>
  <c r="N55" i="101"/>
  <c r="O55" i="101"/>
  <c r="P55" i="101"/>
  <c r="Q55" i="101"/>
  <c r="R55" i="101"/>
  <c r="S55" i="101"/>
  <c r="T55" i="101"/>
  <c r="U55" i="101"/>
  <c r="V55" i="101"/>
  <c r="W55" i="101"/>
  <c r="X55" i="101"/>
  <c r="Y55" i="101"/>
  <c r="N56" i="101"/>
  <c r="O56" i="101"/>
  <c r="P56" i="101"/>
  <c r="Q56" i="101"/>
  <c r="R56" i="101"/>
  <c r="S56" i="101"/>
  <c r="T56" i="101"/>
  <c r="U56" i="101"/>
  <c r="V56" i="101"/>
  <c r="W56" i="101"/>
  <c r="X56" i="101"/>
  <c r="Y56" i="101"/>
  <c r="N57" i="101"/>
  <c r="O57" i="101"/>
  <c r="P57" i="101"/>
  <c r="Q57" i="101"/>
  <c r="R57" i="101"/>
  <c r="S57" i="101"/>
  <c r="T57" i="101"/>
  <c r="U57" i="101"/>
  <c r="V57" i="101"/>
  <c r="W57" i="101"/>
  <c r="X57" i="101"/>
  <c r="Y57" i="101"/>
  <c r="N58" i="101"/>
  <c r="Q58" i="101"/>
  <c r="V58" i="101"/>
  <c r="AC49" i="101"/>
  <c r="AJ49" i="101" s="1"/>
  <c r="AF49" i="101"/>
  <c r="N49" i="101"/>
  <c r="O49" i="101"/>
  <c r="P49" i="101"/>
  <c r="Q49" i="101"/>
  <c r="R49" i="101"/>
  <c r="S49" i="101"/>
  <c r="T49" i="101"/>
  <c r="U49" i="101"/>
  <c r="V49" i="101"/>
  <c r="W49" i="101"/>
  <c r="X49" i="101"/>
  <c r="Y49" i="101"/>
  <c r="AG43" i="101"/>
  <c r="AJ43" i="101"/>
  <c r="AK43" i="101"/>
  <c r="AG44" i="101"/>
  <c r="AJ44" i="101"/>
  <c r="AK44" i="101"/>
  <c r="AG45" i="101"/>
  <c r="AJ45" i="101"/>
  <c r="AK45" i="101"/>
  <c r="AG46" i="101"/>
  <c r="AJ46" i="101"/>
  <c r="AK46" i="101"/>
  <c r="AG47" i="101"/>
  <c r="AJ47" i="101"/>
  <c r="AK47" i="101"/>
  <c r="AG48" i="101"/>
  <c r="AH48" i="101"/>
  <c r="AJ48" i="101"/>
  <c r="AK48" i="101"/>
  <c r="AD43" i="101"/>
  <c r="AD44" i="101"/>
  <c r="AD45" i="101"/>
  <c r="AD46" i="101"/>
  <c r="AD47" i="101"/>
  <c r="AE47" i="101"/>
  <c r="AD48" i="101"/>
  <c r="Z43" i="101"/>
  <c r="Z44" i="101"/>
  <c r="AH44" i="101" s="1"/>
  <c r="AA44" i="101"/>
  <c r="Z45" i="101"/>
  <c r="AH45" i="101" s="1"/>
  <c r="AA45" i="101"/>
  <c r="Z46" i="101"/>
  <c r="AH46" i="101" s="1"/>
  <c r="Z47" i="101"/>
  <c r="Z48" i="101"/>
  <c r="AC40" i="101"/>
  <c r="AC62" i="101" s="1"/>
  <c r="AD40" i="101"/>
  <c r="AF40" i="101"/>
  <c r="AG40" i="101"/>
  <c r="N40" i="101"/>
  <c r="N62" i="101" s="1"/>
  <c r="O40" i="101"/>
  <c r="O62" i="101" s="1"/>
  <c r="P40" i="101"/>
  <c r="Q40" i="101"/>
  <c r="R40" i="101"/>
  <c r="R62" i="101" s="1"/>
  <c r="S40" i="101"/>
  <c r="T40" i="101"/>
  <c r="U40" i="101"/>
  <c r="U62" i="101" s="1"/>
  <c r="V40" i="101"/>
  <c r="V62" i="101" s="1"/>
  <c r="W40" i="101"/>
  <c r="W62" i="101" s="1"/>
  <c r="X40" i="101"/>
  <c r="Y40" i="101"/>
  <c r="AG34" i="101"/>
  <c r="AH34" i="101"/>
  <c r="AJ34" i="101"/>
  <c r="AK34" i="101"/>
  <c r="AG35" i="101"/>
  <c r="AJ35" i="101"/>
  <c r="AK35" i="101"/>
  <c r="AG36" i="101"/>
  <c r="AJ36" i="101"/>
  <c r="AK36" i="101"/>
  <c r="AG37" i="101"/>
  <c r="AH37" i="101"/>
  <c r="AJ37" i="101"/>
  <c r="AK37" i="101"/>
  <c r="AG38" i="101"/>
  <c r="AJ38" i="101"/>
  <c r="AK38" i="101"/>
  <c r="AG39" i="101"/>
  <c r="AJ39" i="101"/>
  <c r="AK39" i="101"/>
  <c r="AD34" i="101"/>
  <c r="AD35" i="101"/>
  <c r="AD36" i="101"/>
  <c r="AD37" i="101"/>
  <c r="AE37" i="101"/>
  <c r="AD38" i="101"/>
  <c r="AD39" i="101"/>
  <c r="Z34" i="101"/>
  <c r="AE34" i="101" s="1"/>
  <c r="Z35" i="101"/>
  <c r="AE35" i="101" s="1"/>
  <c r="AA35" i="101"/>
  <c r="Z36" i="101"/>
  <c r="AA36" i="101"/>
  <c r="AL36" i="101" s="1"/>
  <c r="Z37" i="101"/>
  <c r="AA37" i="101"/>
  <c r="AM37" i="101" s="1"/>
  <c r="Z38" i="101"/>
  <c r="AE38" i="101" s="1"/>
  <c r="Z39" i="101"/>
  <c r="K34" i="101"/>
  <c r="K35" i="101"/>
  <c r="K36" i="101"/>
  <c r="K37" i="101"/>
  <c r="K38" i="101"/>
  <c r="K39" i="101"/>
  <c r="AI32" i="101"/>
  <c r="AJ32" i="101"/>
  <c r="AK32" i="101"/>
  <c r="AL31" i="101"/>
  <c r="AM31" i="101"/>
  <c r="Z31" i="101"/>
  <c r="AF17" i="101"/>
  <c r="AF18" i="101" s="1"/>
  <c r="AC16" i="101"/>
  <c r="AC17" i="101"/>
  <c r="AC18" i="101" s="1"/>
  <c r="Z19" i="101"/>
  <c r="Z20" i="101"/>
  <c r="AI44" i="101" s="1"/>
  <c r="G19" i="101"/>
  <c r="Y16" i="101"/>
  <c r="Z16" i="101"/>
  <c r="L11" i="101"/>
  <c r="B10" i="101"/>
  <c r="B9" i="101"/>
  <c r="B4" i="101"/>
  <c r="AG76" i="75"/>
  <c r="AD76" i="75"/>
  <c r="N76" i="75"/>
  <c r="O76" i="75"/>
  <c r="P76" i="75"/>
  <c r="Q76" i="75"/>
  <c r="R76" i="75"/>
  <c r="S76" i="75"/>
  <c r="T76" i="75"/>
  <c r="U76" i="75"/>
  <c r="V76" i="75"/>
  <c r="W76" i="75"/>
  <c r="X76" i="75"/>
  <c r="Y76" i="75"/>
  <c r="Z76" i="75"/>
  <c r="AI71" i="75"/>
  <c r="AD72" i="75"/>
  <c r="AD73" i="75"/>
  <c r="AD74" i="75"/>
  <c r="AG72" i="75"/>
  <c r="AG73" i="75"/>
  <c r="AG74" i="75"/>
  <c r="O72" i="75"/>
  <c r="P72" i="75"/>
  <c r="Q72" i="75"/>
  <c r="R72" i="75"/>
  <c r="S72" i="75"/>
  <c r="T72" i="75"/>
  <c r="U72" i="75"/>
  <c r="V72" i="75"/>
  <c r="W72" i="75"/>
  <c r="X72" i="75"/>
  <c r="Y72" i="75"/>
  <c r="Z72" i="75"/>
  <c r="O73" i="75"/>
  <c r="P73" i="75"/>
  <c r="Q73" i="75"/>
  <c r="R73" i="75"/>
  <c r="S73" i="75"/>
  <c r="T73" i="75"/>
  <c r="U73" i="75"/>
  <c r="V73" i="75"/>
  <c r="W73" i="75"/>
  <c r="X73" i="75"/>
  <c r="Y73" i="75"/>
  <c r="Z73" i="75"/>
  <c r="O74" i="75"/>
  <c r="P74" i="75"/>
  <c r="Q74" i="75"/>
  <c r="R74" i="75"/>
  <c r="S74" i="75"/>
  <c r="T74" i="75"/>
  <c r="U74" i="75"/>
  <c r="V74" i="75"/>
  <c r="W74" i="75"/>
  <c r="X74" i="75"/>
  <c r="Y74" i="75"/>
  <c r="Z74" i="75"/>
  <c r="AF71" i="75"/>
  <c r="AG65" i="75"/>
  <c r="AG66" i="75"/>
  <c r="AG68" i="75"/>
  <c r="AG69" i="75"/>
  <c r="AG70" i="75"/>
  <c r="AD65" i="75"/>
  <c r="AD66" i="75"/>
  <c r="AD68" i="75"/>
  <c r="AD69" i="75"/>
  <c r="AD70" i="75"/>
  <c r="O65" i="75"/>
  <c r="P65" i="75"/>
  <c r="Q65" i="75"/>
  <c r="R65" i="75"/>
  <c r="S65" i="75"/>
  <c r="T65" i="75"/>
  <c r="U65" i="75"/>
  <c r="V65" i="75"/>
  <c r="W65" i="75"/>
  <c r="X65" i="75"/>
  <c r="Y65" i="75"/>
  <c r="Z65" i="75"/>
  <c r="O66" i="75"/>
  <c r="P66" i="75"/>
  <c r="Q66" i="75"/>
  <c r="R66" i="75"/>
  <c r="S66" i="75"/>
  <c r="T66" i="75"/>
  <c r="U66" i="75"/>
  <c r="V66" i="75"/>
  <c r="W66" i="75"/>
  <c r="X66" i="75"/>
  <c r="Y66" i="75"/>
  <c r="Z66" i="75"/>
  <c r="T67" i="75"/>
  <c r="X67" i="75"/>
  <c r="O68" i="75"/>
  <c r="P68" i="75"/>
  <c r="Q68" i="75"/>
  <c r="R68" i="75"/>
  <c r="S68" i="75"/>
  <c r="T68" i="75"/>
  <c r="U68" i="75"/>
  <c r="V68" i="75"/>
  <c r="W68" i="75"/>
  <c r="X68" i="75"/>
  <c r="Y68" i="75"/>
  <c r="Z68" i="75"/>
  <c r="O69" i="75"/>
  <c r="P69" i="75"/>
  <c r="Q69" i="75"/>
  <c r="R69" i="75"/>
  <c r="S69" i="75"/>
  <c r="T69" i="75"/>
  <c r="U69" i="75"/>
  <c r="V69" i="75"/>
  <c r="W69" i="75"/>
  <c r="X69" i="75"/>
  <c r="Y69" i="75"/>
  <c r="Z69" i="75"/>
  <c r="O70" i="75"/>
  <c r="P70" i="75"/>
  <c r="Q70" i="75"/>
  <c r="R70" i="75"/>
  <c r="S70" i="75"/>
  <c r="T70" i="75"/>
  <c r="U70" i="75"/>
  <c r="V70" i="75"/>
  <c r="W70" i="75"/>
  <c r="X70" i="75"/>
  <c r="Y70" i="75"/>
  <c r="Z70" i="75"/>
  <c r="AG63" i="75"/>
  <c r="AG67" i="75" s="1"/>
  <c r="AD63" i="75"/>
  <c r="AD67" i="75" s="1"/>
  <c r="N63" i="75"/>
  <c r="O63" i="75"/>
  <c r="O67" i="75" s="1"/>
  <c r="P63" i="75"/>
  <c r="P67" i="75" s="1"/>
  <c r="Q63" i="75"/>
  <c r="Q67" i="75" s="1"/>
  <c r="R63" i="75"/>
  <c r="R67" i="75" s="1"/>
  <c r="S63" i="75"/>
  <c r="S67" i="75" s="1"/>
  <c r="T63" i="75"/>
  <c r="U63" i="75"/>
  <c r="U67" i="75" s="1"/>
  <c r="V63" i="75"/>
  <c r="V67" i="75" s="1"/>
  <c r="W63" i="75"/>
  <c r="W67" i="75" s="1"/>
  <c r="X63" i="75"/>
  <c r="Y63" i="75"/>
  <c r="Y67" i="75" s="1"/>
  <c r="Z63" i="75"/>
  <c r="Z67" i="75" s="1"/>
  <c r="AH54" i="75"/>
  <c r="AH55" i="75"/>
  <c r="AH56" i="75"/>
  <c r="AI56" i="75"/>
  <c r="AH57" i="75"/>
  <c r="AI57" i="75"/>
  <c r="AH58" i="75"/>
  <c r="AH59" i="75"/>
  <c r="AH60" i="75"/>
  <c r="AH61" i="75"/>
  <c r="AI61" i="75"/>
  <c r="AE54" i="75"/>
  <c r="AE55" i="75"/>
  <c r="AE56" i="75"/>
  <c r="AF56" i="75"/>
  <c r="AE57" i="75"/>
  <c r="AF57" i="75"/>
  <c r="AE58" i="75"/>
  <c r="AE59" i="75"/>
  <c r="AE60" i="75"/>
  <c r="AE61" i="75"/>
  <c r="AA54" i="75"/>
  <c r="AB54" i="75" s="1"/>
  <c r="AA55" i="75"/>
  <c r="AI55" i="75" s="1"/>
  <c r="AA56" i="75"/>
  <c r="AB56" i="75" s="1"/>
  <c r="AA57" i="75"/>
  <c r="AB57" i="75"/>
  <c r="AA58" i="75"/>
  <c r="AI58" i="75" s="1"/>
  <c r="AA59" i="75"/>
  <c r="AI59" i="75" s="1"/>
  <c r="AA60" i="75"/>
  <c r="AI60" i="75" s="1"/>
  <c r="AB60" i="75"/>
  <c r="AA61" i="75"/>
  <c r="AF61" i="75" s="1"/>
  <c r="K54" i="75"/>
  <c r="K55" i="75"/>
  <c r="K56" i="75"/>
  <c r="K57" i="75"/>
  <c r="K58" i="75"/>
  <c r="K59" i="75"/>
  <c r="K60" i="75"/>
  <c r="K61" i="75"/>
  <c r="AF50" i="75"/>
  <c r="AF51" i="75"/>
  <c r="AA50" i="75"/>
  <c r="AA73" i="75" s="1"/>
  <c r="AA51" i="75"/>
  <c r="AA74" i="75" s="1"/>
  <c r="AJ50" i="75"/>
  <c r="AN50" i="75" s="1"/>
  <c r="AK50" i="75"/>
  <c r="AM50" i="75"/>
  <c r="AK51" i="75"/>
  <c r="AM51" i="75"/>
  <c r="AE48" i="75"/>
  <c r="AF48" i="75"/>
  <c r="AK47" i="75"/>
  <c r="AM47" i="75"/>
  <c r="AH48" i="75"/>
  <c r="AK48" i="75"/>
  <c r="AM48" i="75"/>
  <c r="AD47" i="75"/>
  <c r="AE47" i="75"/>
  <c r="AG47" i="75"/>
  <c r="AH47" i="75" s="1"/>
  <c r="AA48" i="75"/>
  <c r="AI48" i="75" s="1"/>
  <c r="O47" i="75"/>
  <c r="P47" i="75"/>
  <c r="Q47" i="75"/>
  <c r="R47" i="75"/>
  <c r="S47" i="75"/>
  <c r="T47" i="75"/>
  <c r="U47" i="75"/>
  <c r="V47" i="75"/>
  <c r="W47" i="75"/>
  <c r="X47" i="75"/>
  <c r="Y47" i="75"/>
  <c r="Z47" i="75"/>
  <c r="AH34" i="75"/>
  <c r="AI34" i="75"/>
  <c r="AK34" i="75"/>
  <c r="AM34" i="75"/>
  <c r="AH35" i="75"/>
  <c r="AJ35" i="75"/>
  <c r="AK35" i="75"/>
  <c r="AM35" i="75"/>
  <c r="AH36" i="75"/>
  <c r="AI36" i="75"/>
  <c r="AK36" i="75"/>
  <c r="AM36" i="75"/>
  <c r="AH37" i="75"/>
  <c r="AK37" i="75"/>
  <c r="AM37" i="75"/>
  <c r="AH38" i="75"/>
  <c r="AI38" i="75"/>
  <c r="AK38" i="75"/>
  <c r="AM38" i="75"/>
  <c r="AH39" i="75"/>
  <c r="AJ39" i="75"/>
  <c r="AL39" i="75" s="1"/>
  <c r="AK39" i="75"/>
  <c r="AM39" i="75"/>
  <c r="AH40" i="75"/>
  <c r="AI40" i="75"/>
  <c r="AJ40" i="75"/>
  <c r="AL40" i="75" s="1"/>
  <c r="AK40" i="75"/>
  <c r="AM40" i="75"/>
  <c r="AH41" i="75"/>
  <c r="AK41" i="75"/>
  <c r="AM41" i="75"/>
  <c r="AH42" i="75"/>
  <c r="AK42" i="75"/>
  <c r="AM42" i="75"/>
  <c r="AH43" i="75"/>
  <c r="AK43" i="75"/>
  <c r="AM43" i="75"/>
  <c r="AH44" i="75"/>
  <c r="AK44" i="75"/>
  <c r="AM44" i="75"/>
  <c r="AH45" i="75"/>
  <c r="AK45" i="75"/>
  <c r="AM45" i="75"/>
  <c r="AE34" i="75"/>
  <c r="AF34" i="75"/>
  <c r="AE35" i="75"/>
  <c r="AF35" i="75"/>
  <c r="AE36" i="75"/>
  <c r="AF36" i="75"/>
  <c r="AE37" i="75"/>
  <c r="AF37" i="75"/>
  <c r="AE38" i="75"/>
  <c r="AF38" i="75"/>
  <c r="AE39" i="75"/>
  <c r="AE40" i="75"/>
  <c r="AF40" i="75"/>
  <c r="AE41" i="75"/>
  <c r="AF41" i="75"/>
  <c r="AE42" i="75"/>
  <c r="AE43" i="75"/>
  <c r="AF43" i="75"/>
  <c r="AE44" i="75"/>
  <c r="AE45" i="75"/>
  <c r="AA34" i="75"/>
  <c r="AB34" i="75"/>
  <c r="AA35" i="75"/>
  <c r="AB35" i="75"/>
  <c r="AA36" i="75"/>
  <c r="AJ36" i="75" s="1"/>
  <c r="AB36" i="75"/>
  <c r="AA37" i="75"/>
  <c r="AI37" i="75" s="1"/>
  <c r="AB37" i="75"/>
  <c r="AA38" i="75"/>
  <c r="AJ38" i="75" s="1"/>
  <c r="AA39" i="75"/>
  <c r="AF39" i="75" s="1"/>
  <c r="AA40" i="75"/>
  <c r="AB40" i="75"/>
  <c r="AA41" i="75"/>
  <c r="AI41" i="75" s="1"/>
  <c r="AA42" i="75"/>
  <c r="AJ42" i="75" s="1"/>
  <c r="AA43" i="75"/>
  <c r="AI43" i="75" s="1"/>
  <c r="AA44" i="75"/>
  <c r="AJ44" i="75" s="1"/>
  <c r="AA45" i="75"/>
  <c r="AI45" i="75" s="1"/>
  <c r="K34" i="75"/>
  <c r="K35" i="75"/>
  <c r="K36" i="75"/>
  <c r="K37" i="75"/>
  <c r="K38" i="75"/>
  <c r="K39" i="75"/>
  <c r="K40" i="75"/>
  <c r="K41" i="75"/>
  <c r="K42" i="75"/>
  <c r="K43" i="75"/>
  <c r="K44" i="75"/>
  <c r="K45" i="75"/>
  <c r="AM32" i="75"/>
  <c r="AJ32" i="75"/>
  <c r="AK32" i="75"/>
  <c r="AA31" i="75"/>
  <c r="AG17" i="75"/>
  <c r="AG18" i="75"/>
  <c r="AD16" i="75"/>
  <c r="AD17" i="75"/>
  <c r="AD18" i="75" s="1"/>
  <c r="G19" i="75"/>
  <c r="G20" i="75"/>
  <c r="AA19" i="75"/>
  <c r="AB48" i="75" s="1"/>
  <c r="AA20" i="75"/>
  <c r="AB58" i="75" s="1"/>
  <c r="AA21" i="75"/>
  <c r="AA63" i="75" s="1"/>
  <c r="AA22" i="75"/>
  <c r="Z16" i="75"/>
  <c r="AA16" i="75"/>
  <c r="M11" i="75"/>
  <c r="B10" i="75"/>
  <c r="B9" i="75"/>
  <c r="B4" i="75"/>
  <c r="I21" i="75" s="1"/>
  <c r="AG154" i="74"/>
  <c r="AH154" i="74"/>
  <c r="AD154" i="74"/>
  <c r="AE154" i="74"/>
  <c r="N154" i="74"/>
  <c r="O154" i="74"/>
  <c r="P154" i="74"/>
  <c r="Q154" i="74"/>
  <c r="R154" i="74"/>
  <c r="S154" i="74"/>
  <c r="T154" i="74"/>
  <c r="U154" i="74"/>
  <c r="V154" i="74"/>
  <c r="W154" i="74"/>
  <c r="X154" i="74"/>
  <c r="Y154" i="74"/>
  <c r="Z154" i="74"/>
  <c r="AF152" i="74"/>
  <c r="AI152" i="74"/>
  <c r="G119" i="74"/>
  <c r="G120" i="74"/>
  <c r="G121" i="74"/>
  <c r="G122" i="74"/>
  <c r="G123" i="74"/>
  <c r="G124" i="74"/>
  <c r="G125" i="74"/>
  <c r="G126" i="74"/>
  <c r="G127" i="74"/>
  <c r="G128" i="74"/>
  <c r="G129" i="74"/>
  <c r="G130" i="74"/>
  <c r="G131" i="74"/>
  <c r="G132" i="74"/>
  <c r="G133" i="74"/>
  <c r="G134" i="74"/>
  <c r="G135" i="74"/>
  <c r="G136" i="74"/>
  <c r="G137" i="74"/>
  <c r="G138" i="74"/>
  <c r="G139" i="74"/>
  <c r="G140" i="74"/>
  <c r="G141" i="74"/>
  <c r="G142" i="74"/>
  <c r="G143" i="74"/>
  <c r="G144" i="74"/>
  <c r="G145" i="74"/>
  <c r="G146" i="74"/>
  <c r="G147" i="74"/>
  <c r="G148" i="74"/>
  <c r="G149" i="74"/>
  <c r="G150" i="74"/>
  <c r="G151" i="74"/>
  <c r="AI151" i="74"/>
  <c r="AF151" i="74"/>
  <c r="AH72" i="74"/>
  <c r="AH73" i="74"/>
  <c r="AH74" i="74"/>
  <c r="AH75" i="74"/>
  <c r="AH76" i="74"/>
  <c r="AH77" i="74"/>
  <c r="AH78" i="74"/>
  <c r="AH79" i="74"/>
  <c r="AH80" i="74"/>
  <c r="AH81" i="74"/>
  <c r="AH82" i="74"/>
  <c r="AH83" i="74"/>
  <c r="AH84" i="74"/>
  <c r="AH85" i="74"/>
  <c r="AH86" i="74"/>
  <c r="AH87" i="74"/>
  <c r="AH88" i="74"/>
  <c r="AH89" i="74"/>
  <c r="AH90" i="74"/>
  <c r="AH91" i="74"/>
  <c r="AH92" i="74"/>
  <c r="AH93" i="74"/>
  <c r="AH94" i="74"/>
  <c r="AH95" i="74"/>
  <c r="AH96" i="74"/>
  <c r="AH97" i="74"/>
  <c r="AH98" i="74"/>
  <c r="AH99" i="74"/>
  <c r="AH100" i="74"/>
  <c r="AH101" i="74"/>
  <c r="AH102" i="74"/>
  <c r="AH103" i="74"/>
  <c r="AH104" i="74"/>
  <c r="AH105" i="74"/>
  <c r="AH106" i="74"/>
  <c r="AH107" i="74"/>
  <c r="AH108" i="74"/>
  <c r="AH109" i="74"/>
  <c r="AH110" i="74"/>
  <c r="AH111" i="74"/>
  <c r="AH112" i="74"/>
  <c r="AH113" i="74"/>
  <c r="AH114" i="74"/>
  <c r="AH115" i="74"/>
  <c r="AH116" i="74"/>
  <c r="AE72" i="74"/>
  <c r="AF72" i="74"/>
  <c r="AE73" i="74"/>
  <c r="AE74" i="74"/>
  <c r="AE75" i="74"/>
  <c r="AE76" i="74"/>
  <c r="AE77" i="74"/>
  <c r="AE78" i="74"/>
  <c r="AE79" i="74"/>
  <c r="AE80" i="74"/>
  <c r="AF80" i="74"/>
  <c r="AE81" i="74"/>
  <c r="AE82" i="74"/>
  <c r="AE83" i="74"/>
  <c r="AE84" i="74"/>
  <c r="AE85" i="74"/>
  <c r="AE86" i="74"/>
  <c r="AE87" i="74"/>
  <c r="AE88" i="74"/>
  <c r="AF88" i="74"/>
  <c r="AE89" i="74"/>
  <c r="AE90" i="74"/>
  <c r="AE91" i="74"/>
  <c r="AE92" i="74"/>
  <c r="AE93" i="74"/>
  <c r="AE94" i="74"/>
  <c r="AE95" i="74"/>
  <c r="AE96" i="74"/>
  <c r="AF96" i="74"/>
  <c r="AE97" i="74"/>
  <c r="AE98" i="74"/>
  <c r="AE99" i="74"/>
  <c r="AE100" i="74"/>
  <c r="AE101" i="74"/>
  <c r="AE102" i="74"/>
  <c r="AE103" i="74"/>
  <c r="AE104" i="74"/>
  <c r="AF104" i="74"/>
  <c r="AE105" i="74"/>
  <c r="AE106" i="74"/>
  <c r="AE107" i="74"/>
  <c r="AE108" i="74"/>
  <c r="AE109" i="74"/>
  <c r="AE110" i="74"/>
  <c r="AE111" i="74"/>
  <c r="AE112" i="74"/>
  <c r="AF112" i="74"/>
  <c r="AE113" i="74"/>
  <c r="AE114" i="74"/>
  <c r="AE115" i="74"/>
  <c r="AE116" i="74"/>
  <c r="AA72" i="74"/>
  <c r="AI72" i="74" s="1"/>
  <c r="AA73" i="74"/>
  <c r="AF73" i="74" s="1"/>
  <c r="AA74" i="74"/>
  <c r="AB74" i="74" s="1"/>
  <c r="AA75" i="74"/>
  <c r="AF75" i="74" s="1"/>
  <c r="AB75" i="74"/>
  <c r="AA76" i="74"/>
  <c r="AI76" i="74" s="1"/>
  <c r="AA77" i="74"/>
  <c r="AF77" i="74" s="1"/>
  <c r="AA78" i="74"/>
  <c r="AB78" i="74" s="1"/>
  <c r="AA79" i="74"/>
  <c r="AF79" i="74" s="1"/>
  <c r="AA80" i="74"/>
  <c r="AI80" i="74" s="1"/>
  <c r="AA81" i="74"/>
  <c r="AF81" i="74" s="1"/>
  <c r="AB81" i="74"/>
  <c r="AA82" i="74"/>
  <c r="AB82" i="74" s="1"/>
  <c r="AA83" i="74"/>
  <c r="AF83" i="74" s="1"/>
  <c r="AB83" i="74"/>
  <c r="AA84" i="74"/>
  <c r="AI84" i="74" s="1"/>
  <c r="AA85" i="74"/>
  <c r="AF85" i="74" s="1"/>
  <c r="AA86" i="74"/>
  <c r="AB86" i="74" s="1"/>
  <c r="AA87" i="74"/>
  <c r="AF87" i="74" s="1"/>
  <c r="AA88" i="74"/>
  <c r="AI88" i="74" s="1"/>
  <c r="AA89" i="74"/>
  <c r="AF89" i="74" s="1"/>
  <c r="AA90" i="74"/>
  <c r="AB90" i="74" s="1"/>
  <c r="AA91" i="74"/>
  <c r="AA138" i="74" s="1"/>
  <c r="AB91" i="74"/>
  <c r="AA92" i="74"/>
  <c r="AI92" i="74" s="1"/>
  <c r="AA93" i="74"/>
  <c r="AF93" i="74" s="1"/>
  <c r="AA94" i="74"/>
  <c r="AB94" i="74" s="1"/>
  <c r="AA95" i="74"/>
  <c r="AF95" i="74" s="1"/>
  <c r="AA96" i="74"/>
  <c r="AI96" i="74" s="1"/>
  <c r="AA97" i="74"/>
  <c r="AF97" i="74" s="1"/>
  <c r="AA98" i="74"/>
  <c r="AB98" i="74" s="1"/>
  <c r="AA99" i="74"/>
  <c r="AF99" i="74" s="1"/>
  <c r="AB99" i="74"/>
  <c r="AA100" i="74"/>
  <c r="AI100" i="74" s="1"/>
  <c r="AA101" i="74"/>
  <c r="AF101" i="74" s="1"/>
  <c r="AA102" i="74"/>
  <c r="AB102" i="74" s="1"/>
  <c r="AA103" i="74"/>
  <c r="AF103" i="74" s="1"/>
  <c r="AA104" i="74"/>
  <c r="AI104" i="74" s="1"/>
  <c r="AA105" i="74"/>
  <c r="AA106" i="74"/>
  <c r="AB106" i="74" s="1"/>
  <c r="AA107" i="74"/>
  <c r="AF107" i="74" s="1"/>
  <c r="AB107" i="74"/>
  <c r="AA108" i="74"/>
  <c r="AI108" i="74" s="1"/>
  <c r="AA109" i="74"/>
  <c r="AF109" i="74" s="1"/>
  <c r="AA110" i="74"/>
  <c r="AB110" i="74" s="1"/>
  <c r="AA111" i="74"/>
  <c r="AF111" i="74" s="1"/>
  <c r="AA112" i="74"/>
  <c r="AI112" i="74" s="1"/>
  <c r="AA113" i="74"/>
  <c r="AF113" i="74" s="1"/>
  <c r="AA114" i="74"/>
  <c r="AB114" i="74" s="1"/>
  <c r="AA115" i="74"/>
  <c r="AF115" i="74" s="1"/>
  <c r="AB115" i="74"/>
  <c r="AA116" i="74"/>
  <c r="AI116" i="74" s="1"/>
  <c r="AA54" i="74"/>
  <c r="AA139" i="74" s="1"/>
  <c r="AI139" i="74" s="1"/>
  <c r="AA55" i="74"/>
  <c r="AB55" i="74" s="1"/>
  <c r="AA56" i="74"/>
  <c r="AB56" i="74" s="1"/>
  <c r="AA57" i="74"/>
  <c r="AA58" i="74"/>
  <c r="AA143" i="74" s="1"/>
  <c r="AB58" i="74"/>
  <c r="AA59" i="74"/>
  <c r="AB59" i="74" s="1"/>
  <c r="AA60" i="74"/>
  <c r="AB60" i="74"/>
  <c r="AA61" i="74"/>
  <c r="AA62" i="74"/>
  <c r="AA147" i="74" s="1"/>
  <c r="AI147" i="74" s="1"/>
  <c r="AA63" i="74"/>
  <c r="AB63" i="74" s="1"/>
  <c r="AA64" i="74"/>
  <c r="AB64" i="74" s="1"/>
  <c r="AA65" i="74"/>
  <c r="AA66" i="74"/>
  <c r="AB66" i="74"/>
  <c r="AA67" i="74"/>
  <c r="AB67" i="74" s="1"/>
  <c r="AA68" i="74"/>
  <c r="AF68" i="74" s="1"/>
  <c r="AB68" i="74"/>
  <c r="AA69" i="74"/>
  <c r="AA154" i="74" s="1"/>
  <c r="AB39" i="74"/>
  <c r="AB47" i="74"/>
  <c r="AB53" i="74"/>
  <c r="AA34" i="74"/>
  <c r="AA119" i="74" s="1"/>
  <c r="AA35" i="74"/>
  <c r="AA36" i="74"/>
  <c r="AA37" i="74"/>
  <c r="AA38" i="74"/>
  <c r="AA123" i="74" s="1"/>
  <c r="AI123" i="74" s="1"/>
  <c r="AA39" i="74"/>
  <c r="AI39" i="74" s="1"/>
  <c r="AA40" i="74"/>
  <c r="AI40" i="74" s="1"/>
  <c r="AA41" i="74"/>
  <c r="AA126" i="74" s="1"/>
  <c r="AA42" i="74"/>
  <c r="AA127" i="74" s="1"/>
  <c r="AA43" i="74"/>
  <c r="AA44" i="74"/>
  <c r="AA45" i="74"/>
  <c r="AA130" i="74" s="1"/>
  <c r="AA46" i="74"/>
  <c r="AA131" i="74" s="1"/>
  <c r="AI131" i="74" s="1"/>
  <c r="AA47" i="74"/>
  <c r="AI47" i="74" s="1"/>
  <c r="AA48" i="74"/>
  <c r="AI48" i="74" s="1"/>
  <c r="AA49" i="74"/>
  <c r="AA50" i="74"/>
  <c r="AA135" i="74" s="1"/>
  <c r="AA51" i="74"/>
  <c r="AA52" i="74"/>
  <c r="AF52" i="74" s="1"/>
  <c r="AH34" i="74"/>
  <c r="AH35" i="74"/>
  <c r="AH36" i="74"/>
  <c r="AI36" i="74"/>
  <c r="AH37" i="74"/>
  <c r="AH38" i="74"/>
  <c r="AH39" i="74"/>
  <c r="AH40" i="74"/>
  <c r="AH41" i="74"/>
  <c r="AI41" i="74"/>
  <c r="AH42" i="74"/>
  <c r="AI42" i="74"/>
  <c r="AH43" i="74"/>
  <c r="AH44" i="74"/>
  <c r="AI44" i="74"/>
  <c r="AH45" i="74"/>
  <c r="AH46" i="74"/>
  <c r="AI46" i="74"/>
  <c r="AH47" i="74"/>
  <c r="AH48" i="74"/>
  <c r="AH49" i="74"/>
  <c r="AI49" i="74"/>
  <c r="AH50" i="74"/>
  <c r="AH51" i="74"/>
  <c r="AH52" i="74"/>
  <c r="AH53" i="74"/>
  <c r="AI53" i="74"/>
  <c r="AH54" i="74"/>
  <c r="AH55" i="74"/>
  <c r="AH56" i="74"/>
  <c r="AI56" i="74"/>
  <c r="AH57" i="74"/>
  <c r="AI57" i="74"/>
  <c r="AH58" i="74"/>
  <c r="AH59" i="74"/>
  <c r="AH60" i="74"/>
  <c r="AI60" i="74"/>
  <c r="AH61" i="74"/>
  <c r="AI61" i="74"/>
  <c r="AH62" i="74"/>
  <c r="AI62" i="74"/>
  <c r="AH63" i="74"/>
  <c r="AI63" i="74"/>
  <c r="AH64" i="74"/>
  <c r="AH65" i="74"/>
  <c r="AI65" i="74"/>
  <c r="AH66" i="74"/>
  <c r="AI66" i="74"/>
  <c r="AH67" i="74"/>
  <c r="AH68" i="74"/>
  <c r="AI68" i="74"/>
  <c r="AH69" i="74"/>
  <c r="AI69" i="74"/>
  <c r="AE34" i="74"/>
  <c r="AE35" i="74"/>
  <c r="AE36" i="74"/>
  <c r="AF36" i="74"/>
  <c r="AE37" i="74"/>
  <c r="AF37" i="74"/>
  <c r="AE38" i="74"/>
  <c r="AE39" i="74"/>
  <c r="AE40" i="74"/>
  <c r="AF40" i="74"/>
  <c r="AE41" i="74"/>
  <c r="AE42" i="74"/>
  <c r="AE43" i="74"/>
  <c r="AE44" i="74"/>
  <c r="AF44" i="74"/>
  <c r="AE45" i="74"/>
  <c r="AE46" i="74"/>
  <c r="AE47" i="74"/>
  <c r="AE48" i="74"/>
  <c r="AF48" i="74"/>
  <c r="AE49" i="74"/>
  <c r="AF49" i="74"/>
  <c r="AE50" i="74"/>
  <c r="AF50" i="74"/>
  <c r="AE51" i="74"/>
  <c r="AE52" i="74"/>
  <c r="AE53" i="74"/>
  <c r="AF53" i="74"/>
  <c r="AE54" i="74"/>
  <c r="AE55" i="74"/>
  <c r="AE56" i="74"/>
  <c r="AF56" i="74"/>
  <c r="AE57" i="74"/>
  <c r="AF57" i="74"/>
  <c r="AE58" i="74"/>
  <c r="AF58" i="74"/>
  <c r="AE59" i="74"/>
  <c r="AE60" i="74"/>
  <c r="AE61" i="74"/>
  <c r="AE62" i="74"/>
  <c r="AE63" i="74"/>
  <c r="AE64" i="74"/>
  <c r="AE65" i="74"/>
  <c r="AF65" i="74"/>
  <c r="AE66" i="74"/>
  <c r="AF66" i="74"/>
  <c r="AE67" i="74"/>
  <c r="AE68" i="74"/>
  <c r="AE69" i="74"/>
  <c r="AF69" i="74"/>
  <c r="AA31" i="74"/>
  <c r="AG17" i="74"/>
  <c r="AG18" i="74"/>
  <c r="AD16" i="74"/>
  <c r="AD17" i="74"/>
  <c r="AD18" i="74" s="1"/>
  <c r="G19" i="74"/>
  <c r="G20" i="74"/>
  <c r="AA19" i="74"/>
  <c r="AB36" i="74" s="1"/>
  <c r="AA20" i="74"/>
  <c r="AB73" i="74" s="1"/>
  <c r="AA16" i="74"/>
  <c r="AA17" i="74"/>
  <c r="AA18" i="74" s="1"/>
  <c r="Z16" i="74"/>
  <c r="M11" i="74"/>
  <c r="B10" i="74"/>
  <c r="B9" i="74"/>
  <c r="B4" i="74"/>
  <c r="AG100" i="73"/>
  <c r="AG101" i="73"/>
  <c r="AD100" i="73"/>
  <c r="AD101" i="73"/>
  <c r="N100" i="73"/>
  <c r="O100" i="73"/>
  <c r="P100" i="73"/>
  <c r="Q100" i="73"/>
  <c r="R100" i="73"/>
  <c r="S100" i="73"/>
  <c r="T100" i="73"/>
  <c r="U100" i="73"/>
  <c r="V100" i="73"/>
  <c r="W100" i="73"/>
  <c r="X100" i="73"/>
  <c r="Y100" i="73"/>
  <c r="Z100" i="73"/>
  <c r="N101" i="73"/>
  <c r="O101" i="73"/>
  <c r="P101" i="73"/>
  <c r="Q101" i="73"/>
  <c r="R101" i="73"/>
  <c r="S101" i="73"/>
  <c r="T101" i="73"/>
  <c r="U101" i="73"/>
  <c r="V101" i="73"/>
  <c r="W101" i="73"/>
  <c r="X101" i="73"/>
  <c r="Y101" i="73"/>
  <c r="Z101" i="73"/>
  <c r="AH97" i="73"/>
  <c r="AK97" i="73"/>
  <c r="AM97" i="73"/>
  <c r="AH98" i="73"/>
  <c r="AK98" i="73"/>
  <c r="AM98" i="73"/>
  <c r="AE97" i="73"/>
  <c r="AE98" i="73"/>
  <c r="AA97" i="73"/>
  <c r="AI97" i="73" s="1"/>
  <c r="AA98" i="73"/>
  <c r="AI98" i="73" s="1"/>
  <c r="AH72" i="73"/>
  <c r="AK72" i="73"/>
  <c r="AM72" i="73"/>
  <c r="AH73" i="73"/>
  <c r="AK73" i="73"/>
  <c r="AM73" i="73"/>
  <c r="AH74" i="73"/>
  <c r="AK74" i="73"/>
  <c r="AM74" i="73"/>
  <c r="AH75" i="73"/>
  <c r="AK75" i="73"/>
  <c r="AM75" i="73"/>
  <c r="AH76" i="73"/>
  <c r="AK76" i="73"/>
  <c r="AM76" i="73"/>
  <c r="AH77" i="73"/>
  <c r="AK77" i="73"/>
  <c r="AM77" i="73"/>
  <c r="AH78" i="73"/>
  <c r="AK78" i="73"/>
  <c r="AM78" i="73"/>
  <c r="AH79" i="73"/>
  <c r="AK79" i="73"/>
  <c r="AM79" i="73"/>
  <c r="AH80" i="73"/>
  <c r="AK80" i="73"/>
  <c r="AM80" i="73"/>
  <c r="AH81" i="73"/>
  <c r="AK81" i="73"/>
  <c r="AM81" i="73"/>
  <c r="AH82" i="73"/>
  <c r="AK82" i="73"/>
  <c r="AM82" i="73"/>
  <c r="AH83" i="73"/>
  <c r="AI83" i="73"/>
  <c r="AK83" i="73"/>
  <c r="AM83" i="73"/>
  <c r="AH84" i="73"/>
  <c r="AK84" i="73"/>
  <c r="AM84" i="73"/>
  <c r="AH85" i="73"/>
  <c r="AK85" i="73"/>
  <c r="AM85" i="73"/>
  <c r="AH86" i="73"/>
  <c r="AK86" i="73"/>
  <c r="AM86" i="73"/>
  <c r="AH87" i="73"/>
  <c r="AK87" i="73"/>
  <c r="AM87" i="73"/>
  <c r="AH88" i="73"/>
  <c r="AK88" i="73"/>
  <c r="AM88" i="73"/>
  <c r="AH89" i="73"/>
  <c r="AK89" i="73"/>
  <c r="AM89" i="73"/>
  <c r="AH90" i="73"/>
  <c r="AI90" i="73"/>
  <c r="AK90" i="73"/>
  <c r="AM90" i="73"/>
  <c r="AH91" i="73"/>
  <c r="AK91" i="73"/>
  <c r="AM91" i="73"/>
  <c r="AH92" i="73"/>
  <c r="AK92" i="73"/>
  <c r="AM92" i="73"/>
  <c r="AH93" i="73"/>
  <c r="AK93" i="73"/>
  <c r="AM93" i="73"/>
  <c r="AH94" i="73"/>
  <c r="AK94" i="73"/>
  <c r="AM94" i="73"/>
  <c r="AH95" i="73"/>
  <c r="AI95" i="73"/>
  <c r="AK95" i="73"/>
  <c r="AM95" i="73"/>
  <c r="AE72" i="73"/>
  <c r="AE73" i="73"/>
  <c r="AE74" i="73"/>
  <c r="AE75" i="73"/>
  <c r="AE76" i="73"/>
  <c r="AE77" i="73"/>
  <c r="AE78" i="73"/>
  <c r="AE79" i="73"/>
  <c r="AE80" i="73"/>
  <c r="AE81" i="73"/>
  <c r="AE82" i="73"/>
  <c r="AE83" i="73"/>
  <c r="AE84" i="73"/>
  <c r="AE85" i="73"/>
  <c r="AE86" i="73"/>
  <c r="AE87" i="73"/>
  <c r="AE88" i="73"/>
  <c r="AE89" i="73"/>
  <c r="AE90" i="73"/>
  <c r="AE91" i="73"/>
  <c r="AE92" i="73"/>
  <c r="AE93" i="73"/>
  <c r="AE94" i="73"/>
  <c r="AE95" i="73"/>
  <c r="AA72" i="73"/>
  <c r="AI72" i="73" s="1"/>
  <c r="AA73" i="73"/>
  <c r="AA74" i="73"/>
  <c r="AF74" i="73" s="1"/>
  <c r="AA75" i="73"/>
  <c r="AA76" i="73"/>
  <c r="AI76" i="73" s="1"/>
  <c r="AA77" i="73"/>
  <c r="AA78" i="73"/>
  <c r="AI78" i="73" s="1"/>
  <c r="AA79" i="73"/>
  <c r="AA80" i="73"/>
  <c r="AI80" i="73" s="1"/>
  <c r="AA81" i="73"/>
  <c r="AA82" i="73"/>
  <c r="AF82" i="73" s="1"/>
  <c r="AA83" i="73"/>
  <c r="AA84" i="73"/>
  <c r="AI84" i="73" s="1"/>
  <c r="AA85" i="73"/>
  <c r="AA86" i="73"/>
  <c r="AI86" i="73" s="1"/>
  <c r="AA87" i="73"/>
  <c r="AI87" i="73" s="1"/>
  <c r="AA88" i="73"/>
  <c r="AI88" i="73" s="1"/>
  <c r="AA89" i="73"/>
  <c r="AA90" i="73"/>
  <c r="AF90" i="73" s="1"/>
  <c r="AA91" i="73"/>
  <c r="AI91" i="73" s="1"/>
  <c r="AA92" i="73"/>
  <c r="AI92" i="73" s="1"/>
  <c r="AA93" i="73"/>
  <c r="AA94" i="73"/>
  <c r="AI94" i="73" s="1"/>
  <c r="AA95" i="73"/>
  <c r="K72" i="73"/>
  <c r="K73" i="73"/>
  <c r="K74" i="73"/>
  <c r="K75" i="73"/>
  <c r="K76" i="73"/>
  <c r="K77" i="73"/>
  <c r="K78" i="73"/>
  <c r="K79" i="73"/>
  <c r="K80" i="73"/>
  <c r="K81" i="73"/>
  <c r="K82" i="73"/>
  <c r="K83" i="73"/>
  <c r="K84" i="73"/>
  <c r="K85" i="73"/>
  <c r="K86" i="73"/>
  <c r="K87" i="73"/>
  <c r="K88" i="73"/>
  <c r="K89" i="73"/>
  <c r="K90" i="73"/>
  <c r="K91" i="73"/>
  <c r="K92" i="73"/>
  <c r="K93" i="73"/>
  <c r="K94" i="73"/>
  <c r="AH58" i="73"/>
  <c r="AK58" i="73"/>
  <c r="AM58" i="73"/>
  <c r="AH59" i="73"/>
  <c r="AI59" i="73"/>
  <c r="AK59" i="73"/>
  <c r="AM59" i="73"/>
  <c r="AH60" i="73"/>
  <c r="AK60" i="73"/>
  <c r="AM60" i="73"/>
  <c r="AH61" i="73"/>
  <c r="AK61" i="73"/>
  <c r="AM61" i="73"/>
  <c r="AH62" i="73"/>
  <c r="AK62" i="73"/>
  <c r="AM62" i="73"/>
  <c r="AH63" i="73"/>
  <c r="AK63" i="73"/>
  <c r="AM63" i="73"/>
  <c r="AH64" i="73"/>
  <c r="AI64" i="73"/>
  <c r="AK64" i="73"/>
  <c r="AM64" i="73"/>
  <c r="AH65" i="73"/>
  <c r="AK65" i="73"/>
  <c r="AM65" i="73"/>
  <c r="AH66" i="73"/>
  <c r="AK66" i="73"/>
  <c r="AM66" i="73"/>
  <c r="AH67" i="73"/>
  <c r="AI67" i="73"/>
  <c r="AK67" i="73"/>
  <c r="AM67" i="73"/>
  <c r="AH68" i="73"/>
  <c r="AI68" i="73"/>
  <c r="AK68" i="73"/>
  <c r="AM68" i="73"/>
  <c r="AH69" i="73"/>
  <c r="AK69" i="73"/>
  <c r="AM69" i="73"/>
  <c r="AE58" i="73"/>
  <c r="AE59" i="73"/>
  <c r="AF59" i="73"/>
  <c r="AE60" i="73"/>
  <c r="AF60" i="73"/>
  <c r="AE61" i="73"/>
  <c r="AE62" i="73"/>
  <c r="AE63" i="73"/>
  <c r="AF63" i="73"/>
  <c r="AE64" i="73"/>
  <c r="AF64" i="73"/>
  <c r="AE65" i="73"/>
  <c r="AF65" i="73"/>
  <c r="AE66" i="73"/>
  <c r="AE67" i="73"/>
  <c r="AE68" i="73"/>
  <c r="AF68" i="73"/>
  <c r="AE69" i="73"/>
  <c r="AA58" i="73"/>
  <c r="AF58" i="73" s="1"/>
  <c r="AA59" i="73"/>
  <c r="AB59" i="73"/>
  <c r="AA60" i="73"/>
  <c r="AI60" i="73" s="1"/>
  <c r="AA61" i="73"/>
  <c r="AI61" i="73" s="1"/>
  <c r="AA62" i="73"/>
  <c r="AI62" i="73" s="1"/>
  <c r="AA63" i="73"/>
  <c r="AI63" i="73" s="1"/>
  <c r="AA64" i="73"/>
  <c r="AA65" i="73"/>
  <c r="AI65" i="73" s="1"/>
  <c r="AA66" i="73"/>
  <c r="AF66" i="73" s="1"/>
  <c r="AA67" i="73"/>
  <c r="AF67" i="73" s="1"/>
  <c r="AB67" i="73"/>
  <c r="AA68" i="73"/>
  <c r="AA69" i="73"/>
  <c r="AA100" i="73" s="1"/>
  <c r="AK55" i="73"/>
  <c r="AM55" i="73"/>
  <c r="AK56" i="73"/>
  <c r="AM56" i="73"/>
  <c r="AK57" i="73"/>
  <c r="AM57" i="73"/>
  <c r="AH55" i="73"/>
  <c r="AH56" i="73"/>
  <c r="AE55" i="73"/>
  <c r="AE56" i="73"/>
  <c r="AF56" i="73"/>
  <c r="AA55" i="73"/>
  <c r="AA56" i="73"/>
  <c r="AB56" i="73" s="1"/>
  <c r="K55" i="73"/>
  <c r="K56" i="73"/>
  <c r="K57" i="73"/>
  <c r="K58" i="73"/>
  <c r="K59" i="73"/>
  <c r="K60" i="73"/>
  <c r="K61" i="73"/>
  <c r="K62" i="73"/>
  <c r="K63" i="73"/>
  <c r="K64" i="73"/>
  <c r="K65" i="73"/>
  <c r="K66" i="73"/>
  <c r="K67" i="73"/>
  <c r="K68" i="73"/>
  <c r="K69" i="73"/>
  <c r="AH35" i="73"/>
  <c r="AK35" i="73"/>
  <c r="AM35" i="73"/>
  <c r="AH36" i="73"/>
  <c r="AK36" i="73"/>
  <c r="AM36" i="73"/>
  <c r="AH37" i="73"/>
  <c r="AK37" i="73"/>
  <c r="AM37" i="73"/>
  <c r="AH38" i="73"/>
  <c r="AK38" i="73"/>
  <c r="AM38" i="73"/>
  <c r="AH39" i="73"/>
  <c r="AK39" i="73"/>
  <c r="AM39" i="73"/>
  <c r="AH40" i="73"/>
  <c r="AK40" i="73"/>
  <c r="AM40" i="73"/>
  <c r="AH41" i="73"/>
  <c r="AK41" i="73"/>
  <c r="AM41" i="73"/>
  <c r="AH42" i="73"/>
  <c r="AK42" i="73"/>
  <c r="AM42" i="73"/>
  <c r="AH43" i="73"/>
  <c r="AI43" i="73"/>
  <c r="AK43" i="73"/>
  <c r="AM43" i="73"/>
  <c r="AH44" i="73"/>
  <c r="AK44" i="73"/>
  <c r="AM44" i="73"/>
  <c r="AH45" i="73"/>
  <c r="AK45" i="73"/>
  <c r="AM45" i="73"/>
  <c r="AH46" i="73"/>
  <c r="AK46" i="73"/>
  <c r="AM46" i="73"/>
  <c r="AH47" i="73"/>
  <c r="AK47" i="73"/>
  <c r="AM47" i="73"/>
  <c r="AH48" i="73"/>
  <c r="AK48" i="73"/>
  <c r="AM48" i="73"/>
  <c r="AH49" i="73"/>
  <c r="AK49" i="73"/>
  <c r="AM49" i="73"/>
  <c r="AH50" i="73"/>
  <c r="AI50" i="73"/>
  <c r="AK50" i="73"/>
  <c r="AM50" i="73"/>
  <c r="AH51" i="73"/>
  <c r="AK51" i="73"/>
  <c r="AM51" i="73"/>
  <c r="AE35" i="73"/>
  <c r="AE36" i="73"/>
  <c r="AE37" i="73"/>
  <c r="AE38" i="73"/>
  <c r="AE39" i="73"/>
  <c r="AE40" i="73"/>
  <c r="AE41" i="73"/>
  <c r="AE42" i="73"/>
  <c r="AE43" i="73"/>
  <c r="AE44" i="73"/>
  <c r="AE45" i="73"/>
  <c r="AE46" i="73"/>
  <c r="AE47" i="73"/>
  <c r="AE48" i="73"/>
  <c r="AE49" i="73"/>
  <c r="AE50" i="73"/>
  <c r="AE51" i="73"/>
  <c r="AA35" i="73"/>
  <c r="AB35" i="73" s="1"/>
  <c r="AA36" i="73"/>
  <c r="AJ36" i="73" s="1"/>
  <c r="AL36" i="73" s="1"/>
  <c r="AA37" i="73"/>
  <c r="AA38" i="73"/>
  <c r="AI38" i="73" s="1"/>
  <c r="AA39" i="73"/>
  <c r="AI39" i="73" s="1"/>
  <c r="AA40" i="73"/>
  <c r="AJ40" i="73" s="1"/>
  <c r="AA41" i="73"/>
  <c r="AA42" i="73"/>
  <c r="AA43" i="73"/>
  <c r="AA44" i="73"/>
  <c r="AF44" i="73" s="1"/>
  <c r="AA45" i="73"/>
  <c r="AA46" i="73"/>
  <c r="AA47" i="73"/>
  <c r="AA48" i="73"/>
  <c r="AI48" i="73" s="1"/>
  <c r="AA49" i="73"/>
  <c r="AB49" i="73" s="1"/>
  <c r="AA50" i="73"/>
  <c r="AF50" i="73" s="1"/>
  <c r="AA51" i="73"/>
  <c r="K35" i="73"/>
  <c r="K36" i="73"/>
  <c r="K37" i="73"/>
  <c r="K38" i="73"/>
  <c r="K39" i="73"/>
  <c r="K40" i="73"/>
  <c r="K41" i="73"/>
  <c r="K42" i="73"/>
  <c r="K43" i="73"/>
  <c r="K44" i="73"/>
  <c r="K45" i="73"/>
  <c r="K46" i="73"/>
  <c r="K47" i="73"/>
  <c r="K48" i="73"/>
  <c r="K49" i="73"/>
  <c r="K50" i="73"/>
  <c r="K51" i="73"/>
  <c r="AM32" i="73"/>
  <c r="AJ32" i="73"/>
  <c r="AK32" i="73"/>
  <c r="AA31" i="73"/>
  <c r="AG17" i="73"/>
  <c r="AG18" i="73"/>
  <c r="AD16" i="73"/>
  <c r="AD17" i="73"/>
  <c r="AD18" i="73"/>
  <c r="AA19" i="73"/>
  <c r="AB65" i="73" s="1"/>
  <c r="AA20" i="73"/>
  <c r="AJ76" i="73" s="1"/>
  <c r="G19" i="73"/>
  <c r="Z16" i="73"/>
  <c r="AA16" i="73"/>
  <c r="M11" i="73"/>
  <c r="B10" i="73"/>
  <c r="B9" i="73"/>
  <c r="B4" i="73"/>
  <c r="I28" i="71"/>
  <c r="I29" i="71"/>
  <c r="I30" i="71"/>
  <c r="I31" i="71"/>
  <c r="I32" i="71"/>
  <c r="I33" i="71"/>
  <c r="I34" i="71"/>
  <c r="I35" i="71"/>
  <c r="I36" i="71"/>
  <c r="I37" i="71"/>
  <c r="I38" i="71"/>
  <c r="I39" i="71"/>
  <c r="I40" i="71"/>
  <c r="I41" i="71"/>
  <c r="I42" i="71"/>
  <c r="I43" i="71"/>
  <c r="I44" i="71"/>
  <c r="I45" i="71"/>
  <c r="I46" i="71"/>
  <c r="I47" i="71"/>
  <c r="I48" i="71"/>
  <c r="I49" i="71"/>
  <c r="I50" i="71"/>
  <c r="K24" i="71"/>
  <c r="I24" i="71"/>
  <c r="E24" i="71"/>
  <c r="D1" i="71"/>
  <c r="AA35" i="58"/>
  <c r="AB35" i="58" s="1"/>
  <c r="AE35" i="58"/>
  <c r="AF35" i="58"/>
  <c r="AA36" i="58"/>
  <c r="AB36" i="58"/>
  <c r="AE36" i="58"/>
  <c r="AF36" i="58"/>
  <c r="AA37" i="58"/>
  <c r="AF37" i="58" s="1"/>
  <c r="AB37" i="58"/>
  <c r="AE37" i="58"/>
  <c r="AA38" i="58"/>
  <c r="AB38" i="58" s="1"/>
  <c r="AE38" i="58"/>
  <c r="AF38" i="58"/>
  <c r="AA39" i="58"/>
  <c r="AB39" i="58"/>
  <c r="AE39" i="58"/>
  <c r="AF39" i="58"/>
  <c r="AA40" i="58"/>
  <c r="AF40" i="58"/>
  <c r="AA41" i="58"/>
  <c r="AA43" i="58" s="1"/>
  <c r="AE41" i="58"/>
  <c r="O43" i="58"/>
  <c r="O44" i="58" s="1"/>
  <c r="P43" i="58"/>
  <c r="P44" i="58" s="1"/>
  <c r="Q43" i="58"/>
  <c r="Q44" i="58" s="1"/>
  <c r="R43" i="58"/>
  <c r="R44" i="58" s="1"/>
  <c r="S43" i="58"/>
  <c r="T43" i="58"/>
  <c r="T44" i="58" s="1"/>
  <c r="U43" i="58"/>
  <c r="U44" i="58" s="1"/>
  <c r="V43" i="58"/>
  <c r="V44" i="58" s="1"/>
  <c r="W43" i="58"/>
  <c r="W44" i="58" s="1"/>
  <c r="X43" i="58"/>
  <c r="X44" i="58" s="1"/>
  <c r="Y43" i="58"/>
  <c r="Y44" i="58" s="1"/>
  <c r="Z43" i="58"/>
  <c r="Z44" i="58" s="1"/>
  <c r="AD43" i="58"/>
  <c r="AE44" i="58" s="1"/>
  <c r="AG43" i="58"/>
  <c r="S44" i="58"/>
  <c r="AA45" i="58"/>
  <c r="AB45" i="58"/>
  <c r="AE45" i="58"/>
  <c r="AF45" i="58"/>
  <c r="AA46" i="58"/>
  <c r="AF46" i="58" s="1"/>
  <c r="AB46" i="58"/>
  <c r="AE46" i="58"/>
  <c r="AA47" i="58"/>
  <c r="AB47" i="58"/>
  <c r="AE47" i="58"/>
  <c r="AF47" i="58"/>
  <c r="AA48" i="58"/>
  <c r="AF48" i="58" s="1"/>
  <c r="AE48" i="58"/>
  <c r="AA49" i="58"/>
  <c r="AB49" i="58" s="1"/>
  <c r="AE49" i="58"/>
  <c r="AA50" i="58"/>
  <c r="AF50" i="58" s="1"/>
  <c r="AA51" i="58"/>
  <c r="AB51" i="58" s="1"/>
  <c r="AE51" i="58"/>
  <c r="O53" i="58"/>
  <c r="O54" i="58" s="1"/>
  <c r="P53" i="58"/>
  <c r="P54" i="58" s="1"/>
  <c r="Q53" i="58"/>
  <c r="Q54" i="58" s="1"/>
  <c r="R53" i="58"/>
  <c r="R54" i="58" s="1"/>
  <c r="S53" i="58"/>
  <c r="S54" i="58" s="1"/>
  <c r="T53" i="58"/>
  <c r="T54" i="58" s="1"/>
  <c r="U53" i="58"/>
  <c r="U54" i="58" s="1"/>
  <c r="V53" i="58"/>
  <c r="V54" i="58" s="1"/>
  <c r="W53" i="58"/>
  <c r="W54" i="58" s="1"/>
  <c r="X53" i="58"/>
  <c r="X54" i="58" s="1"/>
  <c r="Y53" i="58"/>
  <c r="Y54" i="58" s="1"/>
  <c r="Z53" i="58"/>
  <c r="Z54" i="58" s="1"/>
  <c r="AD53" i="58"/>
  <c r="AE54" i="58" s="1"/>
  <c r="AG53" i="58"/>
  <c r="AA55" i="58"/>
  <c r="AF55" i="58" s="1"/>
  <c r="AE55" i="58"/>
  <c r="AA56" i="58"/>
  <c r="AF56" i="58" s="1"/>
  <c r="AE56" i="58"/>
  <c r="AA57" i="58"/>
  <c r="AB57" i="58" s="1"/>
  <c r="AE57" i="58"/>
  <c r="AA58" i="58"/>
  <c r="AF58" i="58" s="1"/>
  <c r="AE58" i="58"/>
  <c r="AA59" i="58"/>
  <c r="AB59" i="58"/>
  <c r="AE59" i="58"/>
  <c r="AF59" i="58"/>
  <c r="AA60" i="58"/>
  <c r="AF60" i="58" s="1"/>
  <c r="AA61" i="58"/>
  <c r="AB61" i="58" s="1"/>
  <c r="AE61" i="58"/>
  <c r="O63" i="58"/>
  <c r="O64" i="58" s="1"/>
  <c r="P63" i="58"/>
  <c r="P64" i="58" s="1"/>
  <c r="Q63" i="58"/>
  <c r="Q64" i="58" s="1"/>
  <c r="R63" i="58"/>
  <c r="R64" i="58" s="1"/>
  <c r="S63" i="58"/>
  <c r="S64" i="58" s="1"/>
  <c r="T63" i="58"/>
  <c r="T64" i="58" s="1"/>
  <c r="U63" i="58"/>
  <c r="U64" i="58" s="1"/>
  <c r="V63" i="58"/>
  <c r="V64" i="58" s="1"/>
  <c r="W63" i="58"/>
  <c r="W64" i="58" s="1"/>
  <c r="X63" i="58"/>
  <c r="Y63" i="58"/>
  <c r="Y64" i="58" s="1"/>
  <c r="Z63" i="58"/>
  <c r="Z64" i="58" s="1"/>
  <c r="AD63" i="58"/>
  <c r="AE64" i="58" s="1"/>
  <c r="AG63" i="58"/>
  <c r="X64" i="58"/>
  <c r="AA65" i="58"/>
  <c r="AE65" i="58"/>
  <c r="AF65" i="58"/>
  <c r="AA66" i="58"/>
  <c r="AE66" i="58"/>
  <c r="AA67" i="58"/>
  <c r="AF67" i="58" s="1"/>
  <c r="AE67" i="58"/>
  <c r="AA68" i="58"/>
  <c r="AE68" i="58"/>
  <c r="AA69" i="58"/>
  <c r="AF69" i="58" s="1"/>
  <c r="AE69" i="58"/>
  <c r="AA70" i="58"/>
  <c r="AF70" i="58" s="1"/>
  <c r="AA71" i="58"/>
  <c r="AE71" i="58"/>
  <c r="O73" i="58"/>
  <c r="O74" i="58" s="1"/>
  <c r="P73" i="58"/>
  <c r="P74" i="58" s="1"/>
  <c r="Q73" i="58"/>
  <c r="R73" i="58"/>
  <c r="R74" i="58" s="1"/>
  <c r="S73" i="58"/>
  <c r="S74" i="58" s="1"/>
  <c r="T73" i="58"/>
  <c r="T74" i="58" s="1"/>
  <c r="U73" i="58"/>
  <c r="U74" i="58" s="1"/>
  <c r="V73" i="58"/>
  <c r="V74" i="58" s="1"/>
  <c r="W73" i="58"/>
  <c r="W74" i="58" s="1"/>
  <c r="X73" i="58"/>
  <c r="X74" i="58" s="1"/>
  <c r="Y73" i="58"/>
  <c r="Y74" i="58" s="1"/>
  <c r="Z73" i="58"/>
  <c r="Z74" i="58" s="1"/>
  <c r="AD73" i="58"/>
  <c r="AE74" i="58" s="1"/>
  <c r="AG73" i="58"/>
  <c r="Q74" i="58"/>
  <c r="AA75" i="58"/>
  <c r="AB75" i="58" s="1"/>
  <c r="AE75" i="58"/>
  <c r="AA76" i="58"/>
  <c r="AB76" i="58" s="1"/>
  <c r="AE76" i="58"/>
  <c r="AA77" i="58"/>
  <c r="AF77" i="58" s="1"/>
  <c r="AE77" i="58"/>
  <c r="AA78" i="58"/>
  <c r="AB78" i="58" s="1"/>
  <c r="AE78" i="58"/>
  <c r="AA79" i="58"/>
  <c r="AB79" i="58" s="1"/>
  <c r="AE79" i="58"/>
  <c r="AA80" i="58"/>
  <c r="AB80" i="58" s="1"/>
  <c r="AE80" i="58"/>
  <c r="O82" i="58"/>
  <c r="O84" i="58" s="1"/>
  <c r="P82" i="58"/>
  <c r="P84" i="58" s="1"/>
  <c r="Q82" i="58"/>
  <c r="Q84" i="58" s="1"/>
  <c r="R82" i="58"/>
  <c r="R84" i="58" s="1"/>
  <c r="S82" i="58"/>
  <c r="S84" i="58" s="1"/>
  <c r="T82" i="58"/>
  <c r="T84" i="58" s="1"/>
  <c r="U82" i="58"/>
  <c r="U84" i="58" s="1"/>
  <c r="V82" i="58"/>
  <c r="V84" i="58" s="1"/>
  <c r="W82" i="58"/>
  <c r="W84" i="58" s="1"/>
  <c r="X82" i="58"/>
  <c r="X84" i="58" s="1"/>
  <c r="Y82" i="58"/>
  <c r="Y84" i="58" s="1"/>
  <c r="Z82" i="58"/>
  <c r="Z84" i="58" s="1"/>
  <c r="AD82" i="58"/>
  <c r="AE84" i="58" s="1"/>
  <c r="AG82" i="58"/>
  <c r="AA83" i="58"/>
  <c r="AF83" i="58" s="1"/>
  <c r="AE83" i="58"/>
  <c r="AA85" i="58"/>
  <c r="AE85" i="58"/>
  <c r="AA86" i="58"/>
  <c r="AF86" i="58" s="1"/>
  <c r="AA87" i="58"/>
  <c r="AF87" i="58" s="1"/>
  <c r="AE87" i="58"/>
  <c r="AA91" i="58"/>
  <c r="AF91" i="58" s="1"/>
  <c r="AA92" i="58"/>
  <c r="AF92" i="58" s="1"/>
  <c r="O93" i="58"/>
  <c r="P93" i="58"/>
  <c r="Q93" i="58"/>
  <c r="R93" i="58"/>
  <c r="S93" i="58"/>
  <c r="T93" i="58"/>
  <c r="U93" i="58"/>
  <c r="V93" i="58"/>
  <c r="W93" i="58"/>
  <c r="X93" i="58"/>
  <c r="Y93" i="58"/>
  <c r="Z93" i="58"/>
  <c r="AD93" i="58"/>
  <c r="AG93" i="58"/>
  <c r="O94" i="58"/>
  <c r="P94" i="58"/>
  <c r="Q94" i="58"/>
  <c r="R94" i="58"/>
  <c r="S94" i="58"/>
  <c r="T94" i="58"/>
  <c r="U94" i="58"/>
  <c r="V94" i="58"/>
  <c r="W94" i="58"/>
  <c r="X94" i="58"/>
  <c r="Y94" i="58"/>
  <c r="Z94" i="58"/>
  <c r="AD94" i="58"/>
  <c r="AG94" i="58"/>
  <c r="AA98" i="58"/>
  <c r="AB98" i="58" s="1"/>
  <c r="AE98" i="58"/>
  <c r="AA99" i="58"/>
  <c r="AF99" i="58" s="1"/>
  <c r="AE99" i="58"/>
  <c r="AA100" i="58"/>
  <c r="AB100" i="58" s="1"/>
  <c r="AE100" i="58"/>
  <c r="AA101" i="58"/>
  <c r="AF101" i="58" s="1"/>
  <c r="AE101" i="58"/>
  <c r="AA102" i="58"/>
  <c r="AB102" i="58" s="1"/>
  <c r="AE102" i="58"/>
  <c r="AA103" i="58"/>
  <c r="AF103" i="58" s="1"/>
  <c r="AE103" i="58"/>
  <c r="AA106" i="58"/>
  <c r="AB106" i="58" s="1"/>
  <c r="AE106" i="58"/>
  <c r="AA107" i="58"/>
  <c r="AF107" i="58" s="1"/>
  <c r="AE107" i="58"/>
  <c r="AA108" i="58"/>
  <c r="AB108" i="58" s="1"/>
  <c r="AE108" i="58"/>
  <c r="AA109" i="58"/>
  <c r="AE109" i="58"/>
  <c r="AF109" i="58"/>
  <c r="AA110" i="58"/>
  <c r="AB110" i="58" s="1"/>
  <c r="AE110" i="58"/>
  <c r="AA111" i="58"/>
  <c r="AE111" i="58"/>
  <c r="AF111" i="58"/>
  <c r="AA114" i="58"/>
  <c r="AB114" i="58" s="1"/>
  <c r="AE114" i="58"/>
  <c r="AA115" i="58"/>
  <c r="AF115" i="58" s="1"/>
  <c r="AE115" i="58"/>
  <c r="AA116" i="58"/>
  <c r="AB116" i="58" s="1"/>
  <c r="AE116" i="58"/>
  <c r="AA117" i="58"/>
  <c r="AF117" i="58" s="1"/>
  <c r="AE117" i="58"/>
  <c r="AA118" i="58"/>
  <c r="AB118" i="58" s="1"/>
  <c r="AE118" i="58"/>
  <c r="AA119" i="58"/>
  <c r="AF119" i="58" s="1"/>
  <c r="AE119" i="58"/>
  <c r="O121" i="58"/>
  <c r="P121" i="58"/>
  <c r="Q121" i="58"/>
  <c r="R121" i="58"/>
  <c r="S121" i="58"/>
  <c r="T121" i="58"/>
  <c r="U121" i="58"/>
  <c r="V121" i="58"/>
  <c r="W121" i="58"/>
  <c r="X121" i="58"/>
  <c r="Y121" i="58"/>
  <c r="Z121" i="58"/>
  <c r="AD121" i="58"/>
  <c r="AE121" i="58" s="1"/>
  <c r="AG121" i="58"/>
  <c r="O122" i="58"/>
  <c r="P122" i="58"/>
  <c r="Q122" i="58"/>
  <c r="R122" i="58"/>
  <c r="S122" i="58"/>
  <c r="T122" i="58"/>
  <c r="U122" i="58"/>
  <c r="V122" i="58"/>
  <c r="W122" i="58"/>
  <c r="X122" i="58"/>
  <c r="Y122" i="58"/>
  <c r="Z122" i="58"/>
  <c r="AD122" i="58"/>
  <c r="AE122" i="58" s="1"/>
  <c r="AG122" i="58"/>
  <c r="O123" i="58"/>
  <c r="P123" i="58"/>
  <c r="Q123" i="58"/>
  <c r="R123" i="58"/>
  <c r="S123" i="58"/>
  <c r="T123" i="58"/>
  <c r="U123" i="58"/>
  <c r="V123" i="58"/>
  <c r="W123" i="58"/>
  <c r="X123" i="58"/>
  <c r="Y123" i="58"/>
  <c r="Z123" i="58"/>
  <c r="AD123" i="58"/>
  <c r="AE123" i="58" s="1"/>
  <c r="AG123" i="58"/>
  <c r="O124" i="58"/>
  <c r="P124" i="58"/>
  <c r="Q124" i="58"/>
  <c r="R124" i="58"/>
  <c r="S124" i="58"/>
  <c r="T124" i="58"/>
  <c r="U124" i="58"/>
  <c r="V124" i="58"/>
  <c r="W124" i="58"/>
  <c r="X124" i="58"/>
  <c r="Y124" i="58"/>
  <c r="Z124" i="58"/>
  <c r="AD124" i="58"/>
  <c r="AE124" i="58"/>
  <c r="AG124" i="58"/>
  <c r="O125" i="58"/>
  <c r="P125" i="58"/>
  <c r="Q125" i="58"/>
  <c r="R125" i="58"/>
  <c r="S125" i="58"/>
  <c r="T125" i="58"/>
  <c r="U125" i="58"/>
  <c r="V125" i="58"/>
  <c r="W125" i="58"/>
  <c r="X125" i="58"/>
  <c r="Y125" i="58"/>
  <c r="Z125" i="58"/>
  <c r="AD125" i="58"/>
  <c r="AE125" i="58" s="1"/>
  <c r="AG125" i="58"/>
  <c r="AA130" i="58"/>
  <c r="AF130" i="58" s="1"/>
  <c r="AE130" i="58"/>
  <c r="AF131" i="58"/>
  <c r="AA132" i="58"/>
  <c r="AE132" i="58"/>
  <c r="AF133" i="58"/>
  <c r="AA134" i="58"/>
  <c r="AF134" i="58" s="1"/>
  <c r="AE134" i="58"/>
  <c r="AF135" i="58"/>
  <c r="AA136" i="58"/>
  <c r="AE136" i="58"/>
  <c r="AF137" i="58"/>
  <c r="AA138" i="58"/>
  <c r="AE138" i="58"/>
  <c r="AF139" i="58"/>
  <c r="AA140" i="58"/>
  <c r="AF140" i="58" s="1"/>
  <c r="AE140" i="58"/>
  <c r="AE97" i="54"/>
  <c r="AE99" i="54"/>
  <c r="AE100" i="54"/>
  <c r="AE88" i="54"/>
  <c r="AE89" i="54"/>
  <c r="AE90" i="54"/>
  <c r="AE91" i="54"/>
  <c r="AE92" i="54"/>
  <c r="AE93" i="54"/>
  <c r="AE94" i="54"/>
  <c r="AE95" i="54"/>
  <c r="AE96" i="54"/>
  <c r="AE79" i="54"/>
  <c r="AE80" i="54"/>
  <c r="AE81" i="54"/>
  <c r="AE82" i="54"/>
  <c r="AE83" i="54"/>
  <c r="AE84" i="54"/>
  <c r="AE85" i="54"/>
  <c r="AE62" i="54"/>
  <c r="AE63" i="54"/>
  <c r="AE64" i="54"/>
  <c r="AE65" i="54"/>
  <c r="AE66" i="54"/>
  <c r="AE67" i="54"/>
  <c r="AE68" i="54"/>
  <c r="AE69" i="54"/>
  <c r="AE70" i="54"/>
  <c r="AE35" i="54"/>
  <c r="AE36" i="54"/>
  <c r="AE37" i="54"/>
  <c r="AE38" i="54"/>
  <c r="AE39" i="54"/>
  <c r="AE40" i="54"/>
  <c r="AE41" i="54"/>
  <c r="AE42" i="54"/>
  <c r="AE43" i="54"/>
  <c r="AE44" i="54"/>
  <c r="AE45" i="54"/>
  <c r="AE46" i="54"/>
  <c r="AE47" i="54"/>
  <c r="AE48" i="54"/>
  <c r="AE49" i="54"/>
  <c r="AE50" i="54"/>
  <c r="AE51" i="54"/>
  <c r="AE52" i="54"/>
  <c r="AE53" i="54"/>
  <c r="AE54" i="54"/>
  <c r="AE55" i="54"/>
  <c r="AE56" i="54"/>
  <c r="AE57" i="54"/>
  <c r="AE58" i="54"/>
  <c r="AA35" i="64"/>
  <c r="AF35" i="64" s="1"/>
  <c r="AE35" i="64"/>
  <c r="AA36" i="64"/>
  <c r="AB36" i="64" s="1"/>
  <c r="AE36" i="64"/>
  <c r="AF36" i="64"/>
  <c r="AA37" i="64"/>
  <c r="AB37" i="64" s="1"/>
  <c r="AE37" i="64"/>
  <c r="AA38" i="64"/>
  <c r="AB38" i="64" s="1"/>
  <c r="AE38" i="64"/>
  <c r="AF38" i="64"/>
  <c r="AA39" i="64"/>
  <c r="AF39" i="64" s="1"/>
  <c r="AE39" i="64"/>
  <c r="AA40" i="64"/>
  <c r="AF40" i="64" s="1"/>
  <c r="AA41" i="64"/>
  <c r="AE41" i="64"/>
  <c r="O43" i="64"/>
  <c r="O44" i="64" s="1"/>
  <c r="P43" i="64"/>
  <c r="P44" i="64" s="1"/>
  <c r="Q43" i="64"/>
  <c r="Q44" i="64" s="1"/>
  <c r="R43" i="64"/>
  <c r="R44" i="64" s="1"/>
  <c r="S43" i="64"/>
  <c r="S44" i="64" s="1"/>
  <c r="T43" i="64"/>
  <c r="T44" i="64" s="1"/>
  <c r="U43" i="64"/>
  <c r="U44" i="64" s="1"/>
  <c r="V43" i="64"/>
  <c r="V44" i="64" s="1"/>
  <c r="W43" i="64"/>
  <c r="X43" i="64"/>
  <c r="X44" i="64" s="1"/>
  <c r="Y43" i="64"/>
  <c r="Y44" i="64" s="1"/>
  <c r="Z43" i="64"/>
  <c r="Z44" i="64" s="1"/>
  <c r="AD43" i="64"/>
  <c r="AE44" i="64" s="1"/>
  <c r="AG43" i="64"/>
  <c r="W44" i="64"/>
  <c r="AA45" i="64"/>
  <c r="AF45" i="64" s="1"/>
  <c r="AE45" i="64"/>
  <c r="AA46" i="64"/>
  <c r="AF46" i="64" s="1"/>
  <c r="AB46" i="64"/>
  <c r="AE46" i="64"/>
  <c r="AA47" i="64"/>
  <c r="AF47" i="64" s="1"/>
  <c r="AE47" i="64"/>
  <c r="AA48" i="64"/>
  <c r="AB48" i="64" s="1"/>
  <c r="AE48" i="64"/>
  <c r="AA49" i="64"/>
  <c r="AF49" i="64" s="1"/>
  <c r="AE49" i="64"/>
  <c r="AA50" i="64"/>
  <c r="AF50" i="64" s="1"/>
  <c r="AA51" i="64"/>
  <c r="AE51" i="64"/>
  <c r="O53" i="64"/>
  <c r="O54" i="64" s="1"/>
  <c r="P53" i="64"/>
  <c r="P54" i="64" s="1"/>
  <c r="Q53" i="64"/>
  <c r="Q54" i="64" s="1"/>
  <c r="R53" i="64"/>
  <c r="S53" i="64"/>
  <c r="T53" i="64"/>
  <c r="T54" i="64" s="1"/>
  <c r="U53" i="64"/>
  <c r="U54" i="64" s="1"/>
  <c r="V53" i="64"/>
  <c r="V54" i="64" s="1"/>
  <c r="W53" i="64"/>
  <c r="W54" i="64" s="1"/>
  <c r="X53" i="64"/>
  <c r="X54" i="64" s="1"/>
  <c r="Y53" i="64"/>
  <c r="Y54" i="64" s="1"/>
  <c r="Z53" i="64"/>
  <c r="AD53" i="64"/>
  <c r="AE54" i="64" s="1"/>
  <c r="AG53" i="64"/>
  <c r="R54" i="64"/>
  <c r="S54" i="64"/>
  <c r="Z54" i="64"/>
  <c r="AA55" i="64"/>
  <c r="AB55" i="64" s="1"/>
  <c r="AE55" i="64"/>
  <c r="AA56" i="64"/>
  <c r="AF56" i="64" s="1"/>
  <c r="AE56" i="64"/>
  <c r="AA57" i="64"/>
  <c r="AB57" i="64" s="1"/>
  <c r="AE57" i="64"/>
  <c r="AA58" i="64"/>
  <c r="AE58" i="64"/>
  <c r="AA59" i="64"/>
  <c r="AB59" i="64" s="1"/>
  <c r="AE59" i="64"/>
  <c r="AA60" i="64"/>
  <c r="AF60" i="64" s="1"/>
  <c r="AA61" i="64"/>
  <c r="AB61" i="64" s="1"/>
  <c r="AE61" i="64"/>
  <c r="O63" i="64"/>
  <c r="O64" i="64" s="1"/>
  <c r="P63" i="64"/>
  <c r="P64" i="64" s="1"/>
  <c r="Q63" i="64"/>
  <c r="R63" i="64"/>
  <c r="R64" i="64" s="1"/>
  <c r="S63" i="64"/>
  <c r="S64" i="64" s="1"/>
  <c r="T63" i="64"/>
  <c r="T64" i="64" s="1"/>
  <c r="U63" i="64"/>
  <c r="U64" i="64" s="1"/>
  <c r="V63" i="64"/>
  <c r="W63" i="64"/>
  <c r="W64" i="64" s="1"/>
  <c r="X63" i="64"/>
  <c r="X64" i="64" s="1"/>
  <c r="Y63" i="64"/>
  <c r="Y64" i="64" s="1"/>
  <c r="Z63" i="64"/>
  <c r="Z64" i="64" s="1"/>
  <c r="AD63" i="64"/>
  <c r="AE64" i="64" s="1"/>
  <c r="AG63" i="64"/>
  <c r="Q64" i="64"/>
  <c r="V64" i="64"/>
  <c r="AA65" i="64"/>
  <c r="AB65" i="64" s="1"/>
  <c r="AE65" i="64"/>
  <c r="AA66" i="64"/>
  <c r="AE66" i="64"/>
  <c r="AA67" i="64"/>
  <c r="AB67" i="64" s="1"/>
  <c r="AE67" i="64"/>
  <c r="AA68" i="64"/>
  <c r="AE68" i="64"/>
  <c r="AA69" i="64"/>
  <c r="AF69" i="64" s="1"/>
  <c r="AE69" i="64"/>
  <c r="AA70" i="64"/>
  <c r="AF70" i="64" s="1"/>
  <c r="AA71" i="64"/>
  <c r="AB71" i="64" s="1"/>
  <c r="AE71" i="64"/>
  <c r="O73" i="64"/>
  <c r="O74" i="64" s="1"/>
  <c r="P73" i="64"/>
  <c r="P74" i="64" s="1"/>
  <c r="Q73" i="64"/>
  <c r="Q74" i="64" s="1"/>
  <c r="R73" i="64"/>
  <c r="R74" i="64" s="1"/>
  <c r="S73" i="64"/>
  <c r="S74" i="64" s="1"/>
  <c r="T73" i="64"/>
  <c r="T74" i="64" s="1"/>
  <c r="U73" i="64"/>
  <c r="U74" i="64" s="1"/>
  <c r="V73" i="64"/>
  <c r="V74" i="64" s="1"/>
  <c r="W73" i="64"/>
  <c r="W74" i="64" s="1"/>
  <c r="X73" i="64"/>
  <c r="X74" i="64" s="1"/>
  <c r="Y73" i="64"/>
  <c r="Y74" i="64" s="1"/>
  <c r="Z73" i="64"/>
  <c r="Z74" i="64" s="1"/>
  <c r="AD73" i="64"/>
  <c r="AE74" i="64" s="1"/>
  <c r="AG73" i="64"/>
  <c r="AA75" i="64"/>
  <c r="AB75" i="64" s="1"/>
  <c r="AE75" i="64"/>
  <c r="AA76" i="64"/>
  <c r="AB76" i="64" s="1"/>
  <c r="AE76" i="64"/>
  <c r="AA77" i="64"/>
  <c r="AB77" i="64" s="1"/>
  <c r="AE77" i="64"/>
  <c r="AA78" i="64"/>
  <c r="AB78" i="64" s="1"/>
  <c r="AE78" i="64"/>
  <c r="AA79" i="64"/>
  <c r="AB79" i="64" s="1"/>
  <c r="AE79" i="64"/>
  <c r="AA80" i="64"/>
  <c r="AF80" i="64" s="1"/>
  <c r="AE80" i="64"/>
  <c r="O82" i="64"/>
  <c r="O84" i="64" s="1"/>
  <c r="P82" i="64"/>
  <c r="P84" i="64" s="1"/>
  <c r="Q82" i="64"/>
  <c r="Q84" i="64" s="1"/>
  <c r="R82" i="64"/>
  <c r="R84" i="64" s="1"/>
  <c r="S82" i="64"/>
  <c r="S84" i="64" s="1"/>
  <c r="T82" i="64"/>
  <c r="T84" i="64" s="1"/>
  <c r="U82" i="64"/>
  <c r="U84" i="64" s="1"/>
  <c r="V82" i="64"/>
  <c r="V84" i="64" s="1"/>
  <c r="W82" i="64"/>
  <c r="W84" i="64" s="1"/>
  <c r="X82" i="64"/>
  <c r="X84" i="64" s="1"/>
  <c r="Y82" i="64"/>
  <c r="Y84" i="64" s="1"/>
  <c r="Z82" i="64"/>
  <c r="Z84" i="64" s="1"/>
  <c r="AD82" i="64"/>
  <c r="AE84" i="64" s="1"/>
  <c r="AG82" i="64"/>
  <c r="AA83" i="64"/>
  <c r="AF83" i="64" s="1"/>
  <c r="AE83" i="64"/>
  <c r="AA85" i="64"/>
  <c r="AE85" i="64"/>
  <c r="AA86" i="64"/>
  <c r="AF86" i="64" s="1"/>
  <c r="AA87" i="64"/>
  <c r="AF87" i="64" s="1"/>
  <c r="AE87" i="64"/>
  <c r="AA91" i="64"/>
  <c r="AF91" i="64" s="1"/>
  <c r="AA92" i="64"/>
  <c r="AF92" i="64" s="1"/>
  <c r="O93" i="64"/>
  <c r="P93" i="64"/>
  <c r="Q93" i="64"/>
  <c r="R93" i="64"/>
  <c r="S93" i="64"/>
  <c r="T93" i="64"/>
  <c r="U93" i="64"/>
  <c r="V93" i="64"/>
  <c r="W93" i="64"/>
  <c r="X93" i="64"/>
  <c r="Y93" i="64"/>
  <c r="Z93" i="64"/>
  <c r="AD93" i="64"/>
  <c r="AG93" i="64"/>
  <c r="O94" i="64"/>
  <c r="P94" i="64"/>
  <c r="Q94" i="64"/>
  <c r="R94" i="64"/>
  <c r="S94" i="64"/>
  <c r="T94" i="64"/>
  <c r="U94" i="64"/>
  <c r="V94" i="64"/>
  <c r="W94" i="64"/>
  <c r="X94" i="64"/>
  <c r="Y94" i="64"/>
  <c r="Z94" i="64"/>
  <c r="AD94" i="64"/>
  <c r="AG94" i="64"/>
  <c r="AA98" i="64"/>
  <c r="AE98" i="64"/>
  <c r="AA99" i="64"/>
  <c r="AF99" i="64" s="1"/>
  <c r="AB99" i="64"/>
  <c r="AE99" i="64"/>
  <c r="AA100" i="64"/>
  <c r="AE100" i="64"/>
  <c r="AA101" i="64"/>
  <c r="AB101" i="64"/>
  <c r="AE101" i="64"/>
  <c r="AF101" i="64"/>
  <c r="AA102" i="64"/>
  <c r="AE102" i="64"/>
  <c r="AA103" i="64"/>
  <c r="AB103" i="64" s="1"/>
  <c r="AE103" i="64"/>
  <c r="AA106" i="64"/>
  <c r="AE106" i="64"/>
  <c r="AA107" i="64"/>
  <c r="AB107" i="64" s="1"/>
  <c r="AE107" i="64"/>
  <c r="AA108" i="64"/>
  <c r="AE108" i="64"/>
  <c r="AA109" i="64"/>
  <c r="AF109" i="64" s="1"/>
  <c r="AE109" i="64"/>
  <c r="AA110" i="64"/>
  <c r="AE110" i="64"/>
  <c r="AA111" i="64"/>
  <c r="AF111" i="64" s="1"/>
  <c r="AE111" i="64"/>
  <c r="AA114" i="64"/>
  <c r="AE114" i="64"/>
  <c r="AA115" i="64"/>
  <c r="AB115" i="64" s="1"/>
  <c r="AE115" i="64"/>
  <c r="AA116" i="64"/>
  <c r="AE116" i="64"/>
  <c r="AA117" i="64"/>
  <c r="AB117" i="64" s="1"/>
  <c r="AE117" i="64"/>
  <c r="AA118" i="64"/>
  <c r="AE118" i="64"/>
  <c r="AA119" i="64"/>
  <c r="AF119" i="64" s="1"/>
  <c r="AB119" i="64"/>
  <c r="AE119" i="64"/>
  <c r="O121" i="64"/>
  <c r="P121" i="64"/>
  <c r="Q121" i="64"/>
  <c r="R121" i="64"/>
  <c r="S121" i="64"/>
  <c r="T121" i="64"/>
  <c r="U121" i="64"/>
  <c r="U126" i="64" s="1"/>
  <c r="U127" i="64" s="1"/>
  <c r="V121" i="64"/>
  <c r="W121" i="64"/>
  <c r="X121" i="64"/>
  <c r="Y121" i="64"/>
  <c r="Z121" i="64"/>
  <c r="AD121" i="64"/>
  <c r="AE121" i="64" s="1"/>
  <c r="AG121" i="64"/>
  <c r="O122" i="64"/>
  <c r="P122" i="64"/>
  <c r="Q122" i="64"/>
  <c r="R122" i="64"/>
  <c r="S122" i="64"/>
  <c r="T122" i="64"/>
  <c r="U122" i="64"/>
  <c r="V122" i="64"/>
  <c r="W122" i="64"/>
  <c r="X122" i="64"/>
  <c r="Y122" i="64"/>
  <c r="Z122" i="64"/>
  <c r="AD122" i="64"/>
  <c r="AG122" i="64"/>
  <c r="O123" i="64"/>
  <c r="P123" i="64"/>
  <c r="Q123" i="64"/>
  <c r="R123" i="64"/>
  <c r="S123" i="64"/>
  <c r="T123" i="64"/>
  <c r="U123" i="64"/>
  <c r="V123" i="64"/>
  <c r="W123" i="64"/>
  <c r="X123" i="64"/>
  <c r="Y123" i="64"/>
  <c r="Z123" i="64"/>
  <c r="AD123" i="64"/>
  <c r="AE123" i="64" s="1"/>
  <c r="AG123" i="64"/>
  <c r="O124" i="64"/>
  <c r="P124" i="64"/>
  <c r="Q124" i="64"/>
  <c r="R124" i="64"/>
  <c r="S124" i="64"/>
  <c r="T124" i="64"/>
  <c r="U124" i="64"/>
  <c r="V124" i="64"/>
  <c r="W124" i="64"/>
  <c r="X124" i="64"/>
  <c r="Y124" i="64"/>
  <c r="Z124" i="64"/>
  <c r="AD124" i="64"/>
  <c r="AE124" i="64" s="1"/>
  <c r="AG124" i="64"/>
  <c r="O125" i="64"/>
  <c r="P125" i="64"/>
  <c r="Q125" i="64"/>
  <c r="R125" i="64"/>
  <c r="S125" i="64"/>
  <c r="T125" i="64"/>
  <c r="U125" i="64"/>
  <c r="V125" i="64"/>
  <c r="W125" i="64"/>
  <c r="X125" i="64"/>
  <c r="Y125" i="64"/>
  <c r="Z125" i="64"/>
  <c r="AD125" i="64"/>
  <c r="AE125" i="64" s="1"/>
  <c r="AG125" i="64"/>
  <c r="AA130" i="64"/>
  <c r="AB130" i="64" s="1"/>
  <c r="AE130" i="64"/>
  <c r="AF131" i="64"/>
  <c r="AA132" i="64"/>
  <c r="AE132" i="64"/>
  <c r="AF133" i="64"/>
  <c r="AA134" i="64"/>
  <c r="AB134" i="64" s="1"/>
  <c r="AE134" i="64"/>
  <c r="AF135" i="64"/>
  <c r="AA136" i="64"/>
  <c r="AE136" i="64"/>
  <c r="AF137" i="64"/>
  <c r="AA138" i="64"/>
  <c r="AF138" i="64" s="1"/>
  <c r="AB138" i="64"/>
  <c r="AE138" i="64"/>
  <c r="AF139" i="64"/>
  <c r="AA140" i="64"/>
  <c r="AB140" i="64" s="1"/>
  <c r="AE140" i="64"/>
  <c r="AE85" i="63"/>
  <c r="AE87" i="63"/>
  <c r="AE88" i="63"/>
  <c r="AE62" i="63"/>
  <c r="AE63" i="63"/>
  <c r="AE64" i="63"/>
  <c r="AE65" i="63"/>
  <c r="AE66" i="63"/>
  <c r="AE67" i="63"/>
  <c r="AE68" i="63"/>
  <c r="AE69" i="63"/>
  <c r="AE70" i="63"/>
  <c r="AE35" i="63"/>
  <c r="AE36" i="63"/>
  <c r="AE37" i="63"/>
  <c r="AE38" i="63"/>
  <c r="AE39" i="63"/>
  <c r="AE40" i="63"/>
  <c r="AE41" i="63"/>
  <c r="AE42" i="63"/>
  <c r="AE43" i="63"/>
  <c r="AE44" i="63"/>
  <c r="AE45" i="63"/>
  <c r="AE46" i="63"/>
  <c r="AE47" i="63"/>
  <c r="AE48" i="63"/>
  <c r="AE49" i="63"/>
  <c r="AE50" i="63"/>
  <c r="AE51" i="63"/>
  <c r="AE52" i="63"/>
  <c r="AE53" i="63"/>
  <c r="AE54" i="63"/>
  <c r="AE55" i="63"/>
  <c r="AE56" i="63"/>
  <c r="AE57" i="63"/>
  <c r="AE58" i="63"/>
  <c r="AA35" i="62"/>
  <c r="AE35" i="62"/>
  <c r="AA36" i="62"/>
  <c r="AB36" i="62" s="1"/>
  <c r="AE36" i="62"/>
  <c r="AA37" i="62"/>
  <c r="AE37" i="62"/>
  <c r="AA38" i="62"/>
  <c r="AB38" i="62" s="1"/>
  <c r="AE38" i="62"/>
  <c r="AA39" i="62"/>
  <c r="AA43" i="62" s="1"/>
  <c r="AE39" i="62"/>
  <c r="AA40" i="62"/>
  <c r="AF40" i="62" s="1"/>
  <c r="AA41" i="62"/>
  <c r="AF41" i="62" s="1"/>
  <c r="AE41" i="62"/>
  <c r="O43" i="62"/>
  <c r="P43" i="62"/>
  <c r="P44" i="62" s="1"/>
  <c r="Q43" i="62"/>
  <c r="Q44" i="62" s="1"/>
  <c r="R43" i="62"/>
  <c r="R44" i="62" s="1"/>
  <c r="S43" i="62"/>
  <c r="S44" i="62" s="1"/>
  <c r="T43" i="62"/>
  <c r="T44" i="62" s="1"/>
  <c r="U43" i="62"/>
  <c r="U44" i="62" s="1"/>
  <c r="V43" i="62"/>
  <c r="V44" i="62" s="1"/>
  <c r="W43" i="62"/>
  <c r="W44" i="62" s="1"/>
  <c r="X43" i="62"/>
  <c r="X44" i="62" s="1"/>
  <c r="Y43" i="62"/>
  <c r="Y44" i="62" s="1"/>
  <c r="Z43" i="62"/>
  <c r="Z44" i="62" s="1"/>
  <c r="AD43" i="62"/>
  <c r="AE44" i="62" s="1"/>
  <c r="AG43" i="62"/>
  <c r="O44" i="62"/>
  <c r="AA45" i="62"/>
  <c r="AB45" i="62" s="1"/>
  <c r="AE45" i="62"/>
  <c r="AA46" i="62"/>
  <c r="AB46" i="62" s="1"/>
  <c r="AE46" i="62"/>
  <c r="AF46" i="62"/>
  <c r="AA47" i="62"/>
  <c r="AF47" i="62" s="1"/>
  <c r="AE47" i="62"/>
  <c r="AA48" i="62"/>
  <c r="AB48" i="62" s="1"/>
  <c r="AE48" i="62"/>
  <c r="AF48" i="62"/>
  <c r="AA49" i="62"/>
  <c r="AF49" i="62" s="1"/>
  <c r="AB49" i="62"/>
  <c r="AE49" i="62"/>
  <c r="AA50" i="62"/>
  <c r="AF50" i="62" s="1"/>
  <c r="AA51" i="62"/>
  <c r="AB51" i="62"/>
  <c r="AE51" i="62"/>
  <c r="O53" i="62"/>
  <c r="O54" i="62" s="1"/>
  <c r="P53" i="62"/>
  <c r="P54" i="62" s="1"/>
  <c r="Q53" i="62"/>
  <c r="Q54" i="62" s="1"/>
  <c r="R53" i="62"/>
  <c r="R54" i="62" s="1"/>
  <c r="S53" i="62"/>
  <c r="S54" i="62" s="1"/>
  <c r="T53" i="62"/>
  <c r="T54" i="62" s="1"/>
  <c r="U53" i="62"/>
  <c r="U54" i="62" s="1"/>
  <c r="V53" i="62"/>
  <c r="V54" i="62" s="1"/>
  <c r="W53" i="62"/>
  <c r="W54" i="62" s="1"/>
  <c r="X53" i="62"/>
  <c r="X54" i="62" s="1"/>
  <c r="Y53" i="62"/>
  <c r="Y54" i="62" s="1"/>
  <c r="Z53" i="62"/>
  <c r="Z54" i="62" s="1"/>
  <c r="AD53" i="62"/>
  <c r="AE54" i="62" s="1"/>
  <c r="AG53" i="62"/>
  <c r="AA55" i="62"/>
  <c r="AF55" i="62" s="1"/>
  <c r="AB55" i="62"/>
  <c r="AE55" i="62"/>
  <c r="AA56" i="62"/>
  <c r="AF56" i="62" s="1"/>
  <c r="AE56" i="62"/>
  <c r="AA57" i="62"/>
  <c r="AF57" i="62" s="1"/>
  <c r="AB57" i="62"/>
  <c r="AE57" i="62"/>
  <c r="AA58" i="62"/>
  <c r="AF58" i="62" s="1"/>
  <c r="AE58" i="62"/>
  <c r="AA59" i="62"/>
  <c r="AB59" i="62" s="1"/>
  <c r="AE59" i="62"/>
  <c r="AA60" i="62"/>
  <c r="AF60" i="62" s="1"/>
  <c r="AA61" i="62"/>
  <c r="AE61" i="62"/>
  <c r="O63" i="62"/>
  <c r="O64" i="62" s="1"/>
  <c r="P63" i="62"/>
  <c r="P64" i="62" s="1"/>
  <c r="Q63" i="62"/>
  <c r="Q64" i="62" s="1"/>
  <c r="R63" i="62"/>
  <c r="S63" i="62"/>
  <c r="S64" i="62" s="1"/>
  <c r="T63" i="62"/>
  <c r="T64" i="62" s="1"/>
  <c r="U63" i="62"/>
  <c r="U64" i="62" s="1"/>
  <c r="V63" i="62"/>
  <c r="V64" i="62" s="1"/>
  <c r="W63" i="62"/>
  <c r="W64" i="62" s="1"/>
  <c r="X63" i="62"/>
  <c r="X64" i="62" s="1"/>
  <c r="Y63" i="62"/>
  <c r="Y64" i="62" s="1"/>
  <c r="Z63" i="62"/>
  <c r="Z64" i="62" s="1"/>
  <c r="AD63" i="62"/>
  <c r="AE64" i="62" s="1"/>
  <c r="AG63" i="62"/>
  <c r="R64" i="62"/>
  <c r="AA65" i="62"/>
  <c r="AB65" i="62" s="1"/>
  <c r="AE65" i="62"/>
  <c r="AF65" i="62"/>
  <c r="AA66" i="62"/>
  <c r="AF66" i="62" s="1"/>
  <c r="AE66" i="62"/>
  <c r="AA67" i="62"/>
  <c r="AB67" i="62" s="1"/>
  <c r="AE67" i="62"/>
  <c r="AF67" i="62"/>
  <c r="AA68" i="62"/>
  <c r="AF68" i="62" s="1"/>
  <c r="AE68" i="62"/>
  <c r="AA69" i="62"/>
  <c r="AB69" i="62" s="1"/>
  <c r="AE69" i="62"/>
  <c r="AA70" i="62"/>
  <c r="AF70" i="62" s="1"/>
  <c r="AA71" i="62"/>
  <c r="AB71" i="62" s="1"/>
  <c r="AE71" i="62"/>
  <c r="O73" i="62"/>
  <c r="O74" i="62" s="1"/>
  <c r="P73" i="62"/>
  <c r="P74" i="62" s="1"/>
  <c r="Q73" i="62"/>
  <c r="R73" i="62"/>
  <c r="S73" i="62"/>
  <c r="S74" i="62" s="1"/>
  <c r="T73" i="62"/>
  <c r="T74" i="62" s="1"/>
  <c r="U73" i="62"/>
  <c r="U74" i="62" s="1"/>
  <c r="V73" i="62"/>
  <c r="V74" i="62" s="1"/>
  <c r="W73" i="62"/>
  <c r="W74" i="62" s="1"/>
  <c r="X73" i="62"/>
  <c r="X74" i="62" s="1"/>
  <c r="Y73" i="62"/>
  <c r="Y74" i="62" s="1"/>
  <c r="Z73" i="62"/>
  <c r="AD73" i="62"/>
  <c r="AG73" i="62"/>
  <c r="Q74" i="62"/>
  <c r="R74" i="62"/>
  <c r="Z74" i="62"/>
  <c r="AE74" i="62"/>
  <c r="AA75" i="62"/>
  <c r="AF75" i="62" s="1"/>
  <c r="AE75" i="62"/>
  <c r="AA76" i="62"/>
  <c r="AE76" i="62"/>
  <c r="AA77" i="62"/>
  <c r="AB77" i="62" s="1"/>
  <c r="AE77" i="62"/>
  <c r="AA78" i="62"/>
  <c r="AE78" i="62"/>
  <c r="AA79" i="62"/>
  <c r="AB79" i="62" s="1"/>
  <c r="AE79" i="62"/>
  <c r="AA80" i="62"/>
  <c r="AE80" i="62"/>
  <c r="O82" i="62"/>
  <c r="O84" i="62" s="1"/>
  <c r="P82" i="62"/>
  <c r="P84" i="62" s="1"/>
  <c r="Q82" i="62"/>
  <c r="Q84" i="62" s="1"/>
  <c r="R82" i="62"/>
  <c r="R84" i="62" s="1"/>
  <c r="S82" i="62"/>
  <c r="S84" i="62" s="1"/>
  <c r="T82" i="62"/>
  <c r="T84" i="62" s="1"/>
  <c r="U82" i="62"/>
  <c r="U84" i="62" s="1"/>
  <c r="V82" i="62"/>
  <c r="V84" i="62" s="1"/>
  <c r="W82" i="62"/>
  <c r="W84" i="62" s="1"/>
  <c r="X82" i="62"/>
  <c r="X84" i="62" s="1"/>
  <c r="Y82" i="62"/>
  <c r="Y84" i="62" s="1"/>
  <c r="Z82" i="62"/>
  <c r="Z84" i="62" s="1"/>
  <c r="AD82" i="62"/>
  <c r="AE84" i="62" s="1"/>
  <c r="AG82" i="62"/>
  <c r="AA83" i="62"/>
  <c r="AB83" i="62" s="1"/>
  <c r="AE83" i="62"/>
  <c r="AA85" i="62"/>
  <c r="AB85" i="62" s="1"/>
  <c r="AE85" i="62"/>
  <c r="AA86" i="62"/>
  <c r="AF86" i="62" s="1"/>
  <c r="AA87" i="62"/>
  <c r="AE87" i="62"/>
  <c r="AA91" i="62"/>
  <c r="AF91" i="62" s="1"/>
  <c r="AA92" i="62"/>
  <c r="AF92" i="62" s="1"/>
  <c r="O93" i="62"/>
  <c r="P93" i="62"/>
  <c r="Q93" i="62"/>
  <c r="R93" i="62"/>
  <c r="S93" i="62"/>
  <c r="T93" i="62"/>
  <c r="U93" i="62"/>
  <c r="V93" i="62"/>
  <c r="W93" i="62"/>
  <c r="X93" i="62"/>
  <c r="Y93" i="62"/>
  <c r="Z93" i="62"/>
  <c r="AD93" i="62"/>
  <c r="AG93" i="62"/>
  <c r="O94" i="62"/>
  <c r="P94" i="62"/>
  <c r="Q94" i="62"/>
  <c r="R94" i="62"/>
  <c r="S94" i="62"/>
  <c r="T94" i="62"/>
  <c r="U94" i="62"/>
  <c r="V94" i="62"/>
  <c r="W94" i="62"/>
  <c r="X94" i="62"/>
  <c r="Y94" i="62"/>
  <c r="Z94" i="62"/>
  <c r="AD94" i="62"/>
  <c r="AG94" i="62"/>
  <c r="AA98" i="62"/>
  <c r="AF98" i="62" s="1"/>
  <c r="AE98" i="62"/>
  <c r="AA99" i="62"/>
  <c r="AF99" i="62" s="1"/>
  <c r="AE99" i="62"/>
  <c r="AA100" i="62"/>
  <c r="AF100" i="62" s="1"/>
  <c r="AE100" i="62"/>
  <c r="AA101" i="62"/>
  <c r="AF101" i="62" s="1"/>
  <c r="AE101" i="62"/>
  <c r="AA102" i="62"/>
  <c r="AF102" i="62" s="1"/>
  <c r="AB102" i="62"/>
  <c r="AE102" i="62"/>
  <c r="AA103" i="62"/>
  <c r="AF103" i="62" s="1"/>
  <c r="AE103" i="62"/>
  <c r="AA106" i="62"/>
  <c r="AF106" i="62" s="1"/>
  <c r="AE106" i="62"/>
  <c r="AA107" i="62"/>
  <c r="AB107" i="62" s="1"/>
  <c r="AE107" i="62"/>
  <c r="AF107" i="62"/>
  <c r="AA108" i="62"/>
  <c r="AF108" i="62" s="1"/>
  <c r="AE108" i="62"/>
  <c r="AA109" i="62"/>
  <c r="AF109" i="62" s="1"/>
  <c r="AE109" i="62"/>
  <c r="AA110" i="62"/>
  <c r="AF110" i="62" s="1"/>
  <c r="AE110" i="62"/>
  <c r="AA111" i="62"/>
  <c r="AB111" i="62" s="1"/>
  <c r="AE111" i="62"/>
  <c r="AA114" i="62"/>
  <c r="AF114" i="62" s="1"/>
  <c r="AE114" i="62"/>
  <c r="AA115" i="62"/>
  <c r="AF115" i="62" s="1"/>
  <c r="AE115" i="62"/>
  <c r="AA116" i="62"/>
  <c r="AF116" i="62" s="1"/>
  <c r="AE116" i="62"/>
  <c r="AA117" i="62"/>
  <c r="AB117" i="62" s="1"/>
  <c r="AE117" i="62"/>
  <c r="AA118" i="62"/>
  <c r="AF118" i="62" s="1"/>
  <c r="AE118" i="62"/>
  <c r="AA119" i="62"/>
  <c r="AF119" i="62" s="1"/>
  <c r="AE119" i="62"/>
  <c r="O121" i="62"/>
  <c r="P121" i="62"/>
  <c r="Q121" i="62"/>
  <c r="R121" i="62"/>
  <c r="S121" i="62"/>
  <c r="T121" i="62"/>
  <c r="U121" i="62"/>
  <c r="V121" i="62"/>
  <c r="W121" i="62"/>
  <c r="X121" i="62"/>
  <c r="Y121" i="62"/>
  <c r="Z121" i="62"/>
  <c r="AD121" i="62"/>
  <c r="AG121" i="62"/>
  <c r="O122" i="62"/>
  <c r="P122" i="62"/>
  <c r="Q122" i="62"/>
  <c r="R122" i="62"/>
  <c r="S122" i="62"/>
  <c r="T122" i="62"/>
  <c r="U122" i="62"/>
  <c r="V122" i="62"/>
  <c r="W122" i="62"/>
  <c r="X122" i="62"/>
  <c r="Y122" i="62"/>
  <c r="Z122" i="62"/>
  <c r="AD122" i="62"/>
  <c r="AE122" i="62" s="1"/>
  <c r="AG122" i="62"/>
  <c r="O123" i="62"/>
  <c r="P123" i="62"/>
  <c r="Q123" i="62"/>
  <c r="R123" i="62"/>
  <c r="S123" i="62"/>
  <c r="T123" i="62"/>
  <c r="U123" i="62"/>
  <c r="V123" i="62"/>
  <c r="W123" i="62"/>
  <c r="X123" i="62"/>
  <c r="Y123" i="62"/>
  <c r="Z123" i="62"/>
  <c r="AD123" i="62"/>
  <c r="AE123" i="62" s="1"/>
  <c r="AG123" i="62"/>
  <c r="O124" i="62"/>
  <c r="P124" i="62"/>
  <c r="Q124" i="62"/>
  <c r="R124" i="62"/>
  <c r="S124" i="62"/>
  <c r="T124" i="62"/>
  <c r="U124" i="62"/>
  <c r="V124" i="62"/>
  <c r="W124" i="62"/>
  <c r="X124" i="62"/>
  <c r="Y124" i="62"/>
  <c r="Z124" i="62"/>
  <c r="AD124" i="62"/>
  <c r="AE124" i="62" s="1"/>
  <c r="AG124" i="62"/>
  <c r="O125" i="62"/>
  <c r="P125" i="62"/>
  <c r="Q125" i="62"/>
  <c r="R125" i="62"/>
  <c r="S125" i="62"/>
  <c r="T125" i="62"/>
  <c r="U125" i="62"/>
  <c r="V125" i="62"/>
  <c r="W125" i="62"/>
  <c r="X125" i="62"/>
  <c r="Y125" i="62"/>
  <c r="Z125" i="62"/>
  <c r="AD125" i="62"/>
  <c r="AE125" i="62" s="1"/>
  <c r="AG125" i="62"/>
  <c r="AA130" i="62"/>
  <c r="AB130" i="62" s="1"/>
  <c r="AE130" i="62"/>
  <c r="AF130" i="62"/>
  <c r="AF131" i="62"/>
  <c r="AA132" i="62"/>
  <c r="AF132" i="62" s="1"/>
  <c r="AB132" i="62"/>
  <c r="AE132" i="62"/>
  <c r="AF133" i="62"/>
  <c r="AA134" i="62"/>
  <c r="AF134" i="62" s="1"/>
  <c r="AB134" i="62"/>
  <c r="AE134" i="62"/>
  <c r="AF135" i="62"/>
  <c r="AA136" i="62"/>
  <c r="AB136" i="62" s="1"/>
  <c r="AE136" i="62"/>
  <c r="AF136" i="62"/>
  <c r="AF137" i="62"/>
  <c r="AA138" i="62"/>
  <c r="AF138" i="62" s="1"/>
  <c r="AE138" i="62"/>
  <c r="AF139" i="62"/>
  <c r="AA140" i="62"/>
  <c r="AB140" i="62" s="1"/>
  <c r="AE140" i="62"/>
  <c r="AF140" i="62"/>
  <c r="AE85" i="61"/>
  <c r="AE87" i="61"/>
  <c r="AE88" i="61"/>
  <c r="AE62" i="61"/>
  <c r="AE63" i="61"/>
  <c r="AE64" i="61"/>
  <c r="AE65" i="61"/>
  <c r="AE66" i="61"/>
  <c r="AE67" i="61"/>
  <c r="AE68" i="61"/>
  <c r="AE69" i="61"/>
  <c r="AE70" i="61"/>
  <c r="AE35" i="61"/>
  <c r="AE36" i="61"/>
  <c r="AE37" i="61"/>
  <c r="AE38" i="61"/>
  <c r="AE39" i="61"/>
  <c r="AE40" i="61"/>
  <c r="AE41" i="61"/>
  <c r="AE42" i="61"/>
  <c r="AE43" i="61"/>
  <c r="AE44" i="61"/>
  <c r="AE45" i="61"/>
  <c r="AE46" i="61"/>
  <c r="AE47" i="61"/>
  <c r="AE48" i="61"/>
  <c r="AE49" i="61"/>
  <c r="AE50" i="61"/>
  <c r="AE51" i="61"/>
  <c r="AE52" i="61"/>
  <c r="AE53" i="61"/>
  <c r="AE54" i="61"/>
  <c r="AE55" i="61"/>
  <c r="AE56" i="61"/>
  <c r="AE57" i="61"/>
  <c r="AE58" i="61"/>
  <c r="AA35" i="57"/>
  <c r="AF35" i="57" s="1"/>
  <c r="AE35" i="57"/>
  <c r="AA36" i="57"/>
  <c r="AB36" i="57" s="1"/>
  <c r="AE36" i="57"/>
  <c r="AA37" i="57"/>
  <c r="AF37" i="57" s="1"/>
  <c r="AB37" i="57"/>
  <c r="AE37" i="57"/>
  <c r="AA38" i="57"/>
  <c r="AB38" i="57" s="1"/>
  <c r="AE38" i="57"/>
  <c r="AA39" i="57"/>
  <c r="AB39" i="57" s="1"/>
  <c r="AE39" i="57"/>
  <c r="AA40" i="57"/>
  <c r="AF40" i="57" s="1"/>
  <c r="AA41" i="57"/>
  <c r="AF41" i="57" s="1"/>
  <c r="AE41" i="57"/>
  <c r="O43" i="57"/>
  <c r="O44" i="57" s="1"/>
  <c r="P43" i="57"/>
  <c r="P44" i="57" s="1"/>
  <c r="Q43" i="57"/>
  <c r="Q44" i="57" s="1"/>
  <c r="R43" i="57"/>
  <c r="S43" i="57"/>
  <c r="S44" i="57" s="1"/>
  <c r="T43" i="57"/>
  <c r="T44" i="57" s="1"/>
  <c r="U43" i="57"/>
  <c r="U44" i="57" s="1"/>
  <c r="V43" i="57"/>
  <c r="W43" i="57"/>
  <c r="W44" i="57" s="1"/>
  <c r="X43" i="57"/>
  <c r="X44" i="57" s="1"/>
  <c r="Y43" i="57"/>
  <c r="Y44" i="57" s="1"/>
  <c r="Z43" i="57"/>
  <c r="Z44" i="57" s="1"/>
  <c r="AD43" i="57"/>
  <c r="AE44" i="57" s="1"/>
  <c r="AG43" i="57"/>
  <c r="R44" i="57"/>
  <c r="V44" i="57"/>
  <c r="AA45" i="57"/>
  <c r="AE45" i="57"/>
  <c r="AA46" i="57"/>
  <c r="AF46" i="57" s="1"/>
  <c r="AE46" i="57"/>
  <c r="AA47" i="57"/>
  <c r="AE47" i="57"/>
  <c r="AA48" i="57"/>
  <c r="AB48" i="57" s="1"/>
  <c r="AE48" i="57"/>
  <c r="AA49" i="57"/>
  <c r="AE49" i="57"/>
  <c r="AA50" i="57"/>
  <c r="AF50" i="57" s="1"/>
  <c r="AA51" i="57"/>
  <c r="AB51" i="57" s="1"/>
  <c r="AE51" i="57"/>
  <c r="O53" i="57"/>
  <c r="O54" i="57" s="1"/>
  <c r="P53" i="57"/>
  <c r="P54" i="57" s="1"/>
  <c r="Q53" i="57"/>
  <c r="R53" i="57"/>
  <c r="R54" i="57" s="1"/>
  <c r="S53" i="57"/>
  <c r="S54" i="57" s="1"/>
  <c r="T53" i="57"/>
  <c r="T54" i="57" s="1"/>
  <c r="U53" i="57"/>
  <c r="U54" i="57" s="1"/>
  <c r="V53" i="57"/>
  <c r="W53" i="57"/>
  <c r="W54" i="57" s="1"/>
  <c r="X53" i="57"/>
  <c r="X54" i="57" s="1"/>
  <c r="Y53" i="57"/>
  <c r="Z53" i="57"/>
  <c r="Z54" i="57" s="1"/>
  <c r="AD53" i="57"/>
  <c r="AE54" i="57" s="1"/>
  <c r="AG53" i="57"/>
  <c r="Q54" i="57"/>
  <c r="V54" i="57"/>
  <c r="Y54" i="57"/>
  <c r="AA55" i="57"/>
  <c r="AB55" i="57" s="1"/>
  <c r="AE55" i="57"/>
  <c r="AA56" i="57"/>
  <c r="AB56" i="57" s="1"/>
  <c r="AE56" i="57"/>
  <c r="AA57" i="57"/>
  <c r="AB57" i="57" s="1"/>
  <c r="AE57" i="57"/>
  <c r="AA58" i="57"/>
  <c r="AB58" i="57" s="1"/>
  <c r="AE58" i="57"/>
  <c r="AA59" i="57"/>
  <c r="AB59" i="57" s="1"/>
  <c r="AE59" i="57"/>
  <c r="AA60" i="57"/>
  <c r="AF60" i="57" s="1"/>
  <c r="AA61" i="57"/>
  <c r="AB61" i="57" s="1"/>
  <c r="AE61" i="57"/>
  <c r="O63" i="57"/>
  <c r="O64" i="57" s="1"/>
  <c r="P63" i="57"/>
  <c r="Q63" i="57"/>
  <c r="Q64" i="57" s="1"/>
  <c r="R63" i="57"/>
  <c r="R64" i="57" s="1"/>
  <c r="S63" i="57"/>
  <c r="S64" i="57" s="1"/>
  <c r="T63" i="57"/>
  <c r="T64" i="57" s="1"/>
  <c r="U63" i="57"/>
  <c r="U64" i="57" s="1"/>
  <c r="V63" i="57"/>
  <c r="V64" i="57" s="1"/>
  <c r="W63" i="57"/>
  <c r="W64" i="57" s="1"/>
  <c r="X63" i="57"/>
  <c r="Y63" i="57"/>
  <c r="Y64" i="57" s="1"/>
  <c r="Z63" i="57"/>
  <c r="Z64" i="57" s="1"/>
  <c r="AD63" i="57"/>
  <c r="AE64" i="57" s="1"/>
  <c r="AG63" i="57"/>
  <c r="P64" i="57"/>
  <c r="X64" i="57"/>
  <c r="AA65" i="57"/>
  <c r="AB65" i="57" s="1"/>
  <c r="AE65" i="57"/>
  <c r="AA66" i="57"/>
  <c r="AB66" i="57" s="1"/>
  <c r="AE66" i="57"/>
  <c r="AF66" i="57"/>
  <c r="AA67" i="57"/>
  <c r="AB67" i="57" s="1"/>
  <c r="AE67" i="57"/>
  <c r="AA68" i="57"/>
  <c r="AB68" i="57" s="1"/>
  <c r="AE68" i="57"/>
  <c r="AA69" i="57"/>
  <c r="AB69" i="57" s="1"/>
  <c r="AE69" i="57"/>
  <c r="AA70" i="57"/>
  <c r="AF70" i="57" s="1"/>
  <c r="AA71" i="57"/>
  <c r="AE71" i="57"/>
  <c r="O73" i="57"/>
  <c r="P73" i="57"/>
  <c r="P74" i="57" s="1"/>
  <c r="Q73" i="57"/>
  <c r="Q74" i="57" s="1"/>
  <c r="R73" i="57"/>
  <c r="S73" i="57"/>
  <c r="S74" i="57" s="1"/>
  <c r="T73" i="57"/>
  <c r="T74" i="57" s="1"/>
  <c r="U73" i="57"/>
  <c r="U74" i="57" s="1"/>
  <c r="V73" i="57"/>
  <c r="V74" i="57" s="1"/>
  <c r="W73" i="57"/>
  <c r="W74" i="57" s="1"/>
  <c r="X73" i="57"/>
  <c r="X74" i="57" s="1"/>
  <c r="Y73" i="57"/>
  <c r="Y74" i="57" s="1"/>
  <c r="Z73" i="57"/>
  <c r="Z74" i="57" s="1"/>
  <c r="AD73" i="57"/>
  <c r="AE74" i="57" s="1"/>
  <c r="AG73" i="57"/>
  <c r="O74" i="57"/>
  <c r="R74" i="57"/>
  <c r="AA75" i="57"/>
  <c r="AB75" i="57" s="1"/>
  <c r="AE75" i="57"/>
  <c r="AA76" i="57"/>
  <c r="AF76" i="57" s="1"/>
  <c r="AE76" i="57"/>
  <c r="AA77" i="57"/>
  <c r="AB77" i="57" s="1"/>
  <c r="AE77" i="57"/>
  <c r="AA78" i="57"/>
  <c r="AF78" i="57" s="1"/>
  <c r="AB78" i="57"/>
  <c r="AE78" i="57"/>
  <c r="AA79" i="57"/>
  <c r="AB79" i="57" s="1"/>
  <c r="AE79" i="57"/>
  <c r="AA80" i="57"/>
  <c r="AA82" i="57" s="1"/>
  <c r="AE80" i="57"/>
  <c r="O82" i="57"/>
  <c r="O84" i="57" s="1"/>
  <c r="P82" i="57"/>
  <c r="P84" i="57" s="1"/>
  <c r="Q82" i="57"/>
  <c r="Q84" i="57" s="1"/>
  <c r="R82" i="57"/>
  <c r="R84" i="57" s="1"/>
  <c r="S82" i="57"/>
  <c r="T82" i="57"/>
  <c r="U82" i="57"/>
  <c r="U84" i="57" s="1"/>
  <c r="V82" i="57"/>
  <c r="V84" i="57" s="1"/>
  <c r="W82" i="57"/>
  <c r="X82" i="57"/>
  <c r="Y82" i="57"/>
  <c r="Y84" i="57" s="1"/>
  <c r="Z82" i="57"/>
  <c r="Z84" i="57" s="1"/>
  <c r="AD82" i="57"/>
  <c r="AG82" i="57"/>
  <c r="AA83" i="57"/>
  <c r="AB83" i="57" s="1"/>
  <c r="AE83" i="57"/>
  <c r="S84" i="57"/>
  <c r="T84" i="57"/>
  <c r="W84" i="57"/>
  <c r="X84" i="57"/>
  <c r="AE84" i="57"/>
  <c r="AA85" i="57"/>
  <c r="AB85" i="57" s="1"/>
  <c r="AE85" i="57"/>
  <c r="AF85" i="57"/>
  <c r="AA86" i="57"/>
  <c r="AF86" i="57" s="1"/>
  <c r="AA87" i="57"/>
  <c r="AF87" i="57" s="1"/>
  <c r="AE87" i="57"/>
  <c r="AA91" i="57"/>
  <c r="AF91" i="57" s="1"/>
  <c r="AA92" i="57"/>
  <c r="AF92" i="57" s="1"/>
  <c r="O93" i="57"/>
  <c r="P93" i="57"/>
  <c r="Q93" i="57"/>
  <c r="R93" i="57"/>
  <c r="S93" i="57"/>
  <c r="T93" i="57"/>
  <c r="U93" i="57"/>
  <c r="V93" i="57"/>
  <c r="W93" i="57"/>
  <c r="X93" i="57"/>
  <c r="Y93" i="57"/>
  <c r="Z93" i="57"/>
  <c r="AD93" i="57"/>
  <c r="AG93" i="57"/>
  <c r="O94" i="57"/>
  <c r="P94" i="57"/>
  <c r="Q94" i="57"/>
  <c r="R94" i="57"/>
  <c r="S94" i="57"/>
  <c r="T94" i="57"/>
  <c r="U94" i="57"/>
  <c r="V94" i="57"/>
  <c r="W94" i="57"/>
  <c r="X94" i="57"/>
  <c r="Y94" i="57"/>
  <c r="Z94" i="57"/>
  <c r="AD94" i="57"/>
  <c r="AG94" i="57"/>
  <c r="AA98" i="57"/>
  <c r="AB98" i="57" s="1"/>
  <c r="AE98" i="57"/>
  <c r="AA99" i="57"/>
  <c r="AB99" i="57" s="1"/>
  <c r="AE99" i="57"/>
  <c r="AA100" i="57"/>
  <c r="AB100" i="57" s="1"/>
  <c r="AE100" i="57"/>
  <c r="AA101" i="57"/>
  <c r="AB101" i="57" s="1"/>
  <c r="AE101" i="57"/>
  <c r="AA102" i="57"/>
  <c r="AB102" i="57" s="1"/>
  <c r="AE102" i="57"/>
  <c r="AA103" i="57"/>
  <c r="AB103" i="57" s="1"/>
  <c r="AE103" i="57"/>
  <c r="AA106" i="57"/>
  <c r="AB106" i="57" s="1"/>
  <c r="AE106" i="57"/>
  <c r="AA107" i="57"/>
  <c r="AB107" i="57" s="1"/>
  <c r="AE107" i="57"/>
  <c r="AA108" i="57"/>
  <c r="AB108" i="57" s="1"/>
  <c r="AE108" i="57"/>
  <c r="AF108" i="57"/>
  <c r="AA109" i="57"/>
  <c r="AB109" i="57" s="1"/>
  <c r="AE109" i="57"/>
  <c r="AA110" i="57"/>
  <c r="AB110" i="57" s="1"/>
  <c r="AE110" i="57"/>
  <c r="AF110" i="57"/>
  <c r="AA111" i="57"/>
  <c r="AB111" i="57" s="1"/>
  <c r="AE111" i="57"/>
  <c r="AA114" i="57"/>
  <c r="AB114" i="57" s="1"/>
  <c r="AE114" i="57"/>
  <c r="AA115" i="57"/>
  <c r="AB115" i="57" s="1"/>
  <c r="AE115" i="57"/>
  <c r="AA116" i="57"/>
  <c r="AB116" i="57" s="1"/>
  <c r="AE116" i="57"/>
  <c r="AA117" i="57"/>
  <c r="AB117" i="57" s="1"/>
  <c r="AE117" i="57"/>
  <c r="AA118" i="57"/>
  <c r="AB118" i="57" s="1"/>
  <c r="AE118" i="57"/>
  <c r="AA119" i="57"/>
  <c r="AB119" i="57" s="1"/>
  <c r="AE119" i="57"/>
  <c r="O121" i="57"/>
  <c r="P121" i="57"/>
  <c r="Q121" i="57"/>
  <c r="R121" i="57"/>
  <c r="S121" i="57"/>
  <c r="S126" i="57" s="1"/>
  <c r="S127" i="57" s="1"/>
  <c r="T121" i="57"/>
  <c r="U121" i="57"/>
  <c r="V121" i="57"/>
  <c r="W121" i="57"/>
  <c r="X121" i="57"/>
  <c r="Y121" i="57"/>
  <c r="Z121" i="57"/>
  <c r="AD121" i="57"/>
  <c r="AE121" i="57" s="1"/>
  <c r="AG121" i="57"/>
  <c r="O122" i="57"/>
  <c r="P122" i="57"/>
  <c r="Q122" i="57"/>
  <c r="R122" i="57"/>
  <c r="S122" i="57"/>
  <c r="T122" i="57"/>
  <c r="U122" i="57"/>
  <c r="V122" i="57"/>
  <c r="W122" i="57"/>
  <c r="X122" i="57"/>
  <c r="Y122" i="57"/>
  <c r="Z122" i="57"/>
  <c r="AD122" i="57"/>
  <c r="AE122" i="57"/>
  <c r="AG122" i="57"/>
  <c r="O123" i="57"/>
  <c r="P123" i="57"/>
  <c r="Q123" i="57"/>
  <c r="R123" i="57"/>
  <c r="S123" i="57"/>
  <c r="T123" i="57"/>
  <c r="U123" i="57"/>
  <c r="V123" i="57"/>
  <c r="W123" i="57"/>
  <c r="X123" i="57"/>
  <c r="Y123" i="57"/>
  <c r="Z123" i="57"/>
  <c r="AD123" i="57"/>
  <c r="AG123" i="57"/>
  <c r="O124" i="57"/>
  <c r="P124" i="57"/>
  <c r="Q124" i="57"/>
  <c r="R124" i="57"/>
  <c r="S124" i="57"/>
  <c r="T124" i="57"/>
  <c r="U124" i="57"/>
  <c r="V124" i="57"/>
  <c r="W124" i="57"/>
  <c r="X124" i="57"/>
  <c r="Y124" i="57"/>
  <c r="Z124" i="57"/>
  <c r="AD124" i="57"/>
  <c r="AE124" i="57" s="1"/>
  <c r="AG124" i="57"/>
  <c r="O125" i="57"/>
  <c r="P125" i="57"/>
  <c r="Q125" i="57"/>
  <c r="R125" i="57"/>
  <c r="S125" i="57"/>
  <c r="T125" i="57"/>
  <c r="U125" i="57"/>
  <c r="V125" i="57"/>
  <c r="W125" i="57"/>
  <c r="X125" i="57"/>
  <c r="Y125" i="57"/>
  <c r="Z125" i="57"/>
  <c r="AD125" i="57"/>
  <c r="AE125" i="57" s="1"/>
  <c r="AG125" i="57"/>
  <c r="AA130" i="57"/>
  <c r="AB130" i="57" s="1"/>
  <c r="AE130" i="57"/>
  <c r="AF131" i="57"/>
  <c r="AA132" i="57"/>
  <c r="AB132" i="57" s="1"/>
  <c r="AE132" i="57"/>
  <c r="AF133" i="57"/>
  <c r="AA134" i="57"/>
  <c r="AF134" i="57" s="1"/>
  <c r="AE134" i="57"/>
  <c r="AF135" i="57"/>
  <c r="AA136" i="57"/>
  <c r="AE136" i="57"/>
  <c r="AF137" i="57"/>
  <c r="AA138" i="57"/>
  <c r="AF138" i="57" s="1"/>
  <c r="AE138" i="57"/>
  <c r="AF139" i="57"/>
  <c r="AA140" i="57"/>
  <c r="AB140" i="57" s="1"/>
  <c r="AE140" i="57"/>
  <c r="AE85" i="53"/>
  <c r="AE87" i="53"/>
  <c r="AE88" i="53"/>
  <c r="AE62" i="53"/>
  <c r="AE63" i="53"/>
  <c r="AE64" i="53"/>
  <c r="AE65" i="53"/>
  <c r="AE66" i="53"/>
  <c r="AE67" i="53"/>
  <c r="AE68" i="53"/>
  <c r="AE69" i="53"/>
  <c r="AE70" i="53"/>
  <c r="AE35" i="53"/>
  <c r="AE36" i="53"/>
  <c r="AE37" i="53"/>
  <c r="AE38" i="53"/>
  <c r="AE39" i="53"/>
  <c r="AE40" i="53"/>
  <c r="AE41" i="53"/>
  <c r="AE42" i="53"/>
  <c r="AE43" i="53"/>
  <c r="AE44" i="53"/>
  <c r="AE45" i="53"/>
  <c r="AE46" i="53"/>
  <c r="AE47" i="53"/>
  <c r="AE48" i="53"/>
  <c r="AE49" i="53"/>
  <c r="AE50" i="53"/>
  <c r="AE51" i="53"/>
  <c r="AE52" i="53"/>
  <c r="AE53" i="53"/>
  <c r="AE54" i="53"/>
  <c r="AE55" i="53"/>
  <c r="AE56" i="53"/>
  <c r="AE57" i="53"/>
  <c r="AE58" i="53"/>
  <c r="AA35" i="56"/>
  <c r="AB35" i="56" s="1"/>
  <c r="AE35" i="56"/>
  <c r="AA36" i="56"/>
  <c r="AB36" i="56" s="1"/>
  <c r="AE36" i="56"/>
  <c r="AA37" i="56"/>
  <c r="AB37" i="56" s="1"/>
  <c r="AE37" i="56"/>
  <c r="AF37" i="56"/>
  <c r="AA38" i="56"/>
  <c r="AB38" i="56" s="1"/>
  <c r="AE38" i="56"/>
  <c r="AA39" i="56"/>
  <c r="AB39" i="56" s="1"/>
  <c r="AE39" i="56"/>
  <c r="AA40" i="56"/>
  <c r="AF40" i="56" s="1"/>
  <c r="AA41" i="56"/>
  <c r="AE41" i="56"/>
  <c r="O43" i="56"/>
  <c r="O44" i="56" s="1"/>
  <c r="P43" i="56"/>
  <c r="P44" i="56" s="1"/>
  <c r="Q43" i="56"/>
  <c r="Q44" i="56" s="1"/>
  <c r="R43" i="56"/>
  <c r="S43" i="56"/>
  <c r="S44" i="56" s="1"/>
  <c r="T43" i="56"/>
  <c r="T44" i="56" s="1"/>
  <c r="U43" i="56"/>
  <c r="U44" i="56" s="1"/>
  <c r="V43" i="56"/>
  <c r="V44" i="56" s="1"/>
  <c r="W43" i="56"/>
  <c r="W44" i="56" s="1"/>
  <c r="X43" i="56"/>
  <c r="X44" i="56" s="1"/>
  <c r="Y43" i="56"/>
  <c r="Y44" i="56" s="1"/>
  <c r="Z43" i="56"/>
  <c r="Z44" i="56" s="1"/>
  <c r="AD43" i="56"/>
  <c r="AE44" i="56" s="1"/>
  <c r="AG43" i="56"/>
  <c r="R44" i="56"/>
  <c r="AA45" i="56"/>
  <c r="AF45" i="56" s="1"/>
  <c r="AE45" i="56"/>
  <c r="AA46" i="56"/>
  <c r="AB46" i="56" s="1"/>
  <c r="AE46" i="56"/>
  <c r="AA47" i="56"/>
  <c r="AF47" i="56" s="1"/>
  <c r="AE47" i="56"/>
  <c r="AA48" i="56"/>
  <c r="AB48" i="56" s="1"/>
  <c r="AE48" i="56"/>
  <c r="AA49" i="56"/>
  <c r="AF49" i="56" s="1"/>
  <c r="AE49" i="56"/>
  <c r="AA50" i="56"/>
  <c r="AF50" i="56" s="1"/>
  <c r="AA51" i="56"/>
  <c r="AF51" i="56" s="1"/>
  <c r="AE51" i="56"/>
  <c r="O53" i="56"/>
  <c r="O54" i="56" s="1"/>
  <c r="P53" i="56"/>
  <c r="P54" i="56" s="1"/>
  <c r="Q53" i="56"/>
  <c r="Q54" i="56" s="1"/>
  <c r="R53" i="56"/>
  <c r="R54" i="56" s="1"/>
  <c r="S53" i="56"/>
  <c r="S54" i="56" s="1"/>
  <c r="T53" i="56"/>
  <c r="T54" i="56" s="1"/>
  <c r="U53" i="56"/>
  <c r="U54" i="56" s="1"/>
  <c r="V53" i="56"/>
  <c r="V54" i="56" s="1"/>
  <c r="W53" i="56"/>
  <c r="W54" i="56" s="1"/>
  <c r="X53" i="56"/>
  <c r="X54" i="56" s="1"/>
  <c r="Y53" i="56"/>
  <c r="Y54" i="56" s="1"/>
  <c r="Z53" i="56"/>
  <c r="Z54" i="56" s="1"/>
  <c r="AD53" i="56"/>
  <c r="AE54" i="56" s="1"/>
  <c r="AG53" i="56"/>
  <c r="AA55" i="56"/>
  <c r="AE55" i="56"/>
  <c r="AA56" i="56"/>
  <c r="AE56" i="56"/>
  <c r="AA57" i="56"/>
  <c r="AE57" i="56"/>
  <c r="AA58" i="56"/>
  <c r="AE58" i="56"/>
  <c r="AA59" i="56"/>
  <c r="AE59" i="56"/>
  <c r="AA60" i="56"/>
  <c r="AF60" i="56" s="1"/>
  <c r="AA61" i="56"/>
  <c r="AB61" i="56" s="1"/>
  <c r="AE61" i="56"/>
  <c r="O63" i="56"/>
  <c r="O64" i="56" s="1"/>
  <c r="P63" i="56"/>
  <c r="P64" i="56" s="1"/>
  <c r="Q63" i="56"/>
  <c r="Q64" i="56" s="1"/>
  <c r="R63" i="56"/>
  <c r="R64" i="56" s="1"/>
  <c r="S63" i="56"/>
  <c r="S64" i="56" s="1"/>
  <c r="T63" i="56"/>
  <c r="T64" i="56" s="1"/>
  <c r="U63" i="56"/>
  <c r="U64" i="56" s="1"/>
  <c r="V63" i="56"/>
  <c r="W63" i="56"/>
  <c r="W64" i="56" s="1"/>
  <c r="X63" i="56"/>
  <c r="X64" i="56" s="1"/>
  <c r="Y63" i="56"/>
  <c r="Y64" i="56" s="1"/>
  <c r="Z63" i="56"/>
  <c r="Z64" i="56" s="1"/>
  <c r="AD63" i="56"/>
  <c r="AE64" i="56" s="1"/>
  <c r="AG63" i="56"/>
  <c r="V64" i="56"/>
  <c r="AA65" i="56"/>
  <c r="AB65" i="56" s="1"/>
  <c r="AE65" i="56"/>
  <c r="AF65" i="56"/>
  <c r="AA66" i="56"/>
  <c r="AB66" i="56" s="1"/>
  <c r="AE66" i="56"/>
  <c r="AA67" i="56"/>
  <c r="AB67" i="56" s="1"/>
  <c r="AE67" i="56"/>
  <c r="AA68" i="56"/>
  <c r="AB68" i="56"/>
  <c r="AE68" i="56"/>
  <c r="AF68" i="56"/>
  <c r="AA69" i="56"/>
  <c r="AB69" i="56" s="1"/>
  <c r="AE69" i="56"/>
  <c r="AA70" i="56"/>
  <c r="AF70" i="56" s="1"/>
  <c r="AA71" i="56"/>
  <c r="AF71" i="56" s="1"/>
  <c r="AE71" i="56"/>
  <c r="O73" i="56"/>
  <c r="O74" i="56" s="1"/>
  <c r="P73" i="56"/>
  <c r="P74" i="56" s="1"/>
  <c r="Q73" i="56"/>
  <c r="R73" i="56"/>
  <c r="R74" i="56" s="1"/>
  <c r="S73" i="56"/>
  <c r="S74" i="56" s="1"/>
  <c r="T73" i="56"/>
  <c r="T74" i="56" s="1"/>
  <c r="U73" i="56"/>
  <c r="U74" i="56" s="1"/>
  <c r="V73" i="56"/>
  <c r="V74" i="56" s="1"/>
  <c r="W73" i="56"/>
  <c r="W74" i="56" s="1"/>
  <c r="X73" i="56"/>
  <c r="X74" i="56" s="1"/>
  <c r="Y73" i="56"/>
  <c r="Y74" i="56" s="1"/>
  <c r="Z73" i="56"/>
  <c r="Z74" i="56" s="1"/>
  <c r="AD73" i="56"/>
  <c r="AE74" i="56" s="1"/>
  <c r="AG73" i="56"/>
  <c r="Q74" i="56"/>
  <c r="AA75" i="56"/>
  <c r="AF75" i="56" s="1"/>
  <c r="AE75" i="56"/>
  <c r="AA76" i="56"/>
  <c r="AB76" i="56" s="1"/>
  <c r="AE76" i="56"/>
  <c r="AA77" i="56"/>
  <c r="AB77" i="56"/>
  <c r="AE77" i="56"/>
  <c r="AF77" i="56"/>
  <c r="AA78" i="56"/>
  <c r="AB78" i="56" s="1"/>
  <c r="AE78" i="56"/>
  <c r="AA79" i="56"/>
  <c r="AB79" i="56" s="1"/>
  <c r="AE79" i="56"/>
  <c r="AA80" i="56"/>
  <c r="AA81" i="56" s="1"/>
  <c r="AE80" i="56"/>
  <c r="AF80" i="56"/>
  <c r="O82" i="56"/>
  <c r="O84" i="56" s="1"/>
  <c r="P82" i="56"/>
  <c r="Q82" i="56"/>
  <c r="Q84" i="56" s="1"/>
  <c r="R82" i="56"/>
  <c r="R84" i="56" s="1"/>
  <c r="S82" i="56"/>
  <c r="S84" i="56" s="1"/>
  <c r="T82" i="56"/>
  <c r="T84" i="56" s="1"/>
  <c r="U82" i="56"/>
  <c r="V82" i="56"/>
  <c r="V84" i="56" s="1"/>
  <c r="W82" i="56"/>
  <c r="W84" i="56" s="1"/>
  <c r="X82" i="56"/>
  <c r="X84" i="56" s="1"/>
  <c r="Y82" i="56"/>
  <c r="Y84" i="56" s="1"/>
  <c r="Z82" i="56"/>
  <c r="Z84" i="56" s="1"/>
  <c r="AD82" i="56"/>
  <c r="AE84" i="56" s="1"/>
  <c r="AG82" i="56"/>
  <c r="AA83" i="56"/>
  <c r="AF83" i="56" s="1"/>
  <c r="AE83" i="56"/>
  <c r="P84" i="56"/>
  <c r="U84" i="56"/>
  <c r="AA85" i="56"/>
  <c r="AB85" i="56" s="1"/>
  <c r="AE85" i="56"/>
  <c r="AA86" i="56"/>
  <c r="AF86" i="56" s="1"/>
  <c r="AA87" i="56"/>
  <c r="AF87" i="56" s="1"/>
  <c r="AE87" i="56"/>
  <c r="AA91" i="56"/>
  <c r="AF91" i="56" s="1"/>
  <c r="AA92" i="56"/>
  <c r="AA94" i="56" s="1"/>
  <c r="AF94" i="56" s="1"/>
  <c r="O93" i="56"/>
  <c r="P93" i="56"/>
  <c r="Q93" i="56"/>
  <c r="R93" i="56"/>
  <c r="S93" i="56"/>
  <c r="T93" i="56"/>
  <c r="U93" i="56"/>
  <c r="V93" i="56"/>
  <c r="W93" i="56"/>
  <c r="X93" i="56"/>
  <c r="Y93" i="56"/>
  <c r="Z93" i="56"/>
  <c r="AD93" i="56"/>
  <c r="AG93" i="56"/>
  <c r="O94" i="56"/>
  <c r="P94" i="56"/>
  <c r="Q94" i="56"/>
  <c r="R94" i="56"/>
  <c r="S94" i="56"/>
  <c r="T94" i="56"/>
  <c r="U94" i="56"/>
  <c r="V94" i="56"/>
  <c r="W94" i="56"/>
  <c r="X94" i="56"/>
  <c r="Y94" i="56"/>
  <c r="Z94" i="56"/>
  <c r="AD94" i="56"/>
  <c r="AG94" i="56"/>
  <c r="AA98" i="56"/>
  <c r="AF98" i="56" s="1"/>
  <c r="AE98" i="56"/>
  <c r="AA99" i="56"/>
  <c r="AB99" i="56" s="1"/>
  <c r="AE99" i="56"/>
  <c r="AA100" i="56"/>
  <c r="AF100" i="56" s="1"/>
  <c r="AE100" i="56"/>
  <c r="AA101" i="56"/>
  <c r="AE101" i="56"/>
  <c r="AA102" i="56"/>
  <c r="AB102" i="56" s="1"/>
  <c r="AE102" i="56"/>
  <c r="AA103" i="56"/>
  <c r="AF103" i="56" s="1"/>
  <c r="AE103" i="56"/>
  <c r="AA106" i="56"/>
  <c r="AF106" i="56" s="1"/>
  <c r="AE106" i="56"/>
  <c r="AA107" i="56"/>
  <c r="AB107" i="56" s="1"/>
  <c r="AE107" i="56"/>
  <c r="AF107" i="56"/>
  <c r="AA108" i="56"/>
  <c r="AB108" i="56" s="1"/>
  <c r="AE108" i="56"/>
  <c r="AA109" i="56"/>
  <c r="AB109" i="56" s="1"/>
  <c r="AE109" i="56"/>
  <c r="AF109" i="56"/>
  <c r="AA110" i="56"/>
  <c r="AF110" i="56" s="1"/>
  <c r="AE110" i="56"/>
  <c r="AA111" i="56"/>
  <c r="AB111" i="56" s="1"/>
  <c r="AE111" i="56"/>
  <c r="AA114" i="56"/>
  <c r="AF114" i="56" s="1"/>
  <c r="AB114" i="56"/>
  <c r="AE114" i="56"/>
  <c r="AA115" i="56"/>
  <c r="AB115" i="56" s="1"/>
  <c r="AE115" i="56"/>
  <c r="AA116" i="56"/>
  <c r="AB116" i="56" s="1"/>
  <c r="AE116" i="56"/>
  <c r="AA117" i="56"/>
  <c r="AB117" i="56" s="1"/>
  <c r="AE117" i="56"/>
  <c r="AA118" i="56"/>
  <c r="AB118" i="56" s="1"/>
  <c r="AE118" i="56"/>
  <c r="AA119" i="56"/>
  <c r="AB119" i="56" s="1"/>
  <c r="AE119" i="56"/>
  <c r="O121" i="56"/>
  <c r="P121" i="56"/>
  <c r="Q121" i="56"/>
  <c r="R121" i="56"/>
  <c r="S121" i="56"/>
  <c r="T121" i="56"/>
  <c r="U121" i="56"/>
  <c r="V121" i="56"/>
  <c r="W121" i="56"/>
  <c r="X121" i="56"/>
  <c r="X126" i="56" s="1"/>
  <c r="X127" i="56" s="1"/>
  <c r="Y121" i="56"/>
  <c r="Y126" i="56" s="1"/>
  <c r="Y127" i="56" s="1"/>
  <c r="Z121" i="56"/>
  <c r="AD121" i="56"/>
  <c r="AE121" i="56" s="1"/>
  <c r="AG121" i="56"/>
  <c r="O122" i="56"/>
  <c r="P122" i="56"/>
  <c r="Q122" i="56"/>
  <c r="R122" i="56"/>
  <c r="S122" i="56"/>
  <c r="T122" i="56"/>
  <c r="U122" i="56"/>
  <c r="V122" i="56"/>
  <c r="W122" i="56"/>
  <c r="X122" i="56"/>
  <c r="Y122" i="56"/>
  <c r="Z122" i="56"/>
  <c r="AD122" i="56"/>
  <c r="AE122" i="56" s="1"/>
  <c r="AG122" i="56"/>
  <c r="O123" i="56"/>
  <c r="P123" i="56"/>
  <c r="Q123" i="56"/>
  <c r="R123" i="56"/>
  <c r="S123" i="56"/>
  <c r="T123" i="56"/>
  <c r="U123" i="56"/>
  <c r="V123" i="56"/>
  <c r="W123" i="56"/>
  <c r="X123" i="56"/>
  <c r="Y123" i="56"/>
  <c r="Z123" i="56"/>
  <c r="AD123" i="56"/>
  <c r="AE123" i="56" s="1"/>
  <c r="AG123" i="56"/>
  <c r="O124" i="56"/>
  <c r="P124" i="56"/>
  <c r="P126" i="56" s="1"/>
  <c r="P127" i="56" s="1"/>
  <c r="Q124" i="56"/>
  <c r="R124" i="56"/>
  <c r="S124" i="56"/>
  <c r="T124" i="56"/>
  <c r="U124" i="56"/>
  <c r="V124" i="56"/>
  <c r="W124" i="56"/>
  <c r="X124" i="56"/>
  <c r="Y124" i="56"/>
  <c r="Z124" i="56"/>
  <c r="AD124" i="56"/>
  <c r="AE124" i="56" s="1"/>
  <c r="AG124" i="56"/>
  <c r="O125" i="56"/>
  <c r="P125" i="56"/>
  <c r="Q125" i="56"/>
  <c r="R125" i="56"/>
  <c r="S125" i="56"/>
  <c r="T125" i="56"/>
  <c r="U125" i="56"/>
  <c r="V125" i="56"/>
  <c r="W125" i="56"/>
  <c r="X125" i="56"/>
  <c r="Y125" i="56"/>
  <c r="Z125" i="56"/>
  <c r="AD125" i="56"/>
  <c r="AE125" i="56" s="1"/>
  <c r="AG125" i="56"/>
  <c r="AA130" i="56"/>
  <c r="AF130" i="56" s="1"/>
  <c r="AE130" i="56"/>
  <c r="AF131" i="56"/>
  <c r="AA132" i="56"/>
  <c r="AB132" i="56" s="1"/>
  <c r="AE132" i="56"/>
  <c r="AF133" i="56"/>
  <c r="AA134" i="56"/>
  <c r="AB134" i="56" s="1"/>
  <c r="AE134" i="56"/>
  <c r="AF135" i="56"/>
  <c r="AA136" i="56"/>
  <c r="AF136" i="56" s="1"/>
  <c r="AE136" i="56"/>
  <c r="AF137" i="56"/>
  <c r="AA138" i="56"/>
  <c r="AE138" i="56"/>
  <c r="AF139" i="56"/>
  <c r="AA140" i="56"/>
  <c r="AB140" i="56" s="1"/>
  <c r="AE140" i="56"/>
  <c r="AE85" i="52"/>
  <c r="AE87" i="52"/>
  <c r="AE88" i="52"/>
  <c r="AE62" i="52"/>
  <c r="AE63" i="52"/>
  <c r="AE64" i="52"/>
  <c r="AE65" i="52"/>
  <c r="AE66" i="52"/>
  <c r="AE67" i="52"/>
  <c r="AE68" i="52"/>
  <c r="AE69" i="52"/>
  <c r="AE70" i="52"/>
  <c r="AE35" i="52"/>
  <c r="AE36" i="52"/>
  <c r="AE37" i="52"/>
  <c r="AE38" i="52"/>
  <c r="AE39" i="52"/>
  <c r="AE40" i="52"/>
  <c r="AE41" i="52"/>
  <c r="AE42" i="52"/>
  <c r="AE43" i="52"/>
  <c r="AE44" i="52"/>
  <c r="AE45" i="52"/>
  <c r="AE46" i="52"/>
  <c r="AE47" i="52"/>
  <c r="AE48" i="52"/>
  <c r="AE49" i="52"/>
  <c r="AE50" i="52"/>
  <c r="AE51" i="52"/>
  <c r="AE52" i="52"/>
  <c r="AE53" i="52"/>
  <c r="AE54" i="52"/>
  <c r="AE55" i="52"/>
  <c r="AE56" i="52"/>
  <c r="AE57" i="52"/>
  <c r="AE58" i="52"/>
  <c r="AA35" i="55"/>
  <c r="AB35" i="55" s="1"/>
  <c r="AE35" i="55"/>
  <c r="AA36" i="55"/>
  <c r="AB36" i="55" s="1"/>
  <c r="AE36" i="55"/>
  <c r="AA37" i="55"/>
  <c r="AB37" i="55" s="1"/>
  <c r="AE37" i="55"/>
  <c r="AA38" i="55"/>
  <c r="AB38" i="55" s="1"/>
  <c r="AE38" i="55"/>
  <c r="AA39" i="55"/>
  <c r="AB39" i="55" s="1"/>
  <c r="AE39" i="55"/>
  <c r="AA40" i="55"/>
  <c r="AF40" i="55" s="1"/>
  <c r="AA41" i="55"/>
  <c r="AB41" i="55" s="1"/>
  <c r="AE41" i="55"/>
  <c r="O43" i="55"/>
  <c r="O44" i="55" s="1"/>
  <c r="P43" i="55"/>
  <c r="P44" i="55" s="1"/>
  <c r="Q43" i="55"/>
  <c r="Q44" i="55" s="1"/>
  <c r="R43" i="55"/>
  <c r="R44" i="55" s="1"/>
  <c r="S43" i="55"/>
  <c r="S44" i="55" s="1"/>
  <c r="T43" i="55"/>
  <c r="T44" i="55" s="1"/>
  <c r="U43" i="55"/>
  <c r="U44" i="55" s="1"/>
  <c r="V43" i="55"/>
  <c r="V44" i="55" s="1"/>
  <c r="W43" i="55"/>
  <c r="W44" i="55" s="1"/>
  <c r="X43" i="55"/>
  <c r="Y43" i="55"/>
  <c r="Z43" i="55"/>
  <c r="Z44" i="55" s="1"/>
  <c r="AD43" i="55"/>
  <c r="AE44" i="55" s="1"/>
  <c r="AG43" i="55"/>
  <c r="X44" i="55"/>
  <c r="Y44" i="55"/>
  <c r="AA45" i="55"/>
  <c r="AF45" i="55" s="1"/>
  <c r="AE45" i="55"/>
  <c r="AA46" i="55"/>
  <c r="AE46" i="55"/>
  <c r="AA47" i="55"/>
  <c r="AF47" i="55" s="1"/>
  <c r="AE47" i="55"/>
  <c r="AA48" i="55"/>
  <c r="AE48" i="55"/>
  <c r="AA49" i="55"/>
  <c r="AF49" i="55" s="1"/>
  <c r="AE49" i="55"/>
  <c r="AA50" i="55"/>
  <c r="AF50" i="55" s="1"/>
  <c r="AA51" i="55"/>
  <c r="AE51" i="55"/>
  <c r="O53" i="55"/>
  <c r="O54" i="55" s="1"/>
  <c r="P53" i="55"/>
  <c r="P54" i="55" s="1"/>
  <c r="Q53" i="55"/>
  <c r="Q54" i="55" s="1"/>
  <c r="R53" i="55"/>
  <c r="R54" i="55" s="1"/>
  <c r="S53" i="55"/>
  <c r="S54" i="55" s="1"/>
  <c r="T53" i="55"/>
  <c r="T54" i="55" s="1"/>
  <c r="U53" i="55"/>
  <c r="U54" i="55" s="1"/>
  <c r="V53" i="55"/>
  <c r="V54" i="55" s="1"/>
  <c r="W53" i="55"/>
  <c r="X53" i="55"/>
  <c r="Y53" i="55"/>
  <c r="Y54" i="55" s="1"/>
  <c r="Z53" i="55"/>
  <c r="AD53" i="55"/>
  <c r="AE54" i="55" s="1"/>
  <c r="AG53" i="55"/>
  <c r="W54" i="55"/>
  <c r="X54" i="55"/>
  <c r="Z54" i="55"/>
  <c r="AA55" i="55"/>
  <c r="AB55" i="55" s="1"/>
  <c r="AE55" i="55"/>
  <c r="AA56" i="55"/>
  <c r="AB56" i="55" s="1"/>
  <c r="AE56" i="55"/>
  <c r="AA57" i="55"/>
  <c r="AB57" i="55" s="1"/>
  <c r="AE57" i="55"/>
  <c r="AF57" i="55"/>
  <c r="AA58" i="55"/>
  <c r="AB58" i="55" s="1"/>
  <c r="AE58" i="55"/>
  <c r="AA59" i="55"/>
  <c r="AF59" i="55" s="1"/>
  <c r="AE59" i="55"/>
  <c r="AA60" i="55"/>
  <c r="AF60" i="55" s="1"/>
  <c r="AA61" i="55"/>
  <c r="AB61" i="55" s="1"/>
  <c r="AE61" i="55"/>
  <c r="O63" i="55"/>
  <c r="O64" i="55" s="1"/>
  <c r="P63" i="55"/>
  <c r="P64" i="55" s="1"/>
  <c r="Q63" i="55"/>
  <c r="Q64" i="55" s="1"/>
  <c r="R63" i="55"/>
  <c r="R64" i="55" s="1"/>
  <c r="S63" i="55"/>
  <c r="S64" i="55" s="1"/>
  <c r="T63" i="55"/>
  <c r="T64" i="55" s="1"/>
  <c r="U63" i="55"/>
  <c r="U64" i="55" s="1"/>
  <c r="V63" i="55"/>
  <c r="V64" i="55" s="1"/>
  <c r="W63" i="55"/>
  <c r="W64" i="55" s="1"/>
  <c r="X63" i="55"/>
  <c r="Y63" i="55"/>
  <c r="Z63" i="55"/>
  <c r="Z64" i="55" s="1"/>
  <c r="AD63" i="55"/>
  <c r="AE64" i="55" s="1"/>
  <c r="AG63" i="55"/>
  <c r="X64" i="55"/>
  <c r="Y64" i="55"/>
  <c r="AA65" i="55"/>
  <c r="AF65" i="55" s="1"/>
  <c r="AE65" i="55"/>
  <c r="AA66" i="55"/>
  <c r="AB66" i="55" s="1"/>
  <c r="AE66" i="55"/>
  <c r="AA67" i="55"/>
  <c r="AF67" i="55" s="1"/>
  <c r="AE67" i="55"/>
  <c r="AA68" i="55"/>
  <c r="AB68" i="55"/>
  <c r="AE68" i="55"/>
  <c r="AF68" i="55"/>
  <c r="AA69" i="55"/>
  <c r="AF69" i="55" s="1"/>
  <c r="AB69" i="55"/>
  <c r="AE69" i="55"/>
  <c r="AA70" i="55"/>
  <c r="AF70" i="55" s="1"/>
  <c r="AA71" i="55"/>
  <c r="AB71" i="55" s="1"/>
  <c r="AE71" i="55"/>
  <c r="O73" i="55"/>
  <c r="O74" i="55" s="1"/>
  <c r="P73" i="55"/>
  <c r="P74" i="55" s="1"/>
  <c r="Q73" i="55"/>
  <c r="Q74" i="55" s="1"/>
  <c r="R73" i="55"/>
  <c r="R74" i="55" s="1"/>
  <c r="S73" i="55"/>
  <c r="S74" i="55" s="1"/>
  <c r="T73" i="55"/>
  <c r="T74" i="55" s="1"/>
  <c r="U73" i="55"/>
  <c r="V73" i="55"/>
  <c r="V74" i="55" s="1"/>
  <c r="W73" i="55"/>
  <c r="W74" i="55" s="1"/>
  <c r="X73" i="55"/>
  <c r="X74" i="55" s="1"/>
  <c r="Y73" i="55"/>
  <c r="Y74" i="55" s="1"/>
  <c r="Z73" i="55"/>
  <c r="Z74" i="55" s="1"/>
  <c r="AD73" i="55"/>
  <c r="AE74" i="55" s="1"/>
  <c r="AG73" i="55"/>
  <c r="U74" i="55"/>
  <c r="AA75" i="55"/>
  <c r="AE75" i="55"/>
  <c r="AA76" i="55"/>
  <c r="AB76" i="55" s="1"/>
  <c r="AE76" i="55"/>
  <c r="AA77" i="55"/>
  <c r="AE77" i="55"/>
  <c r="AA78" i="55"/>
  <c r="AB78" i="55" s="1"/>
  <c r="AE78" i="55"/>
  <c r="AA79" i="55"/>
  <c r="AE79" i="55"/>
  <c r="AA80" i="55"/>
  <c r="AB80" i="55" s="1"/>
  <c r="AE80" i="55"/>
  <c r="O82" i="55"/>
  <c r="P82" i="55"/>
  <c r="P84" i="55" s="1"/>
  <c r="Q82" i="55"/>
  <c r="Q84" i="55" s="1"/>
  <c r="R82" i="55"/>
  <c r="R84" i="55" s="1"/>
  <c r="S82" i="55"/>
  <c r="S84" i="55" s="1"/>
  <c r="T82" i="55"/>
  <c r="T84" i="55" s="1"/>
  <c r="U82" i="55"/>
  <c r="U84" i="55" s="1"/>
  <c r="V82" i="55"/>
  <c r="V84" i="55" s="1"/>
  <c r="W82" i="55"/>
  <c r="X82" i="55"/>
  <c r="X84" i="55" s="1"/>
  <c r="Y82" i="55"/>
  <c r="Y84" i="55" s="1"/>
  <c r="Z82" i="55"/>
  <c r="AD82" i="55"/>
  <c r="AE84" i="55" s="1"/>
  <c r="AG82" i="55"/>
  <c r="AA83" i="55"/>
  <c r="AE83" i="55"/>
  <c r="O84" i="55"/>
  <c r="W84" i="55"/>
  <c r="Z84" i="55"/>
  <c r="AA85" i="55"/>
  <c r="AF85" i="55" s="1"/>
  <c r="AE85" i="55"/>
  <c r="AA86" i="55"/>
  <c r="AF86" i="55" s="1"/>
  <c r="AA87" i="55"/>
  <c r="AF87" i="55" s="1"/>
  <c r="AE87" i="55"/>
  <c r="AA88" i="55"/>
  <c r="AF88" i="55" s="1"/>
  <c r="AA91" i="55"/>
  <c r="AF91" i="55" s="1"/>
  <c r="AA92" i="55"/>
  <c r="AF92" i="55" s="1"/>
  <c r="O93" i="55"/>
  <c r="P93" i="55"/>
  <c r="Q93" i="55"/>
  <c r="R93" i="55"/>
  <c r="S93" i="55"/>
  <c r="T93" i="55"/>
  <c r="U93" i="55"/>
  <c r="V93" i="55"/>
  <c r="W93" i="55"/>
  <c r="X93" i="55"/>
  <c r="Y93" i="55"/>
  <c r="Z93" i="55"/>
  <c r="AD93" i="55"/>
  <c r="AG93" i="55"/>
  <c r="O94" i="55"/>
  <c r="P94" i="55"/>
  <c r="Q94" i="55"/>
  <c r="R94" i="55"/>
  <c r="S94" i="55"/>
  <c r="T94" i="55"/>
  <c r="U94" i="55"/>
  <c r="V94" i="55"/>
  <c r="W94" i="55"/>
  <c r="X94" i="55"/>
  <c r="Y94" i="55"/>
  <c r="Z94" i="55"/>
  <c r="AD94" i="55"/>
  <c r="AG94" i="55"/>
  <c r="AA98" i="55"/>
  <c r="AB98" i="55" s="1"/>
  <c r="AE98" i="55"/>
  <c r="AA99" i="55"/>
  <c r="AF99" i="55" s="1"/>
  <c r="AE99" i="55"/>
  <c r="AA100" i="55"/>
  <c r="AB100" i="55" s="1"/>
  <c r="AE100" i="55"/>
  <c r="AA101" i="55"/>
  <c r="AF101" i="55" s="1"/>
  <c r="AB101" i="55"/>
  <c r="AE101" i="55"/>
  <c r="AA102" i="55"/>
  <c r="AF102" i="55" s="1"/>
  <c r="AE102" i="55"/>
  <c r="AA103" i="55"/>
  <c r="AF103" i="55" s="1"/>
  <c r="AE103" i="55"/>
  <c r="AA106" i="55"/>
  <c r="AB106" i="55" s="1"/>
  <c r="AE106" i="55"/>
  <c r="AF106" i="55"/>
  <c r="AA107" i="55"/>
  <c r="AF107" i="55" s="1"/>
  <c r="AE107" i="55"/>
  <c r="AA108" i="55"/>
  <c r="AB108" i="55" s="1"/>
  <c r="AE108" i="55"/>
  <c r="AA109" i="55"/>
  <c r="AF109" i="55" s="1"/>
  <c r="AE109" i="55"/>
  <c r="AA110" i="55"/>
  <c r="AF110" i="55" s="1"/>
  <c r="AE110" i="55"/>
  <c r="AA111" i="55"/>
  <c r="AF111" i="55" s="1"/>
  <c r="AE111" i="55"/>
  <c r="AA114" i="55"/>
  <c r="AB114" i="55" s="1"/>
  <c r="AE114" i="55"/>
  <c r="AA115" i="55"/>
  <c r="AF115" i="55" s="1"/>
  <c r="AE115" i="55"/>
  <c r="AA116" i="55"/>
  <c r="AB116" i="55" s="1"/>
  <c r="AE116" i="55"/>
  <c r="AA117" i="55"/>
  <c r="AF117" i="55" s="1"/>
  <c r="AB117" i="55"/>
  <c r="AE117" i="55"/>
  <c r="AA118" i="55"/>
  <c r="AB118" i="55" s="1"/>
  <c r="AE118" i="55"/>
  <c r="AA119" i="55"/>
  <c r="AF119" i="55" s="1"/>
  <c r="AE119" i="55"/>
  <c r="O121" i="55"/>
  <c r="P121" i="55"/>
  <c r="Q121" i="55"/>
  <c r="R121" i="55"/>
  <c r="S121" i="55"/>
  <c r="T121" i="55"/>
  <c r="U121" i="55"/>
  <c r="V121" i="55"/>
  <c r="W121" i="55"/>
  <c r="X121" i="55"/>
  <c r="Y121" i="55"/>
  <c r="Z121" i="55"/>
  <c r="AD121" i="55"/>
  <c r="AE121" i="55" s="1"/>
  <c r="AG121" i="55"/>
  <c r="O122" i="55"/>
  <c r="P122" i="55"/>
  <c r="Q122" i="55"/>
  <c r="R122" i="55"/>
  <c r="S122" i="55"/>
  <c r="T122" i="55"/>
  <c r="U122" i="55"/>
  <c r="V122" i="55"/>
  <c r="W122" i="55"/>
  <c r="X122" i="55"/>
  <c r="Y122" i="55"/>
  <c r="Z122" i="55"/>
  <c r="AD122" i="55"/>
  <c r="AE122" i="55" s="1"/>
  <c r="AG122" i="55"/>
  <c r="O123" i="55"/>
  <c r="P123" i="55"/>
  <c r="Q123" i="55"/>
  <c r="R123" i="55"/>
  <c r="S123" i="55"/>
  <c r="T123" i="55"/>
  <c r="U123" i="55"/>
  <c r="V123" i="55"/>
  <c r="W123" i="55"/>
  <c r="X123" i="55"/>
  <c r="Y123" i="55"/>
  <c r="Z123" i="55"/>
  <c r="AD123" i="55"/>
  <c r="AE123" i="55" s="1"/>
  <c r="AG123" i="55"/>
  <c r="O124" i="55"/>
  <c r="P124" i="55"/>
  <c r="Q124" i="55"/>
  <c r="R124" i="55"/>
  <c r="S124" i="55"/>
  <c r="T124" i="55"/>
  <c r="U124" i="55"/>
  <c r="V124" i="55"/>
  <c r="W124" i="55"/>
  <c r="X124" i="55"/>
  <c r="Y124" i="55"/>
  <c r="Z124" i="55"/>
  <c r="AD124" i="55"/>
  <c r="AE124" i="55" s="1"/>
  <c r="AG124" i="55"/>
  <c r="O125" i="55"/>
  <c r="P125" i="55"/>
  <c r="Q125" i="55"/>
  <c r="R125" i="55"/>
  <c r="S125" i="55"/>
  <c r="T125" i="55"/>
  <c r="U125" i="55"/>
  <c r="V125" i="55"/>
  <c r="W125" i="55"/>
  <c r="X125" i="55"/>
  <c r="Y125" i="55"/>
  <c r="Z125" i="55"/>
  <c r="AD125" i="55"/>
  <c r="AE125" i="55" s="1"/>
  <c r="AG125" i="55"/>
  <c r="AA130" i="55"/>
  <c r="AF130" i="55" s="1"/>
  <c r="AE130" i="55"/>
  <c r="AF131" i="55"/>
  <c r="AA132" i="55"/>
  <c r="AF132" i="55" s="1"/>
  <c r="AE132" i="55"/>
  <c r="AF133" i="55"/>
  <c r="AA134" i="55"/>
  <c r="AE134" i="55"/>
  <c r="AF135" i="55"/>
  <c r="AA136" i="55"/>
  <c r="AF136" i="55" s="1"/>
  <c r="AE136" i="55"/>
  <c r="AF137" i="55"/>
  <c r="AA138" i="55"/>
  <c r="AF138" i="55" s="1"/>
  <c r="AE138" i="55"/>
  <c r="AF139" i="55"/>
  <c r="AA140" i="55"/>
  <c r="AF140" i="55" s="1"/>
  <c r="AE140" i="55"/>
  <c r="AE94" i="51"/>
  <c r="AE96" i="51"/>
  <c r="AE97" i="51"/>
  <c r="AE86" i="51"/>
  <c r="AE87" i="51"/>
  <c r="AE88" i="51"/>
  <c r="AE89" i="51"/>
  <c r="AE90" i="51"/>
  <c r="AE91" i="51"/>
  <c r="AE92" i="51"/>
  <c r="AE93" i="51"/>
  <c r="AE79" i="51"/>
  <c r="AE80" i="51"/>
  <c r="AE81" i="51"/>
  <c r="AE82" i="51"/>
  <c r="AE83" i="51"/>
  <c r="AE62" i="51"/>
  <c r="AE63" i="51"/>
  <c r="AE64" i="51"/>
  <c r="AE65" i="51"/>
  <c r="AE66" i="51"/>
  <c r="AE67" i="51"/>
  <c r="AE68" i="51"/>
  <c r="AE69" i="51"/>
  <c r="AE70" i="51"/>
  <c r="AE35" i="51"/>
  <c r="AE36" i="51"/>
  <c r="AE37" i="51"/>
  <c r="AE38" i="51"/>
  <c r="AE39" i="51"/>
  <c r="AE40" i="51"/>
  <c r="AE41" i="51"/>
  <c r="AE42" i="51"/>
  <c r="AE43" i="51"/>
  <c r="AE44" i="51"/>
  <c r="AE45" i="51"/>
  <c r="AE46" i="51"/>
  <c r="AE47" i="51"/>
  <c r="AE48" i="51"/>
  <c r="AE49" i="51"/>
  <c r="AE50" i="51"/>
  <c r="AE51" i="51"/>
  <c r="AE52" i="51"/>
  <c r="AE53" i="51"/>
  <c r="AE54" i="51"/>
  <c r="AE55" i="51"/>
  <c r="AE56" i="51"/>
  <c r="AE57" i="51"/>
  <c r="AE58" i="51"/>
  <c r="AA35" i="39"/>
  <c r="AF35" i="39" s="1"/>
  <c r="AE35" i="39"/>
  <c r="AA36" i="39"/>
  <c r="AE36" i="39"/>
  <c r="AA37" i="39"/>
  <c r="AF37" i="39" s="1"/>
  <c r="AE37" i="39"/>
  <c r="AA38" i="39"/>
  <c r="AE38" i="39"/>
  <c r="AA39" i="39"/>
  <c r="AE39" i="39"/>
  <c r="AA40" i="39"/>
  <c r="AF40" i="39" s="1"/>
  <c r="AA41" i="39"/>
  <c r="AF41" i="39" s="1"/>
  <c r="AE41" i="39"/>
  <c r="O43" i="39"/>
  <c r="O44" i="39" s="1"/>
  <c r="P43" i="39"/>
  <c r="P44" i="39" s="1"/>
  <c r="Q43" i="39"/>
  <c r="Q44" i="39" s="1"/>
  <c r="R43" i="39"/>
  <c r="R44" i="39" s="1"/>
  <c r="S43" i="39"/>
  <c r="S44" i="39" s="1"/>
  <c r="T43" i="39"/>
  <c r="T44" i="39" s="1"/>
  <c r="U43" i="39"/>
  <c r="V43" i="39"/>
  <c r="V44" i="39" s="1"/>
  <c r="W43" i="39"/>
  <c r="W44" i="39" s="1"/>
  <c r="X43" i="39"/>
  <c r="X44" i="39" s="1"/>
  <c r="Y43" i="39"/>
  <c r="Y44" i="39" s="1"/>
  <c r="Z43" i="39"/>
  <c r="Z44" i="39" s="1"/>
  <c r="AD43" i="39"/>
  <c r="AE44" i="39" s="1"/>
  <c r="AG43" i="39"/>
  <c r="U44" i="39"/>
  <c r="AA45" i="39"/>
  <c r="AE45" i="39"/>
  <c r="AA46" i="39"/>
  <c r="AB46" i="39" s="1"/>
  <c r="AE46" i="39"/>
  <c r="AA47" i="39"/>
  <c r="AE47" i="39"/>
  <c r="AA48" i="39"/>
  <c r="AF48" i="39" s="1"/>
  <c r="AE48" i="39"/>
  <c r="AA49" i="39"/>
  <c r="AE49" i="39"/>
  <c r="AA50" i="39"/>
  <c r="AF50" i="39" s="1"/>
  <c r="AA51" i="39"/>
  <c r="AF51" i="39" s="1"/>
  <c r="AE51" i="39"/>
  <c r="O53" i="39"/>
  <c r="O54" i="39" s="1"/>
  <c r="P53" i="39"/>
  <c r="P54" i="39" s="1"/>
  <c r="Q53" i="39"/>
  <c r="Q54" i="39" s="1"/>
  <c r="R53" i="39"/>
  <c r="R54" i="39" s="1"/>
  <c r="S53" i="39"/>
  <c r="S54" i="39" s="1"/>
  <c r="T53" i="39"/>
  <c r="T54" i="39" s="1"/>
  <c r="U53" i="39"/>
  <c r="U54" i="39" s="1"/>
  <c r="V53" i="39"/>
  <c r="V54" i="39" s="1"/>
  <c r="W53" i="39"/>
  <c r="W54" i="39" s="1"/>
  <c r="X53" i="39"/>
  <c r="X54" i="39" s="1"/>
  <c r="Y53" i="39"/>
  <c r="Y54" i="39" s="1"/>
  <c r="Z53" i="39"/>
  <c r="Z54" i="39" s="1"/>
  <c r="AD53" i="39"/>
  <c r="AG53" i="39"/>
  <c r="AE54" i="39"/>
  <c r="AA55" i="39"/>
  <c r="AE55" i="39"/>
  <c r="AA56" i="39"/>
  <c r="AB56" i="39" s="1"/>
  <c r="AE56" i="39"/>
  <c r="AF56" i="39"/>
  <c r="AA57" i="39"/>
  <c r="AB57" i="39" s="1"/>
  <c r="AE57" i="39"/>
  <c r="AA58" i="39"/>
  <c r="AB58" i="39" s="1"/>
  <c r="AE58" i="39"/>
  <c r="AA59" i="39"/>
  <c r="AE59" i="39"/>
  <c r="AA60" i="39"/>
  <c r="AF60" i="39" s="1"/>
  <c r="AA61" i="39"/>
  <c r="AB61" i="39" s="1"/>
  <c r="AE61" i="39"/>
  <c r="O63" i="39"/>
  <c r="O64" i="39" s="1"/>
  <c r="P63" i="39"/>
  <c r="P64" i="39" s="1"/>
  <c r="Q63" i="39"/>
  <c r="Q64" i="39" s="1"/>
  <c r="R63" i="39"/>
  <c r="R64" i="39" s="1"/>
  <c r="S63" i="39"/>
  <c r="S64" i="39" s="1"/>
  <c r="T63" i="39"/>
  <c r="U63" i="39"/>
  <c r="V63" i="39"/>
  <c r="V64" i="39" s="1"/>
  <c r="W63" i="39"/>
  <c r="W64" i="39" s="1"/>
  <c r="X63" i="39"/>
  <c r="X64" i="39" s="1"/>
  <c r="Y63" i="39"/>
  <c r="Y64" i="39" s="1"/>
  <c r="Z63" i="39"/>
  <c r="Z64" i="39" s="1"/>
  <c r="AD63" i="39"/>
  <c r="AE64" i="39" s="1"/>
  <c r="AG63" i="39"/>
  <c r="T64" i="39"/>
  <c r="U64" i="39"/>
  <c r="AA65" i="39"/>
  <c r="AB65" i="39" s="1"/>
  <c r="AE65" i="39"/>
  <c r="AA66" i="39"/>
  <c r="AB66" i="39" s="1"/>
  <c r="AE66" i="39"/>
  <c r="AA67" i="39"/>
  <c r="AB67" i="39" s="1"/>
  <c r="AE67" i="39"/>
  <c r="AA68" i="39"/>
  <c r="AB68" i="39" s="1"/>
  <c r="AE68" i="39"/>
  <c r="AA69" i="39"/>
  <c r="AB69" i="39" s="1"/>
  <c r="AE69" i="39"/>
  <c r="AA70" i="39"/>
  <c r="AF70" i="39" s="1"/>
  <c r="AA71" i="39"/>
  <c r="AE71" i="39"/>
  <c r="O73" i="39"/>
  <c r="O74" i="39" s="1"/>
  <c r="P73" i="39"/>
  <c r="P74" i="39" s="1"/>
  <c r="Q73" i="39"/>
  <c r="Q74" i="39" s="1"/>
  <c r="R73" i="39"/>
  <c r="R74" i="39" s="1"/>
  <c r="S73" i="39"/>
  <c r="S74" i="39" s="1"/>
  <c r="T73" i="39"/>
  <c r="T74" i="39" s="1"/>
  <c r="U73" i="39"/>
  <c r="U74" i="39" s="1"/>
  <c r="V73" i="39"/>
  <c r="W73" i="39"/>
  <c r="W74" i="39" s="1"/>
  <c r="X73" i="39"/>
  <c r="X74" i="39" s="1"/>
  <c r="Y73" i="39"/>
  <c r="Y74" i="39" s="1"/>
  <c r="Z73" i="39"/>
  <c r="Z74" i="39" s="1"/>
  <c r="AD73" i="39"/>
  <c r="AE74" i="39" s="1"/>
  <c r="AG73" i="39"/>
  <c r="V74" i="39"/>
  <c r="AA75" i="39"/>
  <c r="AB75" i="39" s="1"/>
  <c r="AE75" i="39"/>
  <c r="AA76" i="39"/>
  <c r="AE76" i="39"/>
  <c r="AA77" i="39"/>
  <c r="AB77" i="39" s="1"/>
  <c r="AE77" i="39"/>
  <c r="AA78" i="39"/>
  <c r="AF78" i="39" s="1"/>
  <c r="AE78" i="39"/>
  <c r="AA79" i="39"/>
  <c r="AB79" i="39" s="1"/>
  <c r="AE79" i="39"/>
  <c r="AA80" i="39"/>
  <c r="AB80" i="39" s="1"/>
  <c r="AE80" i="39"/>
  <c r="O82" i="39"/>
  <c r="P82" i="39"/>
  <c r="P84" i="39" s="1"/>
  <c r="Q82" i="39"/>
  <c r="Q84" i="39" s="1"/>
  <c r="R82" i="39"/>
  <c r="R84" i="39" s="1"/>
  <c r="S82" i="39"/>
  <c r="S84" i="39" s="1"/>
  <c r="T82" i="39"/>
  <c r="T84" i="39" s="1"/>
  <c r="U82" i="39"/>
  <c r="U84" i="39" s="1"/>
  <c r="V82" i="39"/>
  <c r="W82" i="39"/>
  <c r="W84" i="39" s="1"/>
  <c r="X82" i="39"/>
  <c r="X84" i="39" s="1"/>
  <c r="Y82" i="39"/>
  <c r="Y84" i="39" s="1"/>
  <c r="Z82" i="39"/>
  <c r="Z84" i="39" s="1"/>
  <c r="AD82" i="39"/>
  <c r="AE84" i="39" s="1"/>
  <c r="AG82" i="39"/>
  <c r="AA83" i="39"/>
  <c r="AB83" i="39" s="1"/>
  <c r="AE83" i="39"/>
  <c r="O84" i="39"/>
  <c r="V84" i="39"/>
  <c r="AA85" i="39"/>
  <c r="AF85" i="39" s="1"/>
  <c r="AE85" i="39"/>
  <c r="AA86" i="39"/>
  <c r="AF86" i="39" s="1"/>
  <c r="AA87" i="39"/>
  <c r="AA94" i="39" s="1"/>
  <c r="AE87" i="39"/>
  <c r="AA91" i="39"/>
  <c r="AF91" i="39" s="1"/>
  <c r="AA92" i="39"/>
  <c r="AF92" i="39" s="1"/>
  <c r="O93" i="39"/>
  <c r="P93" i="39"/>
  <c r="Q93" i="39"/>
  <c r="R93" i="39"/>
  <c r="S93" i="39"/>
  <c r="T93" i="39"/>
  <c r="U93" i="39"/>
  <c r="V93" i="39"/>
  <c r="W93" i="39"/>
  <c r="X93" i="39"/>
  <c r="Y93" i="39"/>
  <c r="Z93" i="39"/>
  <c r="AD93" i="39"/>
  <c r="AG93" i="39"/>
  <c r="O94" i="39"/>
  <c r="P94" i="39"/>
  <c r="Q94" i="39"/>
  <c r="R94" i="39"/>
  <c r="S94" i="39"/>
  <c r="T94" i="39"/>
  <c r="U94" i="39"/>
  <c r="V94" i="39"/>
  <c r="W94" i="39"/>
  <c r="X94" i="39"/>
  <c r="Y94" i="39"/>
  <c r="Z94" i="39"/>
  <c r="AD94" i="39"/>
  <c r="AG94" i="39"/>
  <c r="AA98" i="39"/>
  <c r="AF98" i="39" s="1"/>
  <c r="AE98" i="39"/>
  <c r="AA99" i="39"/>
  <c r="AB99" i="39" s="1"/>
  <c r="AE99" i="39"/>
  <c r="AA100" i="39"/>
  <c r="AF100" i="39" s="1"/>
  <c r="AE100" i="39"/>
  <c r="AA101" i="39"/>
  <c r="AB101" i="39" s="1"/>
  <c r="AE101" i="39"/>
  <c r="AA102" i="39"/>
  <c r="AF102" i="39" s="1"/>
  <c r="AE102" i="39"/>
  <c r="AA103" i="39"/>
  <c r="AF103" i="39" s="1"/>
  <c r="AE103" i="39"/>
  <c r="AA106" i="39"/>
  <c r="AF106" i="39" s="1"/>
  <c r="AE106" i="39"/>
  <c r="AA107" i="39"/>
  <c r="AB107" i="39" s="1"/>
  <c r="AE107" i="39"/>
  <c r="AA108" i="39"/>
  <c r="AF108" i="39" s="1"/>
  <c r="AE108" i="39"/>
  <c r="AA109" i="39"/>
  <c r="AB109" i="39" s="1"/>
  <c r="AE109" i="39"/>
  <c r="AA110" i="39"/>
  <c r="AF110" i="39" s="1"/>
  <c r="AB110" i="39"/>
  <c r="AE110" i="39"/>
  <c r="AA111" i="39"/>
  <c r="AF111" i="39" s="1"/>
  <c r="AE111" i="39"/>
  <c r="AA114" i="39"/>
  <c r="AF114" i="39" s="1"/>
  <c r="AE114" i="39"/>
  <c r="AA115" i="39"/>
  <c r="AF115" i="39" s="1"/>
  <c r="AE115" i="39"/>
  <c r="AA116" i="39"/>
  <c r="AB116" i="39" s="1"/>
  <c r="AE116" i="39"/>
  <c r="AA117" i="39"/>
  <c r="AF117" i="39" s="1"/>
  <c r="AE117" i="39"/>
  <c r="AA118" i="39"/>
  <c r="AB118" i="39" s="1"/>
  <c r="AE118" i="39"/>
  <c r="AA119" i="39"/>
  <c r="AF119" i="39" s="1"/>
  <c r="AE119" i="39"/>
  <c r="O121" i="39"/>
  <c r="P121" i="39"/>
  <c r="Q121" i="39"/>
  <c r="R121" i="39"/>
  <c r="S121" i="39"/>
  <c r="T121" i="39"/>
  <c r="U121" i="39"/>
  <c r="V121" i="39"/>
  <c r="W121" i="39"/>
  <c r="X121" i="39"/>
  <c r="Y121" i="39"/>
  <c r="Z121" i="39"/>
  <c r="AD121" i="39"/>
  <c r="AE121" i="39" s="1"/>
  <c r="AG121" i="39"/>
  <c r="O122" i="39"/>
  <c r="P122" i="39"/>
  <c r="Q122" i="39"/>
  <c r="R122" i="39"/>
  <c r="S122" i="39"/>
  <c r="T122" i="39"/>
  <c r="U122" i="39"/>
  <c r="V122" i="39"/>
  <c r="W122" i="39"/>
  <c r="X122" i="39"/>
  <c r="Y122" i="39"/>
  <c r="Z122" i="39"/>
  <c r="AD122" i="39"/>
  <c r="AE122" i="39" s="1"/>
  <c r="AG122" i="39"/>
  <c r="O123" i="39"/>
  <c r="P123" i="39"/>
  <c r="Q123" i="39"/>
  <c r="R123" i="39"/>
  <c r="S123" i="39"/>
  <c r="T123" i="39"/>
  <c r="U123" i="39"/>
  <c r="V123" i="39"/>
  <c r="W123" i="39"/>
  <c r="X123" i="39"/>
  <c r="Y123" i="39"/>
  <c r="Z123" i="39"/>
  <c r="AD123" i="39"/>
  <c r="AG123" i="39"/>
  <c r="O124" i="39"/>
  <c r="P124" i="39"/>
  <c r="Q124" i="39"/>
  <c r="R124" i="39"/>
  <c r="S124" i="39"/>
  <c r="T124" i="39"/>
  <c r="U124" i="39"/>
  <c r="V124" i="39"/>
  <c r="W124" i="39"/>
  <c r="X124" i="39"/>
  <c r="Y124" i="39"/>
  <c r="Z124" i="39"/>
  <c r="AD124" i="39"/>
  <c r="AE124" i="39" s="1"/>
  <c r="AG124" i="39"/>
  <c r="O125" i="39"/>
  <c r="P125" i="39"/>
  <c r="Q125" i="39"/>
  <c r="R125" i="39"/>
  <c r="S125" i="39"/>
  <c r="T125" i="39"/>
  <c r="U125" i="39"/>
  <c r="V125" i="39"/>
  <c r="W125" i="39"/>
  <c r="X125" i="39"/>
  <c r="Y125" i="39"/>
  <c r="Z125" i="39"/>
  <c r="AD125" i="39"/>
  <c r="AE125" i="39" s="1"/>
  <c r="AG125" i="39"/>
  <c r="AA130" i="39"/>
  <c r="AE130" i="39"/>
  <c r="AF131" i="39"/>
  <c r="AA132" i="39"/>
  <c r="AF132" i="39" s="1"/>
  <c r="AE132" i="39"/>
  <c r="AF133" i="39"/>
  <c r="AA134" i="39"/>
  <c r="AE134" i="39"/>
  <c r="AF135" i="39"/>
  <c r="AA136" i="39"/>
  <c r="AE136" i="39"/>
  <c r="AF137" i="39"/>
  <c r="AA138" i="39"/>
  <c r="AF138" i="39" s="1"/>
  <c r="AE138" i="39"/>
  <c r="AF139" i="39"/>
  <c r="AA140" i="39"/>
  <c r="AF140" i="39" s="1"/>
  <c r="AE140" i="39"/>
  <c r="AE119" i="9"/>
  <c r="AE121" i="9"/>
  <c r="AE122" i="9"/>
  <c r="AE93" i="9"/>
  <c r="AE94" i="9"/>
  <c r="AE95" i="9"/>
  <c r="AE96" i="9"/>
  <c r="AE97" i="9"/>
  <c r="AE98" i="9"/>
  <c r="AE99" i="9"/>
  <c r="AE100" i="9"/>
  <c r="AE101" i="9"/>
  <c r="AE102" i="9"/>
  <c r="AE103" i="9"/>
  <c r="AE104" i="9"/>
  <c r="AE105" i="9"/>
  <c r="AE106" i="9"/>
  <c r="AE107" i="9"/>
  <c r="AE108" i="9"/>
  <c r="AE109" i="9"/>
  <c r="AE110" i="9"/>
  <c r="AE111" i="9"/>
  <c r="AE112" i="9"/>
  <c r="AE113" i="9"/>
  <c r="AE114" i="9"/>
  <c r="AE115" i="9"/>
  <c r="AE116" i="9"/>
  <c r="AE117" i="9"/>
  <c r="AE118" i="9"/>
  <c r="AE79" i="9"/>
  <c r="AE80" i="9"/>
  <c r="AE81" i="9"/>
  <c r="AE82" i="9"/>
  <c r="AE83" i="9"/>
  <c r="AE84" i="9"/>
  <c r="AE85" i="9"/>
  <c r="AE86" i="9"/>
  <c r="AE87" i="9"/>
  <c r="AE88" i="9"/>
  <c r="AE89" i="9"/>
  <c r="AE90" i="9"/>
  <c r="AE76" i="9"/>
  <c r="AE77" i="9"/>
  <c r="AE62" i="9"/>
  <c r="AE63" i="9"/>
  <c r="AE64" i="9"/>
  <c r="AE65" i="9"/>
  <c r="AE66" i="9"/>
  <c r="AE67" i="9"/>
  <c r="AE68" i="9"/>
  <c r="AE69" i="9"/>
  <c r="AE70" i="9"/>
  <c r="AE35" i="9"/>
  <c r="AE36" i="9"/>
  <c r="AE37" i="9"/>
  <c r="AE38" i="9"/>
  <c r="AE39" i="9"/>
  <c r="AE40" i="9"/>
  <c r="AE41" i="9"/>
  <c r="AE42" i="9"/>
  <c r="AE43" i="9"/>
  <c r="AE44" i="9"/>
  <c r="AE45" i="9"/>
  <c r="AE46" i="9"/>
  <c r="AE47" i="9"/>
  <c r="AE48" i="9"/>
  <c r="AE49" i="9"/>
  <c r="AE50" i="9"/>
  <c r="AE51" i="9"/>
  <c r="AE52" i="9"/>
  <c r="AE53" i="9"/>
  <c r="AE54" i="9"/>
  <c r="AE55" i="9"/>
  <c r="AE56" i="9"/>
  <c r="AE57" i="9"/>
  <c r="AE58" i="9"/>
  <c r="AE61" i="18"/>
  <c r="AE63" i="18"/>
  <c r="AE64" i="18"/>
  <c r="AE42" i="18"/>
  <c r="AE43" i="18"/>
  <c r="AE44" i="18"/>
  <c r="AE45" i="18"/>
  <c r="AE46" i="18"/>
  <c r="AE34" i="18"/>
  <c r="AE35" i="18"/>
  <c r="AE36" i="18"/>
  <c r="AE37" i="18"/>
  <c r="AE38" i="18"/>
  <c r="AE39" i="18"/>
  <c r="Z93" i="37"/>
  <c r="AE93" i="37" s="1"/>
  <c r="Z97" i="37"/>
  <c r="AE97" i="37" s="1"/>
  <c r="Z98" i="37"/>
  <c r="AE98" i="37" s="1"/>
  <c r="Z99" i="37"/>
  <c r="AE99" i="37" s="1"/>
  <c r="Z100" i="37"/>
  <c r="AE100" i="37" s="1"/>
  <c r="Z101" i="37"/>
  <c r="AE101" i="37" s="1"/>
  <c r="Z102" i="37"/>
  <c r="AE102" i="37" s="1"/>
  <c r="Z103" i="37"/>
  <c r="AE103" i="37" s="1"/>
  <c r="Z104" i="37"/>
  <c r="AE104" i="37" s="1"/>
  <c r="Z105" i="37"/>
  <c r="AE105" i="37" s="1"/>
  <c r="Z33" i="37"/>
  <c r="AE33" i="37" s="1"/>
  <c r="Z34" i="37"/>
  <c r="Z39" i="37"/>
  <c r="AE39" i="37" s="1"/>
  <c r="Z40" i="37"/>
  <c r="Z41" i="37"/>
  <c r="AE41" i="37" s="1"/>
  <c r="Z42" i="37"/>
  <c r="N43" i="37"/>
  <c r="AA105" i="37" s="1"/>
  <c r="O43" i="37"/>
  <c r="O44" i="37" s="1"/>
  <c r="P43" i="37"/>
  <c r="Q43" i="37"/>
  <c r="R43" i="37"/>
  <c r="R44" i="37" s="1"/>
  <c r="S43" i="37"/>
  <c r="S44" i="37" s="1"/>
  <c r="T43" i="37"/>
  <c r="U43" i="37"/>
  <c r="U51" i="37" s="1"/>
  <c r="U52" i="37" s="1"/>
  <c r="V43" i="37"/>
  <c r="V51" i="37" s="1"/>
  <c r="V52" i="37" s="1"/>
  <c r="W43" i="37"/>
  <c r="W44" i="37" s="1"/>
  <c r="X43" i="37"/>
  <c r="Y43" i="37"/>
  <c r="AC43" i="37"/>
  <c r="AD97" i="37" s="1"/>
  <c r="AF43" i="37"/>
  <c r="AF44" i="37" s="1"/>
  <c r="V44" i="37"/>
  <c r="Z46" i="37"/>
  <c r="AD46" i="37"/>
  <c r="Z47" i="37"/>
  <c r="AE47" i="37" s="1"/>
  <c r="AD47" i="37"/>
  <c r="Z48" i="37"/>
  <c r="AD48" i="37"/>
  <c r="N49" i="37"/>
  <c r="N50" i="37" s="1"/>
  <c r="O49" i="37"/>
  <c r="O50" i="37" s="1"/>
  <c r="P49" i="37"/>
  <c r="P50" i="37" s="1"/>
  <c r="Q49" i="37"/>
  <c r="Q50" i="37" s="1"/>
  <c r="R49" i="37"/>
  <c r="S49" i="37"/>
  <c r="S50" i="37" s="1"/>
  <c r="T49" i="37"/>
  <c r="T50" i="37" s="1"/>
  <c r="U49" i="37"/>
  <c r="U50" i="37" s="1"/>
  <c r="V49" i="37"/>
  <c r="W49" i="37"/>
  <c r="W50" i="37" s="1"/>
  <c r="X49" i="37"/>
  <c r="Y49" i="37"/>
  <c r="Y50" i="37" s="1"/>
  <c r="AC49" i="37"/>
  <c r="AF49" i="37"/>
  <c r="AF51" i="37" s="1"/>
  <c r="AF52" i="37" s="1"/>
  <c r="V50" i="37"/>
  <c r="X50" i="37"/>
  <c r="AC50" i="37"/>
  <c r="AD50" i="37" s="1"/>
  <c r="W51" i="37"/>
  <c r="W52" i="37" s="1"/>
  <c r="Z54" i="37"/>
  <c r="AE54" i="37" s="1"/>
  <c r="Z55" i="37"/>
  <c r="AE55" i="37" s="1"/>
  <c r="Z56" i="37"/>
  <c r="AE56" i="37" s="1"/>
  <c r="Z57" i="37"/>
  <c r="AE57" i="37" s="1"/>
  <c r="Z58" i="37"/>
  <c r="AE58" i="37" s="1"/>
  <c r="AD58" i="37"/>
  <c r="N59" i="37"/>
  <c r="N60" i="37" s="1"/>
  <c r="O59" i="37"/>
  <c r="O60" i="37" s="1"/>
  <c r="P59" i="37"/>
  <c r="P60" i="37" s="1"/>
  <c r="Q59" i="37"/>
  <c r="R59" i="37"/>
  <c r="R60" i="37" s="1"/>
  <c r="S59" i="37"/>
  <c r="S60" i="37" s="1"/>
  <c r="T59" i="37"/>
  <c r="T60" i="37" s="1"/>
  <c r="U59" i="37"/>
  <c r="V59" i="37"/>
  <c r="V60" i="37" s="1"/>
  <c r="W59" i="37"/>
  <c r="W60" i="37" s="1"/>
  <c r="X59" i="37"/>
  <c r="X60" i="37" s="1"/>
  <c r="Y59" i="37"/>
  <c r="Y60" i="37" s="1"/>
  <c r="AC59" i="37"/>
  <c r="AC60" i="37" s="1"/>
  <c r="AD60" i="37" s="1"/>
  <c r="AF59" i="37"/>
  <c r="AF60" i="37" s="1"/>
  <c r="Q60" i="37"/>
  <c r="Z63" i="37"/>
  <c r="AE63" i="37" s="1"/>
  <c r="AD63" i="37"/>
  <c r="Z67" i="37"/>
  <c r="AE67" i="37" s="1"/>
  <c r="AD67" i="37"/>
  <c r="Z68" i="37"/>
  <c r="AE68" i="37" s="1"/>
  <c r="AD68" i="37"/>
  <c r="Z69" i="37"/>
  <c r="AE69" i="37"/>
  <c r="Z70" i="37"/>
  <c r="AE70" i="37" s="1"/>
  <c r="Z77" i="37"/>
  <c r="AE77" i="37" s="1"/>
  <c r="Z78" i="37"/>
  <c r="Z79" i="37"/>
  <c r="AE79" i="37" s="1"/>
  <c r="AD79" i="37"/>
  <c r="N80" i="37"/>
  <c r="O80" i="37"/>
  <c r="P80" i="37"/>
  <c r="Q80" i="37"/>
  <c r="R80" i="37"/>
  <c r="S80" i="37"/>
  <c r="T80" i="37"/>
  <c r="U80" i="37"/>
  <c r="V80" i="37"/>
  <c r="W80" i="37"/>
  <c r="X80" i="37"/>
  <c r="Y80" i="37"/>
  <c r="AC80" i="37"/>
  <c r="AF80" i="37"/>
  <c r="Z83" i="37"/>
  <c r="AE83" i="37" s="1"/>
  <c r="AD83" i="37"/>
  <c r="Z87" i="37"/>
  <c r="AE87" i="37" s="1"/>
  <c r="AD87" i="37"/>
  <c r="AE52" i="29"/>
  <c r="AE58" i="29"/>
  <c r="AE60" i="29"/>
  <c r="AE63" i="29"/>
  <c r="AE66" i="29"/>
  <c r="AE70" i="29"/>
  <c r="AE72" i="4"/>
  <c r="AE80" i="4"/>
  <c r="AE81" i="4"/>
  <c r="AE84" i="4"/>
  <c r="AE92" i="4"/>
  <c r="AE61" i="4"/>
  <c r="AE41" i="4"/>
  <c r="AE44" i="4"/>
  <c r="AE48" i="4"/>
  <c r="AE71" i="21"/>
  <c r="AE73" i="21"/>
  <c r="AE74" i="21"/>
  <c r="AE47" i="21"/>
  <c r="AE48" i="21"/>
  <c r="AE49" i="21"/>
  <c r="AE50" i="21"/>
  <c r="AE51" i="21"/>
  <c r="AE52" i="21"/>
  <c r="AE53" i="21"/>
  <c r="AE54" i="21"/>
  <c r="AE55" i="21"/>
  <c r="AE56" i="21"/>
  <c r="AE34" i="21"/>
  <c r="AE35" i="21"/>
  <c r="AE36" i="21"/>
  <c r="AE37" i="21"/>
  <c r="AE38" i="21"/>
  <c r="AE39" i="21"/>
  <c r="AE40" i="21"/>
  <c r="AE41" i="21"/>
  <c r="AE42" i="21"/>
  <c r="AE43" i="21"/>
  <c r="AE44" i="21"/>
  <c r="AE54" i="7"/>
  <c r="AE55" i="7"/>
  <c r="AE56" i="7"/>
  <c r="AE57" i="7"/>
  <c r="AE59" i="7"/>
  <c r="AE60" i="7"/>
  <c r="AE34" i="7"/>
  <c r="AE35" i="7"/>
  <c r="AE36" i="7"/>
  <c r="AE37" i="7"/>
  <c r="AE39" i="7"/>
  <c r="AE40" i="7"/>
  <c r="AE42" i="7"/>
  <c r="AE43" i="7"/>
  <c r="AE44" i="7"/>
  <c r="AE53" i="36"/>
  <c r="AE56" i="36"/>
  <c r="AE44" i="36"/>
  <c r="AE45" i="36"/>
  <c r="AE46" i="36"/>
  <c r="AE35" i="36"/>
  <c r="AE40" i="36"/>
  <c r="AE40" i="30"/>
  <c r="AE57" i="20"/>
  <c r="AE59" i="20"/>
  <c r="AE60" i="20"/>
  <c r="AE41" i="20"/>
  <c r="AE42" i="20"/>
  <c r="AE34" i="20"/>
  <c r="AE35" i="20"/>
  <c r="AE36" i="20"/>
  <c r="AE37" i="20"/>
  <c r="AE38" i="20"/>
  <c r="AD43" i="24"/>
  <c r="AD44" i="24"/>
  <c r="AD45" i="24"/>
  <c r="AD46" i="24"/>
  <c r="AD47" i="24"/>
  <c r="AD48" i="24"/>
  <c r="AD34" i="24"/>
  <c r="AD35" i="24"/>
  <c r="AD36" i="24"/>
  <c r="AD37" i="24"/>
  <c r="AD38" i="24"/>
  <c r="AE34" i="33"/>
  <c r="AE35" i="33"/>
  <c r="AE36" i="33"/>
  <c r="AE37" i="33"/>
  <c r="AE38" i="33"/>
  <c r="AE39" i="33"/>
  <c r="AE42" i="33"/>
  <c r="AE46" i="33"/>
  <c r="AE47" i="33"/>
  <c r="AE49" i="33"/>
  <c r="AE50" i="33"/>
  <c r="AE56" i="33"/>
  <c r="AE57" i="33"/>
  <c r="AE58" i="33"/>
  <c r="AE59" i="33"/>
  <c r="AE60" i="33"/>
  <c r="AE61" i="33"/>
  <c r="AE62" i="33"/>
  <c r="AE63" i="33"/>
  <c r="AE64" i="33"/>
  <c r="AE65" i="33"/>
  <c r="AF151" i="6"/>
  <c r="AA72" i="6"/>
  <c r="AF72" i="6" s="1"/>
  <c r="AA73" i="6"/>
  <c r="AF73" i="6" s="1"/>
  <c r="AA74" i="6"/>
  <c r="AF74" i="6" s="1"/>
  <c r="AA75" i="6"/>
  <c r="AF75" i="6" s="1"/>
  <c r="AA76" i="6"/>
  <c r="AF76" i="6" s="1"/>
  <c r="AA77" i="6"/>
  <c r="AF77" i="6" s="1"/>
  <c r="AA78" i="6"/>
  <c r="AF78" i="6" s="1"/>
  <c r="AA79" i="6"/>
  <c r="AF79" i="6" s="1"/>
  <c r="AA80" i="6"/>
  <c r="AF80" i="6" s="1"/>
  <c r="AA81" i="6"/>
  <c r="AB81" i="6" s="1"/>
  <c r="AE81" i="6"/>
  <c r="AF81" i="6"/>
  <c r="AA82" i="6"/>
  <c r="AF82" i="6" s="1"/>
  <c r="AA83" i="6"/>
  <c r="AF83" i="6" s="1"/>
  <c r="AA84" i="6"/>
  <c r="AF84" i="6" s="1"/>
  <c r="AA85" i="6"/>
  <c r="AF85" i="6" s="1"/>
  <c r="AA86" i="6"/>
  <c r="AF86" i="6" s="1"/>
  <c r="AA87" i="6"/>
  <c r="AF87" i="6" s="1"/>
  <c r="AA88" i="6"/>
  <c r="AF88" i="6" s="1"/>
  <c r="AA89" i="6"/>
  <c r="AF89" i="6" s="1"/>
  <c r="AA90" i="6"/>
  <c r="AF90" i="6" s="1"/>
  <c r="AA91" i="6"/>
  <c r="AF91" i="6" s="1"/>
  <c r="AB91" i="6"/>
  <c r="AE91" i="6"/>
  <c r="AA92" i="6"/>
  <c r="AF92" i="6" s="1"/>
  <c r="AA93" i="6"/>
  <c r="AF93" i="6" s="1"/>
  <c r="AA94" i="6"/>
  <c r="AF94" i="6" s="1"/>
  <c r="AA95" i="6"/>
  <c r="AF95" i="6" s="1"/>
  <c r="AA96" i="6"/>
  <c r="AF96" i="6" s="1"/>
  <c r="AA97" i="6"/>
  <c r="AF97" i="6"/>
  <c r="AA98" i="6"/>
  <c r="AE98" i="6"/>
  <c r="AA99" i="6"/>
  <c r="AF99" i="6" s="1"/>
  <c r="AA100" i="6"/>
  <c r="AF100" i="6" s="1"/>
  <c r="AA101" i="6"/>
  <c r="AB101" i="6" s="1"/>
  <c r="AE101" i="6"/>
  <c r="AF101" i="6"/>
  <c r="AA102" i="6"/>
  <c r="AF102" i="6" s="1"/>
  <c r="AA103" i="6"/>
  <c r="AF103" i="6" s="1"/>
  <c r="AA104" i="6"/>
  <c r="AF104" i="6" s="1"/>
  <c r="AE104" i="6"/>
  <c r="AA105" i="6"/>
  <c r="AF105" i="6" s="1"/>
  <c r="AA106" i="6"/>
  <c r="AF106" i="6" s="1"/>
  <c r="AE106" i="6"/>
  <c r="AA107" i="6"/>
  <c r="AF107" i="6" s="1"/>
  <c r="AA108" i="6"/>
  <c r="AF108" i="6" s="1"/>
  <c r="AE108" i="6"/>
  <c r="AA109" i="6"/>
  <c r="AF109" i="6" s="1"/>
  <c r="AA110" i="6"/>
  <c r="AF110" i="6" s="1"/>
  <c r="AE110" i="6"/>
  <c r="AA111" i="6"/>
  <c r="AE111" i="6"/>
  <c r="AF111" i="6"/>
  <c r="AA112" i="6"/>
  <c r="AF112" i="6" s="1"/>
  <c r="AE112" i="6"/>
  <c r="AA113" i="6"/>
  <c r="AF113" i="6" s="1"/>
  <c r="AE113" i="6"/>
  <c r="AA114" i="6"/>
  <c r="AF114" i="6" s="1"/>
  <c r="AE114" i="6"/>
  <c r="AA115" i="6"/>
  <c r="AF115" i="6" s="1"/>
  <c r="AA116" i="6"/>
  <c r="AF116" i="6" s="1"/>
  <c r="AA34" i="6"/>
  <c r="AF34" i="6" s="1"/>
  <c r="AA35" i="6"/>
  <c r="AA36" i="6"/>
  <c r="AA121" i="6" s="1"/>
  <c r="AF121" i="6" s="1"/>
  <c r="AA37" i="6"/>
  <c r="AA38" i="6"/>
  <c r="AF38" i="6" s="1"/>
  <c r="AA39" i="6"/>
  <c r="AA40" i="6"/>
  <c r="AA41" i="6"/>
  <c r="AF41" i="6" s="1"/>
  <c r="AA42" i="6"/>
  <c r="AA43" i="6"/>
  <c r="AB43" i="6" s="1"/>
  <c r="AE43" i="6"/>
  <c r="AA44" i="6"/>
  <c r="AA45" i="6"/>
  <c r="AA46" i="6"/>
  <c r="AF46" i="6"/>
  <c r="AA47" i="6"/>
  <c r="AA48" i="6"/>
  <c r="AA133" i="6" s="1"/>
  <c r="AF133" i="6" s="1"/>
  <c r="AA49" i="6"/>
  <c r="AA50" i="6"/>
  <c r="AF50" i="6" s="1"/>
  <c r="AA51" i="6"/>
  <c r="AA52" i="6"/>
  <c r="AA137" i="6" s="1"/>
  <c r="AF137" i="6" s="1"/>
  <c r="AB53" i="6"/>
  <c r="AE53" i="6"/>
  <c r="AF53" i="6"/>
  <c r="AA54" i="6"/>
  <c r="AA55" i="6"/>
  <c r="AA56" i="6"/>
  <c r="AA57" i="6"/>
  <c r="AF57" i="6" s="1"/>
  <c r="AA58" i="6"/>
  <c r="AA143" i="6" s="1"/>
  <c r="AF143" i="6" s="1"/>
  <c r="AA59" i="6"/>
  <c r="AA60" i="6"/>
  <c r="AB60" i="6" s="1"/>
  <c r="AE60" i="6"/>
  <c r="AA61" i="6"/>
  <c r="AA62" i="6"/>
  <c r="AA63" i="6"/>
  <c r="AB63" i="6" s="1"/>
  <c r="AE63" i="6"/>
  <c r="AA64" i="6"/>
  <c r="AA65" i="6"/>
  <c r="AA66" i="6"/>
  <c r="AF66" i="6" s="1"/>
  <c r="AE66" i="6"/>
  <c r="AA67" i="6"/>
  <c r="AF67" i="6" s="1"/>
  <c r="AA68" i="6"/>
  <c r="AF68" i="6" s="1"/>
  <c r="AA69" i="6"/>
  <c r="AF69" i="6" s="1"/>
  <c r="AE34" i="25"/>
  <c r="AE39" i="25"/>
  <c r="AE40" i="25"/>
  <c r="AE41" i="25"/>
  <c r="AE42" i="25"/>
  <c r="AE43" i="25"/>
  <c r="AE44" i="25"/>
  <c r="AE45" i="25"/>
  <c r="AE47" i="25"/>
  <c r="AE48" i="25"/>
  <c r="AE49" i="25"/>
  <c r="AE57" i="23"/>
  <c r="AE59" i="23"/>
  <c r="AE60" i="23"/>
  <c r="AE61" i="23"/>
  <c r="AE62" i="23"/>
  <c r="AE63" i="23"/>
  <c r="AE64" i="23"/>
  <c r="AE65" i="23"/>
  <c r="AE66" i="23"/>
  <c r="AE67" i="23"/>
  <c r="AE68" i="23"/>
  <c r="AE69" i="23"/>
  <c r="AE70" i="23"/>
  <c r="AE71" i="23"/>
  <c r="AE72" i="23"/>
  <c r="AE73" i="23"/>
  <c r="AE35" i="23"/>
  <c r="AE37" i="23"/>
  <c r="AE39" i="23"/>
  <c r="AE40" i="23"/>
  <c r="AE41" i="23"/>
  <c r="AE42" i="23"/>
  <c r="AE43" i="23"/>
  <c r="AE44" i="23"/>
  <c r="AE45" i="23"/>
  <c r="AE46" i="23"/>
  <c r="AE47" i="23"/>
  <c r="AE48" i="23"/>
  <c r="AE49" i="23"/>
  <c r="AE50" i="23"/>
  <c r="AE51" i="23"/>
  <c r="AE52" i="23"/>
  <c r="AE58" i="15"/>
  <c r="AE59" i="15"/>
  <c r="AE60" i="15"/>
  <c r="AE37" i="15"/>
  <c r="AE40" i="15"/>
  <c r="AE49" i="34"/>
  <c r="AE50" i="34"/>
  <c r="AE56" i="28"/>
  <c r="AE57" i="28"/>
  <c r="AE59" i="28"/>
  <c r="AE60" i="28"/>
  <c r="AE48" i="28"/>
  <c r="AE41" i="28"/>
  <c r="AE42" i="28"/>
  <c r="AE35" i="28"/>
  <c r="AA35" i="59"/>
  <c r="AF35" i="59" s="1"/>
  <c r="AE35" i="59"/>
  <c r="AA36" i="59"/>
  <c r="AE36" i="59"/>
  <c r="AA37" i="59"/>
  <c r="AF37" i="59" s="1"/>
  <c r="AE37" i="59"/>
  <c r="AA38" i="59"/>
  <c r="AF38" i="59" s="1"/>
  <c r="AE38" i="59"/>
  <c r="AA39" i="59"/>
  <c r="AF39" i="59" s="1"/>
  <c r="AE39" i="59"/>
  <c r="AA40" i="59"/>
  <c r="AF40" i="59" s="1"/>
  <c r="AA41" i="59"/>
  <c r="AB41" i="59" s="1"/>
  <c r="AE41" i="59"/>
  <c r="AF41" i="59"/>
  <c r="O43" i="59"/>
  <c r="P43" i="59"/>
  <c r="Q43" i="59"/>
  <c r="Q44" i="59" s="1"/>
  <c r="R43" i="59"/>
  <c r="R44" i="59" s="1"/>
  <c r="S43" i="59"/>
  <c r="S44" i="59" s="1"/>
  <c r="T43" i="59"/>
  <c r="T44" i="59" s="1"/>
  <c r="U43" i="59"/>
  <c r="U44" i="59" s="1"/>
  <c r="V43" i="59"/>
  <c r="V44" i="59" s="1"/>
  <c r="W43" i="59"/>
  <c r="W44" i="59" s="1"/>
  <c r="X43" i="59"/>
  <c r="X44" i="59" s="1"/>
  <c r="Y43" i="59"/>
  <c r="Z43" i="59"/>
  <c r="Z44" i="59" s="1"/>
  <c r="AD43" i="59"/>
  <c r="AE44" i="59" s="1"/>
  <c r="AG43" i="59"/>
  <c r="O44" i="59"/>
  <c r="P44" i="59"/>
  <c r="Y44" i="59"/>
  <c r="AA45" i="59"/>
  <c r="AB45" i="59" s="1"/>
  <c r="AE45" i="59"/>
  <c r="AA46" i="59"/>
  <c r="AB46" i="59" s="1"/>
  <c r="AE46" i="59"/>
  <c r="AA47" i="59"/>
  <c r="AF47" i="59" s="1"/>
  <c r="AE47" i="59"/>
  <c r="AA48" i="59"/>
  <c r="AB48" i="59" s="1"/>
  <c r="AE48" i="59"/>
  <c r="AA49" i="59"/>
  <c r="AF49" i="59" s="1"/>
  <c r="AE49" i="59"/>
  <c r="AA50" i="59"/>
  <c r="AF50" i="59" s="1"/>
  <c r="AA51" i="59"/>
  <c r="AB51" i="59" s="1"/>
  <c r="AE51" i="59"/>
  <c r="AF51" i="59"/>
  <c r="O53" i="59"/>
  <c r="O54" i="59" s="1"/>
  <c r="P53" i="59"/>
  <c r="Q53" i="59"/>
  <c r="Q54" i="59" s="1"/>
  <c r="R53" i="59"/>
  <c r="R54" i="59" s="1"/>
  <c r="S53" i="59"/>
  <c r="S54" i="59" s="1"/>
  <c r="T53" i="59"/>
  <c r="T54" i="59" s="1"/>
  <c r="U53" i="59"/>
  <c r="U54" i="59" s="1"/>
  <c r="V53" i="59"/>
  <c r="V54" i="59" s="1"/>
  <c r="W53" i="59"/>
  <c r="W54" i="59" s="1"/>
  <c r="X53" i="59"/>
  <c r="X54" i="59" s="1"/>
  <c r="Y53" i="59"/>
  <c r="Y54" i="59" s="1"/>
  <c r="Z53" i="59"/>
  <c r="Z54" i="59" s="1"/>
  <c r="AD53" i="59"/>
  <c r="AE54" i="59" s="1"/>
  <c r="AG53" i="59"/>
  <c r="P54" i="59"/>
  <c r="AA55" i="59"/>
  <c r="AF55" i="59" s="1"/>
  <c r="AE55" i="59"/>
  <c r="AA56" i="59"/>
  <c r="AB56" i="59" s="1"/>
  <c r="AE56" i="59"/>
  <c r="AA57" i="59"/>
  <c r="AF57" i="59" s="1"/>
  <c r="AB57" i="59"/>
  <c r="AE57" i="59"/>
  <c r="AA58" i="59"/>
  <c r="AB58" i="59" s="1"/>
  <c r="AE58" i="59"/>
  <c r="AA59" i="59"/>
  <c r="AB59" i="59" s="1"/>
  <c r="AE59" i="59"/>
  <c r="AA60" i="59"/>
  <c r="AF60" i="59" s="1"/>
  <c r="AA61" i="59"/>
  <c r="AF61" i="59" s="1"/>
  <c r="AE61" i="59"/>
  <c r="O63" i="59"/>
  <c r="P63" i="59"/>
  <c r="Q63" i="59"/>
  <c r="Q64" i="59" s="1"/>
  <c r="R63" i="59"/>
  <c r="R64" i="59" s="1"/>
  <c r="S63" i="59"/>
  <c r="S64" i="59" s="1"/>
  <c r="T63" i="59"/>
  <c r="T64" i="59" s="1"/>
  <c r="U63" i="59"/>
  <c r="U64" i="59" s="1"/>
  <c r="V63" i="59"/>
  <c r="V64" i="59" s="1"/>
  <c r="W63" i="59"/>
  <c r="X63" i="59"/>
  <c r="X64" i="59" s="1"/>
  <c r="Y63" i="59"/>
  <c r="Y64" i="59" s="1"/>
  <c r="Z63" i="59"/>
  <c r="Z64" i="59" s="1"/>
  <c r="AD63" i="59"/>
  <c r="AE64" i="59" s="1"/>
  <c r="AG63" i="59"/>
  <c r="O64" i="59"/>
  <c r="P64" i="59"/>
  <c r="W64" i="59"/>
  <c r="AA65" i="59"/>
  <c r="AF65" i="59" s="1"/>
  <c r="AE65" i="59"/>
  <c r="AA66" i="59"/>
  <c r="AB66" i="59" s="1"/>
  <c r="AE66" i="59"/>
  <c r="AA67" i="59"/>
  <c r="AF67" i="59" s="1"/>
  <c r="AE67" i="59"/>
  <c r="AA68" i="59"/>
  <c r="AB68" i="59" s="1"/>
  <c r="AE68" i="59"/>
  <c r="AF68" i="59"/>
  <c r="AA69" i="59"/>
  <c r="AF69" i="59" s="1"/>
  <c r="AE69" i="59"/>
  <c r="AA70" i="59"/>
  <c r="AF70" i="59" s="1"/>
  <c r="AA71" i="59"/>
  <c r="AF71" i="59" s="1"/>
  <c r="AE71" i="59"/>
  <c r="O73" i="59"/>
  <c r="O74" i="59" s="1"/>
  <c r="P73" i="59"/>
  <c r="P74" i="59" s="1"/>
  <c r="Q73" i="59"/>
  <c r="Q74" i="59" s="1"/>
  <c r="R73" i="59"/>
  <c r="R74" i="59" s="1"/>
  <c r="S73" i="59"/>
  <c r="S74" i="59" s="1"/>
  <c r="T73" i="59"/>
  <c r="U73" i="59"/>
  <c r="U74" i="59" s="1"/>
  <c r="V73" i="59"/>
  <c r="V74" i="59" s="1"/>
  <c r="W73" i="59"/>
  <c r="W74" i="59" s="1"/>
  <c r="X73" i="59"/>
  <c r="X74" i="59" s="1"/>
  <c r="Y73" i="59"/>
  <c r="Y74" i="59" s="1"/>
  <c r="Z73" i="59"/>
  <c r="Z74" i="59" s="1"/>
  <c r="AD73" i="59"/>
  <c r="AE74" i="59" s="1"/>
  <c r="AG73" i="59"/>
  <c r="T74" i="59"/>
  <c r="AA75" i="59"/>
  <c r="AF75" i="59" s="1"/>
  <c r="AE75" i="59"/>
  <c r="AA76" i="59"/>
  <c r="AB76" i="59" s="1"/>
  <c r="AE76" i="59"/>
  <c r="AF76" i="59"/>
  <c r="AA77" i="59"/>
  <c r="AF77" i="59" s="1"/>
  <c r="AE77" i="59"/>
  <c r="AA78" i="59"/>
  <c r="AB78" i="59" s="1"/>
  <c r="AE78" i="59"/>
  <c r="AA79" i="59"/>
  <c r="AF79" i="59" s="1"/>
  <c r="AE79" i="59"/>
  <c r="AA80" i="59"/>
  <c r="AF80" i="59" s="1"/>
  <c r="AE80" i="59"/>
  <c r="O82" i="59"/>
  <c r="O84" i="59" s="1"/>
  <c r="P82" i="59"/>
  <c r="P84" i="59" s="1"/>
  <c r="Q82" i="59"/>
  <c r="Q84" i="59" s="1"/>
  <c r="R82" i="59"/>
  <c r="R84" i="59" s="1"/>
  <c r="S82" i="59"/>
  <c r="S84" i="59" s="1"/>
  <c r="T82" i="59"/>
  <c r="T84" i="59" s="1"/>
  <c r="U82" i="59"/>
  <c r="U84" i="59" s="1"/>
  <c r="V82" i="59"/>
  <c r="V84" i="59" s="1"/>
  <c r="W82" i="59"/>
  <c r="W84" i="59" s="1"/>
  <c r="X82" i="59"/>
  <c r="X84" i="59" s="1"/>
  <c r="Y82" i="59"/>
  <c r="Y84" i="59" s="1"/>
  <c r="Z82" i="59"/>
  <c r="Z84" i="59" s="1"/>
  <c r="AD82" i="59"/>
  <c r="AE84" i="59" s="1"/>
  <c r="AG82" i="59"/>
  <c r="AA83" i="59"/>
  <c r="AB83" i="59" s="1"/>
  <c r="AE83" i="59"/>
  <c r="AA85" i="59"/>
  <c r="AB85" i="59" s="1"/>
  <c r="AE85" i="59"/>
  <c r="AA86" i="59"/>
  <c r="AF86" i="59" s="1"/>
  <c r="AA87" i="59"/>
  <c r="AB87" i="59" s="1"/>
  <c r="AE87" i="59"/>
  <c r="AA91" i="59"/>
  <c r="AF91" i="59" s="1"/>
  <c r="AA92" i="59"/>
  <c r="AF92" i="59" s="1"/>
  <c r="O93" i="59"/>
  <c r="P93" i="59"/>
  <c r="Q93" i="59"/>
  <c r="R93" i="59"/>
  <c r="S93" i="59"/>
  <c r="T93" i="59"/>
  <c r="U93" i="59"/>
  <c r="V93" i="59"/>
  <c r="W93" i="59"/>
  <c r="X93" i="59"/>
  <c r="Y93" i="59"/>
  <c r="Z93" i="59"/>
  <c r="AD93" i="59"/>
  <c r="AG93" i="59"/>
  <c r="O94" i="59"/>
  <c r="P94" i="59"/>
  <c r="Q94" i="59"/>
  <c r="R94" i="59"/>
  <c r="S94" i="59"/>
  <c r="T94" i="59"/>
  <c r="U94" i="59"/>
  <c r="V94" i="59"/>
  <c r="W94" i="59"/>
  <c r="X94" i="59"/>
  <c r="Y94" i="59"/>
  <c r="Z94" i="59"/>
  <c r="AD94" i="59"/>
  <c r="AG94" i="59"/>
  <c r="AA98" i="59"/>
  <c r="AB98" i="59" s="1"/>
  <c r="AE98" i="59"/>
  <c r="AA99" i="59"/>
  <c r="AF99" i="59" s="1"/>
  <c r="AE99" i="59"/>
  <c r="AA100" i="59"/>
  <c r="AB100" i="59" s="1"/>
  <c r="AE100" i="59"/>
  <c r="AA101" i="59"/>
  <c r="AF101" i="59" s="1"/>
  <c r="AE101" i="59"/>
  <c r="AA102" i="59"/>
  <c r="AB102" i="59" s="1"/>
  <c r="AE102" i="59"/>
  <c r="AA103" i="59"/>
  <c r="AF103" i="59" s="1"/>
  <c r="AE103" i="59"/>
  <c r="AA106" i="59"/>
  <c r="AB106" i="59" s="1"/>
  <c r="AE106" i="59"/>
  <c r="AA107" i="59"/>
  <c r="AF107" i="59" s="1"/>
  <c r="AE107" i="59"/>
  <c r="AA108" i="59"/>
  <c r="AB108" i="59" s="1"/>
  <c r="AE108" i="59"/>
  <c r="AA109" i="59"/>
  <c r="AF109" i="59" s="1"/>
  <c r="AE109" i="59"/>
  <c r="AA110" i="59"/>
  <c r="AB110" i="59" s="1"/>
  <c r="AE110" i="59"/>
  <c r="AA111" i="59"/>
  <c r="AF111" i="59" s="1"/>
  <c r="AE111" i="59"/>
  <c r="AA114" i="59"/>
  <c r="AB114" i="59" s="1"/>
  <c r="AE114" i="59"/>
  <c r="AA115" i="59"/>
  <c r="AF115" i="59" s="1"/>
  <c r="AE115" i="59"/>
  <c r="AA116" i="59"/>
  <c r="AB116" i="59" s="1"/>
  <c r="AE116" i="59"/>
  <c r="AA117" i="59"/>
  <c r="AF117" i="59" s="1"/>
  <c r="AE117" i="59"/>
  <c r="AA118" i="59"/>
  <c r="AB118" i="59" s="1"/>
  <c r="AE118" i="59"/>
  <c r="AF118" i="59"/>
  <c r="AA119" i="59"/>
  <c r="AF119" i="59" s="1"/>
  <c r="AE119" i="59"/>
  <c r="O121" i="59"/>
  <c r="P121" i="59"/>
  <c r="Q121" i="59"/>
  <c r="R121" i="59"/>
  <c r="S121" i="59"/>
  <c r="T121" i="59"/>
  <c r="U121" i="59"/>
  <c r="V121" i="59"/>
  <c r="W121" i="59"/>
  <c r="X121" i="59"/>
  <c r="Y121" i="59"/>
  <c r="Z121" i="59"/>
  <c r="AD121" i="59"/>
  <c r="AE121" i="59" s="1"/>
  <c r="AG121" i="59"/>
  <c r="AG126" i="59" s="1"/>
  <c r="AG127" i="59" s="1"/>
  <c r="O122" i="59"/>
  <c r="P122" i="59"/>
  <c r="Q122" i="59"/>
  <c r="R122" i="59"/>
  <c r="S122" i="59"/>
  <c r="T122" i="59"/>
  <c r="U122" i="59"/>
  <c r="V122" i="59"/>
  <c r="W122" i="59"/>
  <c r="X122" i="59"/>
  <c r="Y122" i="59"/>
  <c r="Y126" i="59" s="1"/>
  <c r="Y127" i="59" s="1"/>
  <c r="Z122" i="59"/>
  <c r="AD122" i="59"/>
  <c r="AE122" i="59" s="1"/>
  <c r="AG122" i="59"/>
  <c r="O123" i="59"/>
  <c r="P123" i="59"/>
  <c r="Q123" i="59"/>
  <c r="R123" i="59"/>
  <c r="S123" i="59"/>
  <c r="T123" i="59"/>
  <c r="U123" i="59"/>
  <c r="V123" i="59"/>
  <c r="W123" i="59"/>
  <c r="X123" i="59"/>
  <c r="Y123" i="59"/>
  <c r="Z123" i="59"/>
  <c r="AD123" i="59"/>
  <c r="AE123" i="59" s="1"/>
  <c r="AG123" i="59"/>
  <c r="O124" i="59"/>
  <c r="P124" i="59"/>
  <c r="Q124" i="59"/>
  <c r="R124" i="59"/>
  <c r="S124" i="59"/>
  <c r="T124" i="59"/>
  <c r="U124" i="59"/>
  <c r="V124" i="59"/>
  <c r="W124" i="59"/>
  <c r="X124" i="59"/>
  <c r="Y124" i="59"/>
  <c r="Z124" i="59"/>
  <c r="AD124" i="59"/>
  <c r="AE124" i="59" s="1"/>
  <c r="AG124" i="59"/>
  <c r="O125" i="59"/>
  <c r="P125" i="59"/>
  <c r="Q125" i="59"/>
  <c r="R125" i="59"/>
  <c r="S125" i="59"/>
  <c r="T125" i="59"/>
  <c r="U125" i="59"/>
  <c r="V125" i="59"/>
  <c r="W125" i="59"/>
  <c r="X125" i="59"/>
  <c r="Y125" i="59"/>
  <c r="Z125" i="59"/>
  <c r="AD125" i="59"/>
  <c r="AE125" i="59" s="1"/>
  <c r="AG125" i="59"/>
  <c r="AA130" i="59"/>
  <c r="AF130" i="59" s="1"/>
  <c r="AE130" i="59"/>
  <c r="AF131" i="59"/>
  <c r="AA132" i="59"/>
  <c r="AB132" i="59" s="1"/>
  <c r="AE132" i="59"/>
  <c r="AF132" i="59"/>
  <c r="AF133" i="59"/>
  <c r="AA134" i="59"/>
  <c r="AF134" i="59" s="1"/>
  <c r="AE134" i="59"/>
  <c r="AF135" i="59"/>
  <c r="AA136" i="59"/>
  <c r="AB136" i="59" s="1"/>
  <c r="AE136" i="59"/>
  <c r="AF136" i="59"/>
  <c r="AF137" i="59"/>
  <c r="AA138" i="59"/>
  <c r="AB138" i="59" s="1"/>
  <c r="AE138" i="59"/>
  <c r="AF138" i="59"/>
  <c r="AF139" i="59"/>
  <c r="AA140" i="59"/>
  <c r="AF140" i="59" s="1"/>
  <c r="AE140" i="59"/>
  <c r="AE76" i="11"/>
  <c r="AE78" i="11"/>
  <c r="AE79" i="11"/>
  <c r="AE55" i="11"/>
  <c r="AE56" i="11"/>
  <c r="AE57" i="11"/>
  <c r="AE58" i="11"/>
  <c r="AE59" i="11"/>
  <c r="AE60" i="11"/>
  <c r="AE61" i="11"/>
  <c r="AE35" i="11"/>
  <c r="AE36" i="11"/>
  <c r="AE37" i="11"/>
  <c r="AE38" i="11"/>
  <c r="AE39" i="11"/>
  <c r="AE40" i="11"/>
  <c r="AE41" i="11"/>
  <c r="AE42" i="11"/>
  <c r="AE43" i="11"/>
  <c r="AE44" i="11"/>
  <c r="AE45" i="11"/>
  <c r="AE46" i="11"/>
  <c r="AE47" i="11"/>
  <c r="AE48" i="11"/>
  <c r="AE49" i="11"/>
  <c r="AE50" i="11"/>
  <c r="AE51" i="11"/>
  <c r="AE36" i="27"/>
  <c r="AE41" i="27"/>
  <c r="AE44" i="27"/>
  <c r="AE64" i="19"/>
  <c r="AE66" i="19"/>
  <c r="AE67" i="19"/>
  <c r="AE47" i="19"/>
  <c r="AE48" i="19"/>
  <c r="AE49" i="19"/>
  <c r="AE34" i="19"/>
  <c r="AE35" i="19"/>
  <c r="AE36" i="19"/>
  <c r="AE37" i="19"/>
  <c r="AE38" i="19"/>
  <c r="AE39" i="19"/>
  <c r="AE40" i="19"/>
  <c r="AE41" i="19"/>
  <c r="AE42" i="19"/>
  <c r="AE43" i="19"/>
  <c r="AE44" i="19"/>
  <c r="AE69" i="22"/>
  <c r="AE71" i="22"/>
  <c r="AE72" i="22"/>
  <c r="AE46" i="22"/>
  <c r="AE47" i="22"/>
  <c r="AE48" i="22"/>
  <c r="AE49" i="22"/>
  <c r="AE50" i="22"/>
  <c r="AE51" i="22"/>
  <c r="AE52" i="22"/>
  <c r="AE53" i="22"/>
  <c r="AE54" i="22"/>
  <c r="AE34" i="22"/>
  <c r="AE35" i="22"/>
  <c r="AE36" i="22"/>
  <c r="AE37" i="22"/>
  <c r="AE38" i="22"/>
  <c r="AE39" i="22"/>
  <c r="AE40" i="22"/>
  <c r="AE41" i="22"/>
  <c r="AE42" i="22"/>
  <c r="AE43" i="22"/>
  <c r="AA35" i="17"/>
  <c r="AE35" i="17"/>
  <c r="AA36" i="17"/>
  <c r="AF36" i="17" s="1"/>
  <c r="AE36" i="17"/>
  <c r="AA37" i="17"/>
  <c r="AE37" i="17"/>
  <c r="AA38" i="17"/>
  <c r="AF38" i="17" s="1"/>
  <c r="AE38" i="17"/>
  <c r="AA39" i="17"/>
  <c r="AE39" i="17"/>
  <c r="AA40" i="17"/>
  <c r="AF40" i="17" s="1"/>
  <c r="AE40" i="17"/>
  <c r="O42" i="17"/>
  <c r="O43" i="17" s="1"/>
  <c r="P42" i="17"/>
  <c r="P43" i="17" s="1"/>
  <c r="Q42" i="17"/>
  <c r="Q43" i="17" s="1"/>
  <c r="R42" i="17"/>
  <c r="R43" i="17" s="1"/>
  <c r="S42" i="17"/>
  <c r="S43" i="17" s="1"/>
  <c r="T42" i="17"/>
  <c r="T43" i="17" s="1"/>
  <c r="U42" i="17"/>
  <c r="U43" i="17" s="1"/>
  <c r="V42" i="17"/>
  <c r="V43" i="17" s="1"/>
  <c r="W42" i="17"/>
  <c r="X42" i="17"/>
  <c r="X43" i="17" s="1"/>
  <c r="Y42" i="17"/>
  <c r="Z42" i="17"/>
  <c r="Z43" i="17" s="1"/>
  <c r="AD42" i="17"/>
  <c r="AE43" i="17" s="1"/>
  <c r="AG42" i="17"/>
  <c r="W43" i="17"/>
  <c r="Y43" i="17"/>
  <c r="AA44" i="17"/>
  <c r="AF44" i="17" s="1"/>
  <c r="AE44" i="17"/>
  <c r="AA45" i="17"/>
  <c r="AE45" i="17"/>
  <c r="AA46" i="17"/>
  <c r="AF46" i="17" s="1"/>
  <c r="AE46" i="17"/>
  <c r="AA47" i="17"/>
  <c r="AE47" i="17"/>
  <c r="AA48" i="17"/>
  <c r="AE48" i="17"/>
  <c r="AA49" i="17"/>
  <c r="AE49" i="17"/>
  <c r="O51" i="17"/>
  <c r="O52" i="17" s="1"/>
  <c r="P51" i="17"/>
  <c r="P52" i="17" s="1"/>
  <c r="Q51" i="17"/>
  <c r="Q52" i="17" s="1"/>
  <c r="R51" i="17"/>
  <c r="S51" i="17"/>
  <c r="S52" i="17" s="1"/>
  <c r="T51" i="17"/>
  <c r="T52" i="17" s="1"/>
  <c r="U51" i="17"/>
  <c r="U52" i="17" s="1"/>
  <c r="V51" i="17"/>
  <c r="V52" i="17" s="1"/>
  <c r="W51" i="17"/>
  <c r="X51" i="17"/>
  <c r="X52" i="17" s="1"/>
  <c r="Y51" i="17"/>
  <c r="Y52" i="17" s="1"/>
  <c r="Z51" i="17"/>
  <c r="AD51" i="17"/>
  <c r="AE52" i="17" s="1"/>
  <c r="AG51" i="17"/>
  <c r="R52" i="17"/>
  <c r="W52" i="17"/>
  <c r="Z52" i="17"/>
  <c r="AA53" i="17"/>
  <c r="AF53" i="17" s="1"/>
  <c r="AE53" i="17"/>
  <c r="AA54" i="17"/>
  <c r="AB54" i="17" s="1"/>
  <c r="AE54" i="17"/>
  <c r="AA55" i="17"/>
  <c r="AB55" i="17" s="1"/>
  <c r="AE55" i="17"/>
  <c r="AA56" i="17"/>
  <c r="AB56" i="17" s="1"/>
  <c r="AE56" i="17"/>
  <c r="AA57" i="17"/>
  <c r="AE57" i="17"/>
  <c r="AA58" i="17"/>
  <c r="AB58" i="17" s="1"/>
  <c r="AE58" i="17"/>
  <c r="AF58" i="17"/>
  <c r="O60" i="17"/>
  <c r="O61" i="17" s="1"/>
  <c r="P60" i="17"/>
  <c r="P61" i="17" s="1"/>
  <c r="Q60" i="17"/>
  <c r="R60" i="17"/>
  <c r="R61" i="17" s="1"/>
  <c r="S60" i="17"/>
  <c r="S61" i="17" s="1"/>
  <c r="T60" i="17"/>
  <c r="T61" i="17" s="1"/>
  <c r="U60" i="17"/>
  <c r="V60" i="17"/>
  <c r="V61" i="17" s="1"/>
  <c r="W60" i="17"/>
  <c r="W61" i="17" s="1"/>
  <c r="X60" i="17"/>
  <c r="X61" i="17" s="1"/>
  <c r="Y60" i="17"/>
  <c r="Y61" i="17" s="1"/>
  <c r="Z60" i="17"/>
  <c r="Z61" i="17" s="1"/>
  <c r="AD60" i="17"/>
  <c r="AG60" i="17"/>
  <c r="Q61" i="17"/>
  <c r="U61" i="17"/>
  <c r="AE61" i="17"/>
  <c r="AA62" i="17"/>
  <c r="AF62" i="17" s="1"/>
  <c r="AE62" i="17"/>
  <c r="AA63" i="17"/>
  <c r="AF63" i="17" s="1"/>
  <c r="AE63" i="17"/>
  <c r="AA64" i="17"/>
  <c r="AF64" i="17" s="1"/>
  <c r="AE64" i="17"/>
  <c r="AA65" i="17"/>
  <c r="AF65" i="17" s="1"/>
  <c r="AE65" i="17"/>
  <c r="AA66" i="17"/>
  <c r="AF66" i="17" s="1"/>
  <c r="AE66" i="17"/>
  <c r="AA67" i="17"/>
  <c r="AF67" i="17" s="1"/>
  <c r="AE67" i="17"/>
  <c r="O69" i="17"/>
  <c r="O70" i="17" s="1"/>
  <c r="P69" i="17"/>
  <c r="P70" i="17" s="1"/>
  <c r="Q69" i="17"/>
  <c r="R69" i="17"/>
  <c r="S69" i="17"/>
  <c r="S70" i="17" s="1"/>
  <c r="T69" i="17"/>
  <c r="T70" i="17" s="1"/>
  <c r="U69" i="17"/>
  <c r="V69" i="17"/>
  <c r="V70" i="17" s="1"/>
  <c r="W69" i="17"/>
  <c r="W70" i="17" s="1"/>
  <c r="X69" i="17"/>
  <c r="X70" i="17" s="1"/>
  <c r="Y69" i="17"/>
  <c r="Y70" i="17" s="1"/>
  <c r="Z69" i="17"/>
  <c r="Z70" i="17" s="1"/>
  <c r="AD69" i="17"/>
  <c r="AE70" i="17" s="1"/>
  <c r="AG69" i="17"/>
  <c r="Q70" i="17"/>
  <c r="R70" i="17"/>
  <c r="U70" i="17"/>
  <c r="AA71" i="17"/>
  <c r="AB71" i="17" s="1"/>
  <c r="AE71" i="17"/>
  <c r="AA72" i="17"/>
  <c r="AE72" i="17"/>
  <c r="AA73" i="17"/>
  <c r="AB73" i="17" s="1"/>
  <c r="AE73" i="17"/>
  <c r="AA74" i="17"/>
  <c r="AE74" i="17"/>
  <c r="AA75" i="17"/>
  <c r="AB75" i="17" s="1"/>
  <c r="AE75" i="17"/>
  <c r="AF75" i="17"/>
  <c r="AA76" i="17"/>
  <c r="AE76" i="17"/>
  <c r="O78" i="17"/>
  <c r="O79" i="17" s="1"/>
  <c r="P78" i="17"/>
  <c r="P79" i="17" s="1"/>
  <c r="Q78" i="17"/>
  <c r="Q79" i="17" s="1"/>
  <c r="R78" i="17"/>
  <c r="R79" i="17" s="1"/>
  <c r="S78" i="17"/>
  <c r="T78" i="17"/>
  <c r="T79" i="17" s="1"/>
  <c r="U78" i="17"/>
  <c r="U79" i="17" s="1"/>
  <c r="V78" i="17"/>
  <c r="V79" i="17" s="1"/>
  <c r="W78" i="17"/>
  <c r="W79" i="17" s="1"/>
  <c r="X78" i="17"/>
  <c r="X79" i="17" s="1"/>
  <c r="Y78" i="17"/>
  <c r="Z78" i="17"/>
  <c r="AD78" i="17"/>
  <c r="AE79" i="17" s="1"/>
  <c r="AG78" i="17"/>
  <c r="S79" i="17"/>
  <c r="Y79" i="17"/>
  <c r="Z79" i="17"/>
  <c r="AA80" i="17"/>
  <c r="AB80" i="17" s="1"/>
  <c r="AE80" i="17"/>
  <c r="AA81" i="17"/>
  <c r="AF81" i="17" s="1"/>
  <c r="AE81" i="17"/>
  <c r="AA82" i="17"/>
  <c r="AB82" i="17" s="1"/>
  <c r="AE82" i="17"/>
  <c r="AA83" i="17"/>
  <c r="AF83" i="17" s="1"/>
  <c r="AE83" i="17"/>
  <c r="AA84" i="17"/>
  <c r="AB84" i="17" s="1"/>
  <c r="AE84" i="17"/>
  <c r="AA85" i="17"/>
  <c r="AB85" i="17" s="1"/>
  <c r="AE85" i="17"/>
  <c r="O87" i="17"/>
  <c r="O88" i="17" s="1"/>
  <c r="P87" i="17"/>
  <c r="P88" i="17" s="1"/>
  <c r="Q87" i="17"/>
  <c r="Q88" i="17" s="1"/>
  <c r="R87" i="17"/>
  <c r="R88" i="17" s="1"/>
  <c r="S87" i="17"/>
  <c r="S88" i="17" s="1"/>
  <c r="T87" i="17"/>
  <c r="T88" i="17" s="1"/>
  <c r="U87" i="17"/>
  <c r="U88" i="17" s="1"/>
  <c r="V87" i="17"/>
  <c r="W87" i="17"/>
  <c r="W88" i="17" s="1"/>
  <c r="X87" i="17"/>
  <c r="X88" i="17" s="1"/>
  <c r="Y87" i="17"/>
  <c r="Y88" i="17" s="1"/>
  <c r="Z87" i="17"/>
  <c r="Z88" i="17" s="1"/>
  <c r="AD87" i="17"/>
  <c r="AE88" i="17" s="1"/>
  <c r="AG87" i="17"/>
  <c r="V88" i="17"/>
  <c r="AA89" i="17"/>
  <c r="AF89" i="17" s="1"/>
  <c r="AE89" i="17"/>
  <c r="AA90" i="17"/>
  <c r="AF90" i="17" s="1"/>
  <c r="AE90" i="17"/>
  <c r="AA91" i="17"/>
  <c r="AE91" i="17"/>
  <c r="O93" i="17"/>
  <c r="O94" i="17" s="1"/>
  <c r="P93" i="17"/>
  <c r="P94" i="17" s="1"/>
  <c r="Q93" i="17"/>
  <c r="Q94" i="17" s="1"/>
  <c r="R93" i="17"/>
  <c r="R94" i="17" s="1"/>
  <c r="S93" i="17"/>
  <c r="S94" i="17" s="1"/>
  <c r="T93" i="17"/>
  <c r="T94" i="17" s="1"/>
  <c r="U93" i="17"/>
  <c r="V93" i="17"/>
  <c r="V94" i="17" s="1"/>
  <c r="W93" i="17"/>
  <c r="X93" i="17"/>
  <c r="X94" i="17" s="1"/>
  <c r="Y93" i="17"/>
  <c r="Y94" i="17" s="1"/>
  <c r="Z93" i="17"/>
  <c r="Z94" i="17" s="1"/>
  <c r="AD93" i="17"/>
  <c r="AE94" i="17" s="1"/>
  <c r="AG93" i="17"/>
  <c r="U94" i="17"/>
  <c r="W94" i="17"/>
  <c r="AA95" i="17"/>
  <c r="AF95" i="17" s="1"/>
  <c r="AA96" i="17"/>
  <c r="AF96" i="17" s="1"/>
  <c r="AA97" i="17"/>
  <c r="AF97" i="17" s="1"/>
  <c r="AA99" i="17"/>
  <c r="AF99" i="17" s="1"/>
  <c r="AE99" i="17"/>
  <c r="AA102" i="17"/>
  <c r="AF102" i="17" s="1"/>
  <c r="AA103" i="17"/>
  <c r="AF103" i="17" s="1"/>
  <c r="AA104" i="17"/>
  <c r="AE104" i="17"/>
  <c r="AA108" i="17"/>
  <c r="AF108" i="17" s="1"/>
  <c r="AA109" i="17"/>
  <c r="AF109" i="17" s="1"/>
  <c r="O110" i="17"/>
  <c r="P110" i="17"/>
  <c r="Q110" i="17"/>
  <c r="R110" i="17"/>
  <c r="S110" i="17"/>
  <c r="T110" i="17"/>
  <c r="U110" i="17"/>
  <c r="V110" i="17"/>
  <c r="W110" i="17"/>
  <c r="X110" i="17"/>
  <c r="Y110" i="17"/>
  <c r="Z110" i="17"/>
  <c r="AD110" i="17"/>
  <c r="AG110" i="17"/>
  <c r="O111" i="17"/>
  <c r="P111" i="17"/>
  <c r="Q111" i="17"/>
  <c r="R111" i="17"/>
  <c r="S111" i="17"/>
  <c r="T111" i="17"/>
  <c r="U111" i="17"/>
  <c r="V111" i="17"/>
  <c r="W111" i="17"/>
  <c r="X111" i="17"/>
  <c r="Y111" i="17"/>
  <c r="Z111" i="17"/>
  <c r="AD111" i="17"/>
  <c r="AG111" i="17"/>
  <c r="AA115" i="17"/>
  <c r="AE115" i="17"/>
  <c r="AF115" i="17"/>
  <c r="AA116" i="17"/>
  <c r="AF116" i="17" s="1"/>
  <c r="AE116" i="17"/>
  <c r="AA117" i="17"/>
  <c r="AB117" i="17" s="1"/>
  <c r="AE117" i="17"/>
  <c r="AA118" i="17"/>
  <c r="AF118" i="17" s="1"/>
  <c r="AE118" i="17"/>
  <c r="AA119" i="17"/>
  <c r="AB119" i="17" s="1"/>
  <c r="AE119" i="17"/>
  <c r="AA120" i="17"/>
  <c r="AF120" i="17" s="1"/>
  <c r="AE120" i="17"/>
  <c r="AA121" i="17"/>
  <c r="AE121" i="17"/>
  <c r="AF121" i="17"/>
  <c r="AA124" i="17"/>
  <c r="AF124" i="17" s="1"/>
  <c r="AE124" i="17"/>
  <c r="AA125" i="17"/>
  <c r="AF125" i="17" s="1"/>
  <c r="AE125" i="17"/>
  <c r="AA126" i="17"/>
  <c r="AF126" i="17" s="1"/>
  <c r="AE126" i="17"/>
  <c r="AA127" i="17"/>
  <c r="AF127" i="17" s="1"/>
  <c r="AE127" i="17"/>
  <c r="AA128" i="17"/>
  <c r="AF128" i="17" s="1"/>
  <c r="AE128" i="17"/>
  <c r="AA129" i="17"/>
  <c r="AB129" i="17" s="1"/>
  <c r="AE129" i="17"/>
  <c r="AA130" i="17"/>
  <c r="AF130" i="17" s="1"/>
  <c r="AE130" i="17"/>
  <c r="AA133" i="17"/>
  <c r="AF133" i="17" s="1"/>
  <c r="AE133" i="17"/>
  <c r="AA134" i="17"/>
  <c r="AF134" i="17" s="1"/>
  <c r="AE134" i="17"/>
  <c r="AA135" i="17"/>
  <c r="AB135" i="17" s="1"/>
  <c r="AE135" i="17"/>
  <c r="AA136" i="17"/>
  <c r="AF136" i="17" s="1"/>
  <c r="AE136" i="17"/>
  <c r="AA137" i="17"/>
  <c r="AB137" i="17" s="1"/>
  <c r="AE137" i="17"/>
  <c r="AA138" i="17"/>
  <c r="AF138" i="17" s="1"/>
  <c r="AE138" i="17"/>
  <c r="AA139" i="17"/>
  <c r="AF139" i="17" s="1"/>
  <c r="AE139" i="17"/>
  <c r="O141" i="17"/>
  <c r="P141" i="17"/>
  <c r="Q141" i="17"/>
  <c r="R141" i="17"/>
  <c r="S141" i="17"/>
  <c r="T141" i="17"/>
  <c r="U141" i="17"/>
  <c r="V141" i="17"/>
  <c r="W141" i="17"/>
  <c r="X141" i="17"/>
  <c r="Y141" i="17"/>
  <c r="Z141" i="17"/>
  <c r="AD141" i="17"/>
  <c r="AG141" i="17"/>
  <c r="O142" i="17"/>
  <c r="P142" i="17"/>
  <c r="Q142" i="17"/>
  <c r="R142" i="17"/>
  <c r="S142" i="17"/>
  <c r="T142" i="17"/>
  <c r="U142" i="17"/>
  <c r="V142" i="17"/>
  <c r="W142" i="17"/>
  <c r="X142" i="17"/>
  <c r="Y142" i="17"/>
  <c r="Z142" i="17"/>
  <c r="AD142" i="17"/>
  <c r="AE142" i="17" s="1"/>
  <c r="AG142" i="17"/>
  <c r="O143" i="17"/>
  <c r="P143" i="17"/>
  <c r="Q143" i="17"/>
  <c r="R143" i="17"/>
  <c r="S143" i="17"/>
  <c r="T143" i="17"/>
  <c r="U143" i="17"/>
  <c r="V143" i="17"/>
  <c r="W143" i="17"/>
  <c r="X143" i="17"/>
  <c r="Y143" i="17"/>
  <c r="Z143" i="17"/>
  <c r="AD143" i="17"/>
  <c r="AE143" i="17" s="1"/>
  <c r="AG143" i="17"/>
  <c r="O144" i="17"/>
  <c r="P144" i="17"/>
  <c r="Q144" i="17"/>
  <c r="R144" i="17"/>
  <c r="S144" i="17"/>
  <c r="T144" i="17"/>
  <c r="U144" i="17"/>
  <c r="V144" i="17"/>
  <c r="W144" i="17"/>
  <c r="X144" i="17"/>
  <c r="Y144" i="17"/>
  <c r="Z144" i="17"/>
  <c r="AD144" i="17"/>
  <c r="AE144" i="17" s="1"/>
  <c r="AG144" i="17"/>
  <c r="O145" i="17"/>
  <c r="P145" i="17"/>
  <c r="Q145" i="17"/>
  <c r="R145" i="17"/>
  <c r="S145" i="17"/>
  <c r="T145" i="17"/>
  <c r="U145" i="17"/>
  <c r="V145" i="17"/>
  <c r="W145" i="17"/>
  <c r="X145" i="17"/>
  <c r="Y145" i="17"/>
  <c r="Z145" i="17"/>
  <c r="AD145" i="17"/>
  <c r="AE145" i="17" s="1"/>
  <c r="AG145" i="17"/>
  <c r="O146" i="17"/>
  <c r="P146" i="17"/>
  <c r="Q146" i="17"/>
  <c r="R146" i="17"/>
  <c r="S146" i="17"/>
  <c r="T146" i="17"/>
  <c r="U146" i="17"/>
  <c r="V146" i="17"/>
  <c r="W146" i="17"/>
  <c r="X146" i="17"/>
  <c r="Y146" i="17"/>
  <c r="Z146" i="17"/>
  <c r="AD146" i="17"/>
  <c r="AE146" i="17" s="1"/>
  <c r="AG146" i="17"/>
  <c r="O147" i="17"/>
  <c r="P147" i="17"/>
  <c r="Q147" i="17"/>
  <c r="R147" i="17"/>
  <c r="S147" i="17"/>
  <c r="T147" i="17"/>
  <c r="U147" i="17"/>
  <c r="V147" i="17"/>
  <c r="W147" i="17"/>
  <c r="X147" i="17"/>
  <c r="Y147" i="17"/>
  <c r="Z147" i="17"/>
  <c r="AD147" i="17"/>
  <c r="AG147" i="17"/>
  <c r="AA152" i="17"/>
  <c r="AF152" i="17" s="1"/>
  <c r="AF153" i="17"/>
  <c r="AA154" i="17"/>
  <c r="AF154" i="17" s="1"/>
  <c r="AE154" i="17"/>
  <c r="AF155" i="17"/>
  <c r="AA156" i="17"/>
  <c r="AF157" i="17"/>
  <c r="AA159" i="17"/>
  <c r="AF160" i="17"/>
  <c r="AA161" i="17"/>
  <c r="AF161" i="17" s="1"/>
  <c r="AE161" i="17"/>
  <c r="AF162" i="17"/>
  <c r="AA163" i="17"/>
  <c r="AF163" i="17" s="1"/>
  <c r="AE163" i="17"/>
  <c r="AF164" i="17"/>
  <c r="AA165" i="17"/>
  <c r="AF165" i="17" s="1"/>
  <c r="AE165" i="17"/>
  <c r="AF166" i="17"/>
  <c r="AA167" i="17"/>
  <c r="AF167" i="17" s="1"/>
  <c r="O168" i="17"/>
  <c r="P168" i="17"/>
  <c r="Q168" i="17"/>
  <c r="R168" i="17"/>
  <c r="S168" i="17"/>
  <c r="T168" i="17"/>
  <c r="U168" i="17"/>
  <c r="V168" i="17"/>
  <c r="W168" i="17"/>
  <c r="X168" i="17"/>
  <c r="Y168" i="17"/>
  <c r="Z168" i="17"/>
  <c r="AD168" i="17"/>
  <c r="AG168" i="17"/>
  <c r="AA170" i="17"/>
  <c r="AE91" i="16"/>
  <c r="AE92" i="16"/>
  <c r="AE93" i="16"/>
  <c r="AE95" i="16"/>
  <c r="AE96" i="16"/>
  <c r="AE97" i="16"/>
  <c r="AE98" i="16"/>
  <c r="AE99" i="16"/>
  <c r="AE100" i="16"/>
  <c r="AE101" i="16"/>
  <c r="AE102" i="16"/>
  <c r="AE103" i="16"/>
  <c r="AE104" i="16"/>
  <c r="AE105" i="16"/>
  <c r="AE106" i="16"/>
  <c r="AE107" i="16"/>
  <c r="AE108" i="16"/>
  <c r="AE109" i="16"/>
  <c r="AE110" i="16"/>
  <c r="AE111" i="16"/>
  <c r="AE112" i="16"/>
  <c r="AE113" i="16"/>
  <c r="AE114" i="16"/>
  <c r="AE115" i="16"/>
  <c r="AE116" i="16"/>
  <c r="AE117" i="16"/>
  <c r="AE77" i="16"/>
  <c r="AE78" i="16"/>
  <c r="AE79" i="16"/>
  <c r="AE80" i="16"/>
  <c r="AE81" i="16"/>
  <c r="AE82" i="16"/>
  <c r="AE83" i="16"/>
  <c r="AE84" i="16"/>
  <c r="AE85" i="16"/>
  <c r="AE86" i="16"/>
  <c r="AE87" i="16"/>
  <c r="AE88" i="16"/>
  <c r="AE74" i="16"/>
  <c r="AE75" i="16"/>
  <c r="AE63" i="16"/>
  <c r="AE64" i="16"/>
  <c r="AE65" i="16"/>
  <c r="AE35" i="16"/>
  <c r="AE36" i="16"/>
  <c r="AE37" i="16"/>
  <c r="AE41" i="16"/>
  <c r="AE42" i="16"/>
  <c r="AE43" i="16"/>
  <c r="AA46" i="16"/>
  <c r="AF46" i="16" s="1"/>
  <c r="AE46" i="16"/>
  <c r="AE49" i="16"/>
  <c r="AE50" i="16"/>
  <c r="AE51" i="16"/>
  <c r="AE52" i="16"/>
  <c r="AA55" i="16"/>
  <c r="AB55" i="16" s="1"/>
  <c r="AE55" i="16"/>
  <c r="AE35" i="69"/>
  <c r="AE36" i="69"/>
  <c r="AE37" i="69"/>
  <c r="AE38" i="69"/>
  <c r="AE39" i="69"/>
  <c r="AE40" i="69"/>
  <c r="AE41" i="69"/>
  <c r="AE42" i="69"/>
  <c r="AE43" i="69"/>
  <c r="AE44" i="69"/>
  <c r="AE45" i="69"/>
  <c r="AE46" i="69"/>
  <c r="AE47" i="69"/>
  <c r="AE48" i="69"/>
  <c r="AE49" i="69"/>
  <c r="AE50" i="69"/>
  <c r="AE51" i="69"/>
  <c r="AE52" i="69"/>
  <c r="AE53" i="69"/>
  <c r="AE54" i="69"/>
  <c r="AE55" i="69"/>
  <c r="AE56" i="69"/>
  <c r="AA35" i="70"/>
  <c r="AF35" i="70" s="1"/>
  <c r="AE35" i="70"/>
  <c r="AA36" i="70"/>
  <c r="AB36" i="70" s="1"/>
  <c r="AE36" i="70"/>
  <c r="AA37" i="70"/>
  <c r="AF37" i="70" s="1"/>
  <c r="AE37" i="70"/>
  <c r="AA38" i="70"/>
  <c r="AB38" i="70" s="1"/>
  <c r="AE38" i="70"/>
  <c r="AA39" i="70"/>
  <c r="AE39" i="70"/>
  <c r="AA40" i="70"/>
  <c r="AF40" i="70" s="1"/>
  <c r="AA41" i="70"/>
  <c r="AF41" i="70" s="1"/>
  <c r="AE41" i="70"/>
  <c r="O43" i="70"/>
  <c r="O44" i="70" s="1"/>
  <c r="P43" i="70"/>
  <c r="Q43" i="70"/>
  <c r="Q44" i="70" s="1"/>
  <c r="R43" i="70"/>
  <c r="R44" i="70" s="1"/>
  <c r="S43" i="70"/>
  <c r="S44" i="70" s="1"/>
  <c r="T43" i="70"/>
  <c r="U43" i="70"/>
  <c r="U44" i="70" s="1"/>
  <c r="V43" i="70"/>
  <c r="V44" i="70" s="1"/>
  <c r="W43" i="70"/>
  <c r="W44" i="70" s="1"/>
  <c r="X43" i="70"/>
  <c r="X44" i="70" s="1"/>
  <c r="Y43" i="70"/>
  <c r="Y44" i="70" s="1"/>
  <c r="Z43" i="70"/>
  <c r="Z44" i="70" s="1"/>
  <c r="AD43" i="70"/>
  <c r="AE44" i="70" s="1"/>
  <c r="AG43" i="70"/>
  <c r="P44" i="70"/>
  <c r="T44" i="70"/>
  <c r="AA45" i="70"/>
  <c r="AB45" i="70" s="1"/>
  <c r="AE45" i="70"/>
  <c r="AA46" i="70"/>
  <c r="AF46" i="70" s="1"/>
  <c r="AE46" i="70"/>
  <c r="AA47" i="70"/>
  <c r="AF47" i="70" s="1"/>
  <c r="AE47" i="70"/>
  <c r="AA48" i="70"/>
  <c r="AF48" i="70" s="1"/>
  <c r="AB48" i="70"/>
  <c r="AE48" i="70"/>
  <c r="AA49" i="70"/>
  <c r="AF49" i="70" s="1"/>
  <c r="AE49" i="70"/>
  <c r="AA50" i="70"/>
  <c r="AF50" i="70" s="1"/>
  <c r="AA51" i="70"/>
  <c r="AF51" i="70" s="1"/>
  <c r="AE51" i="70"/>
  <c r="O53" i="70"/>
  <c r="P53" i="70"/>
  <c r="P54" i="70" s="1"/>
  <c r="Q53" i="70"/>
  <c r="Q54" i="70" s="1"/>
  <c r="R53" i="70"/>
  <c r="R54" i="70" s="1"/>
  <c r="S53" i="70"/>
  <c r="S54" i="70" s="1"/>
  <c r="T53" i="70"/>
  <c r="T54" i="70" s="1"/>
  <c r="U53" i="70"/>
  <c r="U54" i="70" s="1"/>
  <c r="V53" i="70"/>
  <c r="V54" i="70" s="1"/>
  <c r="W53" i="70"/>
  <c r="X53" i="70"/>
  <c r="X54" i="70" s="1"/>
  <c r="Y53" i="70"/>
  <c r="Y54" i="70" s="1"/>
  <c r="Z53" i="70"/>
  <c r="Z54" i="70" s="1"/>
  <c r="AD53" i="70"/>
  <c r="AG53" i="70"/>
  <c r="O54" i="70"/>
  <c r="W54" i="70"/>
  <c r="AE54" i="70"/>
  <c r="AA55" i="70"/>
  <c r="AF55" i="70" s="1"/>
  <c r="AE55" i="70"/>
  <c r="AA56" i="70"/>
  <c r="AF56" i="70" s="1"/>
  <c r="AE56" i="70"/>
  <c r="AA57" i="70"/>
  <c r="AF57" i="70" s="1"/>
  <c r="AE57" i="70"/>
  <c r="AA58" i="70"/>
  <c r="AF58" i="70" s="1"/>
  <c r="AE58" i="70"/>
  <c r="AA59" i="70"/>
  <c r="AF59" i="70" s="1"/>
  <c r="AE59" i="70"/>
  <c r="AA60" i="70"/>
  <c r="AF60" i="70"/>
  <c r="AA61" i="70"/>
  <c r="AE61" i="70"/>
  <c r="O63" i="70"/>
  <c r="O64" i="70" s="1"/>
  <c r="P63" i="70"/>
  <c r="P64" i="70" s="1"/>
  <c r="Q63" i="70"/>
  <c r="R63" i="70"/>
  <c r="R64" i="70" s="1"/>
  <c r="S63" i="70"/>
  <c r="S64" i="70" s="1"/>
  <c r="T63" i="70"/>
  <c r="T64" i="70" s="1"/>
  <c r="U63" i="70"/>
  <c r="U64" i="70" s="1"/>
  <c r="V63" i="70"/>
  <c r="V64" i="70" s="1"/>
  <c r="W63" i="70"/>
  <c r="W64" i="70" s="1"/>
  <c r="X63" i="70"/>
  <c r="X64" i="70" s="1"/>
  <c r="Y63" i="70"/>
  <c r="Y64" i="70" s="1"/>
  <c r="Z63" i="70"/>
  <c r="Z64" i="70" s="1"/>
  <c r="AD63" i="70"/>
  <c r="AE64" i="70" s="1"/>
  <c r="AG63" i="70"/>
  <c r="Q64" i="70"/>
  <c r="AA65" i="70"/>
  <c r="AF65" i="70" s="1"/>
  <c r="AE65" i="70"/>
  <c r="AA66" i="70"/>
  <c r="AF66" i="70" s="1"/>
  <c r="AE66" i="70"/>
  <c r="AA67" i="70"/>
  <c r="AB67" i="70" s="1"/>
  <c r="AE67" i="70"/>
  <c r="AA68" i="70"/>
  <c r="AF68" i="70" s="1"/>
  <c r="AE68" i="70"/>
  <c r="AA69" i="70"/>
  <c r="AB69" i="70" s="1"/>
  <c r="AE69" i="70"/>
  <c r="AA70" i="70"/>
  <c r="AF70" i="70" s="1"/>
  <c r="AE70" i="70"/>
  <c r="O72" i="70"/>
  <c r="P72" i="70"/>
  <c r="P73" i="70" s="1"/>
  <c r="Q72" i="70"/>
  <c r="Q73" i="70" s="1"/>
  <c r="R72" i="70"/>
  <c r="S72" i="70"/>
  <c r="T72" i="70"/>
  <c r="T73" i="70" s="1"/>
  <c r="U72" i="70"/>
  <c r="U73" i="70" s="1"/>
  <c r="V72" i="70"/>
  <c r="V73" i="70" s="1"/>
  <c r="W72" i="70"/>
  <c r="W73" i="70" s="1"/>
  <c r="X72" i="70"/>
  <c r="X73" i="70" s="1"/>
  <c r="Y72" i="70"/>
  <c r="Y73" i="70" s="1"/>
  <c r="Z72" i="70"/>
  <c r="AD72" i="70"/>
  <c r="AG72" i="70"/>
  <c r="O73" i="70"/>
  <c r="R73" i="70"/>
  <c r="S73" i="70"/>
  <c r="Z73" i="70"/>
  <c r="AE73" i="70"/>
  <c r="AA74" i="70"/>
  <c r="AB74" i="70" s="1"/>
  <c r="AE74" i="70"/>
  <c r="AA75" i="70"/>
  <c r="AF75" i="70" s="1"/>
  <c r="AE75" i="70"/>
  <c r="AA76" i="70"/>
  <c r="AF76" i="70" s="1"/>
  <c r="AB76" i="70"/>
  <c r="AE76" i="70"/>
  <c r="O78" i="70"/>
  <c r="P78" i="70"/>
  <c r="P79" i="70" s="1"/>
  <c r="Q78" i="70"/>
  <c r="Q79" i="70" s="1"/>
  <c r="R78" i="70"/>
  <c r="R79" i="70" s="1"/>
  <c r="S78" i="70"/>
  <c r="S79" i="70" s="1"/>
  <c r="T78" i="70"/>
  <c r="T79" i="70" s="1"/>
  <c r="U78" i="70"/>
  <c r="U79" i="70" s="1"/>
  <c r="V78" i="70"/>
  <c r="V79" i="70" s="1"/>
  <c r="W78" i="70"/>
  <c r="W79" i="70" s="1"/>
  <c r="X78" i="70"/>
  <c r="X79" i="70" s="1"/>
  <c r="Y78" i="70"/>
  <c r="Y79" i="70" s="1"/>
  <c r="Z78" i="70"/>
  <c r="Z79" i="70" s="1"/>
  <c r="AD78" i="70"/>
  <c r="AE79" i="70" s="1"/>
  <c r="AG78" i="70"/>
  <c r="O79" i="70"/>
  <c r="AA80" i="70"/>
  <c r="AB80" i="70" s="1"/>
  <c r="AE80" i="70"/>
  <c r="AA82" i="70"/>
  <c r="AB82" i="70" s="1"/>
  <c r="AE82" i="70"/>
  <c r="AF82" i="70"/>
  <c r="AA83" i="70"/>
  <c r="AB83" i="70" s="1"/>
  <c r="AE83" i="70"/>
  <c r="AF83" i="70"/>
  <c r="AA88" i="70"/>
  <c r="AF88" i="70" s="1"/>
  <c r="AE88" i="70"/>
  <c r="AA89" i="70"/>
  <c r="AF89" i="70" s="1"/>
  <c r="AE89" i="70"/>
  <c r="AA90" i="70"/>
  <c r="AF90" i="70" s="1"/>
  <c r="AE90" i="70"/>
  <c r="AA91" i="70"/>
  <c r="AF91" i="70" s="1"/>
  <c r="AE91" i="70"/>
  <c r="AA92" i="70"/>
  <c r="AF92" i="70" s="1"/>
  <c r="AE92" i="70"/>
  <c r="AA95" i="70"/>
  <c r="AF95" i="70" s="1"/>
  <c r="AE95" i="70"/>
  <c r="AA96" i="70"/>
  <c r="AF96" i="70" s="1"/>
  <c r="AE96" i="70"/>
  <c r="AA97" i="70"/>
  <c r="AF97" i="70" s="1"/>
  <c r="AE97" i="70"/>
  <c r="AA98" i="70"/>
  <c r="AF98" i="70" s="1"/>
  <c r="AE98" i="70"/>
  <c r="AA99" i="70"/>
  <c r="AF99" i="70" s="1"/>
  <c r="AE99" i="70"/>
  <c r="AA102" i="70"/>
  <c r="AF102" i="70" s="1"/>
  <c r="AB102" i="70"/>
  <c r="AE102" i="70"/>
  <c r="AA103" i="70"/>
  <c r="AF103" i="70" s="1"/>
  <c r="AE103" i="70"/>
  <c r="AA104" i="70"/>
  <c r="AF104" i="70" s="1"/>
  <c r="AE104" i="70"/>
  <c r="AA105" i="70"/>
  <c r="AF105" i="70" s="1"/>
  <c r="AE105" i="70"/>
  <c r="AA106" i="70"/>
  <c r="AF106" i="70" s="1"/>
  <c r="AE106" i="70"/>
  <c r="AA35" i="68"/>
  <c r="AF35" i="68" s="1"/>
  <c r="AE35" i="68"/>
  <c r="AA36" i="68"/>
  <c r="AF36" i="68" s="1"/>
  <c r="AE36" i="68"/>
  <c r="AA37" i="68"/>
  <c r="AF37" i="68" s="1"/>
  <c r="AE37" i="68"/>
  <c r="AA38" i="68"/>
  <c r="AF38" i="68" s="1"/>
  <c r="AE38" i="68"/>
  <c r="AA39" i="68"/>
  <c r="AF39" i="68" s="1"/>
  <c r="AE39" i="68"/>
  <c r="AA40" i="68"/>
  <c r="AF40" i="68" s="1"/>
  <c r="AA41" i="68"/>
  <c r="AF41" i="68" s="1"/>
  <c r="AE41" i="68"/>
  <c r="O43" i="68"/>
  <c r="O44" i="68" s="1"/>
  <c r="P43" i="68"/>
  <c r="P44" i="68" s="1"/>
  <c r="Q43" i="68"/>
  <c r="R43" i="68"/>
  <c r="R44" i="68" s="1"/>
  <c r="S43" i="68"/>
  <c r="S44" i="68" s="1"/>
  <c r="T43" i="68"/>
  <c r="T44" i="68" s="1"/>
  <c r="U43" i="68"/>
  <c r="U44" i="68" s="1"/>
  <c r="V43" i="68"/>
  <c r="W43" i="68"/>
  <c r="W44" i="68" s="1"/>
  <c r="X43" i="68"/>
  <c r="X44" i="68" s="1"/>
  <c r="Y43" i="68"/>
  <c r="Y44" i="68" s="1"/>
  <c r="Z43" i="68"/>
  <c r="Z44" i="68" s="1"/>
  <c r="AD43" i="68"/>
  <c r="AE44" i="68" s="1"/>
  <c r="AG43" i="68"/>
  <c r="Q44" i="68"/>
  <c r="V44" i="68"/>
  <c r="AA45" i="68"/>
  <c r="AF45" i="68" s="1"/>
  <c r="AE45" i="68"/>
  <c r="AA46" i="68"/>
  <c r="AB46" i="68" s="1"/>
  <c r="AE46" i="68"/>
  <c r="AA47" i="68"/>
  <c r="AF47" i="68" s="1"/>
  <c r="AE47" i="68"/>
  <c r="AA48" i="68"/>
  <c r="AB48" i="68" s="1"/>
  <c r="AE48" i="68"/>
  <c r="AF48" i="68"/>
  <c r="AA49" i="68"/>
  <c r="AE49" i="68"/>
  <c r="AA50" i="68"/>
  <c r="AF50" i="68" s="1"/>
  <c r="AA51" i="68"/>
  <c r="AF51" i="68" s="1"/>
  <c r="AE51" i="68"/>
  <c r="O53" i="68"/>
  <c r="O54" i="68" s="1"/>
  <c r="P53" i="68"/>
  <c r="P54" i="68" s="1"/>
  <c r="Q53" i="68"/>
  <c r="Q54" i="68" s="1"/>
  <c r="R53" i="68"/>
  <c r="R54" i="68" s="1"/>
  <c r="S53" i="68"/>
  <c r="T53" i="68"/>
  <c r="T54" i="68" s="1"/>
  <c r="U53" i="68"/>
  <c r="U54" i="68" s="1"/>
  <c r="V53" i="68"/>
  <c r="V54" i="68" s="1"/>
  <c r="W53" i="68"/>
  <c r="W54" i="68" s="1"/>
  <c r="X53" i="68"/>
  <c r="X54" i="68" s="1"/>
  <c r="Y53" i="68"/>
  <c r="Y54" i="68" s="1"/>
  <c r="Z53" i="68"/>
  <c r="Z54" i="68" s="1"/>
  <c r="AD53" i="68"/>
  <c r="AG53" i="68"/>
  <c r="S54" i="68"/>
  <c r="AE54" i="68"/>
  <c r="AA55" i="68"/>
  <c r="AB55" i="68" s="1"/>
  <c r="AE55" i="68"/>
  <c r="AA56" i="68"/>
  <c r="AF56" i="68" s="1"/>
  <c r="AE56" i="68"/>
  <c r="AA57" i="68"/>
  <c r="AB57" i="68" s="1"/>
  <c r="AE57" i="68"/>
  <c r="AA58" i="68"/>
  <c r="AF58" i="68" s="1"/>
  <c r="AE58" i="68"/>
  <c r="AA59" i="68"/>
  <c r="AB59" i="68" s="1"/>
  <c r="AE59" i="68"/>
  <c r="AA60" i="68"/>
  <c r="AF60" i="68"/>
  <c r="AA61" i="68"/>
  <c r="AF61" i="68" s="1"/>
  <c r="AE61" i="68"/>
  <c r="O63" i="68"/>
  <c r="P63" i="68"/>
  <c r="P64" i="68" s="1"/>
  <c r="Q63" i="68"/>
  <c r="Q64" i="68" s="1"/>
  <c r="R63" i="68"/>
  <c r="R64" i="68" s="1"/>
  <c r="S63" i="68"/>
  <c r="S64" i="68" s="1"/>
  <c r="T63" i="68"/>
  <c r="T64" i="68" s="1"/>
  <c r="U63" i="68"/>
  <c r="U64" i="68" s="1"/>
  <c r="V63" i="68"/>
  <c r="V64" i="68" s="1"/>
  <c r="W63" i="68"/>
  <c r="X63" i="68"/>
  <c r="X64" i="68" s="1"/>
  <c r="Y63" i="68"/>
  <c r="Y64" i="68" s="1"/>
  <c r="Z63" i="68"/>
  <c r="Z64" i="68" s="1"/>
  <c r="AD63" i="68"/>
  <c r="AG63" i="68"/>
  <c r="O64" i="68"/>
  <c r="W64" i="68"/>
  <c r="AE64" i="68"/>
  <c r="AA65" i="68"/>
  <c r="AF65" i="68" s="1"/>
  <c r="AE65" i="68"/>
  <c r="AA66" i="68"/>
  <c r="AF66" i="68" s="1"/>
  <c r="AE66" i="68"/>
  <c r="AA67" i="68"/>
  <c r="AF67" i="68" s="1"/>
  <c r="AB67" i="68"/>
  <c r="AE67" i="68"/>
  <c r="AA68" i="68"/>
  <c r="AF68" i="68" s="1"/>
  <c r="AE68" i="68"/>
  <c r="AA69" i="68"/>
  <c r="AF69" i="68" s="1"/>
  <c r="AE69" i="68"/>
  <c r="AA70" i="68"/>
  <c r="AB70" i="68"/>
  <c r="AE70" i="68"/>
  <c r="O72" i="68"/>
  <c r="O73" i="68" s="1"/>
  <c r="P72" i="68"/>
  <c r="Q72" i="68"/>
  <c r="Q73" i="68" s="1"/>
  <c r="R72" i="68"/>
  <c r="R73" i="68" s="1"/>
  <c r="S72" i="68"/>
  <c r="S73" i="68" s="1"/>
  <c r="T72" i="68"/>
  <c r="T73" i="68" s="1"/>
  <c r="U72" i="68"/>
  <c r="U73" i="68" s="1"/>
  <c r="V72" i="68"/>
  <c r="V73" i="68" s="1"/>
  <c r="W72" i="68"/>
  <c r="W73" i="68" s="1"/>
  <c r="X72" i="68"/>
  <c r="X73" i="68" s="1"/>
  <c r="Y72" i="68"/>
  <c r="Y73" i="68" s="1"/>
  <c r="Z72" i="68"/>
  <c r="Z73" i="68" s="1"/>
  <c r="AD72" i="68"/>
  <c r="AE73" i="68" s="1"/>
  <c r="AG72" i="68"/>
  <c r="P73" i="68"/>
  <c r="AA74" i="68"/>
  <c r="AF74" i="68" s="1"/>
  <c r="AE74" i="68"/>
  <c r="AA75" i="68"/>
  <c r="AE75" i="68"/>
  <c r="AF75" i="68"/>
  <c r="AA76" i="68"/>
  <c r="AF76" i="68" s="1"/>
  <c r="AE76" i="68"/>
  <c r="AA77" i="68"/>
  <c r="AF77" i="68" s="1"/>
  <c r="O78" i="68"/>
  <c r="O79" i="68" s="1"/>
  <c r="P78" i="68"/>
  <c r="P79" i="68" s="1"/>
  <c r="Q78" i="68"/>
  <c r="R78" i="68"/>
  <c r="R79" i="68" s="1"/>
  <c r="S78" i="68"/>
  <c r="S79" i="68" s="1"/>
  <c r="T78" i="68"/>
  <c r="T79" i="68" s="1"/>
  <c r="U78" i="68"/>
  <c r="U79" i="68" s="1"/>
  <c r="V78" i="68"/>
  <c r="V79" i="68" s="1"/>
  <c r="W78" i="68"/>
  <c r="W79" i="68" s="1"/>
  <c r="X78" i="68"/>
  <c r="X79" i="68" s="1"/>
  <c r="Y78" i="68"/>
  <c r="Z78" i="68"/>
  <c r="Z79" i="68" s="1"/>
  <c r="AA78" i="68"/>
  <c r="AD78" i="68"/>
  <c r="AE79" i="68" s="1"/>
  <c r="AG78" i="68"/>
  <c r="Q79" i="68"/>
  <c r="Y79" i="68"/>
  <c r="AA80" i="68"/>
  <c r="AB80" i="68" s="1"/>
  <c r="AE80" i="68"/>
  <c r="AA82" i="68"/>
  <c r="AF82" i="68" s="1"/>
  <c r="AE82" i="68"/>
  <c r="AA83" i="68"/>
  <c r="AB76" i="68" s="1"/>
  <c r="AE83" i="68"/>
  <c r="AA88" i="68"/>
  <c r="AB88" i="68" s="1"/>
  <c r="AE88" i="68"/>
  <c r="AA89" i="68"/>
  <c r="AF89" i="68" s="1"/>
  <c r="AE89" i="68"/>
  <c r="AA90" i="68"/>
  <c r="AB90" i="68" s="1"/>
  <c r="AE90" i="68"/>
  <c r="AA91" i="68"/>
  <c r="AF91" i="68" s="1"/>
  <c r="AE91" i="68"/>
  <c r="AA92" i="68"/>
  <c r="AB92" i="68" s="1"/>
  <c r="AE92" i="68"/>
  <c r="AA95" i="68"/>
  <c r="AF95" i="68" s="1"/>
  <c r="AB95" i="68"/>
  <c r="AE95" i="68"/>
  <c r="AA96" i="68"/>
  <c r="AF96" i="68" s="1"/>
  <c r="AE96" i="68"/>
  <c r="AA97" i="68"/>
  <c r="AF97" i="68" s="1"/>
  <c r="AE97" i="68"/>
  <c r="AA98" i="68"/>
  <c r="AF98" i="68" s="1"/>
  <c r="AE98" i="68"/>
  <c r="AA99" i="68"/>
  <c r="AF99" i="68" s="1"/>
  <c r="AE99" i="68"/>
  <c r="AA102" i="68"/>
  <c r="AB102" i="68" s="1"/>
  <c r="AE102" i="68"/>
  <c r="AA103" i="68"/>
  <c r="AF103" i="68" s="1"/>
  <c r="AE103" i="68"/>
  <c r="AA104" i="68"/>
  <c r="AB104" i="68" s="1"/>
  <c r="AE104" i="68"/>
  <c r="AA105" i="68"/>
  <c r="AF105" i="68" s="1"/>
  <c r="AE105" i="68"/>
  <c r="AA106" i="68"/>
  <c r="AB106" i="68" s="1"/>
  <c r="AE106" i="68"/>
  <c r="AE35" i="67"/>
  <c r="AE36" i="67"/>
  <c r="AE37" i="67"/>
  <c r="AE38" i="67"/>
  <c r="AE39" i="67"/>
  <c r="AE40" i="67"/>
  <c r="AE41" i="67"/>
  <c r="AE42" i="67"/>
  <c r="AE43" i="67"/>
  <c r="AE44" i="67"/>
  <c r="AE45" i="67"/>
  <c r="AE46" i="67"/>
  <c r="AE47" i="67"/>
  <c r="AE48" i="67"/>
  <c r="AE49" i="67"/>
  <c r="AE50" i="67"/>
  <c r="AE51" i="67"/>
  <c r="AE52" i="67"/>
  <c r="AE53" i="67"/>
  <c r="AE54" i="67"/>
  <c r="AE55" i="67"/>
  <c r="AE56" i="67"/>
  <c r="AA35" i="66"/>
  <c r="AF35" i="66" s="1"/>
  <c r="AE35" i="66"/>
  <c r="AA36" i="66"/>
  <c r="AB36" i="66" s="1"/>
  <c r="AE36" i="66"/>
  <c r="AA37" i="66"/>
  <c r="AB37" i="66" s="1"/>
  <c r="AE37" i="66"/>
  <c r="AA38" i="66"/>
  <c r="AB38" i="66" s="1"/>
  <c r="AE38" i="66"/>
  <c r="AA39" i="66"/>
  <c r="AE39" i="66"/>
  <c r="AA40" i="66"/>
  <c r="AF40" i="66" s="1"/>
  <c r="AA41" i="66"/>
  <c r="AE41" i="66"/>
  <c r="O43" i="66"/>
  <c r="O44" i="66" s="1"/>
  <c r="P43" i="66"/>
  <c r="P44" i="66" s="1"/>
  <c r="Q43" i="66"/>
  <c r="Q44" i="66" s="1"/>
  <c r="R43" i="66"/>
  <c r="R44" i="66" s="1"/>
  <c r="S43" i="66"/>
  <c r="T43" i="66"/>
  <c r="T44" i="66" s="1"/>
  <c r="U43" i="66"/>
  <c r="U44" i="66" s="1"/>
  <c r="V43" i="66"/>
  <c r="V44" i="66" s="1"/>
  <c r="W43" i="66"/>
  <c r="W44" i="66" s="1"/>
  <c r="X43" i="66"/>
  <c r="X44" i="66" s="1"/>
  <c r="Y43" i="66"/>
  <c r="Y44" i="66" s="1"/>
  <c r="Z43" i="66"/>
  <c r="AD43" i="66"/>
  <c r="AE44" i="66" s="1"/>
  <c r="AG43" i="66"/>
  <c r="S44" i="66"/>
  <c r="Z44" i="66"/>
  <c r="AA45" i="66"/>
  <c r="AF45" i="66" s="1"/>
  <c r="AB45" i="66"/>
  <c r="AE45" i="66"/>
  <c r="AA46" i="66"/>
  <c r="AB46" i="66" s="1"/>
  <c r="AE46" i="66"/>
  <c r="AA47" i="66"/>
  <c r="AF47" i="66" s="1"/>
  <c r="AE47" i="66"/>
  <c r="AA48" i="66"/>
  <c r="AF48" i="66" s="1"/>
  <c r="AE48" i="66"/>
  <c r="AA49" i="66"/>
  <c r="AF49" i="66" s="1"/>
  <c r="AE49" i="66"/>
  <c r="AA50" i="66"/>
  <c r="AF50" i="66" s="1"/>
  <c r="AA51" i="66"/>
  <c r="AB51" i="66" s="1"/>
  <c r="AE51" i="66"/>
  <c r="O53" i="66"/>
  <c r="O54" i="66" s="1"/>
  <c r="P53" i="66"/>
  <c r="P54" i="66" s="1"/>
  <c r="Q53" i="66"/>
  <c r="Q54" i="66" s="1"/>
  <c r="R53" i="66"/>
  <c r="S53" i="66"/>
  <c r="S54" i="66" s="1"/>
  <c r="T53" i="66"/>
  <c r="T54" i="66" s="1"/>
  <c r="U53" i="66"/>
  <c r="U54" i="66" s="1"/>
  <c r="V53" i="66"/>
  <c r="V54" i="66" s="1"/>
  <c r="W53" i="66"/>
  <c r="W54" i="66" s="1"/>
  <c r="X53" i="66"/>
  <c r="X54" i="66" s="1"/>
  <c r="Y53" i="66"/>
  <c r="Y54" i="66" s="1"/>
  <c r="Z53" i="66"/>
  <c r="Z54" i="66" s="1"/>
  <c r="AD53" i="66"/>
  <c r="AE54" i="66" s="1"/>
  <c r="AG53" i="66"/>
  <c r="R54" i="66"/>
  <c r="AA55" i="66"/>
  <c r="AF55" i="66" s="1"/>
  <c r="AE55" i="66"/>
  <c r="AA56" i="66"/>
  <c r="AB56" i="66" s="1"/>
  <c r="AE56" i="66"/>
  <c r="AA57" i="66"/>
  <c r="AF57" i="66" s="1"/>
  <c r="AE57" i="66"/>
  <c r="AA58" i="66"/>
  <c r="AB58" i="66" s="1"/>
  <c r="AE58" i="66"/>
  <c r="AA59" i="66"/>
  <c r="AA62" i="66" s="1"/>
  <c r="AE59" i="66"/>
  <c r="AA60" i="66"/>
  <c r="AF60" i="66" s="1"/>
  <c r="AA61" i="66"/>
  <c r="AF61" i="66" s="1"/>
  <c r="AB61" i="66"/>
  <c r="AE61" i="66"/>
  <c r="O63" i="66"/>
  <c r="O64" i="66" s="1"/>
  <c r="P63" i="66"/>
  <c r="Q63" i="66"/>
  <c r="Q64" i="66" s="1"/>
  <c r="R63" i="66"/>
  <c r="R64" i="66" s="1"/>
  <c r="S63" i="66"/>
  <c r="S64" i="66" s="1"/>
  <c r="T63" i="66"/>
  <c r="T64" i="66" s="1"/>
  <c r="U63" i="66"/>
  <c r="U64" i="66" s="1"/>
  <c r="V63" i="66"/>
  <c r="V64" i="66" s="1"/>
  <c r="W63" i="66"/>
  <c r="W64" i="66" s="1"/>
  <c r="X63" i="66"/>
  <c r="Y63" i="66"/>
  <c r="Y64" i="66" s="1"/>
  <c r="Z63" i="66"/>
  <c r="Z64" i="66" s="1"/>
  <c r="AD63" i="66"/>
  <c r="AG63" i="66"/>
  <c r="P64" i="66"/>
  <c r="X64" i="66"/>
  <c r="AE64" i="66"/>
  <c r="AA65" i="66"/>
  <c r="AB65" i="66" s="1"/>
  <c r="AE65" i="66"/>
  <c r="AA66" i="66"/>
  <c r="AB66" i="66" s="1"/>
  <c r="AE66" i="66"/>
  <c r="AA67" i="66"/>
  <c r="AB67" i="66" s="1"/>
  <c r="AE67" i="66"/>
  <c r="AA68" i="66"/>
  <c r="AB68" i="66" s="1"/>
  <c r="AE68" i="66"/>
  <c r="AF68" i="66"/>
  <c r="AA69" i="66"/>
  <c r="AA72" i="66" s="1"/>
  <c r="AE69" i="66"/>
  <c r="AA70" i="66"/>
  <c r="AB70" i="66" s="1"/>
  <c r="AE70" i="66"/>
  <c r="O72" i="66"/>
  <c r="O73" i="66" s="1"/>
  <c r="P72" i="66"/>
  <c r="P73" i="66" s="1"/>
  <c r="Q72" i="66"/>
  <c r="Q73" i="66" s="1"/>
  <c r="R72" i="66"/>
  <c r="R73" i="66" s="1"/>
  <c r="S72" i="66"/>
  <c r="S73" i="66" s="1"/>
  <c r="T72" i="66"/>
  <c r="T73" i="66" s="1"/>
  <c r="U72" i="66"/>
  <c r="U73" i="66" s="1"/>
  <c r="V72" i="66"/>
  <c r="V73" i="66" s="1"/>
  <c r="W72" i="66"/>
  <c r="W73" i="66" s="1"/>
  <c r="X72" i="66"/>
  <c r="X73" i="66" s="1"/>
  <c r="Y72" i="66"/>
  <c r="Z72" i="66"/>
  <c r="Z73" i="66" s="1"/>
  <c r="AD72" i="66"/>
  <c r="AE73" i="66" s="1"/>
  <c r="AG72" i="66"/>
  <c r="Y73" i="66"/>
  <c r="AA74" i="66"/>
  <c r="AF74" i="66" s="1"/>
  <c r="AE74" i="66"/>
  <c r="AA75" i="66"/>
  <c r="AF75" i="66" s="1"/>
  <c r="AE75" i="66"/>
  <c r="AA76" i="66"/>
  <c r="AE76" i="66"/>
  <c r="O78" i="66"/>
  <c r="P78" i="66"/>
  <c r="P79" i="66" s="1"/>
  <c r="Q78" i="66"/>
  <c r="Q79" i="66" s="1"/>
  <c r="R78" i="66"/>
  <c r="S78" i="66"/>
  <c r="S79" i="66" s="1"/>
  <c r="T78" i="66"/>
  <c r="T79" i="66" s="1"/>
  <c r="U78" i="66"/>
  <c r="U79" i="66" s="1"/>
  <c r="V78" i="66"/>
  <c r="V79" i="66" s="1"/>
  <c r="W78" i="66"/>
  <c r="X78" i="66"/>
  <c r="X79" i="66" s="1"/>
  <c r="Y78" i="66"/>
  <c r="Y79" i="66" s="1"/>
  <c r="Z78" i="66"/>
  <c r="Z79" i="66" s="1"/>
  <c r="AD78" i="66"/>
  <c r="AE79" i="66" s="1"/>
  <c r="AG78" i="66"/>
  <c r="O79" i="66"/>
  <c r="R79" i="66"/>
  <c r="W79" i="66"/>
  <c r="AA80" i="66"/>
  <c r="AF80" i="66" s="1"/>
  <c r="AE80" i="66"/>
  <c r="AA82" i="66"/>
  <c r="AF82" i="66" s="1"/>
  <c r="AE82" i="66"/>
  <c r="AA83" i="66"/>
  <c r="AF83" i="66" s="1"/>
  <c r="AA84" i="66"/>
  <c r="AA92" i="66" s="1"/>
  <c r="AF92" i="66" s="1"/>
  <c r="AE84" i="66"/>
  <c r="AF84" i="66"/>
  <c r="AA89" i="66"/>
  <c r="AF89" i="66" s="1"/>
  <c r="AA90" i="66"/>
  <c r="AF90" i="66" s="1"/>
  <c r="AA91" i="66"/>
  <c r="AF91" i="66" s="1"/>
  <c r="O92" i="66"/>
  <c r="P92" i="66"/>
  <c r="Q92" i="66"/>
  <c r="R92" i="66"/>
  <c r="S92" i="66"/>
  <c r="T92" i="66"/>
  <c r="U92" i="66"/>
  <c r="V92" i="66"/>
  <c r="W92" i="66"/>
  <c r="X92" i="66"/>
  <c r="Y92" i="66"/>
  <c r="Z92" i="66"/>
  <c r="AD92" i="66"/>
  <c r="AG92" i="66"/>
  <c r="O93" i="66"/>
  <c r="P93" i="66"/>
  <c r="Q93" i="66"/>
  <c r="R93" i="66"/>
  <c r="S93" i="66"/>
  <c r="T93" i="66"/>
  <c r="U93" i="66"/>
  <c r="V93" i="66"/>
  <c r="W93" i="66"/>
  <c r="X93" i="66"/>
  <c r="Y93" i="66"/>
  <c r="Z93" i="66"/>
  <c r="AA93" i="66"/>
  <c r="AD93" i="66"/>
  <c r="AG93" i="66"/>
  <c r="O94" i="66"/>
  <c r="P94" i="66"/>
  <c r="Q94" i="66"/>
  <c r="R94" i="66"/>
  <c r="S94" i="66"/>
  <c r="T94" i="66"/>
  <c r="U94" i="66"/>
  <c r="V94" i="66"/>
  <c r="W94" i="66"/>
  <c r="X94" i="66"/>
  <c r="Y94" i="66"/>
  <c r="Z94" i="66"/>
  <c r="AD94" i="66"/>
  <c r="AG94" i="66"/>
  <c r="AA98" i="66"/>
  <c r="AB98" i="66" s="1"/>
  <c r="AE98" i="66"/>
  <c r="AA99" i="66"/>
  <c r="AF99" i="66" s="1"/>
  <c r="AE99" i="66"/>
  <c r="AA100" i="66"/>
  <c r="AB100" i="66" s="1"/>
  <c r="AE100" i="66"/>
  <c r="AA101" i="66"/>
  <c r="AF101" i="66" s="1"/>
  <c r="AE101" i="66"/>
  <c r="AA102" i="66"/>
  <c r="AB102" i="66" s="1"/>
  <c r="AE102" i="66"/>
  <c r="AA105" i="66"/>
  <c r="AF105" i="66" s="1"/>
  <c r="AE105" i="66"/>
  <c r="AA106" i="66"/>
  <c r="AB106" i="66" s="1"/>
  <c r="AE106" i="66"/>
  <c r="AA107" i="66"/>
  <c r="AF107" i="66" s="1"/>
  <c r="AE107" i="66"/>
  <c r="AA108" i="66"/>
  <c r="AF108" i="66" s="1"/>
  <c r="AB108" i="66"/>
  <c r="AE108" i="66"/>
  <c r="AA109" i="66"/>
  <c r="AF109" i="66" s="1"/>
  <c r="AE109" i="66"/>
  <c r="AA112" i="66"/>
  <c r="AB112" i="66" s="1"/>
  <c r="AE112" i="66"/>
  <c r="AA113" i="66"/>
  <c r="AF113" i="66" s="1"/>
  <c r="AE113" i="66"/>
  <c r="AA114" i="66"/>
  <c r="AB114" i="66" s="1"/>
  <c r="AE114" i="66"/>
  <c r="AA115" i="66"/>
  <c r="AF115" i="66" s="1"/>
  <c r="AE115" i="66"/>
  <c r="AA116" i="66"/>
  <c r="AB116" i="66" s="1"/>
  <c r="AE116" i="66"/>
  <c r="O118" i="66"/>
  <c r="P118" i="66"/>
  <c r="Q118" i="66"/>
  <c r="R118" i="66"/>
  <c r="S118" i="66"/>
  <c r="T118" i="66"/>
  <c r="U118" i="66"/>
  <c r="V118" i="66"/>
  <c r="W118" i="66"/>
  <c r="X118" i="66"/>
  <c r="Y118" i="66"/>
  <c r="Z118" i="66"/>
  <c r="AD118" i="66"/>
  <c r="AE118" i="66" s="1"/>
  <c r="AG118" i="66"/>
  <c r="O119" i="66"/>
  <c r="P119" i="66"/>
  <c r="Q119" i="66"/>
  <c r="R119" i="66"/>
  <c r="S119" i="66"/>
  <c r="T119" i="66"/>
  <c r="U119" i="66"/>
  <c r="V119" i="66"/>
  <c r="W119" i="66"/>
  <c r="X119" i="66"/>
  <c r="Y119" i="66"/>
  <c r="Z119" i="66"/>
  <c r="AD119" i="66"/>
  <c r="AE119" i="66"/>
  <c r="AG119" i="66"/>
  <c r="O120" i="66"/>
  <c r="P120" i="66"/>
  <c r="Q120" i="66"/>
  <c r="R120" i="66"/>
  <c r="S120" i="66"/>
  <c r="T120" i="66"/>
  <c r="U120" i="66"/>
  <c r="V120" i="66"/>
  <c r="W120" i="66"/>
  <c r="X120" i="66"/>
  <c r="Y120" i="66"/>
  <c r="Z120" i="66"/>
  <c r="AD120" i="66"/>
  <c r="AE120" i="66" s="1"/>
  <c r="AG120" i="66"/>
  <c r="O121" i="66"/>
  <c r="P121" i="66"/>
  <c r="Q121" i="66"/>
  <c r="R121" i="66"/>
  <c r="S121" i="66"/>
  <c r="T121" i="66"/>
  <c r="U121" i="66"/>
  <c r="V121" i="66"/>
  <c r="W121" i="66"/>
  <c r="X121" i="66"/>
  <c r="Y121" i="66"/>
  <c r="Z121" i="66"/>
  <c r="AD121" i="66"/>
  <c r="AE121" i="66" s="1"/>
  <c r="AG121" i="66"/>
  <c r="AA126" i="66"/>
  <c r="AF126" i="66" s="1"/>
  <c r="AE126" i="66"/>
  <c r="AF127" i="66"/>
  <c r="AA128" i="66"/>
  <c r="AB128" i="66" s="1"/>
  <c r="AE128" i="66"/>
  <c r="AF129" i="66"/>
  <c r="AA130" i="66"/>
  <c r="AB130" i="66" s="1"/>
  <c r="AE130" i="66"/>
  <c r="AF131" i="66"/>
  <c r="AA132" i="66"/>
  <c r="AF132" i="66" s="1"/>
  <c r="AE132" i="66"/>
  <c r="AF133" i="66"/>
  <c r="AA134" i="66"/>
  <c r="AB134" i="66" s="1"/>
  <c r="AE134" i="66"/>
  <c r="AF135" i="66"/>
  <c r="AA136" i="66"/>
  <c r="AE136" i="66"/>
  <c r="AE91" i="65"/>
  <c r="AE93" i="65"/>
  <c r="AE94" i="65"/>
  <c r="AE85" i="65"/>
  <c r="AE86" i="65"/>
  <c r="AE87" i="65"/>
  <c r="AE88" i="65"/>
  <c r="AE89" i="65"/>
  <c r="AE90" i="65"/>
  <c r="AE77" i="65"/>
  <c r="AE78" i="65"/>
  <c r="AE79" i="65"/>
  <c r="AE80" i="65"/>
  <c r="AE81" i="65"/>
  <c r="AE82" i="65"/>
  <c r="AE60" i="65"/>
  <c r="AE61" i="65"/>
  <c r="AE62" i="65"/>
  <c r="AE63" i="65"/>
  <c r="AE64" i="65"/>
  <c r="AE65" i="65"/>
  <c r="AE66" i="65"/>
  <c r="AE67" i="65"/>
  <c r="AE68" i="65"/>
  <c r="AE35" i="65"/>
  <c r="AE36" i="65"/>
  <c r="AE37" i="65"/>
  <c r="AE38" i="65"/>
  <c r="AE39" i="65"/>
  <c r="AE40" i="65"/>
  <c r="AE41" i="65"/>
  <c r="AE42" i="65"/>
  <c r="AE43" i="65"/>
  <c r="AE44" i="65"/>
  <c r="AE45" i="65"/>
  <c r="AE46" i="65"/>
  <c r="AE47" i="65"/>
  <c r="AE48" i="65"/>
  <c r="AE49" i="65"/>
  <c r="AE50" i="65"/>
  <c r="AE51" i="65"/>
  <c r="AE52" i="65"/>
  <c r="AE53" i="65"/>
  <c r="AE54" i="65"/>
  <c r="AE55" i="65"/>
  <c r="AE56" i="65"/>
  <c r="AE57" i="26"/>
  <c r="AE59" i="26"/>
  <c r="AE66" i="26"/>
  <c r="AH77" i="54"/>
  <c r="AE77" i="54"/>
  <c r="I96" i="54"/>
  <c r="J95" i="54"/>
  <c r="L93" i="54"/>
  <c r="N91" i="54"/>
  <c r="I85" i="54"/>
  <c r="J84" i="54"/>
  <c r="L82" i="54"/>
  <c r="N80" i="54"/>
  <c r="I84" i="54"/>
  <c r="J83" i="54"/>
  <c r="L81" i="54"/>
  <c r="N77" i="54"/>
  <c r="I94" i="54"/>
  <c r="I83" i="54"/>
  <c r="J82" i="54"/>
  <c r="L80" i="54"/>
  <c r="N85" i="54"/>
  <c r="L77" i="54"/>
  <c r="I92" i="54"/>
  <c r="N83" i="54"/>
  <c r="I95" i="54"/>
  <c r="J94" i="54"/>
  <c r="L92" i="54"/>
  <c r="N90" i="54"/>
  <c r="L91" i="54"/>
  <c r="N89" i="54"/>
  <c r="J92" i="54"/>
  <c r="L90" i="54"/>
  <c r="I82" i="54"/>
  <c r="J91" i="54"/>
  <c r="L89" i="54"/>
  <c r="I91" i="54"/>
  <c r="N93" i="54"/>
  <c r="L84" i="54"/>
  <c r="L83" i="54"/>
  <c r="J93" i="54"/>
  <c r="I93" i="54"/>
  <c r="J81" i="54"/>
  <c r="N84" i="54"/>
  <c r="J80" i="54"/>
  <c r="L85" i="54"/>
  <c r="N82" i="54"/>
  <c r="N96" i="54"/>
  <c r="I81" i="54"/>
  <c r="I80" i="54"/>
  <c r="I77" i="54"/>
  <c r="N81" i="54"/>
  <c r="N95" i="54"/>
  <c r="J90" i="54"/>
  <c r="J77" i="54"/>
  <c r="I90" i="54"/>
  <c r="L96" i="54"/>
  <c r="N94" i="54"/>
  <c r="L95" i="54"/>
  <c r="J89" i="54"/>
  <c r="J96" i="54"/>
  <c r="L94" i="54"/>
  <c r="N92" i="54"/>
  <c r="I89" i="54"/>
  <c r="J85" i="54"/>
  <c r="AA94" i="66" l="1"/>
  <c r="AF94" i="66" s="1"/>
  <c r="AF80" i="68"/>
  <c r="AB104" i="70"/>
  <c r="AF74" i="70"/>
  <c r="AF69" i="70"/>
  <c r="AB65" i="70"/>
  <c r="AF108" i="59"/>
  <c r="AA83" i="37"/>
  <c r="U44" i="37"/>
  <c r="AF99" i="39"/>
  <c r="AF117" i="56"/>
  <c r="AB87" i="56"/>
  <c r="AA52" i="56"/>
  <c r="AF52" i="56" s="1"/>
  <c r="AF46" i="56"/>
  <c r="AA53" i="57"/>
  <c r="AB116" i="62"/>
  <c r="AB109" i="62"/>
  <c r="AB103" i="62"/>
  <c r="AF77" i="62"/>
  <c r="AB56" i="62"/>
  <c r="AF115" i="64"/>
  <c r="AB45" i="64"/>
  <c r="AB39" i="64"/>
  <c r="AF79" i="58"/>
  <c r="AB47" i="73"/>
  <c r="AI66" i="73"/>
  <c r="AF64" i="74"/>
  <c r="AF45" i="74"/>
  <c r="AF38" i="74"/>
  <c r="AI34" i="74"/>
  <c r="AA146" i="74"/>
  <c r="AB43" i="75"/>
  <c r="AI44" i="75"/>
  <c r="AF54" i="75"/>
  <c r="AF46" i="66"/>
  <c r="AB41" i="70"/>
  <c r="AA168" i="17"/>
  <c r="AF168" i="17" s="1"/>
  <c r="X126" i="59"/>
  <c r="X127" i="59" s="1"/>
  <c r="AA93" i="59"/>
  <c r="AF93" i="59" s="1"/>
  <c r="U61" i="37"/>
  <c r="AF118" i="39"/>
  <c r="AF87" i="39"/>
  <c r="AF116" i="55"/>
  <c r="AF67" i="57"/>
  <c r="AJ50" i="73"/>
  <c r="AN50" i="73" s="1"/>
  <c r="AJ72" i="73"/>
  <c r="AL72" i="73" s="1"/>
  <c r="AI67" i="74"/>
  <c r="AI55" i="74"/>
  <c r="AI109" i="74"/>
  <c r="AI101" i="74"/>
  <c r="AI93" i="74"/>
  <c r="AI85" i="74"/>
  <c r="AI77" i="74"/>
  <c r="AF42" i="75"/>
  <c r="AN35" i="75"/>
  <c r="R122" i="66"/>
  <c r="R123" i="66" s="1"/>
  <c r="AA52" i="68"/>
  <c r="N44" i="37"/>
  <c r="AB109" i="55"/>
  <c r="AB51" i="56"/>
  <c r="V126" i="57"/>
  <c r="V127" i="57" s="1"/>
  <c r="AF71" i="62"/>
  <c r="AB66" i="62"/>
  <c r="AB45" i="73"/>
  <c r="AI56" i="73"/>
  <c r="AF69" i="73"/>
  <c r="AF63" i="74"/>
  <c r="AA137" i="74"/>
  <c r="AA145" i="74"/>
  <c r="AB42" i="75"/>
  <c r="AF60" i="75"/>
  <c r="AI54" i="75"/>
  <c r="T126" i="58"/>
  <c r="T127" i="58" s="1"/>
  <c r="AI54" i="74"/>
  <c r="AA148" i="74"/>
  <c r="V126" i="55"/>
  <c r="V127" i="55" s="1"/>
  <c r="AA63" i="55"/>
  <c r="AB43" i="73"/>
  <c r="AF61" i="73"/>
  <c r="AJ65" i="73"/>
  <c r="AL65" i="73" s="1"/>
  <c r="AF62" i="74"/>
  <c r="AB113" i="74"/>
  <c r="AB105" i="74"/>
  <c r="AB97" i="74"/>
  <c r="AB89" i="74"/>
  <c r="AF110" i="74"/>
  <c r="AF102" i="74"/>
  <c r="AF94" i="74"/>
  <c r="AF86" i="74"/>
  <c r="AF78" i="74"/>
  <c r="AI115" i="74"/>
  <c r="AI107" i="74"/>
  <c r="AI99" i="74"/>
  <c r="AI91" i="74"/>
  <c r="AI83" i="74"/>
  <c r="AI75" i="74"/>
  <c r="AA144" i="74"/>
  <c r="AA66" i="75"/>
  <c r="AJ43" i="75"/>
  <c r="AN43" i="75" s="1"/>
  <c r="P122" i="66"/>
  <c r="P123" i="66" s="1"/>
  <c r="AF114" i="66"/>
  <c r="AA42" i="70"/>
  <c r="AF106" i="59"/>
  <c r="AA149" i="6"/>
  <c r="AF149" i="6" s="1"/>
  <c r="AA139" i="6"/>
  <c r="AF139" i="6" s="1"/>
  <c r="U60" i="37"/>
  <c r="AB102" i="39"/>
  <c r="AA93" i="55"/>
  <c r="AF71" i="55"/>
  <c r="AA62" i="55"/>
  <c r="AA53" i="55"/>
  <c r="AB87" i="57"/>
  <c r="AB58" i="62"/>
  <c r="AF36" i="62"/>
  <c r="AF37" i="64"/>
  <c r="AB71" i="58"/>
  <c r="AB51" i="73"/>
  <c r="AI82" i="73"/>
  <c r="AF42" i="74"/>
  <c r="AI59" i="74"/>
  <c r="AI38" i="74"/>
  <c r="AA134" i="74"/>
  <c r="AA122" i="74"/>
  <c r="AB154" i="74"/>
  <c r="AA140" i="74"/>
  <c r="AF58" i="75"/>
  <c r="Z122" i="66"/>
  <c r="Z123" i="66" s="1"/>
  <c r="AB99" i="66"/>
  <c r="AF67" i="66"/>
  <c r="AB92" i="70"/>
  <c r="AF67" i="70"/>
  <c r="AB49" i="70"/>
  <c r="AF38" i="70"/>
  <c r="W148" i="17"/>
  <c r="AF98" i="59"/>
  <c r="AA129" i="6"/>
  <c r="AF129" i="6" s="1"/>
  <c r="AF116" i="39"/>
  <c r="AF114" i="55"/>
  <c r="AF100" i="55"/>
  <c r="AF108" i="56"/>
  <c r="AB35" i="57"/>
  <c r="AF79" i="62"/>
  <c r="AB50" i="73"/>
  <c r="AI49" i="73"/>
  <c r="AJ61" i="73"/>
  <c r="AL61" i="73" s="1"/>
  <c r="AI58" i="73"/>
  <c r="AI74" i="73"/>
  <c r="AF97" i="73"/>
  <c r="AF67" i="74"/>
  <c r="AF61" i="74"/>
  <c r="AF55" i="74"/>
  <c r="AI45" i="74"/>
  <c r="AA121" i="74"/>
  <c r="AA150" i="74"/>
  <c r="AA142" i="74"/>
  <c r="AA132" i="74"/>
  <c r="AF132" i="74" s="1"/>
  <c r="AJ51" i="75"/>
  <c r="AA70" i="75"/>
  <c r="AA65" i="75"/>
  <c r="AN39" i="75"/>
  <c r="AA47" i="75"/>
  <c r="O51" i="37"/>
  <c r="O52" i="37" s="1"/>
  <c r="AF101" i="39"/>
  <c r="AA73" i="64"/>
  <c r="AF65" i="64"/>
  <c r="AB115" i="58"/>
  <c r="AB77" i="58"/>
  <c r="AF41" i="74"/>
  <c r="AF34" i="74"/>
  <c r="AI64" i="74"/>
  <c r="AI58" i="74"/>
  <c r="AI52" i="74"/>
  <c r="AI37" i="74"/>
  <c r="AB111" i="74"/>
  <c r="AB103" i="74"/>
  <c r="AB95" i="74"/>
  <c r="AB87" i="74"/>
  <c r="AB79" i="74"/>
  <c r="AF116" i="74"/>
  <c r="AF108" i="74"/>
  <c r="AF100" i="74"/>
  <c r="AF92" i="74"/>
  <c r="AF84" i="74"/>
  <c r="AF76" i="74"/>
  <c r="AI113" i="74"/>
  <c r="AI105" i="74"/>
  <c r="AI97" i="74"/>
  <c r="AI89" i="74"/>
  <c r="AI81" i="74"/>
  <c r="AI73" i="74"/>
  <c r="AA124" i="74"/>
  <c r="AF124" i="74" s="1"/>
  <c r="AA67" i="75"/>
  <c r="AB39" i="75"/>
  <c r="AF45" i="75"/>
  <c r="AA68" i="75"/>
  <c r="AF68" i="75" s="1"/>
  <c r="X122" i="66"/>
  <c r="X123" i="66" s="1"/>
  <c r="AA147" i="6"/>
  <c r="AF147" i="6" s="1"/>
  <c r="N51" i="37"/>
  <c r="AA97" i="37"/>
  <c r="AB76" i="57"/>
  <c r="AF38" i="57"/>
  <c r="AB106" i="62"/>
  <c r="AF57" i="58"/>
  <c r="AB61" i="73"/>
  <c r="AF60" i="74"/>
  <c r="AF54" i="74"/>
  <c r="AA149" i="74"/>
  <c r="AA141" i="74"/>
  <c r="AA69" i="75"/>
  <c r="AI42" i="75"/>
  <c r="AI51" i="75"/>
  <c r="W122" i="66"/>
  <c r="W123" i="66" s="1"/>
  <c r="AF92" i="68"/>
  <c r="AA71" i="68"/>
  <c r="P126" i="59"/>
  <c r="P127" i="59" s="1"/>
  <c r="AA127" i="6"/>
  <c r="AF127" i="6" s="1"/>
  <c r="AF118" i="57"/>
  <c r="AF77" i="64"/>
  <c r="AB38" i="75"/>
  <c r="AF44" i="75"/>
  <c r="AB108" i="6"/>
  <c r="T51" i="37"/>
  <c r="T52" i="37" s="1"/>
  <c r="AB59" i="55"/>
  <c r="AB100" i="56"/>
  <c r="AB47" i="56"/>
  <c r="AB134" i="57"/>
  <c r="AB48" i="73"/>
  <c r="AJ48" i="73"/>
  <c r="AL48" i="73" s="1"/>
  <c r="AF59" i="74"/>
  <c r="AF46" i="74"/>
  <c r="AI50" i="74"/>
  <c r="AA129" i="74"/>
  <c r="AB62" i="74"/>
  <c r="AB54" i="74"/>
  <c r="AB109" i="74"/>
  <c r="AB101" i="74"/>
  <c r="AB93" i="74"/>
  <c r="AB85" i="74"/>
  <c r="AB77" i="74"/>
  <c r="AF114" i="74"/>
  <c r="AF106" i="74"/>
  <c r="AF98" i="74"/>
  <c r="AF90" i="74"/>
  <c r="AF82" i="74"/>
  <c r="AF74" i="74"/>
  <c r="AI111" i="74"/>
  <c r="AI103" i="74"/>
  <c r="AI95" i="74"/>
  <c r="AI87" i="74"/>
  <c r="AI79" i="74"/>
  <c r="AB44" i="75"/>
  <c r="AI39" i="75"/>
  <c r="AD67" i="102"/>
  <c r="AE48" i="102"/>
  <c r="AH39" i="101"/>
  <c r="AA39" i="101"/>
  <c r="AL39" i="101" s="1"/>
  <c r="AA48" i="101"/>
  <c r="AL48" i="101" s="1"/>
  <c r="AF51" i="106"/>
  <c r="AI51" i="106"/>
  <c r="AN68" i="106"/>
  <c r="AM68" i="106"/>
  <c r="AJ61" i="119"/>
  <c r="AI61" i="119"/>
  <c r="AI42" i="103"/>
  <c r="AF42" i="103"/>
  <c r="AJ42" i="103"/>
  <c r="AB42" i="103"/>
  <c r="AN42" i="103" s="1"/>
  <c r="AF68" i="106"/>
  <c r="AI68" i="106"/>
  <c r="AF63" i="102"/>
  <c r="AB63" i="102"/>
  <c r="AI63" i="102"/>
  <c r="AJ52" i="104"/>
  <c r="AF52" i="104"/>
  <c r="AF61" i="102"/>
  <c r="AB61" i="102"/>
  <c r="AA66" i="102"/>
  <c r="AI61" i="102"/>
  <c r="Y58" i="101"/>
  <c r="AA48" i="102"/>
  <c r="AB39" i="105"/>
  <c r="AF39" i="105"/>
  <c r="AJ39" i="105"/>
  <c r="AB38" i="108"/>
  <c r="AN38" i="108" s="1"/>
  <c r="AB46" i="108"/>
  <c r="AA43" i="101"/>
  <c r="AE43" i="101"/>
  <c r="AH43" i="101"/>
  <c r="AI58" i="103"/>
  <c r="AF62" i="101"/>
  <c r="AK40" i="101"/>
  <c r="AF44" i="102"/>
  <c r="AF38" i="103"/>
  <c r="AI38" i="103"/>
  <c r="AB38" i="103"/>
  <c r="AM38" i="103" s="1"/>
  <c r="AJ38" i="103"/>
  <c r="AE79" i="107"/>
  <c r="AI50" i="118"/>
  <c r="AF50" i="118"/>
  <c r="AI41" i="119"/>
  <c r="AA67" i="119"/>
  <c r="AF41" i="119"/>
  <c r="S58" i="101"/>
  <c r="AF34" i="102"/>
  <c r="AI34" i="102"/>
  <c r="AB34" i="102"/>
  <c r="AI64" i="103"/>
  <c r="AF64" i="103"/>
  <c r="AB64" i="103"/>
  <c r="AA69" i="103"/>
  <c r="AB38" i="106"/>
  <c r="AI38" i="106"/>
  <c r="AF38" i="106"/>
  <c r="AE88" i="107"/>
  <c r="AK88" i="107"/>
  <c r="AK49" i="101"/>
  <c r="AG49" i="101"/>
  <c r="AF37" i="106"/>
  <c r="AJ37" i="106"/>
  <c r="AH36" i="101"/>
  <c r="AE36" i="101"/>
  <c r="AD54" i="101"/>
  <c r="AI59" i="103"/>
  <c r="AF59" i="103"/>
  <c r="AB59" i="103"/>
  <c r="AM59" i="103" s="1"/>
  <c r="AI45" i="107"/>
  <c r="AI57" i="107"/>
  <c r="AF57" i="107"/>
  <c r="O58" i="101"/>
  <c r="AI34" i="103"/>
  <c r="AB34" i="103"/>
  <c r="AN34" i="103" s="1"/>
  <c r="AF34" i="103"/>
  <c r="AJ34" i="103"/>
  <c r="AJ68" i="107"/>
  <c r="AF68" i="107"/>
  <c r="AI68" i="107"/>
  <c r="AI56" i="107"/>
  <c r="AF56" i="107"/>
  <c r="AI60" i="101"/>
  <c r="AI35" i="101"/>
  <c r="AL45" i="101"/>
  <c r="AM45" i="101"/>
  <c r="Z57" i="101"/>
  <c r="Z54" i="101"/>
  <c r="Z53" i="101"/>
  <c r="AI69" i="106"/>
  <c r="AB69" i="106"/>
  <c r="AF69" i="106"/>
  <c r="AB42" i="106"/>
  <c r="AF42" i="106"/>
  <c r="AA56" i="106"/>
  <c r="AM72" i="106"/>
  <c r="Z96" i="107"/>
  <c r="Z100" i="107" s="1"/>
  <c r="AE94" i="107"/>
  <c r="AK94" i="107"/>
  <c r="AF41" i="110"/>
  <c r="AB41" i="110"/>
  <c r="AM41" i="110" s="1"/>
  <c r="AI48" i="111"/>
  <c r="AF48" i="111"/>
  <c r="AI40" i="118"/>
  <c r="AF40" i="118"/>
  <c r="AB40" i="118"/>
  <c r="AI64" i="119"/>
  <c r="AF64" i="119"/>
  <c r="R58" i="101"/>
  <c r="AM37" i="103"/>
  <c r="AB66" i="103"/>
  <c r="AI66" i="103"/>
  <c r="AM71" i="105"/>
  <c r="AF63" i="106"/>
  <c r="AI63" i="106"/>
  <c r="AI73" i="107"/>
  <c r="AF73" i="107"/>
  <c r="AI67" i="107"/>
  <c r="AB40" i="110"/>
  <c r="AI40" i="110"/>
  <c r="AF40" i="110"/>
  <c r="Y62" i="101"/>
  <c r="AM44" i="101"/>
  <c r="AJ55" i="103"/>
  <c r="AM44" i="103"/>
  <c r="AN44" i="103"/>
  <c r="AJ37" i="103"/>
  <c r="AI43" i="106"/>
  <c r="AF49" i="106"/>
  <c r="AI72" i="107"/>
  <c r="AF72" i="107"/>
  <c r="AJ46" i="108"/>
  <c r="AI46" i="108"/>
  <c r="AB39" i="110"/>
  <c r="AM39" i="110" s="1"/>
  <c r="AI37" i="101"/>
  <c r="X62" i="101"/>
  <c r="AJ40" i="101"/>
  <c r="Z55" i="101"/>
  <c r="AF46" i="102"/>
  <c r="AB57" i="103"/>
  <c r="AI44" i="103"/>
  <c r="AJ44" i="103"/>
  <c r="AI36" i="103"/>
  <c r="AB36" i="103"/>
  <c r="AI37" i="103"/>
  <c r="AJ53" i="105"/>
  <c r="AF48" i="106"/>
  <c r="AI59" i="107"/>
  <c r="AF59" i="107"/>
  <c r="AK91" i="107"/>
  <c r="AE91" i="107"/>
  <c r="AJ45" i="108"/>
  <c r="AI35" i="108"/>
  <c r="AF35" i="108"/>
  <c r="AI50" i="119"/>
  <c r="AF50" i="119"/>
  <c r="AA60" i="101"/>
  <c r="T62" i="101"/>
  <c r="X58" i="101"/>
  <c r="AJ41" i="103"/>
  <c r="AB41" i="103"/>
  <c r="AN41" i="103" s="1"/>
  <c r="AM36" i="106"/>
  <c r="AF67" i="106"/>
  <c r="AB67" i="106"/>
  <c r="AN67" i="106" s="1"/>
  <c r="S96" i="107"/>
  <c r="S100" i="107" s="1"/>
  <c r="AB35" i="110"/>
  <c r="AN35" i="110" s="1"/>
  <c r="AI43" i="111"/>
  <c r="AJ43" i="111"/>
  <c r="S62" i="101"/>
  <c r="W58" i="101"/>
  <c r="AJ49" i="103"/>
  <c r="AM60" i="104"/>
  <c r="R96" i="107"/>
  <c r="R100" i="107" s="1"/>
  <c r="T60" i="117"/>
  <c r="AI48" i="101"/>
  <c r="Z49" i="101"/>
  <c r="AI43" i="102"/>
  <c r="AI40" i="103"/>
  <c r="AF40" i="103"/>
  <c r="AB55" i="103"/>
  <c r="AM55" i="103" s="1"/>
  <c r="AJ38" i="104"/>
  <c r="AF38" i="104"/>
  <c r="AL44" i="104"/>
  <c r="AI60" i="104"/>
  <c r="AF60" i="104"/>
  <c r="AF50" i="108"/>
  <c r="AB50" i="108"/>
  <c r="AJ50" i="108"/>
  <c r="AM37" i="110"/>
  <c r="AB43" i="110"/>
  <c r="AN43" i="110" s="1"/>
  <c r="AA45" i="110"/>
  <c r="AJ40" i="111"/>
  <c r="AJ58" i="111"/>
  <c r="AJ51" i="111"/>
  <c r="AF51" i="111"/>
  <c r="AF34" i="118"/>
  <c r="AB34" i="118"/>
  <c r="AI34" i="118"/>
  <c r="AI44" i="119"/>
  <c r="AF44" i="119"/>
  <c r="AM42" i="103"/>
  <c r="AM34" i="103"/>
  <c r="AI37" i="104"/>
  <c r="AB37" i="104"/>
  <c r="AM37" i="104" s="1"/>
  <c r="AB48" i="104"/>
  <c r="AF48" i="104"/>
  <c r="AM59" i="104"/>
  <c r="AN59" i="104"/>
  <c r="AF37" i="105"/>
  <c r="AI65" i="105"/>
  <c r="AB43" i="106"/>
  <c r="AM43" i="106" s="1"/>
  <c r="AJ35" i="106"/>
  <c r="AF35" i="106"/>
  <c r="AI39" i="108"/>
  <c r="AF39" i="108"/>
  <c r="AJ41" i="110"/>
  <c r="AN37" i="110"/>
  <c r="Z59" i="118"/>
  <c r="AI37" i="119"/>
  <c r="AF37" i="119"/>
  <c r="P62" i="101"/>
  <c r="T58" i="101"/>
  <c r="AF41" i="103"/>
  <c r="AI41" i="103"/>
  <c r="AJ49" i="106"/>
  <c r="AB34" i="106"/>
  <c r="AF34" i="106"/>
  <c r="AA92" i="107"/>
  <c r="AA90" i="107"/>
  <c r="AA88" i="107"/>
  <c r="AA87" i="107"/>
  <c r="AA84" i="107"/>
  <c r="AA82" i="107"/>
  <c r="AA80" i="107"/>
  <c r="AI41" i="110"/>
  <c r="AI39" i="111"/>
  <c r="AJ39" i="111"/>
  <c r="AB39" i="111"/>
  <c r="AM39" i="111" s="1"/>
  <c r="AI36" i="117"/>
  <c r="AJ36" i="117"/>
  <c r="AJ57" i="117"/>
  <c r="AB57" i="117"/>
  <c r="AM57" i="117" s="1"/>
  <c r="AJ44" i="119"/>
  <c r="AJ39" i="119"/>
  <c r="AJ62" i="119"/>
  <c r="AM36" i="119"/>
  <c r="AN36" i="119"/>
  <c r="AA53" i="111"/>
  <c r="AJ35" i="117"/>
  <c r="AJ43" i="117"/>
  <c r="AM41" i="118"/>
  <c r="AJ52" i="105"/>
  <c r="AI54" i="106"/>
  <c r="AA79" i="107"/>
  <c r="AJ38" i="108"/>
  <c r="AA54" i="108"/>
  <c r="X67" i="111"/>
  <c r="AG67" i="111"/>
  <c r="AB60" i="111"/>
  <c r="AM60" i="111" s="1"/>
  <c r="AF58" i="111"/>
  <c r="AI35" i="117"/>
  <c r="S53" i="117"/>
  <c r="S60" i="117" s="1"/>
  <c r="AJ41" i="118"/>
  <c r="AB39" i="119"/>
  <c r="AJ40" i="119"/>
  <c r="AJ49" i="111"/>
  <c r="AF64" i="111"/>
  <c r="AJ55" i="118"/>
  <c r="AI55" i="118"/>
  <c r="AF58" i="119"/>
  <c r="AJ60" i="104"/>
  <c r="AN56" i="104"/>
  <c r="AJ59" i="104"/>
  <c r="AM36" i="105"/>
  <c r="AJ41" i="106"/>
  <c r="AJ62" i="106"/>
  <c r="AI60" i="106"/>
  <c r="AB48" i="111"/>
  <c r="T67" i="111"/>
  <c r="AL62" i="111"/>
  <c r="AB39" i="117"/>
  <c r="AB44" i="118"/>
  <c r="AH46" i="118"/>
  <c r="AF55" i="118"/>
  <c r="AB64" i="119"/>
  <c r="Q62" i="101"/>
  <c r="AI47" i="101"/>
  <c r="AL44" i="101"/>
  <c r="Z56" i="101"/>
  <c r="U58" i="101"/>
  <c r="AJ56" i="103"/>
  <c r="AJ56" i="104"/>
  <c r="AB40" i="106"/>
  <c r="AM40" i="106" s="1"/>
  <c r="AB52" i="108"/>
  <c r="AN52" i="108" s="1"/>
  <c r="AH45" i="110"/>
  <c r="AB41" i="111"/>
  <c r="S67" i="111"/>
  <c r="AI49" i="111"/>
  <c r="AF35" i="117"/>
  <c r="AJ42" i="117"/>
  <c r="AK44" i="117"/>
  <c r="AJ50" i="117"/>
  <c r="AE51" i="117"/>
  <c r="AF41" i="118"/>
  <c r="AB35" i="119"/>
  <c r="AN35" i="119" s="1"/>
  <c r="AF35" i="119"/>
  <c r="AI39" i="119"/>
  <c r="AF46" i="119"/>
  <c r="W96" i="107"/>
  <c r="W100" i="107" s="1"/>
  <c r="AM36" i="111"/>
  <c r="R67" i="111"/>
  <c r="AN56" i="111"/>
  <c r="Y60" i="117"/>
  <c r="AJ47" i="119"/>
  <c r="AF54" i="119"/>
  <c r="AJ37" i="110"/>
  <c r="Q67" i="111"/>
  <c r="AJ61" i="111"/>
  <c r="AE62" i="111"/>
  <c r="AJ53" i="119"/>
  <c r="AI67" i="103"/>
  <c r="AI52" i="105"/>
  <c r="AF70" i="105"/>
  <c r="AJ58" i="107"/>
  <c r="AJ50" i="107"/>
  <c r="AF66" i="107"/>
  <c r="U96" i="107"/>
  <c r="U100" i="107" s="1"/>
  <c r="P67" i="111"/>
  <c r="AB52" i="111"/>
  <c r="AF61" i="111"/>
  <c r="AF40" i="119"/>
  <c r="AB62" i="119"/>
  <c r="AF62" i="119"/>
  <c r="AM40" i="119"/>
  <c r="AL76" i="73"/>
  <c r="AN76" i="73"/>
  <c r="AL40" i="73"/>
  <c r="AN40" i="73"/>
  <c r="AF43" i="73"/>
  <c r="AJ43" i="73"/>
  <c r="AI36" i="73"/>
  <c r="AB36" i="73"/>
  <c r="AF40" i="73"/>
  <c r="AJ55" i="73"/>
  <c r="AI55" i="73"/>
  <c r="AB55" i="73"/>
  <c r="AF55" i="73"/>
  <c r="AJ68" i="73"/>
  <c r="AJ69" i="73"/>
  <c r="AJ95" i="73"/>
  <c r="AF95" i="73"/>
  <c r="AB95" i="73"/>
  <c r="AJ87" i="73"/>
  <c r="AF87" i="73"/>
  <c r="AB87" i="73"/>
  <c r="AJ79" i="73"/>
  <c r="AF79" i="73"/>
  <c r="AB79" i="73"/>
  <c r="AJ80" i="73"/>
  <c r="AF42" i="73"/>
  <c r="AB42" i="73"/>
  <c r="AI42" i="73"/>
  <c r="AI149" i="74"/>
  <c r="AF149" i="74"/>
  <c r="AI70" i="75"/>
  <c r="AF70" i="75"/>
  <c r="AL36" i="75"/>
  <c r="AN36" i="75"/>
  <c r="AF47" i="75"/>
  <c r="AI47" i="75"/>
  <c r="AJ47" i="75"/>
  <c r="AB47" i="75"/>
  <c r="AF51" i="73"/>
  <c r="AA101" i="73"/>
  <c r="AJ47" i="73"/>
  <c r="AF47" i="73"/>
  <c r="AB41" i="73"/>
  <c r="AJ41" i="73"/>
  <c r="AF41" i="73"/>
  <c r="AF35" i="73"/>
  <c r="AJ35" i="73"/>
  <c r="AJ51" i="73"/>
  <c r="AF93" i="73"/>
  <c r="AB93" i="73"/>
  <c r="AI93" i="73"/>
  <c r="AJ93" i="73"/>
  <c r="AF85" i="73"/>
  <c r="AB85" i="73"/>
  <c r="AI85" i="73"/>
  <c r="AJ85" i="73"/>
  <c r="AF77" i="73"/>
  <c r="AB77" i="73"/>
  <c r="AI77" i="73"/>
  <c r="AJ77" i="73"/>
  <c r="AI130" i="74"/>
  <c r="AF130" i="74"/>
  <c r="AI122" i="74"/>
  <c r="AF122" i="74"/>
  <c r="AF143" i="74"/>
  <c r="AI143" i="74"/>
  <c r="AL44" i="75"/>
  <c r="AN44" i="75"/>
  <c r="AI46" i="73"/>
  <c r="AF46" i="73"/>
  <c r="AJ46" i="73"/>
  <c r="AB46" i="73"/>
  <c r="AI40" i="73"/>
  <c r="AB40" i="73"/>
  <c r="AI51" i="73"/>
  <c r="AI41" i="73"/>
  <c r="AJ98" i="73"/>
  <c r="AF98" i="73"/>
  <c r="AB98" i="73"/>
  <c r="AI137" i="74"/>
  <c r="AF137" i="74"/>
  <c r="AI129" i="74"/>
  <c r="AF129" i="74"/>
  <c r="AI121" i="74"/>
  <c r="AF121" i="74"/>
  <c r="AI142" i="74"/>
  <c r="AF142" i="74"/>
  <c r="AI69" i="75"/>
  <c r="AF69" i="75"/>
  <c r="AI66" i="75"/>
  <c r="AF66" i="75"/>
  <c r="AI74" i="75"/>
  <c r="AF74" i="75"/>
  <c r="AB39" i="73"/>
  <c r="AJ60" i="73"/>
  <c r="AJ91" i="73"/>
  <c r="AF91" i="73"/>
  <c r="AB91" i="73"/>
  <c r="AJ83" i="73"/>
  <c r="AF83" i="73"/>
  <c r="AB83" i="73"/>
  <c r="AJ75" i="73"/>
  <c r="AF75" i="73"/>
  <c r="AB75" i="73"/>
  <c r="AI79" i="73"/>
  <c r="AI75" i="73"/>
  <c r="AA136" i="74"/>
  <c r="AB51" i="74"/>
  <c r="AI51" i="74"/>
  <c r="AF51" i="74"/>
  <c r="AA128" i="74"/>
  <c r="AB43" i="74"/>
  <c r="AI43" i="74"/>
  <c r="AF43" i="74"/>
  <c r="AA120" i="74"/>
  <c r="AB35" i="74"/>
  <c r="AI35" i="74"/>
  <c r="AF35" i="74"/>
  <c r="AF147" i="74"/>
  <c r="AI132" i="74"/>
  <c r="AF73" i="75"/>
  <c r="AI73" i="75"/>
  <c r="AJ57" i="73"/>
  <c r="AJ74" i="73"/>
  <c r="AJ82" i="73"/>
  <c r="AJ90" i="73"/>
  <c r="AJ59" i="73"/>
  <c r="AJ67" i="73"/>
  <c r="AJ56" i="73"/>
  <c r="AI45" i="73"/>
  <c r="AJ45" i="73"/>
  <c r="AF45" i="73"/>
  <c r="AJ39" i="73"/>
  <c r="AF39" i="73"/>
  <c r="AF36" i="73"/>
  <c r="AI35" i="73"/>
  <c r="AF135" i="74"/>
  <c r="AI135" i="74"/>
  <c r="AF127" i="74"/>
  <c r="AI127" i="74"/>
  <c r="AF119" i="74"/>
  <c r="AI119" i="74"/>
  <c r="AI146" i="74"/>
  <c r="AF146" i="74"/>
  <c r="AI141" i="74"/>
  <c r="AF141" i="74"/>
  <c r="AF139" i="74"/>
  <c r="AI124" i="74"/>
  <c r="AL51" i="75"/>
  <c r="AN51" i="75"/>
  <c r="AL38" i="75"/>
  <c r="AN38" i="75"/>
  <c r="AI65" i="75"/>
  <c r="AF65" i="75"/>
  <c r="AB97" i="73"/>
  <c r="AB74" i="73"/>
  <c r="AB78" i="73"/>
  <c r="AB82" i="73"/>
  <c r="AB86" i="73"/>
  <c r="AB90" i="73"/>
  <c r="AB94" i="73"/>
  <c r="AB60" i="73"/>
  <c r="AB64" i="73"/>
  <c r="AB68" i="73"/>
  <c r="AJ49" i="73"/>
  <c r="AF49" i="73"/>
  <c r="AI44" i="73"/>
  <c r="AB44" i="73"/>
  <c r="AF48" i="73"/>
  <c r="AL50" i="73"/>
  <c r="AJ44" i="73"/>
  <c r="AN36" i="73"/>
  <c r="AB69" i="73"/>
  <c r="AJ64" i="73"/>
  <c r="AF89" i="73"/>
  <c r="AB89" i="73"/>
  <c r="AI89" i="73"/>
  <c r="AJ89" i="73"/>
  <c r="AF81" i="73"/>
  <c r="AB81" i="73"/>
  <c r="AI81" i="73"/>
  <c r="AJ81" i="73"/>
  <c r="AF73" i="73"/>
  <c r="AB73" i="73"/>
  <c r="AI73" i="73"/>
  <c r="AJ73" i="73"/>
  <c r="AJ92" i="73"/>
  <c r="AN72" i="73"/>
  <c r="AI134" i="74"/>
  <c r="AF134" i="74"/>
  <c r="AI126" i="74"/>
  <c r="AF126" i="74"/>
  <c r="AF131" i="74"/>
  <c r="AF67" i="75"/>
  <c r="AI67" i="75"/>
  <c r="AN42" i="75"/>
  <c r="AL42" i="75"/>
  <c r="AB37" i="73"/>
  <c r="AI37" i="73"/>
  <c r="AJ37" i="73"/>
  <c r="AF37" i="73"/>
  <c r="AN48" i="73"/>
  <c r="AI47" i="73"/>
  <c r="AJ42" i="73"/>
  <c r="AB63" i="73"/>
  <c r="AN65" i="73"/>
  <c r="AN61" i="73"/>
  <c r="AJ88" i="73"/>
  <c r="AJ84" i="73"/>
  <c r="AI150" i="74"/>
  <c r="AF150" i="74"/>
  <c r="AI145" i="74"/>
  <c r="AF145" i="74"/>
  <c r="AI138" i="74"/>
  <c r="AF138" i="74"/>
  <c r="AF123" i="74"/>
  <c r="AJ66" i="73"/>
  <c r="AJ58" i="73"/>
  <c r="AB92" i="73"/>
  <c r="AB88" i="73"/>
  <c r="AB84" i="73"/>
  <c r="AB80" i="73"/>
  <c r="AB76" i="73"/>
  <c r="AB72" i="73"/>
  <c r="AF92" i="73"/>
  <c r="AF88" i="73"/>
  <c r="AF84" i="73"/>
  <c r="AF80" i="73"/>
  <c r="AF76" i="73"/>
  <c r="AF72" i="73"/>
  <c r="AB50" i="74"/>
  <c r="AB42" i="74"/>
  <c r="AB34" i="74"/>
  <c r="AI68" i="75"/>
  <c r="AB49" i="74"/>
  <c r="AB41" i="74"/>
  <c r="AB69" i="74"/>
  <c r="AB65" i="74"/>
  <c r="AB61" i="74"/>
  <c r="AB57" i="74"/>
  <c r="AB116" i="74"/>
  <c r="AB112" i="74"/>
  <c r="AB108" i="74"/>
  <c r="AB104" i="74"/>
  <c r="AB100" i="74"/>
  <c r="AB96" i="74"/>
  <c r="AB92" i="74"/>
  <c r="AB88" i="74"/>
  <c r="AB84" i="74"/>
  <c r="AB80" i="74"/>
  <c r="AB76" i="74"/>
  <c r="AB72" i="74"/>
  <c r="AF105" i="74"/>
  <c r="AI114" i="74"/>
  <c r="AI110" i="74"/>
  <c r="AI106" i="74"/>
  <c r="AI102" i="74"/>
  <c r="AI98" i="74"/>
  <c r="AI94" i="74"/>
  <c r="AI90" i="74"/>
  <c r="AI86" i="74"/>
  <c r="AI82" i="74"/>
  <c r="AI78" i="74"/>
  <c r="AI74" i="74"/>
  <c r="AB45" i="75"/>
  <c r="AB41" i="75"/>
  <c r="AL43" i="75"/>
  <c r="AJ41" i="75"/>
  <c r="AL35" i="75"/>
  <c r="AL50" i="75"/>
  <c r="AB61" i="75"/>
  <c r="AB48" i="74"/>
  <c r="AB40" i="74"/>
  <c r="AA133" i="74"/>
  <c r="AA125" i="74"/>
  <c r="AJ34" i="75"/>
  <c r="AB38" i="73"/>
  <c r="AI69" i="73"/>
  <c r="AJ62" i="73"/>
  <c r="AF94" i="73"/>
  <c r="AF86" i="73"/>
  <c r="AF78" i="73"/>
  <c r="AB46" i="74"/>
  <c r="AB38" i="74"/>
  <c r="AN40" i="75"/>
  <c r="AI35" i="75"/>
  <c r="AI50" i="75"/>
  <c r="AA72" i="75"/>
  <c r="AA76" i="75"/>
  <c r="AJ38" i="73"/>
  <c r="AB66" i="73"/>
  <c r="AB62" i="73"/>
  <c r="AB58" i="73"/>
  <c r="AF62" i="73"/>
  <c r="AJ63" i="73"/>
  <c r="AJ94" i="73"/>
  <c r="AJ86" i="73"/>
  <c r="AJ78" i="73"/>
  <c r="AJ97" i="73"/>
  <c r="AB45" i="74"/>
  <c r="AB37" i="74"/>
  <c r="AF91" i="74"/>
  <c r="AJ45" i="75"/>
  <c r="AJ37" i="75"/>
  <c r="AJ48" i="75"/>
  <c r="AB59" i="75"/>
  <c r="AB55" i="75"/>
  <c r="AF59" i="75"/>
  <c r="AF55" i="75"/>
  <c r="AF38" i="73"/>
  <c r="AF47" i="74"/>
  <c r="AF39" i="74"/>
  <c r="AB52" i="74"/>
  <c r="AB44" i="74"/>
  <c r="AL35" i="101"/>
  <c r="AM35" i="101"/>
  <c r="AL60" i="101"/>
  <c r="AM60" i="101"/>
  <c r="AA57" i="101"/>
  <c r="AE57" i="101"/>
  <c r="AH57" i="101"/>
  <c r="AI57" i="101"/>
  <c r="AH53" i="101"/>
  <c r="AA53" i="101"/>
  <c r="AI53" i="101"/>
  <c r="AE53" i="101"/>
  <c r="AM57" i="103"/>
  <c r="AN57" i="103"/>
  <c r="AM39" i="101"/>
  <c r="AN48" i="104"/>
  <c r="AM48" i="104"/>
  <c r="AM38" i="105"/>
  <c r="AN38" i="105"/>
  <c r="AM43" i="101"/>
  <c r="AL43" i="101"/>
  <c r="AF48" i="102"/>
  <c r="AA67" i="102"/>
  <c r="AB48" i="102"/>
  <c r="AI48" i="102"/>
  <c r="AE49" i="101"/>
  <c r="AH49" i="101"/>
  <c r="AI49" i="101"/>
  <c r="Z58" i="101"/>
  <c r="AA54" i="101"/>
  <c r="AE54" i="101"/>
  <c r="AH54" i="101"/>
  <c r="AI54" i="101"/>
  <c r="AM67" i="103"/>
  <c r="AN67" i="103"/>
  <c r="AN34" i="104"/>
  <c r="AM34" i="104"/>
  <c r="AE56" i="101"/>
  <c r="AH56" i="101"/>
  <c r="AI56" i="101"/>
  <c r="AA56" i="101"/>
  <c r="AM66" i="103"/>
  <c r="AN66" i="103"/>
  <c r="AN42" i="105"/>
  <c r="AM42" i="105"/>
  <c r="AH55" i="101"/>
  <c r="AI55" i="101"/>
  <c r="AE55" i="101"/>
  <c r="AA55" i="101"/>
  <c r="AL37" i="101"/>
  <c r="AI34" i="101"/>
  <c r="AA46" i="101"/>
  <c r="AE48" i="101"/>
  <c r="AE44" i="101"/>
  <c r="AH47" i="101"/>
  <c r="AF58" i="101"/>
  <c r="AD56" i="101"/>
  <c r="AG55" i="101"/>
  <c r="AB39" i="102"/>
  <c r="AB35" i="102"/>
  <c r="AI39" i="102"/>
  <c r="AI35" i="102"/>
  <c r="AB60" i="102"/>
  <c r="AF59" i="102"/>
  <c r="AB64" i="102"/>
  <c r="AI64" i="102"/>
  <c r="O67" i="102"/>
  <c r="AB43" i="103"/>
  <c r="AB39" i="103"/>
  <c r="AB35" i="103"/>
  <c r="AM41" i="103"/>
  <c r="AF48" i="103"/>
  <c r="AH51" i="103"/>
  <c r="AB56" i="103"/>
  <c r="AJ57" i="103"/>
  <c r="AI56" i="103"/>
  <c r="AB62" i="103"/>
  <c r="AJ66" i="103"/>
  <c r="AI38" i="104"/>
  <c r="AI42" i="104"/>
  <c r="AE44" i="104"/>
  <c r="AI52" i="104"/>
  <c r="AB57" i="104"/>
  <c r="AJ57" i="104"/>
  <c r="AI55" i="105"/>
  <c r="AJ55" i="105"/>
  <c r="AI47" i="105"/>
  <c r="AJ47" i="105"/>
  <c r="AA58" i="105"/>
  <c r="O77" i="105"/>
  <c r="AM74" i="105"/>
  <c r="AM42" i="106"/>
  <c r="AN42" i="106"/>
  <c r="AJ39" i="103"/>
  <c r="AG70" i="103"/>
  <c r="AI57" i="104"/>
  <c r="AJ43" i="105"/>
  <c r="AB43" i="105"/>
  <c r="AJ38" i="105"/>
  <c r="AF38" i="105"/>
  <c r="AI54" i="105"/>
  <c r="AJ54" i="105"/>
  <c r="AF54" i="105"/>
  <c r="AL58" i="105"/>
  <c r="AG77" i="105"/>
  <c r="AH58" i="105"/>
  <c r="AI36" i="101"/>
  <c r="AH35" i="101"/>
  <c r="P58" i="101"/>
  <c r="AG67" i="102"/>
  <c r="AI39" i="103"/>
  <c r="AJ48" i="103"/>
  <c r="AF56" i="103"/>
  <c r="AJ59" i="103"/>
  <c r="AN55" i="103"/>
  <c r="AJ62" i="103"/>
  <c r="AN37" i="104"/>
  <c r="AA44" i="104"/>
  <c r="AK44" i="104"/>
  <c r="AN51" i="104"/>
  <c r="AN55" i="104"/>
  <c r="AN60" i="104"/>
  <c r="AF43" i="105"/>
  <c r="AJ65" i="105"/>
  <c r="AM98" i="107"/>
  <c r="AN98" i="107"/>
  <c r="AA38" i="101"/>
  <c r="AA34" i="101"/>
  <c r="AI43" i="101"/>
  <c r="AC58" i="101"/>
  <c r="AD55" i="101"/>
  <c r="AG54" i="101"/>
  <c r="AF54" i="102"/>
  <c r="AN37" i="103"/>
  <c r="AE51" i="103"/>
  <c r="AJ63" i="103"/>
  <c r="AI62" i="103"/>
  <c r="AF66" i="103"/>
  <c r="AB36" i="104"/>
  <c r="AF37" i="104"/>
  <c r="AJ34" i="104"/>
  <c r="AF42" i="104"/>
  <c r="AB50" i="104"/>
  <c r="AF51" i="104"/>
  <c r="AJ48" i="104"/>
  <c r="AI42" i="105"/>
  <c r="AJ42" i="105"/>
  <c r="AF42" i="105"/>
  <c r="AI38" i="105"/>
  <c r="AF55" i="105"/>
  <c r="AB64" i="105"/>
  <c r="AJ56" i="106"/>
  <c r="AB56" i="106"/>
  <c r="AA75" i="106"/>
  <c r="AF56" i="106"/>
  <c r="AI56" i="106"/>
  <c r="AI92" i="107"/>
  <c r="AF92" i="107"/>
  <c r="AB92" i="107"/>
  <c r="AJ92" i="107"/>
  <c r="AJ90" i="107"/>
  <c r="AI90" i="107"/>
  <c r="AF90" i="107"/>
  <c r="AB90" i="107"/>
  <c r="AF88" i="107"/>
  <c r="AB88" i="107"/>
  <c r="AI88" i="107"/>
  <c r="AJ88" i="107"/>
  <c r="AI84" i="107"/>
  <c r="AF84" i="107"/>
  <c r="AB84" i="107"/>
  <c r="AJ84" i="107"/>
  <c r="AJ82" i="107"/>
  <c r="AI82" i="107"/>
  <c r="AB82" i="107"/>
  <c r="AF82" i="107"/>
  <c r="AF80" i="107"/>
  <c r="AB80" i="107"/>
  <c r="AI80" i="107"/>
  <c r="AJ80" i="107"/>
  <c r="AI38" i="101"/>
  <c r="Z40" i="101"/>
  <c r="AA49" i="101" s="1"/>
  <c r="AE46" i="101"/>
  <c r="AM48" i="101"/>
  <c r="Z52" i="101"/>
  <c r="AI42" i="102"/>
  <c r="AI60" i="102"/>
  <c r="AN38" i="103"/>
  <c r="AJ64" i="103"/>
  <c r="AJ35" i="104"/>
  <c r="AF41" i="104"/>
  <c r="AJ49" i="104"/>
  <c r="AI48" i="104"/>
  <c r="AI41" i="105"/>
  <c r="AB41" i="105"/>
  <c r="AF63" i="105"/>
  <c r="AI63" i="105"/>
  <c r="AB63" i="105"/>
  <c r="AJ63" i="105"/>
  <c r="AM70" i="105"/>
  <c r="AN70" i="105"/>
  <c r="AM34" i="106"/>
  <c r="AN34" i="106"/>
  <c r="AE39" i="101"/>
  <c r="AI39" i="101"/>
  <c r="AH38" i="101"/>
  <c r="AI45" i="101"/>
  <c r="AD49" i="101"/>
  <c r="AD57" i="101"/>
  <c r="AH60" i="101"/>
  <c r="AF53" i="102"/>
  <c r="AJ43" i="103"/>
  <c r="AJ35" i="103"/>
  <c r="AI49" i="103"/>
  <c r="AA51" i="103"/>
  <c r="AK51" i="103"/>
  <c r="AN58" i="103"/>
  <c r="AB35" i="104"/>
  <c r="AF36" i="104"/>
  <c r="AJ36" i="104"/>
  <c r="AI35" i="104"/>
  <c r="AJ41" i="104"/>
  <c r="AH44" i="104"/>
  <c r="AB49" i="104"/>
  <c r="AF50" i="104"/>
  <c r="AJ50" i="104"/>
  <c r="AI49" i="104"/>
  <c r="AM40" i="105"/>
  <c r="AN40" i="105"/>
  <c r="AI35" i="105"/>
  <c r="AJ35" i="105"/>
  <c r="AB35" i="105"/>
  <c r="AF41" i="105"/>
  <c r="AI43" i="105"/>
  <c r="AJ41" i="105"/>
  <c r="AJ79" i="107"/>
  <c r="AB79" i="107"/>
  <c r="AF79" i="107"/>
  <c r="AI79" i="107"/>
  <c r="AM36" i="101"/>
  <c r="AA47" i="101"/>
  <c r="AE45" i="101"/>
  <c r="AI46" i="101"/>
  <c r="AF43" i="103"/>
  <c r="AF35" i="103"/>
  <c r="AN40" i="103"/>
  <c r="AJ36" i="103"/>
  <c r="AF50" i="103"/>
  <c r="AJ50" i="103"/>
  <c r="AN59" i="103"/>
  <c r="AJ37" i="104"/>
  <c r="AJ51" i="104"/>
  <c r="AF57" i="104"/>
  <c r="AJ55" i="104"/>
  <c r="AM38" i="106"/>
  <c r="AN38" i="106"/>
  <c r="AB38" i="104"/>
  <c r="AB52" i="104"/>
  <c r="AJ51" i="105"/>
  <c r="AJ36" i="105"/>
  <c r="AJ71" i="105"/>
  <c r="AJ70" i="105"/>
  <c r="AJ74" i="105"/>
  <c r="AJ64" i="105"/>
  <c r="AJ48" i="105"/>
  <c r="AJ56" i="105"/>
  <c r="AM39" i="105"/>
  <c r="AN39" i="105"/>
  <c r="AI34" i="105"/>
  <c r="AJ34" i="105"/>
  <c r="AF34" i="105"/>
  <c r="AJ44" i="105"/>
  <c r="AI39" i="105"/>
  <c r="AF47" i="105"/>
  <c r="AJ87" i="107"/>
  <c r="AF87" i="107"/>
  <c r="AB87" i="107"/>
  <c r="AI87" i="107"/>
  <c r="AI37" i="105"/>
  <c r="AF50" i="105"/>
  <c r="AM65" i="105"/>
  <c r="AJ62" i="105"/>
  <c r="AB73" i="105"/>
  <c r="AD77" i="105"/>
  <c r="AJ42" i="106"/>
  <c r="AI41" i="106"/>
  <c r="AJ34" i="106"/>
  <c r="AJ54" i="106"/>
  <c r="AJ50" i="106"/>
  <c r="AJ46" i="106"/>
  <c r="AB62" i="106"/>
  <c r="AM63" i="106"/>
  <c r="AJ60" i="106"/>
  <c r="AM67" i="106"/>
  <c r="AB71" i="106"/>
  <c r="O75" i="106"/>
  <c r="AD75" i="106"/>
  <c r="AB52" i="107"/>
  <c r="AB48" i="107"/>
  <c r="AB44" i="107"/>
  <c r="AB40" i="107"/>
  <c r="AB36" i="107"/>
  <c r="AF52" i="107"/>
  <c r="AF48" i="107"/>
  <c r="AF44" i="107"/>
  <c r="AF40" i="107"/>
  <c r="AF36" i="107"/>
  <c r="AJ51" i="107"/>
  <c r="AI50" i="107"/>
  <c r="AJ43" i="107"/>
  <c r="AI42" i="107"/>
  <c r="AJ35" i="107"/>
  <c r="AI34" i="107"/>
  <c r="AJ74" i="107"/>
  <c r="AJ70" i="107"/>
  <c r="AJ66" i="107"/>
  <c r="AJ62" i="107"/>
  <c r="T96" i="107"/>
  <c r="T100" i="107" s="1"/>
  <c r="AE92" i="107"/>
  <c r="AH92" i="107"/>
  <c r="AL92" i="107"/>
  <c r="AL79" i="107"/>
  <c r="AH79" i="107"/>
  <c r="AK84" i="107"/>
  <c r="AI37" i="108"/>
  <c r="AF37" i="108"/>
  <c r="AB37" i="108"/>
  <c r="AJ37" i="108"/>
  <c r="AB69" i="105"/>
  <c r="AJ73" i="105"/>
  <c r="AB41" i="106"/>
  <c r="AB37" i="106"/>
  <c r="AJ61" i="106"/>
  <c r="AJ71" i="106"/>
  <c r="AJ52" i="107"/>
  <c r="AI51" i="107"/>
  <c r="AJ44" i="107"/>
  <c r="AI43" i="107"/>
  <c r="AJ36" i="107"/>
  <c r="AI35" i="107"/>
  <c r="AI62" i="107"/>
  <c r="AA94" i="107"/>
  <c r="AA86" i="107"/>
  <c r="AA78" i="107"/>
  <c r="AL91" i="107"/>
  <c r="AH91" i="107"/>
  <c r="AL78" i="107"/>
  <c r="AH78" i="107"/>
  <c r="AF49" i="108"/>
  <c r="AB49" i="108"/>
  <c r="AJ49" i="108"/>
  <c r="AB36" i="108"/>
  <c r="AJ36" i="108"/>
  <c r="AF36" i="108"/>
  <c r="AA76" i="105"/>
  <c r="AN40" i="106"/>
  <c r="AJ55" i="106"/>
  <c r="AJ51" i="106"/>
  <c r="AJ47" i="106"/>
  <c r="AB61" i="106"/>
  <c r="AF62" i="106"/>
  <c r="AI61" i="106"/>
  <c r="AJ72" i="106"/>
  <c r="AI71" i="106"/>
  <c r="AA74" i="106"/>
  <c r="AB51" i="107"/>
  <c r="AB47" i="107"/>
  <c r="AB43" i="107"/>
  <c r="AB39" i="107"/>
  <c r="AB35" i="107"/>
  <c r="AF47" i="107"/>
  <c r="AF39" i="107"/>
  <c r="AJ53" i="107"/>
  <c r="AJ45" i="107"/>
  <c r="AJ37" i="107"/>
  <c r="AJ71" i="107"/>
  <c r="AJ63" i="107"/>
  <c r="AJ59" i="107"/>
  <c r="AE85" i="107"/>
  <c r="AK85" i="107"/>
  <c r="AL90" i="107"/>
  <c r="AH90" i="107"/>
  <c r="AH84" i="107"/>
  <c r="AL84" i="107"/>
  <c r="AK86" i="107"/>
  <c r="AK78" i="107"/>
  <c r="AJ95" i="107"/>
  <c r="AB48" i="108"/>
  <c r="AI48" i="108"/>
  <c r="AJ48" i="108"/>
  <c r="AF48" i="108"/>
  <c r="AI49" i="108"/>
  <c r="AM34" i="108"/>
  <c r="AJ63" i="106"/>
  <c r="AJ67" i="106"/>
  <c r="AJ38" i="107"/>
  <c r="AI37" i="107"/>
  <c r="AI71" i="107"/>
  <c r="AI63" i="107"/>
  <c r="Y96" i="107"/>
  <c r="Y100" i="107" s="1"/>
  <c r="Q96" i="107"/>
  <c r="Q100" i="107" s="1"/>
  <c r="AL83" i="107"/>
  <c r="AH83" i="107"/>
  <c r="O96" i="107"/>
  <c r="AF41" i="108"/>
  <c r="AB41" i="108"/>
  <c r="AJ41" i="108"/>
  <c r="AB37" i="105"/>
  <c r="AJ50" i="105"/>
  <c r="AB66" i="105"/>
  <c r="AB62" i="105"/>
  <c r="AJ66" i="105"/>
  <c r="AI69" i="105"/>
  <c r="AJ38" i="106"/>
  <c r="AI37" i="106"/>
  <c r="AJ52" i="106"/>
  <c r="AJ48" i="106"/>
  <c r="AE56" i="106"/>
  <c r="AB64" i="106"/>
  <c r="AB60" i="106"/>
  <c r="AJ64" i="106"/>
  <c r="AJ68" i="106"/>
  <c r="AI67" i="106"/>
  <c r="AB50" i="107"/>
  <c r="AB46" i="107"/>
  <c r="AB42" i="107"/>
  <c r="AB38" i="107"/>
  <c r="AB34" i="107"/>
  <c r="AF50" i="107"/>
  <c r="AF46" i="107"/>
  <c r="AF42" i="107"/>
  <c r="AF38" i="107"/>
  <c r="AF34" i="107"/>
  <c r="AJ47" i="107"/>
  <c r="AJ39" i="107"/>
  <c r="AJ72" i="107"/>
  <c r="AJ64" i="107"/>
  <c r="AJ56" i="107"/>
  <c r="X96" i="107"/>
  <c r="X100" i="107" s="1"/>
  <c r="P96" i="107"/>
  <c r="P100" i="107" s="1"/>
  <c r="AE77" i="107"/>
  <c r="AK77" i="107"/>
  <c r="AD96" i="107"/>
  <c r="AL82" i="107"/>
  <c r="AH82" i="107"/>
  <c r="AK80" i="107"/>
  <c r="AM46" i="108"/>
  <c r="AB40" i="108"/>
  <c r="AI40" i="108"/>
  <c r="AJ40" i="108"/>
  <c r="AF40" i="108"/>
  <c r="AN46" i="108"/>
  <c r="AI36" i="108"/>
  <c r="AE58" i="105"/>
  <c r="AI66" i="105"/>
  <c r="AF41" i="106"/>
  <c r="AN43" i="106"/>
  <c r="AJ39" i="106"/>
  <c r="AN35" i="106"/>
  <c r="AI64" i="106"/>
  <c r="AJ69" i="106"/>
  <c r="AJ48" i="107"/>
  <c r="AJ40" i="107"/>
  <c r="AA93" i="107"/>
  <c r="AA91" i="107"/>
  <c r="AA89" i="107"/>
  <c r="AA85" i="107"/>
  <c r="AA83" i="107"/>
  <c r="AA81" i="107"/>
  <c r="AA77" i="107"/>
  <c r="AE89" i="107"/>
  <c r="AK89" i="107"/>
  <c r="AL94" i="107"/>
  <c r="AH94" i="107"/>
  <c r="AH88" i="107"/>
  <c r="AL88" i="107"/>
  <c r="AN74" i="105"/>
  <c r="AJ40" i="106"/>
  <c r="AN36" i="106"/>
  <c r="AF53" i="106"/>
  <c r="AJ53" i="106"/>
  <c r="AN72" i="106"/>
  <c r="AB53" i="107"/>
  <c r="AB49" i="107"/>
  <c r="AB45" i="107"/>
  <c r="AB41" i="107"/>
  <c r="AB37" i="107"/>
  <c r="AF49" i="107"/>
  <c r="AF41" i="107"/>
  <c r="AJ49" i="107"/>
  <c r="AJ41" i="107"/>
  <c r="AF69" i="107"/>
  <c r="AF61" i="107"/>
  <c r="AJ73" i="107"/>
  <c r="AJ69" i="107"/>
  <c r="AJ65" i="107"/>
  <c r="AJ61" i="107"/>
  <c r="AJ57" i="107"/>
  <c r="V96" i="107"/>
  <c r="V100" i="107" s="1"/>
  <c r="AL87" i="107"/>
  <c r="AH87" i="107"/>
  <c r="AK90" i="107"/>
  <c r="AK82" i="107"/>
  <c r="AI45" i="108"/>
  <c r="AF45" i="108"/>
  <c r="AB45" i="108"/>
  <c r="AM38" i="108"/>
  <c r="AM42" i="108"/>
  <c r="AI41" i="108"/>
  <c r="AF51" i="105"/>
  <c r="AF40" i="106"/>
  <c r="AE93" i="107"/>
  <c r="AK93" i="107"/>
  <c r="AE81" i="107"/>
  <c r="AK81" i="107"/>
  <c r="AL86" i="107"/>
  <c r="AH86" i="107"/>
  <c r="AH80" i="107"/>
  <c r="AL80" i="107"/>
  <c r="AG96" i="107"/>
  <c r="AJ98" i="107"/>
  <c r="AB44" i="108"/>
  <c r="AJ44" i="108"/>
  <c r="AF44" i="108"/>
  <c r="AM52" i="108"/>
  <c r="AB47" i="108"/>
  <c r="AB43" i="108"/>
  <c r="AB39" i="108"/>
  <c r="AB35" i="108"/>
  <c r="AB53" i="111"/>
  <c r="AF53" i="111"/>
  <c r="AI53" i="111"/>
  <c r="AJ53" i="111"/>
  <c r="AI50" i="108"/>
  <c r="AJ43" i="108"/>
  <c r="AI42" i="108"/>
  <c r="AJ35" i="108"/>
  <c r="AI34" i="108"/>
  <c r="AJ52" i="108"/>
  <c r="AF46" i="108"/>
  <c r="AF38" i="108"/>
  <c r="AI52" i="108"/>
  <c r="AM61" i="111"/>
  <c r="AN61" i="111"/>
  <c r="AM48" i="111"/>
  <c r="AN48" i="111"/>
  <c r="AM52" i="111"/>
  <c r="AN52" i="111"/>
  <c r="AM40" i="110"/>
  <c r="AN40" i="110"/>
  <c r="AJ45" i="110"/>
  <c r="AB45" i="110"/>
  <c r="AF45" i="110"/>
  <c r="AI45" i="110"/>
  <c r="AB62" i="111"/>
  <c r="AF62" i="111"/>
  <c r="AI62" i="111"/>
  <c r="AJ62" i="111"/>
  <c r="AB42" i="110"/>
  <c r="AB38" i="110"/>
  <c r="AB34" i="110"/>
  <c r="AF37" i="110"/>
  <c r="AM43" i="110"/>
  <c r="AJ40" i="110"/>
  <c r="AI39" i="110"/>
  <c r="AM35" i="110"/>
  <c r="AB42" i="111"/>
  <c r="AF43" i="111"/>
  <c r="AF39" i="111"/>
  <c r="AB50" i="111"/>
  <c r="AJ52" i="111"/>
  <c r="AI51" i="111"/>
  <c r="AM47" i="111"/>
  <c r="AJ60" i="111"/>
  <c r="AI59" i="111"/>
  <c r="AB65" i="111"/>
  <c r="AM64" i="111"/>
  <c r="AD53" i="117"/>
  <c r="AK46" i="117"/>
  <c r="AE46" i="117"/>
  <c r="P47" i="110"/>
  <c r="AA47" i="110" s="1"/>
  <c r="AJ42" i="110"/>
  <c r="AJ34" i="110"/>
  <c r="AF42" i="111"/>
  <c r="AN43" i="111"/>
  <c r="AI61" i="111"/>
  <c r="AJ43" i="110"/>
  <c r="AI42" i="110"/>
  <c r="AN39" i="110"/>
  <c r="AJ35" i="110"/>
  <c r="AI34" i="110"/>
  <c r="AN36" i="111"/>
  <c r="AN51" i="111"/>
  <c r="AJ47" i="111"/>
  <c r="AB58" i="111"/>
  <c r="AF56" i="111"/>
  <c r="AN59" i="111"/>
  <c r="AJ64" i="111"/>
  <c r="AD67" i="111"/>
  <c r="AB44" i="110"/>
  <c r="AB36" i="110"/>
  <c r="AF43" i="110"/>
  <c r="AF39" i="110"/>
  <c r="AF35" i="110"/>
  <c r="AJ44" i="110"/>
  <c r="AJ36" i="110"/>
  <c r="AE45" i="110"/>
  <c r="AB40" i="111"/>
  <c r="AF41" i="111"/>
  <c r="AJ41" i="111"/>
  <c r="AF50" i="111"/>
  <c r="AJ48" i="111"/>
  <c r="AN60" i="111"/>
  <c r="AJ56" i="111"/>
  <c r="AF65" i="111"/>
  <c r="AJ65" i="111"/>
  <c r="AA58" i="117"/>
  <c r="AN41" i="110"/>
  <c r="AL45" i="110"/>
  <c r="AB35" i="111"/>
  <c r="AJ42" i="111"/>
  <c r="AL44" i="111"/>
  <c r="AE53" i="111"/>
  <c r="AB57" i="111"/>
  <c r="AF59" i="111"/>
  <c r="AJ57" i="111"/>
  <c r="AI65" i="111"/>
  <c r="AF38" i="110"/>
  <c r="AJ38" i="110"/>
  <c r="AJ35" i="111"/>
  <c r="AN39" i="111"/>
  <c r="AA44" i="111"/>
  <c r="AJ50" i="111"/>
  <c r="AM62" i="119"/>
  <c r="AN62" i="119"/>
  <c r="AM38" i="117"/>
  <c r="AA51" i="117"/>
  <c r="AH58" i="117"/>
  <c r="AL58" i="117"/>
  <c r="AM35" i="118"/>
  <c r="AN35" i="118"/>
  <c r="AM64" i="119"/>
  <c r="AN64" i="119"/>
  <c r="AH51" i="117"/>
  <c r="AL51" i="117"/>
  <c r="AB56" i="117"/>
  <c r="AF56" i="117"/>
  <c r="AI56" i="117"/>
  <c r="AM34" i="118"/>
  <c r="AN34" i="118"/>
  <c r="AK48" i="118"/>
  <c r="AE48" i="118"/>
  <c r="AD52" i="118"/>
  <c r="AB49" i="119"/>
  <c r="AI49" i="119"/>
  <c r="AF49" i="119"/>
  <c r="AJ49" i="119"/>
  <c r="AM60" i="119"/>
  <c r="AN60" i="119"/>
  <c r="AM54" i="119"/>
  <c r="AN54" i="119"/>
  <c r="AB37" i="117"/>
  <c r="AI37" i="117"/>
  <c r="AJ37" i="117"/>
  <c r="AF37" i="117"/>
  <c r="AM43" i="117"/>
  <c r="AN43" i="117"/>
  <c r="W53" i="117"/>
  <c r="W60" i="117" s="1"/>
  <c r="AB49" i="117"/>
  <c r="AF49" i="117"/>
  <c r="AI49" i="117"/>
  <c r="AJ56" i="117"/>
  <c r="AA44" i="117"/>
  <c r="V46" i="117"/>
  <c r="V53" i="117" s="1"/>
  <c r="V60" i="117" s="1"/>
  <c r="AJ49" i="117"/>
  <c r="AA46" i="118"/>
  <c r="P48" i="118"/>
  <c r="P52" i="118" s="1"/>
  <c r="P59" i="118" s="1"/>
  <c r="AM56" i="118"/>
  <c r="AN41" i="118"/>
  <c r="O52" i="118"/>
  <c r="AA57" i="118"/>
  <c r="AM39" i="119"/>
  <c r="AN39" i="119"/>
  <c r="AM46" i="119"/>
  <c r="AN46" i="119"/>
  <c r="AA46" i="117"/>
  <c r="O53" i="117"/>
  <c r="AM45" i="118"/>
  <c r="AN45" i="118"/>
  <c r="AN55" i="118"/>
  <c r="AI38" i="119"/>
  <c r="AB38" i="119"/>
  <c r="AJ38" i="119"/>
  <c r="AF38" i="119"/>
  <c r="AM35" i="119"/>
  <c r="AB45" i="119"/>
  <c r="AF45" i="119"/>
  <c r="AI45" i="119"/>
  <c r="AH46" i="117"/>
  <c r="AL46" i="117"/>
  <c r="AG53" i="117"/>
  <c r="AM44" i="118"/>
  <c r="AN44" i="118"/>
  <c r="U59" i="118"/>
  <c r="AM56" i="119"/>
  <c r="AN56" i="119"/>
  <c r="AB36" i="117"/>
  <c r="AI43" i="117"/>
  <c r="AE44" i="117"/>
  <c r="AF50" i="117"/>
  <c r="AF57" i="117"/>
  <c r="AJ34" i="118"/>
  <c r="AJ38" i="118"/>
  <c r="AJ44" i="118"/>
  <c r="AB41" i="119"/>
  <c r="AB37" i="119"/>
  <c r="AJ41" i="119"/>
  <c r="AB48" i="119"/>
  <c r="AB44" i="119"/>
  <c r="AJ46" i="119"/>
  <c r="AI62" i="119"/>
  <c r="AJ55" i="119"/>
  <c r="AI54" i="119"/>
  <c r="AJ38" i="117"/>
  <c r="AF42" i="117"/>
  <c r="AL44" i="117"/>
  <c r="AE58" i="117"/>
  <c r="AF35" i="118"/>
  <c r="AJ35" i="118"/>
  <c r="AJ39" i="118"/>
  <c r="AI38" i="118"/>
  <c r="AF45" i="118"/>
  <c r="AJ45" i="118"/>
  <c r="AG48" i="118"/>
  <c r="AI46" i="119"/>
  <c r="AB59" i="119"/>
  <c r="AB55" i="119"/>
  <c r="AF61" i="119"/>
  <c r="AF57" i="119"/>
  <c r="AF53" i="119"/>
  <c r="AJ56" i="119"/>
  <c r="AI55" i="119"/>
  <c r="AB65" i="119"/>
  <c r="AN35" i="117"/>
  <c r="AI35" i="118"/>
  <c r="AJ40" i="118"/>
  <c r="AI39" i="118"/>
  <c r="AI45" i="118"/>
  <c r="AN56" i="118"/>
  <c r="AJ35" i="119"/>
  <c r="AB47" i="119"/>
  <c r="AJ48" i="119"/>
  <c r="AJ57" i="119"/>
  <c r="AI56" i="119"/>
  <c r="AI39" i="117"/>
  <c r="AB39" i="118"/>
  <c r="AN40" i="119"/>
  <c r="AJ36" i="119"/>
  <c r="AI35" i="119"/>
  <c r="AB58" i="119"/>
  <c r="AF60" i="119"/>
  <c r="AJ58" i="119"/>
  <c r="AI57" i="119"/>
  <c r="AN50" i="117"/>
  <c r="AN57" i="117"/>
  <c r="AJ50" i="118"/>
  <c r="AJ37" i="119"/>
  <c r="AB50" i="119"/>
  <c r="AJ50" i="119"/>
  <c r="AJ59" i="119"/>
  <c r="AJ64" i="119"/>
  <c r="AN38" i="117"/>
  <c r="AB42" i="117"/>
  <c r="AB38" i="118"/>
  <c r="AB50" i="118"/>
  <c r="AB61" i="119"/>
  <c r="AB53" i="119"/>
  <c r="AF59" i="119"/>
  <c r="AJ60" i="119"/>
  <c r="AF65" i="119"/>
  <c r="AJ65" i="119"/>
  <c r="AB107" i="58"/>
  <c r="AB55" i="58"/>
  <c r="W126" i="58"/>
  <c r="W127" i="58" s="1"/>
  <c r="S126" i="58"/>
  <c r="S127" i="58" s="1"/>
  <c r="AA122" i="58"/>
  <c r="AF122" i="58" s="1"/>
  <c r="AG126" i="58"/>
  <c r="AG127" i="58" s="1"/>
  <c r="AF75" i="58"/>
  <c r="AA73" i="58"/>
  <c r="AA63" i="58"/>
  <c r="AB99" i="58"/>
  <c r="AB83" i="58"/>
  <c r="AF49" i="58"/>
  <c r="AB111" i="64"/>
  <c r="T126" i="64"/>
  <c r="T127" i="64" s="1"/>
  <c r="AB83" i="64"/>
  <c r="AA81" i="64"/>
  <c r="AF81" i="64" s="1"/>
  <c r="AF130" i="64"/>
  <c r="AB109" i="64"/>
  <c r="AF103" i="64"/>
  <c r="AB87" i="64"/>
  <c r="AB80" i="64"/>
  <c r="AF71" i="64"/>
  <c r="AB49" i="64"/>
  <c r="AA82" i="64"/>
  <c r="AA84" i="64" s="1"/>
  <c r="AF79" i="64"/>
  <c r="AF48" i="64"/>
  <c r="AB115" i="62"/>
  <c r="AB101" i="62"/>
  <c r="AB98" i="62"/>
  <c r="AB138" i="62"/>
  <c r="AB114" i="62"/>
  <c r="AB100" i="62"/>
  <c r="AA72" i="62"/>
  <c r="AA74" i="62" s="1"/>
  <c r="AB68" i="62"/>
  <c r="AF111" i="62"/>
  <c r="S126" i="62"/>
  <c r="S127" i="62" s="1"/>
  <c r="AB118" i="62"/>
  <c r="AF83" i="62"/>
  <c r="AB75" i="62"/>
  <c r="AF65" i="57"/>
  <c r="Z126" i="57"/>
  <c r="Z127" i="57" s="1"/>
  <c r="X126" i="57"/>
  <c r="X127" i="57" s="1"/>
  <c r="AB138" i="57"/>
  <c r="W126" i="57"/>
  <c r="W127" i="57" s="1"/>
  <c r="AF116" i="57"/>
  <c r="AF69" i="57"/>
  <c r="AF140" i="57"/>
  <c r="AA124" i="57"/>
  <c r="AF124" i="57" s="1"/>
  <c r="U126" i="57"/>
  <c r="U127" i="57" s="1"/>
  <c r="AF114" i="57"/>
  <c r="AF68" i="57"/>
  <c r="AG126" i="56"/>
  <c r="AG127" i="56" s="1"/>
  <c r="AB75" i="56"/>
  <c r="AB49" i="56"/>
  <c r="AA125" i="56"/>
  <c r="AA121" i="56"/>
  <c r="AF121" i="56" s="1"/>
  <c r="AF48" i="56"/>
  <c r="AA42" i="56"/>
  <c r="AA44" i="56" s="1"/>
  <c r="AA93" i="56"/>
  <c r="AF93" i="56" s="1"/>
  <c r="AF116" i="56"/>
  <c r="AB106" i="56"/>
  <c r="AA82" i="56"/>
  <c r="AA84" i="56" s="1"/>
  <c r="AF79" i="56"/>
  <c r="AA53" i="56"/>
  <c r="AF39" i="56"/>
  <c r="AB45" i="56"/>
  <c r="AF140" i="56"/>
  <c r="AF38" i="56"/>
  <c r="AB110" i="55"/>
  <c r="AB102" i="55"/>
  <c r="AB67" i="55"/>
  <c r="AF51" i="55"/>
  <c r="AF98" i="55"/>
  <c r="AA121" i="55"/>
  <c r="AF121" i="55" s="1"/>
  <c r="AF80" i="55"/>
  <c r="AF37" i="55"/>
  <c r="Y126" i="55"/>
  <c r="Y127" i="55" s="1"/>
  <c r="AF118" i="55"/>
  <c r="AA73" i="55"/>
  <c r="AA52" i="55"/>
  <c r="V126" i="39"/>
  <c r="V127" i="39" s="1"/>
  <c r="AB108" i="39"/>
  <c r="AB100" i="39"/>
  <c r="AA93" i="39"/>
  <c r="AF93" i="39" s="1"/>
  <c r="AA88" i="39"/>
  <c r="AF88" i="39" s="1"/>
  <c r="Z126" i="39"/>
  <c r="Z127" i="39" s="1"/>
  <c r="W126" i="39"/>
  <c r="W127" i="39" s="1"/>
  <c r="O126" i="39"/>
  <c r="O127" i="39" s="1"/>
  <c r="U126" i="39"/>
  <c r="U127" i="39" s="1"/>
  <c r="AF83" i="39"/>
  <c r="AB51" i="39"/>
  <c r="Z49" i="37"/>
  <c r="AA47" i="37"/>
  <c r="S61" i="37"/>
  <c r="S51" i="37"/>
  <c r="S52" i="37" s="1"/>
  <c r="T61" i="37"/>
  <c r="AF44" i="6"/>
  <c r="AF36" i="6"/>
  <c r="AF42" i="6"/>
  <c r="AF52" i="6"/>
  <c r="AA125" i="6"/>
  <c r="AF125" i="6" s="1"/>
  <c r="AB80" i="59"/>
  <c r="AB49" i="59"/>
  <c r="AF45" i="59"/>
  <c r="AA121" i="59"/>
  <c r="AF121" i="59" s="1"/>
  <c r="AA52" i="59"/>
  <c r="AA54" i="59" s="1"/>
  <c r="W126" i="59"/>
  <c r="W127" i="59" s="1"/>
  <c r="S126" i="59"/>
  <c r="S127" i="59" s="1"/>
  <c r="V126" i="59"/>
  <c r="V127" i="59" s="1"/>
  <c r="AF78" i="59"/>
  <c r="AA63" i="59"/>
  <c r="AA125" i="59"/>
  <c r="AF125" i="59" s="1"/>
  <c r="AA53" i="59"/>
  <c r="Q126" i="59"/>
  <c r="Q127" i="59" s="1"/>
  <c r="AA73" i="59"/>
  <c r="AF66" i="59"/>
  <c r="AA111" i="17"/>
  <c r="AF111" i="17" s="1"/>
  <c r="AF73" i="17"/>
  <c r="AA69" i="17"/>
  <c r="AA70" i="17" s="1"/>
  <c r="AF55" i="17"/>
  <c r="O148" i="17"/>
  <c r="AF129" i="17"/>
  <c r="AF117" i="17"/>
  <c r="AA92" i="17"/>
  <c r="AF92" i="17" s="1"/>
  <c r="AA68" i="17"/>
  <c r="AF68" i="17" s="1"/>
  <c r="AB120" i="17"/>
  <c r="AF137" i="17"/>
  <c r="AA59" i="17"/>
  <c r="AF59" i="17" s="1"/>
  <c r="X148" i="17"/>
  <c r="P148" i="17"/>
  <c r="AB47" i="70"/>
  <c r="AA77" i="70"/>
  <c r="AF77" i="70" s="1"/>
  <c r="AB46" i="70"/>
  <c r="AB88" i="70"/>
  <c r="AF80" i="70"/>
  <c r="AB56" i="70"/>
  <c r="AF45" i="70"/>
  <c r="AA78" i="70"/>
  <c r="AB98" i="68"/>
  <c r="AB58" i="68"/>
  <c r="AA53" i="68"/>
  <c r="AF106" i="68"/>
  <c r="AB69" i="68"/>
  <c r="AB91" i="68"/>
  <c r="AA84" i="68"/>
  <c r="AF84" i="68" s="1"/>
  <c r="AB56" i="68"/>
  <c r="AF55" i="68"/>
  <c r="AF46" i="68"/>
  <c r="AB113" i="66"/>
  <c r="AB69" i="66"/>
  <c r="AB49" i="66"/>
  <c r="AF102" i="66"/>
  <c r="AA119" i="66"/>
  <c r="AF119" i="66" s="1"/>
  <c r="AA78" i="66"/>
  <c r="AA42" i="66"/>
  <c r="AF42" i="66" s="1"/>
  <c r="AF106" i="66"/>
  <c r="AB80" i="66"/>
  <c r="AB109" i="66"/>
  <c r="AF128" i="66"/>
  <c r="AF69" i="66"/>
  <c r="AA125" i="58"/>
  <c r="Z126" i="58"/>
  <c r="Z127" i="58" s="1"/>
  <c r="R126" i="58"/>
  <c r="R127" i="58" s="1"/>
  <c r="AA121" i="58"/>
  <c r="Y126" i="58"/>
  <c r="Y127" i="58" s="1"/>
  <c r="V126" i="58"/>
  <c r="V127" i="58" s="1"/>
  <c r="AA81" i="58"/>
  <c r="AF81" i="58" s="1"/>
  <c r="AA82" i="58"/>
  <c r="AF80" i="58"/>
  <c r="AF78" i="58"/>
  <c r="AF76" i="58"/>
  <c r="AA72" i="58"/>
  <c r="AA62" i="58"/>
  <c r="AF71" i="58"/>
  <c r="AF61" i="58"/>
  <c r="X126" i="58"/>
  <c r="X127" i="58" s="1"/>
  <c r="P126" i="58"/>
  <c r="P127" i="58" s="1"/>
  <c r="AB48" i="58"/>
  <c r="AF134" i="64"/>
  <c r="AA72" i="64"/>
  <c r="AB69" i="64"/>
  <c r="AB35" i="64"/>
  <c r="X126" i="64"/>
  <c r="X127" i="64" s="1"/>
  <c r="AA63" i="64"/>
  <c r="Y126" i="64"/>
  <c r="Y127" i="64" s="1"/>
  <c r="Q126" i="64"/>
  <c r="Q127" i="64" s="1"/>
  <c r="AF140" i="64"/>
  <c r="AG126" i="64"/>
  <c r="AG127" i="64" s="1"/>
  <c r="S126" i="64"/>
  <c r="S127" i="64" s="1"/>
  <c r="AF117" i="64"/>
  <c r="AF107" i="64"/>
  <c r="AF67" i="64"/>
  <c r="Z126" i="64"/>
  <c r="Z127" i="64" s="1"/>
  <c r="R126" i="64"/>
  <c r="R127" i="64" s="1"/>
  <c r="AA93" i="64"/>
  <c r="AF93" i="64" s="1"/>
  <c r="AA94" i="64"/>
  <c r="AF94" i="64" s="1"/>
  <c r="AF75" i="64"/>
  <c r="AB47" i="64"/>
  <c r="AG126" i="62"/>
  <c r="AG127" i="62" s="1"/>
  <c r="AB119" i="62"/>
  <c r="AB110" i="62"/>
  <c r="AB99" i="62"/>
  <c r="AB47" i="62"/>
  <c r="AA125" i="62"/>
  <c r="T126" i="62"/>
  <c r="T127" i="62" s="1"/>
  <c r="X126" i="62"/>
  <c r="X127" i="62" s="1"/>
  <c r="P126" i="62"/>
  <c r="P127" i="62" s="1"/>
  <c r="AA73" i="62"/>
  <c r="Z126" i="62"/>
  <c r="Z127" i="62" s="1"/>
  <c r="R126" i="62"/>
  <c r="R127" i="62" s="1"/>
  <c r="AF117" i="62"/>
  <c r="AF59" i="62"/>
  <c r="AA53" i="62"/>
  <c r="AF45" i="62"/>
  <c r="AF38" i="62"/>
  <c r="Y126" i="62"/>
  <c r="Y127" i="62" s="1"/>
  <c r="U126" i="62"/>
  <c r="U127" i="62" s="1"/>
  <c r="AB108" i="62"/>
  <c r="AF69" i="62"/>
  <c r="AB41" i="62"/>
  <c r="O126" i="57"/>
  <c r="O127" i="57" s="1"/>
  <c r="AG126" i="57"/>
  <c r="AG127" i="57" s="1"/>
  <c r="AF106" i="57"/>
  <c r="AF102" i="57"/>
  <c r="AF100" i="57"/>
  <c r="AF98" i="57"/>
  <c r="AF83" i="57"/>
  <c r="AF51" i="57"/>
  <c r="AF48" i="57"/>
  <c r="AB46" i="57"/>
  <c r="AD126" i="57"/>
  <c r="R126" i="57"/>
  <c r="R127" i="57" s="1"/>
  <c r="AA42" i="57"/>
  <c r="AF42" i="57" s="1"/>
  <c r="AF132" i="57"/>
  <c r="P126" i="57"/>
  <c r="P127" i="57" s="1"/>
  <c r="AB80" i="57"/>
  <c r="AF119" i="57"/>
  <c r="AF117" i="57"/>
  <c r="AF115" i="57"/>
  <c r="AF111" i="57"/>
  <c r="AF109" i="57"/>
  <c r="AF107" i="57"/>
  <c r="AF103" i="57"/>
  <c r="AF101" i="57"/>
  <c r="AF99" i="57"/>
  <c r="AA93" i="57"/>
  <c r="AF93" i="57" s="1"/>
  <c r="AA88" i="57"/>
  <c r="AF88" i="57" s="1"/>
  <c r="AA63" i="57"/>
  <c r="AF130" i="57"/>
  <c r="T126" i="57"/>
  <c r="T127" i="57" s="1"/>
  <c r="AA94" i="57"/>
  <c r="AF94" i="57" s="1"/>
  <c r="AF132" i="56"/>
  <c r="W126" i="56"/>
  <c r="W127" i="56" s="1"/>
  <c r="AB110" i="56"/>
  <c r="AB98" i="56"/>
  <c r="AF92" i="56"/>
  <c r="AB83" i="56"/>
  <c r="AF78" i="56"/>
  <c r="AF69" i="56"/>
  <c r="AF36" i="56"/>
  <c r="AB136" i="56"/>
  <c r="T126" i="56"/>
  <c r="T127" i="56" s="1"/>
  <c r="AF118" i="56"/>
  <c r="AF102" i="56"/>
  <c r="AF85" i="56"/>
  <c r="AF66" i="56"/>
  <c r="S126" i="56"/>
  <c r="S127" i="56" s="1"/>
  <c r="AF111" i="56"/>
  <c r="AF35" i="56"/>
  <c r="AD126" i="56"/>
  <c r="AA88" i="56"/>
  <c r="AF88" i="56" s="1"/>
  <c r="AB71" i="56"/>
  <c r="AA63" i="56"/>
  <c r="Q126" i="56"/>
  <c r="Q127" i="56" s="1"/>
  <c r="AB130" i="56"/>
  <c r="AA73" i="56"/>
  <c r="AF76" i="56"/>
  <c r="AF67" i="56"/>
  <c r="AF61" i="56"/>
  <c r="AA54" i="55"/>
  <c r="AF52" i="55"/>
  <c r="X126" i="55"/>
  <c r="X127" i="55" s="1"/>
  <c r="P126" i="55"/>
  <c r="P127" i="55" s="1"/>
  <c r="AA42" i="55"/>
  <c r="AF38" i="55"/>
  <c r="W126" i="55"/>
  <c r="W127" i="55" s="1"/>
  <c r="U126" i="55"/>
  <c r="U127" i="55" s="1"/>
  <c r="AF78" i="55"/>
  <c r="AF66" i="55"/>
  <c r="AF61" i="55"/>
  <c r="AF55" i="55"/>
  <c r="AB51" i="55"/>
  <c r="AF35" i="55"/>
  <c r="AA43" i="55"/>
  <c r="AG126" i="55"/>
  <c r="AG127" i="55" s="1"/>
  <c r="S126" i="55"/>
  <c r="S127" i="55" s="1"/>
  <c r="AA94" i="55"/>
  <c r="AF94" i="55" s="1"/>
  <c r="AF108" i="55"/>
  <c r="AF39" i="55"/>
  <c r="Z126" i="55"/>
  <c r="Z127" i="55" s="1"/>
  <c r="R126" i="55"/>
  <c r="R127" i="55" s="1"/>
  <c r="AA125" i="55"/>
  <c r="AF125" i="55" s="1"/>
  <c r="AF76" i="55"/>
  <c r="AB65" i="55"/>
  <c r="AG126" i="39"/>
  <c r="AG127" i="39" s="1"/>
  <c r="AB117" i="39"/>
  <c r="AB115" i="39"/>
  <c r="AF68" i="39"/>
  <c r="AF66" i="39"/>
  <c r="AB48" i="39"/>
  <c r="AA123" i="39"/>
  <c r="AF123" i="39" s="1"/>
  <c r="AB41" i="39"/>
  <c r="AA43" i="39"/>
  <c r="AA125" i="39"/>
  <c r="AB125" i="39" s="1"/>
  <c r="T126" i="39"/>
  <c r="T127" i="39" s="1"/>
  <c r="AF94" i="39"/>
  <c r="AF109" i="39"/>
  <c r="AF107" i="39"/>
  <c r="AF69" i="39"/>
  <c r="AF67" i="39"/>
  <c r="AF65" i="39"/>
  <c r="AF46" i="39"/>
  <c r="X126" i="39"/>
  <c r="X127" i="39" s="1"/>
  <c r="AF58" i="39"/>
  <c r="S126" i="39"/>
  <c r="S127" i="39" s="1"/>
  <c r="AD49" i="37"/>
  <c r="AC44" i="37"/>
  <c r="AD44" i="37" s="1"/>
  <c r="AD98" i="37"/>
  <c r="AD77" i="37"/>
  <c r="AD55" i="37"/>
  <c r="AD70" i="37"/>
  <c r="AD59" i="37"/>
  <c r="AD100" i="37"/>
  <c r="AD104" i="37"/>
  <c r="AA79" i="37"/>
  <c r="AC61" i="37"/>
  <c r="AD61" i="37" s="1"/>
  <c r="AD57" i="37"/>
  <c r="AD54" i="37"/>
  <c r="AC51" i="37"/>
  <c r="T44" i="37"/>
  <c r="AA103" i="37"/>
  <c r="AA99" i="37"/>
  <c r="AD80" i="37"/>
  <c r="AD78" i="37"/>
  <c r="AD69" i="37"/>
  <c r="V61" i="37"/>
  <c r="AD56" i="37"/>
  <c r="AD102" i="37"/>
  <c r="AF48" i="6"/>
  <c r="AB104" i="6"/>
  <c r="AA138" i="6"/>
  <c r="AF138" i="6" s="1"/>
  <c r="AB66" i="6"/>
  <c r="AF40" i="6"/>
  <c r="AB130" i="59"/>
  <c r="AF102" i="59"/>
  <c r="AF85" i="59"/>
  <c r="AB71" i="59"/>
  <c r="AB47" i="59"/>
  <c r="AA42" i="59"/>
  <c r="AF42" i="59" s="1"/>
  <c r="AF110" i="59"/>
  <c r="AB61" i="59"/>
  <c r="AB55" i="59"/>
  <c r="AA123" i="59"/>
  <c r="AF123" i="59" s="1"/>
  <c r="U126" i="59"/>
  <c r="U127" i="59" s="1"/>
  <c r="Z126" i="59"/>
  <c r="Z127" i="59" s="1"/>
  <c r="R126" i="59"/>
  <c r="R127" i="59" s="1"/>
  <c r="AF114" i="59"/>
  <c r="AA81" i="59"/>
  <c r="AF81" i="59" s="1"/>
  <c r="AF100" i="59"/>
  <c r="AF56" i="59"/>
  <c r="T126" i="59"/>
  <c r="T127" i="59" s="1"/>
  <c r="AD126" i="59"/>
  <c r="AA62" i="59"/>
  <c r="AF62" i="59" s="1"/>
  <c r="AB39" i="59"/>
  <c r="AA122" i="59"/>
  <c r="AB122" i="59" s="1"/>
  <c r="AF116" i="59"/>
  <c r="AA94" i="59"/>
  <c r="AF94" i="59" s="1"/>
  <c r="AA82" i="59"/>
  <c r="AF58" i="59"/>
  <c r="AG148" i="17"/>
  <c r="Z148" i="17"/>
  <c r="R148" i="17"/>
  <c r="AB126" i="17"/>
  <c r="AA60" i="17"/>
  <c r="AB40" i="17"/>
  <c r="AB128" i="17"/>
  <c r="AA105" i="17"/>
  <c r="AF105" i="17" s="1"/>
  <c r="AF57" i="17"/>
  <c r="AB67" i="17"/>
  <c r="AB49" i="17"/>
  <c r="AA146" i="17"/>
  <c r="AB146" i="17" s="1"/>
  <c r="AD148" i="17"/>
  <c r="AF135" i="17"/>
  <c r="AF91" i="17"/>
  <c r="AF71" i="17"/>
  <c r="T148" i="17"/>
  <c r="AB138" i="17"/>
  <c r="AF119" i="17"/>
  <c r="S148" i="17"/>
  <c r="AB91" i="17"/>
  <c r="AB81" i="17"/>
  <c r="AB98" i="70"/>
  <c r="AB58" i="70"/>
  <c r="AA43" i="70"/>
  <c r="AA44" i="70" s="1"/>
  <c r="AF36" i="70"/>
  <c r="AB106" i="70"/>
  <c r="AA84" i="70"/>
  <c r="AF84" i="70" s="1"/>
  <c r="AA63" i="70"/>
  <c r="AB55" i="70"/>
  <c r="AB57" i="70"/>
  <c r="AB96" i="70"/>
  <c r="AB59" i="70"/>
  <c r="AB90" i="70"/>
  <c r="AB75" i="70"/>
  <c r="AA72" i="70"/>
  <c r="AB103" i="68"/>
  <c r="AB96" i="68"/>
  <c r="AB65" i="68"/>
  <c r="AB105" i="68"/>
  <c r="AA79" i="68"/>
  <c r="AA72" i="68"/>
  <c r="AF59" i="68"/>
  <c r="AF57" i="68"/>
  <c r="AF104" i="68"/>
  <c r="AB97" i="68"/>
  <c r="AF83" i="68"/>
  <c r="AB51" i="68"/>
  <c r="AB36" i="68"/>
  <c r="AB99" i="68"/>
  <c r="AB66" i="68"/>
  <c r="AB89" i="68"/>
  <c r="AB68" i="68"/>
  <c r="AB38" i="68"/>
  <c r="AB132" i="66"/>
  <c r="AA120" i="66"/>
  <c r="AF112" i="66"/>
  <c r="AB101" i="66"/>
  <c r="AF98" i="66"/>
  <c r="AF37" i="66"/>
  <c r="AA118" i="66"/>
  <c r="AF118" i="66" s="1"/>
  <c r="AF70" i="66"/>
  <c r="AB41" i="66"/>
  <c r="Y122" i="66"/>
  <c r="Y123" i="66" s="1"/>
  <c r="Q122" i="66"/>
  <c r="Q123" i="66" s="1"/>
  <c r="AF116" i="66"/>
  <c r="AB105" i="66"/>
  <c r="AF100" i="66"/>
  <c r="AF65" i="66"/>
  <c r="AF58" i="66"/>
  <c r="AF134" i="66"/>
  <c r="AF51" i="66"/>
  <c r="AF39" i="66"/>
  <c r="V122" i="66"/>
  <c r="V123" i="66" s="1"/>
  <c r="AG122" i="66"/>
  <c r="AG123" i="66" s="1"/>
  <c r="AB107" i="66"/>
  <c r="AF93" i="66"/>
  <c r="AB48" i="66"/>
  <c r="AA121" i="66"/>
  <c r="AB121" i="66" s="1"/>
  <c r="AA53" i="66"/>
  <c r="O122" i="66"/>
  <c r="O123" i="66" s="1"/>
  <c r="T122" i="66"/>
  <c r="T123" i="66" s="1"/>
  <c r="AD122" i="66"/>
  <c r="AE122" i="66" s="1"/>
  <c r="S122" i="66"/>
  <c r="S123" i="66" s="1"/>
  <c r="AB115" i="66"/>
  <c r="AF66" i="66"/>
  <c r="AA63" i="66"/>
  <c r="AA64" i="66" s="1"/>
  <c r="AF56" i="66"/>
  <c r="AB47" i="66"/>
  <c r="AF41" i="66"/>
  <c r="AA89" i="54"/>
  <c r="AA90" i="54"/>
  <c r="AA80" i="54"/>
  <c r="AA81" i="54"/>
  <c r="AA93" i="54"/>
  <c r="AA91" i="54"/>
  <c r="AA82" i="54"/>
  <c r="AA95" i="54"/>
  <c r="AA92" i="54"/>
  <c r="AA83" i="54"/>
  <c r="AA94" i="54"/>
  <c r="AA84" i="54"/>
  <c r="AA85" i="54"/>
  <c r="AA96" i="54"/>
  <c r="AB120" i="66"/>
  <c r="AF120" i="66"/>
  <c r="AF52" i="68"/>
  <c r="AA54" i="68"/>
  <c r="AF62" i="66"/>
  <c r="AF71" i="68"/>
  <c r="AA73" i="68"/>
  <c r="AF42" i="70"/>
  <c r="AF121" i="66"/>
  <c r="AA43" i="68"/>
  <c r="AA85" i="66"/>
  <c r="AF85" i="66" s="1"/>
  <c r="AB76" i="66"/>
  <c r="AA71" i="66"/>
  <c r="AB59" i="66"/>
  <c r="AB57" i="66"/>
  <c r="AB55" i="66"/>
  <c r="AA52" i="66"/>
  <c r="AF70" i="68"/>
  <c r="AA63" i="68"/>
  <c r="AB49" i="68"/>
  <c r="AB47" i="68"/>
  <c r="AB45" i="68"/>
  <c r="AA42" i="68"/>
  <c r="AB61" i="70"/>
  <c r="AA53" i="70"/>
  <c r="AB39" i="70"/>
  <c r="AB37" i="70"/>
  <c r="AB35" i="70"/>
  <c r="AA147" i="17"/>
  <c r="AA144" i="17"/>
  <c r="U148" i="17"/>
  <c r="AB83" i="17"/>
  <c r="AF76" i="17"/>
  <c r="AA77" i="17"/>
  <c r="AA93" i="17"/>
  <c r="AB76" i="17"/>
  <c r="AA78" i="17"/>
  <c r="AF37" i="17"/>
  <c r="AB61" i="68"/>
  <c r="AB37" i="68"/>
  <c r="AB105" i="70"/>
  <c r="AB103" i="70"/>
  <c r="AB99" i="70"/>
  <c r="AB97" i="70"/>
  <c r="AB95" i="70"/>
  <c r="AB91" i="70"/>
  <c r="AB89" i="70"/>
  <c r="AB70" i="70"/>
  <c r="AB68" i="70"/>
  <c r="AB66" i="70"/>
  <c r="AB51" i="70"/>
  <c r="AE141" i="17"/>
  <c r="AF72" i="17"/>
  <c r="AB72" i="17"/>
  <c r="AA51" i="17"/>
  <c r="AF48" i="17"/>
  <c r="AB123" i="59"/>
  <c r="AA43" i="66"/>
  <c r="AB41" i="68"/>
  <c r="AA142" i="17"/>
  <c r="AF39" i="17"/>
  <c r="AA42" i="17"/>
  <c r="AF130" i="66"/>
  <c r="U122" i="66"/>
  <c r="U123" i="66" s="1"/>
  <c r="AF38" i="66"/>
  <c r="AF36" i="66"/>
  <c r="AF102" i="68"/>
  <c r="AF90" i="68"/>
  <c r="AF88" i="68"/>
  <c r="Y148" i="17"/>
  <c r="Q148" i="17"/>
  <c r="AA141" i="17"/>
  <c r="AA86" i="17"/>
  <c r="AA87" i="17"/>
  <c r="AF85" i="17"/>
  <c r="AF136" i="66"/>
  <c r="AA77" i="66"/>
  <c r="AA62" i="70"/>
  <c r="AF159" i="17"/>
  <c r="AF74" i="17"/>
  <c r="AB74" i="17"/>
  <c r="AA50" i="17"/>
  <c r="AF35" i="17"/>
  <c r="AA86" i="66"/>
  <c r="AF86" i="66" s="1"/>
  <c r="AF76" i="66"/>
  <c r="AF59" i="66"/>
  <c r="AA62" i="68"/>
  <c r="AF49" i="68"/>
  <c r="AA71" i="70"/>
  <c r="AF61" i="70"/>
  <c r="AA52" i="70"/>
  <c r="AF39" i="70"/>
  <c r="AA143" i="17"/>
  <c r="AA41" i="17"/>
  <c r="AE126" i="59"/>
  <c r="AD127" i="59"/>
  <c r="AF170" i="17"/>
  <c r="AA145" i="17"/>
  <c r="V148" i="17"/>
  <c r="AB134" i="59"/>
  <c r="AB79" i="59"/>
  <c r="AB77" i="59"/>
  <c r="AB75" i="59"/>
  <c r="AA72" i="59"/>
  <c r="AF59" i="59"/>
  <c r="AF65" i="6"/>
  <c r="AA150" i="6"/>
  <c r="AF150" i="6" s="1"/>
  <c r="AA146" i="6"/>
  <c r="AF146" i="6" s="1"/>
  <c r="AF61" i="6"/>
  <c r="AA110" i="17"/>
  <c r="AF110" i="17" s="1"/>
  <c r="AB140" i="59"/>
  <c r="AB125" i="59"/>
  <c r="AB121" i="59"/>
  <c r="AB119" i="59"/>
  <c r="AB117" i="59"/>
  <c r="AB115" i="59"/>
  <c r="AB111" i="59"/>
  <c r="AB109" i="59"/>
  <c r="AB107" i="59"/>
  <c r="AB103" i="59"/>
  <c r="AB101" i="59"/>
  <c r="AB99" i="59"/>
  <c r="AB69" i="59"/>
  <c r="AB67" i="59"/>
  <c r="AB65" i="59"/>
  <c r="AB37" i="59"/>
  <c r="AF49" i="6"/>
  <c r="AA134" i="6"/>
  <c r="AF134" i="6" s="1"/>
  <c r="AA130" i="6"/>
  <c r="AF130" i="6" s="1"/>
  <c r="AF45" i="6"/>
  <c r="AF98" i="6"/>
  <c r="AB98" i="6"/>
  <c r="AA142" i="6"/>
  <c r="AF142" i="6" s="1"/>
  <c r="AA122" i="6"/>
  <c r="AF122" i="6" s="1"/>
  <c r="AF37" i="6"/>
  <c r="AF156" i="17"/>
  <c r="AF104" i="17"/>
  <c r="AF84" i="17"/>
  <c r="AF82" i="17"/>
  <c r="AF80" i="17"/>
  <c r="AF49" i="17"/>
  <c r="AF47" i="17"/>
  <c r="AF45" i="17"/>
  <c r="O126" i="59"/>
  <c r="AA124" i="59"/>
  <c r="AA88" i="59"/>
  <c r="AF88" i="59" s="1"/>
  <c r="AF36" i="59"/>
  <c r="AB36" i="59"/>
  <c r="AA148" i="6"/>
  <c r="AF148" i="6" s="1"/>
  <c r="AF63" i="6"/>
  <c r="AF55" i="16"/>
  <c r="AF56" i="17"/>
  <c r="AF54" i="17"/>
  <c r="AF87" i="59"/>
  <c r="AF83" i="59"/>
  <c r="AF48" i="59"/>
  <c r="AF46" i="59"/>
  <c r="AA43" i="59"/>
  <c r="AB38" i="59"/>
  <c r="AB35" i="59"/>
  <c r="AF59" i="6"/>
  <c r="AA144" i="6"/>
  <c r="AF144" i="6" s="1"/>
  <c r="AA140" i="6"/>
  <c r="AF140" i="6" s="1"/>
  <c r="AF55" i="6"/>
  <c r="AA136" i="6"/>
  <c r="AF136" i="6" s="1"/>
  <c r="AF51" i="6"/>
  <c r="AA132" i="6"/>
  <c r="AF132" i="6" s="1"/>
  <c r="AF47" i="6"/>
  <c r="AF35" i="6"/>
  <c r="AA120" i="6"/>
  <c r="AF120" i="6" s="1"/>
  <c r="AA128" i="6"/>
  <c r="AF128" i="6" s="1"/>
  <c r="AF43" i="6"/>
  <c r="AA124" i="6"/>
  <c r="AF124" i="6" s="1"/>
  <c r="AF39" i="6"/>
  <c r="AA126" i="6"/>
  <c r="AF126" i="6" s="1"/>
  <c r="AA135" i="6"/>
  <c r="AF135" i="6" s="1"/>
  <c r="AA131" i="6"/>
  <c r="AF131" i="6" s="1"/>
  <c r="AA123" i="6"/>
  <c r="AF123" i="6" s="1"/>
  <c r="AA145" i="6"/>
  <c r="AF145" i="6" s="1"/>
  <c r="AA141" i="6"/>
  <c r="AF141" i="6" s="1"/>
  <c r="AF64" i="6"/>
  <c r="AF62" i="6"/>
  <c r="AF60" i="6"/>
  <c r="AF58" i="6"/>
  <c r="AF56" i="6"/>
  <c r="AF54" i="6"/>
  <c r="AB110" i="6"/>
  <c r="AA119" i="6"/>
  <c r="AF119" i="6" s="1"/>
  <c r="AB112" i="6"/>
  <c r="AE34" i="37"/>
  <c r="Z35" i="37"/>
  <c r="AE35" i="37" s="1"/>
  <c r="Z80" i="37"/>
  <c r="U62" i="37"/>
  <c r="U64" i="37"/>
  <c r="Z50" i="37"/>
  <c r="AA50" i="37" s="1"/>
  <c r="AE49" i="37"/>
  <c r="R50" i="37"/>
  <c r="R51" i="37"/>
  <c r="R52" i="37" s="1"/>
  <c r="R61" i="37"/>
  <c r="AA48" i="37"/>
  <c r="AE48" i="37"/>
  <c r="Z59" i="37"/>
  <c r="N52" i="37"/>
  <c r="AF47" i="39"/>
  <c r="AB47" i="39"/>
  <c r="AE78" i="37"/>
  <c r="Y44" i="37"/>
  <c r="Y51" i="37"/>
  <c r="Y52" i="37" s="1"/>
  <c r="Y61" i="37"/>
  <c r="Q44" i="37"/>
  <c r="Q51" i="37"/>
  <c r="Q52" i="37" s="1"/>
  <c r="Q61" i="37"/>
  <c r="AF136" i="39"/>
  <c r="AA121" i="39"/>
  <c r="P126" i="39"/>
  <c r="P127" i="39" s="1"/>
  <c r="W61" i="37"/>
  <c r="O61" i="37"/>
  <c r="X44" i="37"/>
  <c r="X51" i="37"/>
  <c r="X52" i="37" s="1"/>
  <c r="X61" i="37"/>
  <c r="P44" i="37"/>
  <c r="P51" i="37"/>
  <c r="P52" i="37" s="1"/>
  <c r="P61" i="37"/>
  <c r="T62" i="37"/>
  <c r="T64" i="37"/>
  <c r="AA46" i="37"/>
  <c r="AE46" i="37"/>
  <c r="R126" i="39"/>
  <c r="R127" i="39" s="1"/>
  <c r="AA124" i="39"/>
  <c r="AF76" i="39"/>
  <c r="AB76" i="39"/>
  <c r="AB125" i="55"/>
  <c r="AF61" i="37"/>
  <c r="AF50" i="37"/>
  <c r="Z43" i="37"/>
  <c r="N61" i="37"/>
  <c r="AA98" i="37"/>
  <c r="AA100" i="37"/>
  <c r="AA102" i="37"/>
  <c r="AA104" i="37"/>
  <c r="Z36" i="37"/>
  <c r="AE36" i="37" s="1"/>
  <c r="Z37" i="37"/>
  <c r="AE37" i="37" s="1"/>
  <c r="AA101" i="37"/>
  <c r="AF77" i="55"/>
  <c r="AB77" i="55"/>
  <c r="AB125" i="58"/>
  <c r="AF125" i="58"/>
  <c r="AA122" i="39"/>
  <c r="AB78" i="39"/>
  <c r="AA52" i="39"/>
  <c r="AF49" i="39"/>
  <c r="AB49" i="39"/>
  <c r="AA122" i="55"/>
  <c r="AA73" i="39"/>
  <c r="AF71" i="39"/>
  <c r="AA72" i="39"/>
  <c r="AB71" i="39"/>
  <c r="AB101" i="56"/>
  <c r="AF101" i="56"/>
  <c r="AE42" i="37"/>
  <c r="AE40" i="37"/>
  <c r="AF61" i="39"/>
  <c r="AA63" i="39"/>
  <c r="AF39" i="39"/>
  <c r="AA42" i="39"/>
  <c r="AF79" i="55"/>
  <c r="AA82" i="55"/>
  <c r="AB79" i="55"/>
  <c r="AA64" i="55"/>
  <c r="AF62" i="55"/>
  <c r="AD126" i="39"/>
  <c r="AE123" i="39"/>
  <c r="AF134" i="55"/>
  <c r="AA124" i="55"/>
  <c r="AA123" i="55"/>
  <c r="O126" i="55"/>
  <c r="AF93" i="55"/>
  <c r="AF80" i="39"/>
  <c r="AA81" i="39"/>
  <c r="AA82" i="39"/>
  <c r="AA53" i="39"/>
  <c r="AF45" i="39"/>
  <c r="AB45" i="39"/>
  <c r="Q126" i="55"/>
  <c r="Q127" i="55" s="1"/>
  <c r="AF75" i="55"/>
  <c r="AB75" i="55"/>
  <c r="AD105" i="37"/>
  <c r="AD103" i="37"/>
  <c r="AD101" i="37"/>
  <c r="AD99" i="37"/>
  <c r="Y126" i="39"/>
  <c r="Y127" i="39" s="1"/>
  <c r="Q126" i="39"/>
  <c r="Q127" i="39" s="1"/>
  <c r="T126" i="55"/>
  <c r="T127" i="55" s="1"/>
  <c r="AA81" i="55"/>
  <c r="AE126" i="56"/>
  <c r="AD127" i="56"/>
  <c r="AB121" i="56"/>
  <c r="AA72" i="55"/>
  <c r="AB56" i="56"/>
  <c r="AF56" i="56"/>
  <c r="AB125" i="62"/>
  <c r="AF125" i="62"/>
  <c r="AB138" i="56"/>
  <c r="AF138" i="56"/>
  <c r="AB125" i="56"/>
  <c r="AF125" i="56"/>
  <c r="Z126" i="56"/>
  <c r="Z127" i="56" s="1"/>
  <c r="R126" i="56"/>
  <c r="R127" i="56" s="1"/>
  <c r="AB103" i="56"/>
  <c r="AA62" i="56"/>
  <c r="AF59" i="56"/>
  <c r="AB59" i="56"/>
  <c r="AF55" i="56"/>
  <c r="AB55" i="56"/>
  <c r="AB41" i="56"/>
  <c r="AA43" i="56"/>
  <c r="AF41" i="56"/>
  <c r="AF134" i="39"/>
  <c r="AF79" i="39"/>
  <c r="AF77" i="39"/>
  <c r="AF75" i="39"/>
  <c r="AF38" i="39"/>
  <c r="AF36" i="39"/>
  <c r="AF136" i="57"/>
  <c r="AB136" i="57"/>
  <c r="AF58" i="64"/>
  <c r="AB58" i="64"/>
  <c r="AF58" i="55"/>
  <c r="AF56" i="55"/>
  <c r="AF41" i="55"/>
  <c r="AF36" i="55"/>
  <c r="AA124" i="56"/>
  <c r="AF115" i="56"/>
  <c r="AB58" i="56"/>
  <c r="AF58" i="56"/>
  <c r="AF130" i="39"/>
  <c r="AF59" i="39"/>
  <c r="AF57" i="39"/>
  <c r="AF55" i="39"/>
  <c r="AF83" i="55"/>
  <c r="AF48" i="55"/>
  <c r="AF46" i="55"/>
  <c r="AA123" i="56"/>
  <c r="O126" i="56"/>
  <c r="AA122" i="56"/>
  <c r="AB124" i="57"/>
  <c r="AA122" i="62"/>
  <c r="V126" i="62"/>
  <c r="V127" i="62" s="1"/>
  <c r="AA62" i="39"/>
  <c r="AD126" i="55"/>
  <c r="V126" i="56"/>
  <c r="V127" i="56" s="1"/>
  <c r="AF119" i="56"/>
  <c r="AF99" i="56"/>
  <c r="AF81" i="56"/>
  <c r="AF57" i="56"/>
  <c r="AB57" i="56"/>
  <c r="U126" i="56"/>
  <c r="U127" i="56" s="1"/>
  <c r="AA124" i="62"/>
  <c r="AB37" i="62"/>
  <c r="AF37" i="62"/>
  <c r="AA93" i="62"/>
  <c r="AF93" i="62" s="1"/>
  <c r="AA94" i="62"/>
  <c r="AF94" i="62" s="1"/>
  <c r="AB87" i="62"/>
  <c r="AB80" i="62"/>
  <c r="AA82" i="62"/>
  <c r="AF80" i="62"/>
  <c r="AA81" i="62"/>
  <c r="AB61" i="62"/>
  <c r="AA63" i="62"/>
  <c r="AF61" i="62"/>
  <c r="AA62" i="62"/>
  <c r="AA125" i="64"/>
  <c r="AA124" i="58"/>
  <c r="O126" i="58"/>
  <c r="AB80" i="56"/>
  <c r="AB45" i="57"/>
  <c r="AF45" i="57"/>
  <c r="AE121" i="62"/>
  <c r="AD126" i="62"/>
  <c r="AA54" i="56"/>
  <c r="AF56" i="57"/>
  <c r="AB41" i="57"/>
  <c r="AA43" i="57"/>
  <c r="AB39" i="62"/>
  <c r="AA42" i="62"/>
  <c r="AF39" i="62"/>
  <c r="AF41" i="64"/>
  <c r="AA42" i="64"/>
  <c r="AA43" i="64"/>
  <c r="AB41" i="64"/>
  <c r="AF134" i="56"/>
  <c r="AA125" i="57"/>
  <c r="AA123" i="57"/>
  <c r="Y126" i="57"/>
  <c r="Y127" i="57" s="1"/>
  <c r="Q126" i="57"/>
  <c r="Q127" i="57" s="1"/>
  <c r="AB71" i="57"/>
  <c r="AA73" i="57"/>
  <c r="AF71" i="57"/>
  <c r="AA72" i="57"/>
  <c r="AB47" i="57"/>
  <c r="AF47" i="57"/>
  <c r="AA88" i="62"/>
  <c r="AF88" i="62" s="1"/>
  <c r="AB76" i="62"/>
  <c r="AF76" i="62"/>
  <c r="AA72" i="56"/>
  <c r="AA122" i="57"/>
  <c r="AA121" i="57"/>
  <c r="AF58" i="57"/>
  <c r="AB49" i="57"/>
  <c r="AA52" i="57"/>
  <c r="AF49" i="57"/>
  <c r="Q126" i="62"/>
  <c r="Q127" i="62" s="1"/>
  <c r="AA123" i="62"/>
  <c r="W126" i="62"/>
  <c r="W127" i="62" s="1"/>
  <c r="O126" i="62"/>
  <c r="AF87" i="62"/>
  <c r="AB78" i="62"/>
  <c r="AF78" i="62"/>
  <c r="AE123" i="57"/>
  <c r="AB35" i="62"/>
  <c r="AF35" i="62"/>
  <c r="AE122" i="64"/>
  <c r="AD126" i="64"/>
  <c r="AA53" i="64"/>
  <c r="AF51" i="64"/>
  <c r="AA52" i="64"/>
  <c r="AB51" i="64"/>
  <c r="AF116" i="64"/>
  <c r="AB116" i="64"/>
  <c r="AF106" i="64"/>
  <c r="AB106" i="64"/>
  <c r="AF79" i="57"/>
  <c r="AF77" i="57"/>
  <c r="AF75" i="57"/>
  <c r="AF36" i="57"/>
  <c r="AA123" i="64"/>
  <c r="AF118" i="64"/>
  <c r="AB118" i="64"/>
  <c r="AF108" i="64"/>
  <c r="AB108" i="64"/>
  <c r="AF98" i="64"/>
  <c r="AB98" i="64"/>
  <c r="AF66" i="64"/>
  <c r="AB66" i="64"/>
  <c r="AB121" i="58"/>
  <c r="AF121" i="58"/>
  <c r="AF59" i="57"/>
  <c r="AF57" i="57"/>
  <c r="AF55" i="57"/>
  <c r="AF132" i="64"/>
  <c r="AB132" i="64"/>
  <c r="AB56" i="64"/>
  <c r="Q126" i="58"/>
  <c r="Q127" i="58" s="1"/>
  <c r="AA123" i="58"/>
  <c r="AA81" i="57"/>
  <c r="AA62" i="57"/>
  <c r="AA121" i="62"/>
  <c r="AA52" i="62"/>
  <c r="AB136" i="64"/>
  <c r="AF136" i="64"/>
  <c r="AA122" i="64"/>
  <c r="W126" i="64"/>
  <c r="W127" i="64" s="1"/>
  <c r="O126" i="64"/>
  <c r="AA121" i="64"/>
  <c r="AF110" i="64"/>
  <c r="AB110" i="64"/>
  <c r="AF100" i="64"/>
  <c r="AB100" i="64"/>
  <c r="AA88" i="64"/>
  <c r="AF88" i="64" s="1"/>
  <c r="AF85" i="64"/>
  <c r="AB85" i="64"/>
  <c r="AF68" i="64"/>
  <c r="AB68" i="64"/>
  <c r="U126" i="58"/>
  <c r="U127" i="58" s="1"/>
  <c r="AF80" i="57"/>
  <c r="AF61" i="57"/>
  <c r="AF39" i="57"/>
  <c r="AF85" i="62"/>
  <c r="AF51" i="62"/>
  <c r="AA124" i="64"/>
  <c r="P126" i="64"/>
  <c r="P127" i="64" s="1"/>
  <c r="V126" i="64"/>
  <c r="V127" i="64" s="1"/>
  <c r="AF114" i="64"/>
  <c r="AB114" i="64"/>
  <c r="AF102" i="64"/>
  <c r="AB102" i="64"/>
  <c r="AF138" i="58"/>
  <c r="AD126" i="58"/>
  <c r="AB58" i="58"/>
  <c r="AB56" i="58"/>
  <c r="AB41" i="58"/>
  <c r="AB122" i="58"/>
  <c r="AF59" i="64"/>
  <c r="AF57" i="64"/>
  <c r="AF55" i="64"/>
  <c r="AF136" i="58"/>
  <c r="AA62" i="64"/>
  <c r="AA94" i="58"/>
  <c r="AF94" i="58" s="1"/>
  <c r="AA93" i="58"/>
  <c r="AF93" i="58" s="1"/>
  <c r="AA52" i="58"/>
  <c r="AF78" i="64"/>
  <c r="AF76" i="64"/>
  <c r="AF61" i="64"/>
  <c r="AF132" i="58"/>
  <c r="AF118" i="58"/>
  <c r="AF116" i="58"/>
  <c r="AF114" i="58"/>
  <c r="AF110" i="58"/>
  <c r="AF108" i="58"/>
  <c r="AF106" i="58"/>
  <c r="AF102" i="58"/>
  <c r="AF100" i="58"/>
  <c r="AF98" i="58"/>
  <c r="AF85" i="58"/>
  <c r="AF68" i="58"/>
  <c r="AF66" i="58"/>
  <c r="AF51" i="58"/>
  <c r="AA42" i="58"/>
  <c r="AA88" i="58"/>
  <c r="AF88" i="58" s="1"/>
  <c r="AA53" i="58"/>
  <c r="AF41" i="58"/>
  <c r="K89" i="54"/>
  <c r="M89" i="54"/>
  <c r="K90" i="54"/>
  <c r="AA77" i="54"/>
  <c r="M77" i="54"/>
  <c r="K77" i="54"/>
  <c r="M80" i="54"/>
  <c r="K80" i="54"/>
  <c r="M81" i="54"/>
  <c r="K81" i="54"/>
  <c r="K93" i="54"/>
  <c r="K91" i="54"/>
  <c r="K82" i="54"/>
  <c r="M82" i="54"/>
  <c r="K95" i="54"/>
  <c r="K92" i="54"/>
  <c r="K83" i="54"/>
  <c r="M83" i="54"/>
  <c r="K94" i="54"/>
  <c r="M94" i="54"/>
  <c r="K84" i="54"/>
  <c r="M84" i="54"/>
  <c r="M85" i="54"/>
  <c r="K85" i="54"/>
  <c r="K96" i="54"/>
  <c r="AH69" i="54"/>
  <c r="AH68" i="54"/>
  <c r="AH67" i="54"/>
  <c r="AH66" i="54"/>
  <c r="AH65" i="54"/>
  <c r="AH56" i="54"/>
  <c r="AH53" i="54"/>
  <c r="AH52" i="54"/>
  <c r="AH51" i="54"/>
  <c r="AH50" i="54"/>
  <c r="AH46" i="54"/>
  <c r="AH44" i="54"/>
  <c r="AH42" i="54"/>
  <c r="AH41" i="54"/>
  <c r="AH39" i="54"/>
  <c r="AH37" i="54"/>
  <c r="AH36" i="54"/>
  <c r="AH84" i="63"/>
  <c r="AE84" i="63"/>
  <c r="AH80" i="63"/>
  <c r="AE80" i="63"/>
  <c r="AH77" i="63"/>
  <c r="AE77" i="63"/>
  <c r="L69" i="54"/>
  <c r="N67" i="54"/>
  <c r="I64" i="54"/>
  <c r="J63" i="54"/>
  <c r="L57" i="54"/>
  <c r="N55" i="54"/>
  <c r="I52" i="54"/>
  <c r="J51" i="54"/>
  <c r="L49" i="54"/>
  <c r="N47" i="54"/>
  <c r="I44" i="54"/>
  <c r="J43" i="54"/>
  <c r="L41" i="54"/>
  <c r="N39" i="54"/>
  <c r="I36" i="54"/>
  <c r="N38" i="54"/>
  <c r="N37" i="54"/>
  <c r="L38" i="54"/>
  <c r="L45" i="54"/>
  <c r="I40" i="54"/>
  <c r="L37" i="54"/>
  <c r="L36" i="54"/>
  <c r="I38" i="54"/>
  <c r="M93" i="54"/>
  <c r="M95" i="54"/>
  <c r="J70" i="54"/>
  <c r="L68" i="54"/>
  <c r="N66" i="54"/>
  <c r="I63" i="54"/>
  <c r="J58" i="54"/>
  <c r="L56" i="54"/>
  <c r="N54" i="54"/>
  <c r="I51" i="54"/>
  <c r="J50" i="54"/>
  <c r="L48" i="54"/>
  <c r="N46" i="54"/>
  <c r="I43" i="54"/>
  <c r="J42" i="54"/>
  <c r="L40" i="54"/>
  <c r="I41" i="54"/>
  <c r="J38" i="54"/>
  <c r="I37" i="54"/>
  <c r="M91" i="54"/>
  <c r="I70" i="54"/>
  <c r="J69" i="54"/>
  <c r="L67" i="54"/>
  <c r="N65" i="54"/>
  <c r="I58" i="54"/>
  <c r="J57" i="54"/>
  <c r="L55" i="54"/>
  <c r="N53" i="54"/>
  <c r="I50" i="54"/>
  <c r="J49" i="54"/>
  <c r="L47" i="54"/>
  <c r="N45" i="54"/>
  <c r="I42" i="54"/>
  <c r="J41" i="54"/>
  <c r="L39" i="54"/>
  <c r="J39" i="54"/>
  <c r="J37" i="54"/>
  <c r="M92" i="54"/>
  <c r="M96" i="54"/>
  <c r="I69" i="54"/>
  <c r="J68" i="54"/>
  <c r="L66" i="54"/>
  <c r="N64" i="54"/>
  <c r="I57" i="54"/>
  <c r="J56" i="54"/>
  <c r="L54" i="54"/>
  <c r="N52" i="54"/>
  <c r="I49" i="54"/>
  <c r="J48" i="54"/>
  <c r="L46" i="54"/>
  <c r="N44" i="54"/>
  <c r="J40" i="54"/>
  <c r="N36" i="54"/>
  <c r="M90" i="54"/>
  <c r="I68" i="54"/>
  <c r="J67" i="54"/>
  <c r="L65" i="54"/>
  <c r="N63" i="54"/>
  <c r="I56" i="54"/>
  <c r="J55" i="54"/>
  <c r="L53" i="54"/>
  <c r="N51" i="54"/>
  <c r="I48" i="54"/>
  <c r="J47" i="54"/>
  <c r="N43" i="54"/>
  <c r="N70" i="54"/>
  <c r="I67" i="54"/>
  <c r="J66" i="54"/>
  <c r="L64" i="54"/>
  <c r="N58" i="54"/>
  <c r="I55" i="54"/>
  <c r="J54" i="54"/>
  <c r="L52" i="54"/>
  <c r="N50" i="54"/>
  <c r="I47" i="54"/>
  <c r="J46" i="54"/>
  <c r="L44" i="54"/>
  <c r="N42" i="54"/>
  <c r="I39" i="54"/>
  <c r="J36" i="54"/>
  <c r="N69" i="54"/>
  <c r="I66" i="54"/>
  <c r="J65" i="54"/>
  <c r="L63" i="54"/>
  <c r="N57" i="54"/>
  <c r="I54" i="54"/>
  <c r="J53" i="54"/>
  <c r="L51" i="54"/>
  <c r="N49" i="54"/>
  <c r="I46" i="54"/>
  <c r="J45" i="54"/>
  <c r="L43" i="54"/>
  <c r="N41" i="54"/>
  <c r="L70" i="54"/>
  <c r="N68" i="54"/>
  <c r="I65" i="54"/>
  <c r="J64" i="54"/>
  <c r="L58" i="54"/>
  <c r="N56" i="54"/>
  <c r="I53" i="54"/>
  <c r="J52" i="54"/>
  <c r="L50" i="54"/>
  <c r="N48" i="54"/>
  <c r="I45" i="54"/>
  <c r="J44" i="54"/>
  <c r="L42" i="54"/>
  <c r="N40" i="54"/>
  <c r="N80" i="63"/>
  <c r="L84" i="63"/>
  <c r="L80" i="63"/>
  <c r="J84" i="63"/>
  <c r="J80" i="63"/>
  <c r="N77" i="63"/>
  <c r="L77" i="63"/>
  <c r="I84" i="63"/>
  <c r="J77" i="63"/>
  <c r="I77" i="63"/>
  <c r="I80" i="63"/>
  <c r="N84" i="63"/>
  <c r="AA44" i="66" l="1"/>
  <c r="AA84" i="59"/>
  <c r="AF146" i="17"/>
  <c r="AN40" i="118"/>
  <c r="AM40" i="118"/>
  <c r="AN64" i="103"/>
  <c r="AM64" i="103"/>
  <c r="AB119" i="66"/>
  <c r="AF122" i="59"/>
  <c r="AN41" i="111"/>
  <c r="AM41" i="111"/>
  <c r="AM69" i="106"/>
  <c r="AN69" i="106"/>
  <c r="AA61" i="17"/>
  <c r="AB121" i="55"/>
  <c r="AN50" i="108"/>
  <c r="AM50" i="108"/>
  <c r="AF148" i="74"/>
  <c r="AI148" i="74"/>
  <c r="AM36" i="103"/>
  <c r="AN36" i="103"/>
  <c r="AF72" i="62"/>
  <c r="AA44" i="57"/>
  <c r="AN39" i="117"/>
  <c r="AM39" i="117"/>
  <c r="AF140" i="74"/>
  <c r="AI140" i="74"/>
  <c r="AF144" i="74"/>
  <c r="AI144" i="74"/>
  <c r="AA79" i="70"/>
  <c r="AN40" i="108"/>
  <c r="AM40" i="108"/>
  <c r="AM37" i="105"/>
  <c r="AN37" i="105"/>
  <c r="AN92" i="107"/>
  <c r="AM92" i="107"/>
  <c r="AM38" i="101"/>
  <c r="AL38" i="101"/>
  <c r="AM49" i="117"/>
  <c r="AN49" i="117"/>
  <c r="AM49" i="119"/>
  <c r="AN49" i="119"/>
  <c r="AM56" i="117"/>
  <c r="AN56" i="117"/>
  <c r="AM35" i="111"/>
  <c r="AN35" i="111"/>
  <c r="AD60" i="117"/>
  <c r="AE60" i="117" s="1"/>
  <c r="AK53" i="117"/>
  <c r="AE53" i="117"/>
  <c r="AM65" i="111"/>
  <c r="AN65" i="111"/>
  <c r="AM38" i="110"/>
  <c r="AN38" i="110"/>
  <c r="AM45" i="110"/>
  <c r="AN45" i="110"/>
  <c r="AM53" i="111"/>
  <c r="AN53" i="111"/>
  <c r="AM47" i="108"/>
  <c r="AN47" i="108"/>
  <c r="AH96" i="107"/>
  <c r="AG100" i="107"/>
  <c r="AL96" i="107"/>
  <c r="AJ85" i="107"/>
  <c r="AI85" i="107"/>
  <c r="AB85" i="107"/>
  <c r="AF85" i="107"/>
  <c r="AK96" i="107"/>
  <c r="AD100" i="107"/>
  <c r="AE96" i="107"/>
  <c r="AN38" i="107"/>
  <c r="AM38" i="107"/>
  <c r="AM64" i="106"/>
  <c r="AN64" i="106"/>
  <c r="AM62" i="105"/>
  <c r="AN62" i="105"/>
  <c r="AM39" i="107"/>
  <c r="AN39" i="107"/>
  <c r="AN69" i="105"/>
  <c r="AM69" i="105"/>
  <c r="AM38" i="104"/>
  <c r="AN38" i="104"/>
  <c r="AL47" i="101"/>
  <c r="AM47" i="101"/>
  <c r="AN80" i="107"/>
  <c r="AM80" i="107"/>
  <c r="AJ58" i="101"/>
  <c r="AD58" i="101"/>
  <c r="AM57" i="104"/>
  <c r="AN57" i="104"/>
  <c r="AN78" i="73"/>
  <c r="AL78" i="73"/>
  <c r="AN38" i="73"/>
  <c r="AL38" i="73"/>
  <c r="AF72" i="75"/>
  <c r="AI72" i="75"/>
  <c r="AN67" i="73"/>
  <c r="AL67" i="73"/>
  <c r="AL85" i="73"/>
  <c r="AN85" i="73"/>
  <c r="AN51" i="73"/>
  <c r="AL51" i="73"/>
  <c r="AM65" i="119"/>
  <c r="AN65" i="119"/>
  <c r="AM82" i="107"/>
  <c r="AN82" i="107"/>
  <c r="AM37" i="119"/>
  <c r="AN37" i="119"/>
  <c r="AD59" i="118"/>
  <c r="AE59" i="118" s="1"/>
  <c r="AK52" i="118"/>
  <c r="AE52" i="118"/>
  <c r="AM58" i="111"/>
  <c r="AN58" i="111"/>
  <c r="AM42" i="111"/>
  <c r="AN42" i="111"/>
  <c r="AM42" i="110"/>
  <c r="AN42" i="110"/>
  <c r="AJ89" i="107"/>
  <c r="AF89" i="107"/>
  <c r="AB89" i="107"/>
  <c r="AI89" i="107"/>
  <c r="AM42" i="107"/>
  <c r="AN42" i="107"/>
  <c r="AM66" i="105"/>
  <c r="AN66" i="105"/>
  <c r="AM41" i="108"/>
  <c r="AN41" i="108"/>
  <c r="AM43" i="107"/>
  <c r="AN43" i="107"/>
  <c r="AM61" i="106"/>
  <c r="AN61" i="106"/>
  <c r="AM36" i="108"/>
  <c r="AN36" i="108"/>
  <c r="AF78" i="107"/>
  <c r="AB78" i="107"/>
  <c r="AJ78" i="107"/>
  <c r="AI78" i="107"/>
  <c r="AM35" i="105"/>
  <c r="AN35" i="105"/>
  <c r="AM49" i="104"/>
  <c r="AN49" i="104"/>
  <c r="AI52" i="101"/>
  <c r="AE52" i="101"/>
  <c r="AA52" i="101"/>
  <c r="AH52" i="101"/>
  <c r="AM56" i="106"/>
  <c r="AN56" i="106"/>
  <c r="AM43" i="105"/>
  <c r="AN43" i="105"/>
  <c r="AM56" i="103"/>
  <c r="AN56" i="103"/>
  <c r="AL48" i="75"/>
  <c r="AN48" i="75"/>
  <c r="AN86" i="73"/>
  <c r="AL86" i="73"/>
  <c r="AL62" i="73"/>
  <c r="AN62" i="73"/>
  <c r="AN34" i="75"/>
  <c r="AL34" i="75"/>
  <c r="AN59" i="73"/>
  <c r="AL59" i="73"/>
  <c r="AI120" i="74"/>
  <c r="AF120" i="74"/>
  <c r="AI136" i="74"/>
  <c r="AF136" i="74"/>
  <c r="AN83" i="73"/>
  <c r="AL83" i="73"/>
  <c r="AL98" i="73"/>
  <c r="AN98" i="73"/>
  <c r="AN35" i="73"/>
  <c r="AL35" i="73"/>
  <c r="AM53" i="119"/>
  <c r="AN53" i="119"/>
  <c r="AM55" i="119"/>
  <c r="AN55" i="119"/>
  <c r="AG60" i="117"/>
  <c r="AH60" i="117" s="1"/>
  <c r="AL53" i="117"/>
  <c r="AH53" i="117"/>
  <c r="AM36" i="110"/>
  <c r="AN36" i="110"/>
  <c r="AM61" i="119"/>
  <c r="AN61" i="119"/>
  <c r="AM50" i="119"/>
  <c r="AN50" i="119"/>
  <c r="AM58" i="119"/>
  <c r="AN58" i="119"/>
  <c r="AM59" i="119"/>
  <c r="AN59" i="119"/>
  <c r="AM41" i="119"/>
  <c r="AN41" i="119"/>
  <c r="AM36" i="117"/>
  <c r="AN36" i="117"/>
  <c r="AM45" i="119"/>
  <c r="AN45" i="119"/>
  <c r="AN40" i="111"/>
  <c r="AM40" i="111"/>
  <c r="AM44" i="110"/>
  <c r="AN44" i="110"/>
  <c r="AM37" i="107"/>
  <c r="AN37" i="107"/>
  <c r="AJ91" i="107"/>
  <c r="AF91" i="107"/>
  <c r="AI91" i="107"/>
  <c r="AB91" i="107"/>
  <c r="AN46" i="107"/>
  <c r="AM46" i="107"/>
  <c r="AM47" i="107"/>
  <c r="AN47" i="107"/>
  <c r="AF86" i="107"/>
  <c r="AB86" i="107"/>
  <c r="AJ86" i="107"/>
  <c r="AI86" i="107"/>
  <c r="AN37" i="108"/>
  <c r="AM37" i="108"/>
  <c r="AM71" i="106"/>
  <c r="AN71" i="106"/>
  <c r="AI51" i="103"/>
  <c r="AJ51" i="103"/>
  <c r="AB51" i="103"/>
  <c r="AA70" i="103"/>
  <c r="AF51" i="103"/>
  <c r="AL34" i="101"/>
  <c r="AM34" i="101"/>
  <c r="AB58" i="105"/>
  <c r="AA77" i="105"/>
  <c r="AF58" i="105"/>
  <c r="AI58" i="105"/>
  <c r="AJ58" i="105"/>
  <c r="AL55" i="101"/>
  <c r="AM55" i="101"/>
  <c r="AL54" i="101"/>
  <c r="AM54" i="101"/>
  <c r="AL37" i="75"/>
  <c r="AN37" i="75"/>
  <c r="AN94" i="73"/>
  <c r="AL94" i="73"/>
  <c r="AI125" i="74"/>
  <c r="AF125" i="74"/>
  <c r="AN42" i="73"/>
  <c r="AL42" i="73"/>
  <c r="AL81" i="73"/>
  <c r="AN81" i="73"/>
  <c r="AL64" i="73"/>
  <c r="AN64" i="73"/>
  <c r="AN90" i="73"/>
  <c r="AL90" i="73"/>
  <c r="AL47" i="75"/>
  <c r="AN47" i="75"/>
  <c r="AL87" i="73"/>
  <c r="AN87" i="73"/>
  <c r="AL45" i="75"/>
  <c r="AN45" i="75"/>
  <c r="AN63" i="73"/>
  <c r="AL63" i="73"/>
  <c r="AI133" i="74"/>
  <c r="AF133" i="74"/>
  <c r="AL58" i="73"/>
  <c r="AN58" i="73"/>
  <c r="AL49" i="73"/>
  <c r="AN49" i="73"/>
  <c r="AL39" i="73"/>
  <c r="AN39" i="73"/>
  <c r="AN82" i="73"/>
  <c r="AL82" i="73"/>
  <c r="AL55" i="73"/>
  <c r="AN55" i="73"/>
  <c r="AM47" i="119"/>
  <c r="AN47" i="119"/>
  <c r="AM41" i="107"/>
  <c r="AN41" i="107"/>
  <c r="AM50" i="107"/>
  <c r="AN50" i="107"/>
  <c r="AM51" i="107"/>
  <c r="AN51" i="107"/>
  <c r="AM36" i="107"/>
  <c r="AN36" i="107"/>
  <c r="AM64" i="105"/>
  <c r="AN64" i="105"/>
  <c r="AM38" i="118"/>
  <c r="AN38" i="118"/>
  <c r="AG52" i="118"/>
  <c r="AL48" i="118"/>
  <c r="AH48" i="118"/>
  <c r="AI46" i="117"/>
  <c r="AJ46" i="117"/>
  <c r="AB46" i="117"/>
  <c r="AF46" i="117"/>
  <c r="AI46" i="118"/>
  <c r="AJ46" i="118"/>
  <c r="AB46" i="118"/>
  <c r="AF46" i="118"/>
  <c r="AJ44" i="111"/>
  <c r="AB44" i="111"/>
  <c r="AA67" i="111"/>
  <c r="AF44" i="111"/>
  <c r="AI44" i="111"/>
  <c r="AM57" i="111"/>
  <c r="AN57" i="111"/>
  <c r="AM45" i="107"/>
  <c r="AN45" i="107"/>
  <c r="AM40" i="107"/>
  <c r="AN40" i="107"/>
  <c r="AN87" i="107"/>
  <c r="AM87" i="107"/>
  <c r="AN79" i="107"/>
  <c r="AM79" i="107"/>
  <c r="AM63" i="105"/>
  <c r="AN63" i="105"/>
  <c r="AH40" i="101"/>
  <c r="AI40" i="101"/>
  <c r="AA40" i="101"/>
  <c r="Z62" i="101"/>
  <c r="AE40" i="101"/>
  <c r="AN88" i="107"/>
  <c r="AM88" i="107"/>
  <c r="AL57" i="101"/>
  <c r="AM57" i="101"/>
  <c r="AL66" i="73"/>
  <c r="AN66" i="73"/>
  <c r="AN74" i="73"/>
  <c r="AL74" i="73"/>
  <c r="AN91" i="73"/>
  <c r="AL91" i="73"/>
  <c r="AL77" i="73"/>
  <c r="AN77" i="73"/>
  <c r="AL93" i="73"/>
  <c r="AN93" i="73"/>
  <c r="AL41" i="73"/>
  <c r="AN41" i="73"/>
  <c r="AL80" i="73"/>
  <c r="AN80" i="73"/>
  <c r="AM50" i="118"/>
  <c r="AN50" i="118"/>
  <c r="AJ93" i="107"/>
  <c r="AB93" i="107"/>
  <c r="AI93" i="107"/>
  <c r="AF93" i="107"/>
  <c r="AM42" i="117"/>
  <c r="AN42" i="117"/>
  <c r="AF57" i="118"/>
  <c r="AI57" i="118"/>
  <c r="AJ57" i="118"/>
  <c r="AB57" i="118"/>
  <c r="AI51" i="117"/>
  <c r="AJ51" i="117"/>
  <c r="AB51" i="117"/>
  <c r="AF51" i="117"/>
  <c r="AM35" i="108"/>
  <c r="AN35" i="108"/>
  <c r="AM49" i="107"/>
  <c r="AN49" i="107"/>
  <c r="AJ77" i="107"/>
  <c r="AB77" i="107"/>
  <c r="AI77" i="107"/>
  <c r="AF77" i="107"/>
  <c r="AN48" i="108"/>
  <c r="AM48" i="108"/>
  <c r="AN37" i="106"/>
  <c r="AM37" i="106"/>
  <c r="AM44" i="107"/>
  <c r="AN44" i="107"/>
  <c r="AF44" i="104"/>
  <c r="AI44" i="104"/>
  <c r="AJ44" i="104"/>
  <c r="AB44" i="104"/>
  <c r="AA63" i="104"/>
  <c r="AM35" i="103"/>
  <c r="AN35" i="103"/>
  <c r="AL84" i="73"/>
  <c r="AN84" i="73"/>
  <c r="AL92" i="73"/>
  <c r="AN92" i="73"/>
  <c r="AL44" i="73"/>
  <c r="AN44" i="73"/>
  <c r="AN45" i="73"/>
  <c r="AL45" i="73"/>
  <c r="AL57" i="73"/>
  <c r="AN57" i="73"/>
  <c r="AI128" i="74"/>
  <c r="AF128" i="74"/>
  <c r="AN60" i="73"/>
  <c r="AL60" i="73"/>
  <c r="AL95" i="73"/>
  <c r="AN95" i="73"/>
  <c r="AA53" i="117"/>
  <c r="O60" i="117"/>
  <c r="AA60" i="117" s="1"/>
  <c r="AI58" i="117"/>
  <c r="AJ58" i="117"/>
  <c r="AB58" i="117"/>
  <c r="AF58" i="117"/>
  <c r="AF94" i="107"/>
  <c r="AB94" i="107"/>
  <c r="AJ94" i="107"/>
  <c r="AI94" i="107"/>
  <c r="AM50" i="104"/>
  <c r="AN50" i="104"/>
  <c r="AM62" i="111"/>
  <c r="AN62" i="111"/>
  <c r="AM39" i="118"/>
  <c r="AN39" i="118"/>
  <c r="AM44" i="119"/>
  <c r="AN44" i="119"/>
  <c r="AM38" i="119"/>
  <c r="AN38" i="119"/>
  <c r="AA48" i="118"/>
  <c r="AM50" i="111"/>
  <c r="AN50" i="111"/>
  <c r="AM39" i="108"/>
  <c r="AN39" i="108"/>
  <c r="AM44" i="108"/>
  <c r="AN44" i="108"/>
  <c r="AM53" i="107"/>
  <c r="AN53" i="107"/>
  <c r="AJ81" i="107"/>
  <c r="AF81" i="107"/>
  <c r="AB81" i="107"/>
  <c r="AI81" i="107"/>
  <c r="AM41" i="106"/>
  <c r="AN41" i="106"/>
  <c r="AM48" i="107"/>
  <c r="AN48" i="107"/>
  <c r="AM62" i="106"/>
  <c r="AN62" i="106"/>
  <c r="AM73" i="105"/>
  <c r="AN73" i="105"/>
  <c r="AM90" i="107"/>
  <c r="AN90" i="107"/>
  <c r="AM62" i="103"/>
  <c r="AN62" i="103"/>
  <c r="AM39" i="103"/>
  <c r="AN39" i="103"/>
  <c r="AM56" i="101"/>
  <c r="AL56" i="101"/>
  <c r="AL41" i="75"/>
  <c r="AN41" i="75"/>
  <c r="AL88" i="73"/>
  <c r="AN88" i="73"/>
  <c r="AL37" i="73"/>
  <c r="AN37" i="73"/>
  <c r="AL73" i="73"/>
  <c r="AN73" i="73"/>
  <c r="AL89" i="73"/>
  <c r="AN89" i="73"/>
  <c r="AN75" i="73"/>
  <c r="AL75" i="73"/>
  <c r="AL69" i="73"/>
  <c r="AN69" i="73"/>
  <c r="O100" i="107"/>
  <c r="AA96" i="107"/>
  <c r="AM49" i="108"/>
  <c r="AN49" i="108"/>
  <c r="AG58" i="101"/>
  <c r="AK58" i="101"/>
  <c r="AA58" i="101"/>
  <c r="AH58" i="101"/>
  <c r="AI58" i="101"/>
  <c r="AE58" i="101"/>
  <c r="AN48" i="119"/>
  <c r="AM48" i="119"/>
  <c r="O59" i="118"/>
  <c r="AA59" i="118" s="1"/>
  <c r="AA52" i="118"/>
  <c r="AI44" i="117"/>
  <c r="AJ44" i="117"/>
  <c r="AB44" i="117"/>
  <c r="AF44" i="117"/>
  <c r="AM37" i="117"/>
  <c r="AN37" i="117"/>
  <c r="AM34" i="110"/>
  <c r="AN34" i="110"/>
  <c r="AM43" i="108"/>
  <c r="AN43" i="108"/>
  <c r="AN45" i="108"/>
  <c r="AM45" i="108"/>
  <c r="AJ83" i="107"/>
  <c r="AB83" i="107"/>
  <c r="AI83" i="107"/>
  <c r="AF83" i="107"/>
  <c r="AM34" i="107"/>
  <c r="AN34" i="107"/>
  <c r="AM60" i="106"/>
  <c r="AN60" i="106"/>
  <c r="AM35" i="107"/>
  <c r="AN35" i="107"/>
  <c r="AM52" i="107"/>
  <c r="AN52" i="107"/>
  <c r="AM52" i="104"/>
  <c r="AN52" i="104"/>
  <c r="AM35" i="104"/>
  <c r="AN35" i="104"/>
  <c r="AN41" i="105"/>
  <c r="AM41" i="105"/>
  <c r="AN84" i="107"/>
  <c r="AM84" i="107"/>
  <c r="AM36" i="104"/>
  <c r="AN36" i="104"/>
  <c r="AM43" i="103"/>
  <c r="AN43" i="103"/>
  <c r="AL46" i="101"/>
  <c r="AM46" i="101"/>
  <c r="AL49" i="101"/>
  <c r="AM49" i="101"/>
  <c r="AL53" i="101"/>
  <c r="AM53" i="101"/>
  <c r="AN97" i="73"/>
  <c r="AL97" i="73"/>
  <c r="AN56" i="73"/>
  <c r="AL56" i="73"/>
  <c r="AL46" i="73"/>
  <c r="AN46" i="73"/>
  <c r="AL47" i="73"/>
  <c r="AN47" i="73"/>
  <c r="AL79" i="73"/>
  <c r="AN79" i="73"/>
  <c r="AN68" i="73"/>
  <c r="AL68" i="73"/>
  <c r="AN43" i="73"/>
  <c r="AL43" i="73"/>
  <c r="AA126" i="57"/>
  <c r="AA127" i="57" s="1"/>
  <c r="AF42" i="56"/>
  <c r="AF125" i="39"/>
  <c r="S62" i="37"/>
  <c r="S64" i="37"/>
  <c r="AC64" i="37"/>
  <c r="AC62" i="37"/>
  <c r="AD62" i="37" s="1"/>
  <c r="AF52" i="59"/>
  <c r="AA64" i="59"/>
  <c r="AA148" i="17"/>
  <c r="AD123" i="66"/>
  <c r="AA84" i="58"/>
  <c r="AA64" i="58"/>
  <c r="AF62" i="58"/>
  <c r="AA74" i="58"/>
  <c r="AF72" i="58"/>
  <c r="AA74" i="64"/>
  <c r="AF72" i="64"/>
  <c r="AD127" i="57"/>
  <c r="AE126" i="57"/>
  <c r="AA44" i="55"/>
  <c r="AF42" i="55"/>
  <c r="AA126" i="39"/>
  <c r="AF126" i="39" s="1"/>
  <c r="AB123" i="39"/>
  <c r="AD51" i="37"/>
  <c r="AC52" i="37"/>
  <c r="AD52" i="37" s="1"/>
  <c r="V62" i="37"/>
  <c r="V64" i="37"/>
  <c r="AA44" i="59"/>
  <c r="AB118" i="66"/>
  <c r="AA45" i="54"/>
  <c r="AA53" i="54"/>
  <c r="AA65" i="54"/>
  <c r="AA46" i="54"/>
  <c r="AA54" i="54"/>
  <c r="AA66" i="54"/>
  <c r="AA39" i="54"/>
  <c r="AA47" i="54"/>
  <c r="AA55" i="54"/>
  <c r="AA67" i="54"/>
  <c r="AA48" i="54"/>
  <c r="AA56" i="54"/>
  <c r="AA68" i="54"/>
  <c r="AA49" i="54"/>
  <c r="AA57" i="54"/>
  <c r="AA69" i="54"/>
  <c r="AA42" i="54"/>
  <c r="AA50" i="54"/>
  <c r="AA58" i="54"/>
  <c r="AA70" i="54"/>
  <c r="AA37" i="54"/>
  <c r="AA41" i="54"/>
  <c r="AA43" i="54"/>
  <c r="AA51" i="54"/>
  <c r="AA63" i="54"/>
  <c r="AA38" i="54"/>
  <c r="AA40" i="54"/>
  <c r="AA36" i="54"/>
  <c r="AA44" i="54"/>
  <c r="AA52" i="54"/>
  <c r="AA64" i="54"/>
  <c r="AF148" i="17"/>
  <c r="AF122" i="64"/>
  <c r="AB122" i="64"/>
  <c r="AE126" i="64"/>
  <c r="AD127" i="64"/>
  <c r="AF123" i="57"/>
  <c r="AB123" i="57"/>
  <c r="AF42" i="62"/>
  <c r="AA44" i="62"/>
  <c r="AF62" i="39"/>
  <c r="AA64" i="39"/>
  <c r="AA126" i="56"/>
  <c r="O127" i="56"/>
  <c r="AD127" i="39"/>
  <c r="AE126" i="39"/>
  <c r="AA59" i="37"/>
  <c r="Z60" i="37"/>
  <c r="AA60" i="37" s="1"/>
  <c r="AE59" i="37"/>
  <c r="O127" i="59"/>
  <c r="AA126" i="59"/>
  <c r="AF62" i="70"/>
  <c r="AA64" i="70"/>
  <c r="AB95" i="54"/>
  <c r="AF95" i="54"/>
  <c r="R64" i="37"/>
  <c r="R62" i="37"/>
  <c r="AF52" i="70"/>
  <c r="AA54" i="70"/>
  <c r="AF77" i="66"/>
  <c r="AA79" i="66"/>
  <c r="AF141" i="17"/>
  <c r="AA94" i="17"/>
  <c r="AF77" i="17"/>
  <c r="AA79" i="17"/>
  <c r="AF71" i="66"/>
  <c r="AA73" i="66"/>
  <c r="AF82" i="54"/>
  <c r="AB96" i="54"/>
  <c r="AF96" i="54"/>
  <c r="AB91" i="54"/>
  <c r="AF91" i="54"/>
  <c r="AD64" i="37"/>
  <c r="AB123" i="55"/>
  <c r="AF123" i="55"/>
  <c r="Z44" i="37"/>
  <c r="AA44" i="37" s="1"/>
  <c r="AA54" i="37"/>
  <c r="AA56" i="37"/>
  <c r="AA58" i="37"/>
  <c r="AA67" i="37"/>
  <c r="AA69" i="37"/>
  <c r="AA55" i="37"/>
  <c r="AA70" i="37"/>
  <c r="AA68" i="37"/>
  <c r="AA57" i="37"/>
  <c r="AE43" i="37"/>
  <c r="AA87" i="37"/>
  <c r="AA63" i="37"/>
  <c r="O64" i="37"/>
  <c r="O62" i="37"/>
  <c r="AE126" i="58"/>
  <c r="AD127" i="58"/>
  <c r="AF52" i="62"/>
  <c r="AA54" i="62"/>
  <c r="AF122" i="57"/>
  <c r="AB122" i="57"/>
  <c r="O127" i="58"/>
  <c r="AA126" i="58"/>
  <c r="AB124" i="55"/>
  <c r="AF124" i="55"/>
  <c r="AF124" i="39"/>
  <c r="AB124" i="39"/>
  <c r="W64" i="37"/>
  <c r="W62" i="37"/>
  <c r="AF71" i="70"/>
  <c r="AA73" i="70"/>
  <c r="AA52" i="17"/>
  <c r="AF50" i="17"/>
  <c r="AF142" i="17"/>
  <c r="AA122" i="66"/>
  <c r="AF85" i="54"/>
  <c r="AB93" i="54"/>
  <c r="AF93" i="54"/>
  <c r="AB123" i="56"/>
  <c r="AF123" i="56"/>
  <c r="AF121" i="57"/>
  <c r="AB121" i="57"/>
  <c r="AB121" i="62"/>
  <c r="AF121" i="62"/>
  <c r="AF123" i="62"/>
  <c r="AB123" i="62"/>
  <c r="AF72" i="56"/>
  <c r="AA74" i="56"/>
  <c r="AF124" i="58"/>
  <c r="AF124" i="56"/>
  <c r="AB124" i="56"/>
  <c r="AF81" i="55"/>
  <c r="AA84" i="55"/>
  <c r="AF72" i="39"/>
  <c r="AA74" i="39"/>
  <c r="AB122" i="39"/>
  <c r="AF122" i="39"/>
  <c r="AF64" i="37"/>
  <c r="AF62" i="37"/>
  <c r="P64" i="37"/>
  <c r="P62" i="37"/>
  <c r="AE80" i="37"/>
  <c r="AA80" i="37"/>
  <c r="AF72" i="59"/>
  <c r="AA74" i="59"/>
  <c r="AB145" i="17"/>
  <c r="AF145" i="17"/>
  <c r="AF84" i="54"/>
  <c r="AF81" i="54"/>
  <c r="AA126" i="55"/>
  <c r="O127" i="55"/>
  <c r="AF123" i="64"/>
  <c r="AB123" i="64"/>
  <c r="O127" i="62"/>
  <c r="AA126" i="62"/>
  <c r="AF62" i="56"/>
  <c r="AA64" i="56"/>
  <c r="AA127" i="39"/>
  <c r="AB124" i="64"/>
  <c r="AF124" i="64"/>
  <c r="AB121" i="64"/>
  <c r="AF121" i="64"/>
  <c r="AF62" i="57"/>
  <c r="AA64" i="57"/>
  <c r="AF52" i="64"/>
  <c r="AA54" i="64"/>
  <c r="AF42" i="64"/>
  <c r="AA44" i="64"/>
  <c r="AB125" i="64"/>
  <c r="AF125" i="64"/>
  <c r="AB124" i="62"/>
  <c r="AF124" i="62"/>
  <c r="Y64" i="37"/>
  <c r="Y62" i="37"/>
  <c r="AA43" i="17"/>
  <c r="AF41" i="17"/>
  <c r="AF62" i="68"/>
  <c r="AA64" i="68"/>
  <c r="AF42" i="68"/>
  <c r="AA44" i="68"/>
  <c r="AF52" i="66"/>
  <c r="AA54" i="66"/>
  <c r="AB94" i="54"/>
  <c r="AF94" i="54"/>
  <c r="AF80" i="54"/>
  <c r="N62" i="37"/>
  <c r="N64" i="37"/>
  <c r="Z61" i="37"/>
  <c r="AA64" i="64"/>
  <c r="AF62" i="64"/>
  <c r="AF81" i="62"/>
  <c r="AA84" i="62"/>
  <c r="AF122" i="62"/>
  <c r="AB122" i="62"/>
  <c r="AF52" i="39"/>
  <c r="AA54" i="39"/>
  <c r="Q64" i="37"/>
  <c r="Q62" i="37"/>
  <c r="O127" i="64"/>
  <c r="AA126" i="64"/>
  <c r="AF81" i="57"/>
  <c r="AA84" i="57"/>
  <c r="AD127" i="62"/>
  <c r="AE126" i="62"/>
  <c r="AA64" i="62"/>
  <c r="AF62" i="62"/>
  <c r="AE126" i="55"/>
  <c r="AD127" i="55"/>
  <c r="AF81" i="39"/>
  <c r="AA84" i="39"/>
  <c r="AF42" i="39"/>
  <c r="AA44" i="39"/>
  <c r="AF121" i="39"/>
  <c r="Z51" i="37"/>
  <c r="AA49" i="37"/>
  <c r="AF143" i="17"/>
  <c r="AB143" i="17"/>
  <c r="AF86" i="17"/>
  <c r="AA88" i="17"/>
  <c r="AF144" i="17"/>
  <c r="AF83" i="54"/>
  <c r="AB90" i="54"/>
  <c r="AF90" i="54"/>
  <c r="AF125" i="57"/>
  <c r="AB125" i="57"/>
  <c r="AA74" i="57"/>
  <c r="AF72" i="57"/>
  <c r="AF42" i="58"/>
  <c r="AA44" i="58"/>
  <c r="AA54" i="58"/>
  <c r="AF52" i="58"/>
  <c r="AB123" i="58"/>
  <c r="AF123" i="58"/>
  <c r="AF52" i="57"/>
  <c r="AA54" i="57"/>
  <c r="AF122" i="56"/>
  <c r="AB122" i="56"/>
  <c r="AF72" i="55"/>
  <c r="AA74" i="55"/>
  <c r="AF122" i="55"/>
  <c r="X64" i="37"/>
  <c r="X62" i="37"/>
  <c r="AA78" i="37"/>
  <c r="AA77" i="37"/>
  <c r="AB124" i="59"/>
  <c r="AF124" i="59"/>
  <c r="AF147" i="17"/>
  <c r="AB92" i="54"/>
  <c r="AF92" i="54"/>
  <c r="AB89" i="54"/>
  <c r="AF89" i="54"/>
  <c r="M45" i="54"/>
  <c r="K45" i="54"/>
  <c r="M53" i="54"/>
  <c r="K53" i="54"/>
  <c r="M65" i="54"/>
  <c r="K65" i="54"/>
  <c r="K46" i="54"/>
  <c r="M46" i="54"/>
  <c r="M54" i="54"/>
  <c r="K54" i="54"/>
  <c r="K66" i="54"/>
  <c r="M39" i="54"/>
  <c r="K39" i="54"/>
  <c r="M47" i="54"/>
  <c r="K47" i="54"/>
  <c r="M55" i="54"/>
  <c r="K55" i="54"/>
  <c r="K67" i="54"/>
  <c r="M48" i="54"/>
  <c r="K48" i="54"/>
  <c r="K56" i="54"/>
  <c r="M68" i="54"/>
  <c r="K68" i="54"/>
  <c r="K49" i="54"/>
  <c r="M49" i="54"/>
  <c r="K57" i="54"/>
  <c r="M57" i="54"/>
  <c r="K69" i="54"/>
  <c r="M69" i="54"/>
  <c r="K42" i="54"/>
  <c r="M42" i="54"/>
  <c r="K50" i="54"/>
  <c r="M50" i="54"/>
  <c r="K58" i="54"/>
  <c r="M58" i="54"/>
  <c r="K70" i="54"/>
  <c r="M70" i="54"/>
  <c r="M37" i="54"/>
  <c r="K37" i="54"/>
  <c r="K41" i="54"/>
  <c r="M41" i="54"/>
  <c r="M43" i="54"/>
  <c r="K43" i="54"/>
  <c r="M51" i="54"/>
  <c r="K51" i="54"/>
  <c r="M63" i="54"/>
  <c r="K63" i="54"/>
  <c r="M38" i="54"/>
  <c r="K38" i="54"/>
  <c r="M40" i="54"/>
  <c r="K40" i="54"/>
  <c r="M36" i="54"/>
  <c r="K36" i="54"/>
  <c r="M44" i="54"/>
  <c r="K44" i="54"/>
  <c r="M52" i="54"/>
  <c r="K52" i="54"/>
  <c r="M64" i="54"/>
  <c r="K64" i="54"/>
  <c r="AI83" i="54"/>
  <c r="AI84" i="54"/>
  <c r="AI82" i="54"/>
  <c r="AI81" i="54"/>
  <c r="AI77" i="54"/>
  <c r="AB77" i="54"/>
  <c r="AF77" i="54"/>
  <c r="AI92" i="54"/>
  <c r="AI91" i="54"/>
  <c r="AI80" i="54"/>
  <c r="AI90" i="54"/>
  <c r="AI96" i="54"/>
  <c r="AI94" i="54"/>
  <c r="AI85" i="54"/>
  <c r="AI95" i="54"/>
  <c r="AI93" i="54"/>
  <c r="AI89" i="54"/>
  <c r="AA80" i="63"/>
  <c r="M80" i="63"/>
  <c r="K80" i="63"/>
  <c r="AA77" i="63"/>
  <c r="M77" i="63"/>
  <c r="K77" i="63"/>
  <c r="M84" i="63"/>
  <c r="K84" i="63"/>
  <c r="AA84" i="63"/>
  <c r="AH70" i="63"/>
  <c r="AH69" i="63"/>
  <c r="AH68" i="63"/>
  <c r="AH67" i="63"/>
  <c r="AH66" i="63"/>
  <c r="AH65" i="63"/>
  <c r="AH64" i="63"/>
  <c r="AH63" i="63"/>
  <c r="AH58" i="63"/>
  <c r="AH57" i="63"/>
  <c r="AH56" i="63"/>
  <c r="AH55" i="63"/>
  <c r="AH54" i="63"/>
  <c r="AH53" i="63"/>
  <c r="AH52" i="63"/>
  <c r="AH51" i="63"/>
  <c r="AH50" i="63"/>
  <c r="AH49" i="63"/>
  <c r="AH48" i="63"/>
  <c r="AH47" i="63"/>
  <c r="AH46" i="63"/>
  <c r="AH45" i="63"/>
  <c r="AH44" i="63"/>
  <c r="AH43" i="63"/>
  <c r="AH42" i="63"/>
  <c r="AH41" i="63"/>
  <c r="AH40" i="63"/>
  <c r="AH39" i="63"/>
  <c r="AH38" i="63"/>
  <c r="AH37" i="63"/>
  <c r="AH36" i="63"/>
  <c r="AH84" i="61"/>
  <c r="AE84" i="61"/>
  <c r="AH80" i="61"/>
  <c r="AE80" i="61"/>
  <c r="AH77" i="61"/>
  <c r="AE77" i="61"/>
  <c r="M66" i="54"/>
  <c r="M56" i="54"/>
  <c r="M67" i="54"/>
  <c r="I68" i="63"/>
  <c r="J67" i="63"/>
  <c r="L65" i="63"/>
  <c r="N63" i="63"/>
  <c r="I56" i="63"/>
  <c r="J55" i="63"/>
  <c r="L53" i="63"/>
  <c r="N51" i="63"/>
  <c r="I48" i="63"/>
  <c r="J47" i="63"/>
  <c r="L45" i="63"/>
  <c r="N43" i="63"/>
  <c r="I40" i="63"/>
  <c r="J39" i="63"/>
  <c r="L37" i="63"/>
  <c r="J38" i="63"/>
  <c r="L36" i="63"/>
  <c r="I38" i="63"/>
  <c r="J36" i="63"/>
  <c r="L40" i="63"/>
  <c r="N70" i="63"/>
  <c r="I67" i="63"/>
  <c r="J66" i="63"/>
  <c r="L64" i="63"/>
  <c r="N58" i="63"/>
  <c r="I55" i="63"/>
  <c r="J54" i="63"/>
  <c r="L52" i="63"/>
  <c r="N50" i="63"/>
  <c r="I47" i="63"/>
  <c r="J46" i="63"/>
  <c r="L44" i="63"/>
  <c r="N42" i="63"/>
  <c r="I39" i="63"/>
  <c r="N41" i="63"/>
  <c r="N39" i="63"/>
  <c r="I43" i="63"/>
  <c r="N69" i="63"/>
  <c r="I66" i="63"/>
  <c r="J65" i="63"/>
  <c r="L63" i="63"/>
  <c r="N57" i="63"/>
  <c r="I54" i="63"/>
  <c r="J53" i="63"/>
  <c r="L51" i="63"/>
  <c r="N49" i="63"/>
  <c r="I46" i="63"/>
  <c r="J45" i="63"/>
  <c r="L43" i="63"/>
  <c r="J37" i="63"/>
  <c r="N40" i="63"/>
  <c r="L70" i="63"/>
  <c r="N68" i="63"/>
  <c r="I65" i="63"/>
  <c r="J64" i="63"/>
  <c r="L58" i="63"/>
  <c r="N56" i="63"/>
  <c r="I53" i="63"/>
  <c r="J52" i="63"/>
  <c r="L50" i="63"/>
  <c r="N48" i="63"/>
  <c r="I45" i="63"/>
  <c r="J44" i="63"/>
  <c r="L42" i="63"/>
  <c r="I37" i="63"/>
  <c r="I36" i="63"/>
  <c r="L69" i="63"/>
  <c r="N67" i="63"/>
  <c r="I64" i="63"/>
  <c r="J63" i="63"/>
  <c r="L57" i="63"/>
  <c r="N55" i="63"/>
  <c r="I52" i="63"/>
  <c r="J51" i="63"/>
  <c r="L49" i="63"/>
  <c r="N47" i="63"/>
  <c r="I44" i="63"/>
  <c r="J43" i="63"/>
  <c r="L41" i="63"/>
  <c r="N38" i="63"/>
  <c r="J70" i="63"/>
  <c r="L68" i="63"/>
  <c r="N66" i="63"/>
  <c r="I63" i="63"/>
  <c r="J58" i="63"/>
  <c r="L56" i="63"/>
  <c r="N54" i="63"/>
  <c r="I51" i="63"/>
  <c r="J50" i="63"/>
  <c r="L48" i="63"/>
  <c r="N46" i="63"/>
  <c r="J42" i="63"/>
  <c r="L39" i="63"/>
  <c r="I70" i="63"/>
  <c r="J69" i="63"/>
  <c r="L67" i="63"/>
  <c r="N65" i="63"/>
  <c r="I58" i="63"/>
  <c r="J57" i="63"/>
  <c r="L55" i="63"/>
  <c r="N53" i="63"/>
  <c r="I50" i="63"/>
  <c r="J49" i="63"/>
  <c r="L47" i="63"/>
  <c r="N45" i="63"/>
  <c r="I42" i="63"/>
  <c r="J41" i="63"/>
  <c r="N37" i="63"/>
  <c r="I69" i="63"/>
  <c r="J68" i="63"/>
  <c r="L66" i="63"/>
  <c r="N64" i="63"/>
  <c r="I57" i="63"/>
  <c r="J56" i="63"/>
  <c r="L54" i="63"/>
  <c r="N52" i="63"/>
  <c r="I49" i="63"/>
  <c r="J48" i="63"/>
  <c r="L46" i="63"/>
  <c r="N44" i="63"/>
  <c r="I41" i="63"/>
  <c r="J40" i="63"/>
  <c r="L38" i="63"/>
  <c r="N36" i="63"/>
  <c r="N80" i="61"/>
  <c r="L84" i="61"/>
  <c r="L80" i="61"/>
  <c r="L77" i="61"/>
  <c r="I77" i="61"/>
  <c r="N77" i="61"/>
  <c r="J84" i="61"/>
  <c r="J80" i="61"/>
  <c r="J77" i="61"/>
  <c r="I84" i="61"/>
  <c r="N84" i="61"/>
  <c r="I80" i="61"/>
  <c r="AF126" i="57" l="1"/>
  <c r="AB126" i="57"/>
  <c r="AM51" i="117"/>
  <c r="AN51" i="117"/>
  <c r="AI52" i="118"/>
  <c r="AJ52" i="118"/>
  <c r="AB52" i="118"/>
  <c r="AF52" i="118"/>
  <c r="AI53" i="117"/>
  <c r="AJ53" i="117"/>
  <c r="AB53" i="117"/>
  <c r="AF53" i="117"/>
  <c r="AN77" i="107"/>
  <c r="AM77" i="107"/>
  <c r="AM58" i="105"/>
  <c r="AN58" i="105"/>
  <c r="AM44" i="117"/>
  <c r="AN44" i="117"/>
  <c r="AF59" i="118"/>
  <c r="AB59" i="118"/>
  <c r="AL40" i="101"/>
  <c r="AM40" i="101"/>
  <c r="AM94" i="107"/>
  <c r="AN94" i="107"/>
  <c r="AN93" i="107"/>
  <c r="AM93" i="107"/>
  <c r="AF96" i="107"/>
  <c r="AA100" i="107"/>
  <c r="AI96" i="107"/>
  <c r="AB96" i="107"/>
  <c r="AJ96" i="107"/>
  <c r="AM58" i="117"/>
  <c r="AN58" i="117"/>
  <c r="AN85" i="107"/>
  <c r="AM85" i="107"/>
  <c r="AM44" i="111"/>
  <c r="AN44" i="111"/>
  <c r="AH52" i="118"/>
  <c r="AG59" i="118"/>
  <c r="AH59" i="118" s="1"/>
  <c r="AL52" i="118"/>
  <c r="AF60" i="117"/>
  <c r="AB60" i="117"/>
  <c r="AI60" i="117"/>
  <c r="AJ48" i="118"/>
  <c r="AB48" i="118"/>
  <c r="AF48" i="118"/>
  <c r="AI48" i="118"/>
  <c r="AN44" i="104"/>
  <c r="AM44" i="104"/>
  <c r="AN57" i="118"/>
  <c r="AM57" i="118"/>
  <c r="AN91" i="107"/>
  <c r="AM91" i="107"/>
  <c r="AL52" i="101"/>
  <c r="AM52" i="101"/>
  <c r="AN89" i="107"/>
  <c r="AM89" i="107"/>
  <c r="AL58" i="101"/>
  <c r="AM58" i="101"/>
  <c r="AN81" i="107"/>
  <c r="AM81" i="107"/>
  <c r="AM51" i="103"/>
  <c r="AN51" i="103"/>
  <c r="AM78" i="107"/>
  <c r="AN78" i="107"/>
  <c r="AN83" i="107"/>
  <c r="AM83" i="107"/>
  <c r="AM46" i="118"/>
  <c r="AN46" i="118"/>
  <c r="AM46" i="117"/>
  <c r="AN46" i="117"/>
  <c r="AM86" i="107"/>
  <c r="AN86" i="107"/>
  <c r="AA41" i="63"/>
  <c r="AA49" i="63"/>
  <c r="AA57" i="63"/>
  <c r="AA69" i="63"/>
  <c r="AA42" i="63"/>
  <c r="AA50" i="63"/>
  <c r="AA58" i="63"/>
  <c r="AA70" i="63"/>
  <c r="AA51" i="63"/>
  <c r="AA63" i="63"/>
  <c r="AA44" i="63"/>
  <c r="AA52" i="63"/>
  <c r="AA64" i="63"/>
  <c r="AA36" i="63"/>
  <c r="AA37" i="63"/>
  <c r="AA45" i="63"/>
  <c r="AA53" i="63"/>
  <c r="AA65" i="63"/>
  <c r="AA46" i="63"/>
  <c r="AA54" i="63"/>
  <c r="AA66" i="63"/>
  <c r="AA43" i="63"/>
  <c r="AA39" i="63"/>
  <c r="AA47" i="63"/>
  <c r="AA55" i="63"/>
  <c r="AA67" i="63"/>
  <c r="AA38" i="63"/>
  <c r="AA40" i="63"/>
  <c r="AA48" i="63"/>
  <c r="AA56" i="63"/>
  <c r="AA68" i="63"/>
  <c r="AE61" i="37"/>
  <c r="AA61" i="37"/>
  <c r="Z62" i="37"/>
  <c r="AA62" i="37" s="1"/>
  <c r="AF122" i="66"/>
  <c r="AB122" i="66"/>
  <c r="AA123" i="66"/>
  <c r="AF126" i="58"/>
  <c r="AA127" i="58"/>
  <c r="AB51" i="54"/>
  <c r="AF51" i="54"/>
  <c r="AB69" i="54"/>
  <c r="AF69" i="54"/>
  <c r="AF47" i="54"/>
  <c r="AF64" i="54"/>
  <c r="AB43" i="54"/>
  <c r="AF43" i="54"/>
  <c r="AF57" i="54"/>
  <c r="AB39" i="54"/>
  <c r="AF39" i="54"/>
  <c r="AB52" i="54"/>
  <c r="AF52" i="54"/>
  <c r="AF41" i="54"/>
  <c r="AF49" i="54"/>
  <c r="AB66" i="54"/>
  <c r="AF66" i="54"/>
  <c r="AB44" i="54"/>
  <c r="AF44" i="54"/>
  <c r="AB37" i="54"/>
  <c r="AF37" i="54"/>
  <c r="AB68" i="54"/>
  <c r="AF68" i="54"/>
  <c r="AF54" i="54"/>
  <c r="AF126" i="64"/>
  <c r="AB126" i="64"/>
  <c r="AA127" i="64"/>
  <c r="AF126" i="62"/>
  <c r="AB126" i="62"/>
  <c r="AA127" i="62"/>
  <c r="AB126" i="59"/>
  <c r="AF126" i="59"/>
  <c r="AA127" i="59"/>
  <c r="AF126" i="56"/>
  <c r="AB126" i="56"/>
  <c r="AA127" i="56"/>
  <c r="AB36" i="54"/>
  <c r="AF36" i="54"/>
  <c r="AF70" i="54"/>
  <c r="AB56" i="54"/>
  <c r="AF56" i="54"/>
  <c r="AB46" i="54"/>
  <c r="AF46" i="54"/>
  <c r="AF126" i="55"/>
  <c r="AA127" i="55"/>
  <c r="AA51" i="37"/>
  <c r="Z52" i="37"/>
  <c r="AA52" i="37" s="1"/>
  <c r="AE51" i="37"/>
  <c r="AF40" i="54"/>
  <c r="AF58" i="54"/>
  <c r="AB48" i="54"/>
  <c r="AF48" i="54"/>
  <c r="AF65" i="54"/>
  <c r="AF38" i="54"/>
  <c r="AF50" i="54"/>
  <c r="AB67" i="54"/>
  <c r="AF67" i="54"/>
  <c r="AB53" i="54"/>
  <c r="AF53" i="54"/>
  <c r="Z64" i="37"/>
  <c r="AF63" i="54"/>
  <c r="AB42" i="54"/>
  <c r="AF42" i="54"/>
  <c r="AF55" i="54"/>
  <c r="AF45" i="54"/>
  <c r="AN77" i="54"/>
  <c r="AM77" i="54"/>
  <c r="AI52" i="54"/>
  <c r="AI58" i="54"/>
  <c r="AI47" i="54"/>
  <c r="AI66" i="54"/>
  <c r="AI69" i="54"/>
  <c r="AI68" i="54"/>
  <c r="AI65" i="54"/>
  <c r="AI67" i="54"/>
  <c r="AI44" i="54"/>
  <c r="AI37" i="54"/>
  <c r="AI50" i="54"/>
  <c r="AI39" i="54"/>
  <c r="AI54" i="54"/>
  <c r="AI38" i="54"/>
  <c r="AI57" i="54"/>
  <c r="AI56" i="54"/>
  <c r="AI53" i="54"/>
  <c r="AM91" i="54"/>
  <c r="AM92" i="54"/>
  <c r="AM93" i="54"/>
  <c r="AI64" i="54"/>
  <c r="AI43" i="54"/>
  <c r="AI70" i="54"/>
  <c r="AI55" i="54"/>
  <c r="AM94" i="54"/>
  <c r="AM95" i="54"/>
  <c r="AM89" i="54"/>
  <c r="AM96" i="54"/>
  <c r="AI36" i="54"/>
  <c r="AI42" i="54"/>
  <c r="AI46" i="54"/>
  <c r="AI51" i="54"/>
  <c r="AM90" i="54"/>
  <c r="AI40" i="54"/>
  <c r="AI63" i="54"/>
  <c r="AI41" i="54"/>
  <c r="AI49" i="54"/>
  <c r="AI48" i="54"/>
  <c r="AI45" i="54"/>
  <c r="M41" i="63"/>
  <c r="K41" i="63"/>
  <c r="M49" i="63"/>
  <c r="K49" i="63"/>
  <c r="M57" i="63"/>
  <c r="K57" i="63"/>
  <c r="M69" i="63"/>
  <c r="K69" i="63"/>
  <c r="K42" i="63"/>
  <c r="M42" i="63"/>
  <c r="M50" i="63"/>
  <c r="K50" i="63"/>
  <c r="M58" i="63"/>
  <c r="K58" i="63"/>
  <c r="M70" i="63"/>
  <c r="K70" i="63"/>
  <c r="M51" i="63"/>
  <c r="K51" i="63"/>
  <c r="M63" i="63"/>
  <c r="K63" i="63"/>
  <c r="M44" i="63"/>
  <c r="K44" i="63"/>
  <c r="M52" i="63"/>
  <c r="K52" i="63"/>
  <c r="M64" i="63"/>
  <c r="K64" i="63"/>
  <c r="M36" i="63"/>
  <c r="K36" i="63"/>
  <c r="K37" i="63"/>
  <c r="M37" i="63"/>
  <c r="K45" i="63"/>
  <c r="M45" i="63"/>
  <c r="K53" i="63"/>
  <c r="M53" i="63"/>
  <c r="K65" i="63"/>
  <c r="M65" i="63"/>
  <c r="K46" i="63"/>
  <c r="M46" i="63"/>
  <c r="K54" i="63"/>
  <c r="M54" i="63"/>
  <c r="K66" i="63"/>
  <c r="M43" i="63"/>
  <c r="K43" i="63"/>
  <c r="M39" i="63"/>
  <c r="K39" i="63"/>
  <c r="M47" i="63"/>
  <c r="K47" i="63"/>
  <c r="M55" i="63"/>
  <c r="K55" i="63"/>
  <c r="K67" i="63"/>
  <c r="K38" i="63"/>
  <c r="M38" i="63"/>
  <c r="M40" i="63"/>
  <c r="K40" i="63"/>
  <c r="M48" i="63"/>
  <c r="K48" i="63"/>
  <c r="K56" i="63"/>
  <c r="M68" i="63"/>
  <c r="K68" i="63"/>
  <c r="AI77" i="63"/>
  <c r="AF77" i="63"/>
  <c r="AB77" i="63"/>
  <c r="AI84" i="63"/>
  <c r="AB84" i="63"/>
  <c r="AF84" i="63"/>
  <c r="AI80" i="63"/>
  <c r="AF80" i="63"/>
  <c r="AB80" i="63"/>
  <c r="M80" i="61"/>
  <c r="K80" i="61"/>
  <c r="AA80" i="61"/>
  <c r="M84" i="61"/>
  <c r="K84" i="61"/>
  <c r="AA84" i="61"/>
  <c r="AA77" i="61"/>
  <c r="M77" i="61"/>
  <c r="K77" i="61"/>
  <c r="AH70" i="61"/>
  <c r="AH69" i="61"/>
  <c r="AH68" i="61"/>
  <c r="AH67" i="61"/>
  <c r="AH66" i="61"/>
  <c r="AH65" i="61"/>
  <c r="AH64" i="61"/>
  <c r="AH63" i="61"/>
  <c r="AH58" i="61"/>
  <c r="AH57" i="61"/>
  <c r="AH56" i="61"/>
  <c r="AH55" i="61"/>
  <c r="AH54" i="61"/>
  <c r="AH53" i="61"/>
  <c r="AH52" i="61"/>
  <c r="AH51" i="61"/>
  <c r="AH50" i="61"/>
  <c r="AH49" i="61"/>
  <c r="AH48" i="61"/>
  <c r="AH47" i="61"/>
  <c r="AH46" i="61"/>
  <c r="AH45" i="61"/>
  <c r="AH44" i="61"/>
  <c r="AH43" i="61"/>
  <c r="AH42" i="61"/>
  <c r="AH41" i="61"/>
  <c r="AH40" i="61"/>
  <c r="AH39" i="61"/>
  <c r="AH38" i="61"/>
  <c r="AH37" i="61"/>
  <c r="AH36" i="61"/>
  <c r="AH84" i="53"/>
  <c r="AE84" i="53"/>
  <c r="AH80" i="53"/>
  <c r="AE80" i="53"/>
  <c r="AH77" i="53"/>
  <c r="AE77" i="53"/>
  <c r="M56" i="63"/>
  <c r="M66" i="63"/>
  <c r="M67" i="63"/>
  <c r="I68" i="61"/>
  <c r="J67" i="61"/>
  <c r="L65" i="61"/>
  <c r="N63" i="61"/>
  <c r="I56" i="61"/>
  <c r="J55" i="61"/>
  <c r="L53" i="61"/>
  <c r="N51" i="61"/>
  <c r="I48" i="61"/>
  <c r="J47" i="61"/>
  <c r="L45" i="61"/>
  <c r="N43" i="61"/>
  <c r="I40" i="61"/>
  <c r="J39" i="61"/>
  <c r="L37" i="61"/>
  <c r="L36" i="61"/>
  <c r="I38" i="61"/>
  <c r="J36" i="61"/>
  <c r="J43" i="61"/>
  <c r="L41" i="61"/>
  <c r="L40" i="61"/>
  <c r="N38" i="61"/>
  <c r="N70" i="61"/>
  <c r="I67" i="61"/>
  <c r="J66" i="61"/>
  <c r="L64" i="61"/>
  <c r="N58" i="61"/>
  <c r="I55" i="61"/>
  <c r="J54" i="61"/>
  <c r="L52" i="61"/>
  <c r="N50" i="61"/>
  <c r="I47" i="61"/>
  <c r="J46" i="61"/>
  <c r="L44" i="61"/>
  <c r="N42" i="61"/>
  <c r="I39" i="61"/>
  <c r="J38" i="61"/>
  <c r="J37" i="61"/>
  <c r="N40" i="61"/>
  <c r="I37" i="61"/>
  <c r="J42" i="61"/>
  <c r="N69" i="61"/>
  <c r="I66" i="61"/>
  <c r="J65" i="61"/>
  <c r="L63" i="61"/>
  <c r="N57" i="61"/>
  <c r="I54" i="61"/>
  <c r="J53" i="61"/>
  <c r="L51" i="61"/>
  <c r="N49" i="61"/>
  <c r="I46" i="61"/>
  <c r="J45" i="61"/>
  <c r="L43" i="61"/>
  <c r="N41" i="61"/>
  <c r="I45" i="61"/>
  <c r="I42" i="61"/>
  <c r="L70" i="61"/>
  <c r="N68" i="61"/>
  <c r="I65" i="61"/>
  <c r="J64" i="61"/>
  <c r="L58" i="61"/>
  <c r="N56" i="61"/>
  <c r="I53" i="61"/>
  <c r="J52" i="61"/>
  <c r="L50" i="61"/>
  <c r="N48" i="61"/>
  <c r="J44" i="61"/>
  <c r="L42" i="61"/>
  <c r="I44" i="61"/>
  <c r="I36" i="61"/>
  <c r="L69" i="61"/>
  <c r="N67" i="61"/>
  <c r="I64" i="61"/>
  <c r="J63" i="61"/>
  <c r="L57" i="61"/>
  <c r="N55" i="61"/>
  <c r="I52" i="61"/>
  <c r="J51" i="61"/>
  <c r="L49" i="61"/>
  <c r="N47" i="61"/>
  <c r="N39" i="61"/>
  <c r="J70" i="61"/>
  <c r="L68" i="61"/>
  <c r="N66" i="61"/>
  <c r="I63" i="61"/>
  <c r="J58" i="61"/>
  <c r="L56" i="61"/>
  <c r="N54" i="61"/>
  <c r="I51" i="61"/>
  <c r="J50" i="61"/>
  <c r="L48" i="61"/>
  <c r="N46" i="61"/>
  <c r="I43" i="61"/>
  <c r="J41" i="61"/>
  <c r="N37" i="61"/>
  <c r="I70" i="61"/>
  <c r="J69" i="61"/>
  <c r="L67" i="61"/>
  <c r="N65" i="61"/>
  <c r="I58" i="61"/>
  <c r="J57" i="61"/>
  <c r="L55" i="61"/>
  <c r="N53" i="61"/>
  <c r="I50" i="61"/>
  <c r="J49" i="61"/>
  <c r="L47" i="61"/>
  <c r="N45" i="61"/>
  <c r="L39" i="61"/>
  <c r="I69" i="61"/>
  <c r="J68" i="61"/>
  <c r="L66" i="61"/>
  <c r="N64" i="61"/>
  <c r="I57" i="61"/>
  <c r="J56" i="61"/>
  <c r="L54" i="61"/>
  <c r="N52" i="61"/>
  <c r="I49" i="61"/>
  <c r="J48" i="61"/>
  <c r="L46" i="61"/>
  <c r="N44" i="61"/>
  <c r="I41" i="61"/>
  <c r="J40" i="61"/>
  <c r="L38" i="61"/>
  <c r="N36" i="61"/>
  <c r="N80" i="53"/>
  <c r="N77" i="53"/>
  <c r="L80" i="53"/>
  <c r="J84" i="53"/>
  <c r="J80" i="53"/>
  <c r="L84" i="53"/>
  <c r="L77" i="53"/>
  <c r="I84" i="53"/>
  <c r="I80" i="53"/>
  <c r="J77" i="53"/>
  <c r="I77" i="53"/>
  <c r="N84" i="53"/>
  <c r="AM48" i="118" l="1"/>
  <c r="AN48" i="118"/>
  <c r="AM52" i="118"/>
  <c r="AN52" i="118"/>
  <c r="AM53" i="117"/>
  <c r="AN53" i="117"/>
  <c r="AN96" i="107"/>
  <c r="AM96" i="107"/>
  <c r="AI59" i="118"/>
  <c r="AA41" i="61"/>
  <c r="AA49" i="61"/>
  <c r="AA57" i="61"/>
  <c r="AA69" i="61"/>
  <c r="AA50" i="61"/>
  <c r="AA58" i="61"/>
  <c r="AA70" i="61"/>
  <c r="AA43" i="61"/>
  <c r="AA51" i="61"/>
  <c r="AA63" i="61"/>
  <c r="AA52" i="61"/>
  <c r="AA64" i="61"/>
  <c r="AA36" i="61"/>
  <c r="AA44" i="61"/>
  <c r="AA53" i="61"/>
  <c r="AA65" i="61"/>
  <c r="AA42" i="61"/>
  <c r="AA45" i="61"/>
  <c r="AA46" i="61"/>
  <c r="AA54" i="61"/>
  <c r="AA66" i="61"/>
  <c r="AA37" i="61"/>
  <c r="AA39" i="61"/>
  <c r="AA47" i="61"/>
  <c r="AA55" i="61"/>
  <c r="AA67" i="61"/>
  <c r="AA38" i="61"/>
  <c r="AA40" i="61"/>
  <c r="AA48" i="61"/>
  <c r="AA56" i="61"/>
  <c r="AA68" i="61"/>
  <c r="AB47" i="63"/>
  <c r="AF47" i="63"/>
  <c r="AB45" i="63"/>
  <c r="AF45" i="63"/>
  <c r="AB70" i="63"/>
  <c r="AF70" i="63"/>
  <c r="AB68" i="63"/>
  <c r="AF68" i="63"/>
  <c r="AB39" i="63"/>
  <c r="AF39" i="63"/>
  <c r="AF37" i="63"/>
  <c r="AB37" i="63"/>
  <c r="AB58" i="63"/>
  <c r="AF58" i="63"/>
  <c r="AA64" i="37"/>
  <c r="AE64" i="37"/>
  <c r="AB56" i="63"/>
  <c r="AF56" i="63"/>
  <c r="AB43" i="63"/>
  <c r="AF43" i="63"/>
  <c r="AF36" i="63"/>
  <c r="AB36" i="63"/>
  <c r="AF50" i="63"/>
  <c r="AB48" i="63"/>
  <c r="AF48" i="63"/>
  <c r="AF66" i="63"/>
  <c r="AB66" i="63"/>
  <c r="AB64" i="63"/>
  <c r="AF64" i="63"/>
  <c r="AB42" i="63"/>
  <c r="AF42" i="63"/>
  <c r="AB40" i="63"/>
  <c r="AF40" i="63"/>
  <c r="AB54" i="63"/>
  <c r="AF54" i="63"/>
  <c r="AB52" i="63"/>
  <c r="AF52" i="63"/>
  <c r="AF69" i="63"/>
  <c r="AB69" i="63"/>
  <c r="AB38" i="63"/>
  <c r="AF38" i="63"/>
  <c r="AB46" i="63"/>
  <c r="AF46" i="63"/>
  <c r="AB44" i="63"/>
  <c r="AF44" i="63"/>
  <c r="AB57" i="63"/>
  <c r="AF57" i="63"/>
  <c r="AF67" i="63"/>
  <c r="AB67" i="63"/>
  <c r="AF65" i="63"/>
  <c r="AF63" i="63"/>
  <c r="AB63" i="63"/>
  <c r="AB49" i="63"/>
  <c r="AF49" i="63"/>
  <c r="AB55" i="63"/>
  <c r="AF55" i="63"/>
  <c r="AB53" i="63"/>
  <c r="AF53" i="63"/>
  <c r="AB51" i="63"/>
  <c r="AF51" i="63"/>
  <c r="AF41" i="63"/>
  <c r="AM53" i="54"/>
  <c r="AN53" i="54"/>
  <c r="AN44" i="54"/>
  <c r="AM44" i="54"/>
  <c r="AN69" i="54"/>
  <c r="AM69" i="54"/>
  <c r="AN42" i="54"/>
  <c r="AM42" i="54"/>
  <c r="AN46" i="54"/>
  <c r="AM46" i="54"/>
  <c r="AN56" i="54"/>
  <c r="AM56" i="54"/>
  <c r="AN39" i="54"/>
  <c r="AM39" i="54"/>
  <c r="AN51" i="54"/>
  <c r="AM51" i="54"/>
  <c r="AN52" i="54"/>
  <c r="AM52" i="54"/>
  <c r="AM48" i="54"/>
  <c r="AM43" i="54"/>
  <c r="AN67" i="54"/>
  <c r="AM67" i="54"/>
  <c r="AN68" i="54"/>
  <c r="AM68" i="54"/>
  <c r="AN66" i="54"/>
  <c r="AM66" i="54"/>
  <c r="AN36" i="54"/>
  <c r="AM36" i="54"/>
  <c r="AM37" i="54"/>
  <c r="AN37" i="54"/>
  <c r="AI46" i="63"/>
  <c r="AI50" i="63"/>
  <c r="AI45" i="63"/>
  <c r="AI57" i="63"/>
  <c r="AI47" i="63"/>
  <c r="AI63" i="63"/>
  <c r="AI70" i="63"/>
  <c r="AI66" i="63"/>
  <c r="AI37" i="63"/>
  <c r="AI52" i="63"/>
  <c r="AI49" i="63"/>
  <c r="AI56" i="63"/>
  <c r="AI68" i="63"/>
  <c r="AI39" i="63"/>
  <c r="AI54" i="63"/>
  <c r="AI51" i="63"/>
  <c r="AI58" i="63"/>
  <c r="AI48" i="63"/>
  <c r="AI65" i="63"/>
  <c r="AN84" i="63"/>
  <c r="AM84" i="63"/>
  <c r="AI67" i="63"/>
  <c r="AI40" i="63"/>
  <c r="AI43" i="63"/>
  <c r="AI53" i="63"/>
  <c r="AI36" i="63"/>
  <c r="AI69" i="63"/>
  <c r="AI41" i="63"/>
  <c r="AI64" i="63"/>
  <c r="AI42" i="63"/>
  <c r="AN80" i="63"/>
  <c r="AM80" i="63"/>
  <c r="AN77" i="63"/>
  <c r="AM77" i="63"/>
  <c r="AI38" i="63"/>
  <c r="AI55" i="63"/>
  <c r="AI44" i="63"/>
  <c r="M41" i="61"/>
  <c r="K41" i="61"/>
  <c r="M49" i="61"/>
  <c r="K49" i="61"/>
  <c r="M57" i="61"/>
  <c r="K57" i="61"/>
  <c r="M69" i="61"/>
  <c r="K69" i="61"/>
  <c r="M50" i="61"/>
  <c r="K50" i="61"/>
  <c r="M58" i="61"/>
  <c r="K58" i="61"/>
  <c r="M70" i="61"/>
  <c r="K70" i="61"/>
  <c r="M43" i="61"/>
  <c r="K43" i="61"/>
  <c r="M51" i="61"/>
  <c r="K51" i="61"/>
  <c r="M63" i="61"/>
  <c r="K63" i="61"/>
  <c r="M52" i="61"/>
  <c r="K52" i="61"/>
  <c r="M64" i="61"/>
  <c r="K64" i="61"/>
  <c r="M36" i="61"/>
  <c r="K36" i="61"/>
  <c r="M44" i="61"/>
  <c r="K44" i="61"/>
  <c r="K53" i="61"/>
  <c r="M53" i="61"/>
  <c r="K65" i="61"/>
  <c r="M65" i="61"/>
  <c r="K42" i="61"/>
  <c r="M42" i="61"/>
  <c r="K45" i="61"/>
  <c r="M45" i="61"/>
  <c r="K46" i="61"/>
  <c r="M46" i="61"/>
  <c r="K54" i="61"/>
  <c r="M54" i="61"/>
  <c r="K66" i="61"/>
  <c r="K37" i="61"/>
  <c r="M37" i="61"/>
  <c r="M39" i="61"/>
  <c r="K39" i="61"/>
  <c r="M47" i="61"/>
  <c r="K47" i="61"/>
  <c r="M55" i="61"/>
  <c r="K55" i="61"/>
  <c r="K67" i="61"/>
  <c r="K38" i="61"/>
  <c r="M38" i="61"/>
  <c r="M40" i="61"/>
  <c r="K40" i="61"/>
  <c r="M48" i="61"/>
  <c r="K48" i="61"/>
  <c r="K56" i="61"/>
  <c r="M68" i="61"/>
  <c r="K68" i="61"/>
  <c r="AI77" i="61"/>
  <c r="AF77" i="61"/>
  <c r="AB77" i="61"/>
  <c r="AI84" i="61"/>
  <c r="AB84" i="61"/>
  <c r="AF84" i="61"/>
  <c r="AI80" i="61"/>
  <c r="AF80" i="61"/>
  <c r="AB80" i="61"/>
  <c r="AA77" i="53"/>
  <c r="M77" i="53"/>
  <c r="K77" i="53"/>
  <c r="M80" i="53"/>
  <c r="AA80" i="53"/>
  <c r="K80" i="53"/>
  <c r="M84" i="53"/>
  <c r="K84" i="53"/>
  <c r="AA84" i="53"/>
  <c r="AH70" i="53"/>
  <c r="AH69" i="53"/>
  <c r="AH68" i="53"/>
  <c r="AH67" i="53"/>
  <c r="AH66" i="53"/>
  <c r="AH65" i="53"/>
  <c r="AH64" i="53"/>
  <c r="AH63" i="53"/>
  <c r="AH58" i="53"/>
  <c r="AH57" i="53"/>
  <c r="AH56" i="53"/>
  <c r="AH55" i="53"/>
  <c r="AH54" i="53"/>
  <c r="AH53" i="53"/>
  <c r="AH52" i="53"/>
  <c r="AH51" i="53"/>
  <c r="AH50" i="53"/>
  <c r="AH49" i="53"/>
  <c r="AH48" i="53"/>
  <c r="AH47" i="53"/>
  <c r="AH46" i="53"/>
  <c r="AH45" i="53"/>
  <c r="AH44" i="53"/>
  <c r="AH43" i="53"/>
  <c r="AH42" i="53"/>
  <c r="AH41" i="53"/>
  <c r="AH40" i="53"/>
  <c r="AH39" i="53"/>
  <c r="AH38" i="53"/>
  <c r="AH37" i="53"/>
  <c r="AH36" i="53"/>
  <c r="AH84" i="52"/>
  <c r="AE84" i="52"/>
  <c r="AH80" i="52"/>
  <c r="AE80" i="52"/>
  <c r="AH77" i="52"/>
  <c r="AE77" i="52"/>
  <c r="M67" i="61"/>
  <c r="M56" i="61"/>
  <c r="M66" i="61"/>
  <c r="I68" i="53"/>
  <c r="J67" i="53"/>
  <c r="L65" i="53"/>
  <c r="N63" i="53"/>
  <c r="I56" i="53"/>
  <c r="J55" i="53"/>
  <c r="L53" i="53"/>
  <c r="N51" i="53"/>
  <c r="I48" i="53"/>
  <c r="J47" i="53"/>
  <c r="L45" i="53"/>
  <c r="N43" i="53"/>
  <c r="I40" i="53"/>
  <c r="J39" i="53"/>
  <c r="L37" i="53"/>
  <c r="N42" i="53"/>
  <c r="I39" i="53"/>
  <c r="J38" i="53"/>
  <c r="L36" i="53"/>
  <c r="I37" i="53"/>
  <c r="I44" i="53"/>
  <c r="I36" i="53"/>
  <c r="N38" i="53"/>
  <c r="N70" i="53"/>
  <c r="I67" i="53"/>
  <c r="J66" i="53"/>
  <c r="L64" i="53"/>
  <c r="N58" i="53"/>
  <c r="I55" i="53"/>
  <c r="J54" i="53"/>
  <c r="L52" i="53"/>
  <c r="N50" i="53"/>
  <c r="I47" i="53"/>
  <c r="J46" i="53"/>
  <c r="L44" i="53"/>
  <c r="I38" i="53"/>
  <c r="J37" i="53"/>
  <c r="J42" i="53"/>
  <c r="J41" i="53"/>
  <c r="N69" i="53"/>
  <c r="I66" i="53"/>
  <c r="J65" i="53"/>
  <c r="L63" i="53"/>
  <c r="N57" i="53"/>
  <c r="I54" i="53"/>
  <c r="J53" i="53"/>
  <c r="L51" i="53"/>
  <c r="N49" i="53"/>
  <c r="I46" i="53"/>
  <c r="J45" i="53"/>
  <c r="L43" i="53"/>
  <c r="N41" i="53"/>
  <c r="N40" i="53"/>
  <c r="J36" i="53"/>
  <c r="J43" i="53"/>
  <c r="N39" i="53"/>
  <c r="N37" i="53"/>
  <c r="L70" i="53"/>
  <c r="N68" i="53"/>
  <c r="I65" i="53"/>
  <c r="J64" i="53"/>
  <c r="L58" i="53"/>
  <c r="N56" i="53"/>
  <c r="I53" i="53"/>
  <c r="J52" i="53"/>
  <c r="L50" i="53"/>
  <c r="N48" i="53"/>
  <c r="I45" i="53"/>
  <c r="J44" i="53"/>
  <c r="L42" i="53"/>
  <c r="I43" i="53"/>
  <c r="L40" i="53"/>
  <c r="I42" i="53"/>
  <c r="L69" i="53"/>
  <c r="N67" i="53"/>
  <c r="I64" i="53"/>
  <c r="J63" i="53"/>
  <c r="L57" i="53"/>
  <c r="N55" i="53"/>
  <c r="I52" i="53"/>
  <c r="J51" i="53"/>
  <c r="L49" i="53"/>
  <c r="N47" i="53"/>
  <c r="L41" i="53"/>
  <c r="J70" i="53"/>
  <c r="L68" i="53"/>
  <c r="N66" i="53"/>
  <c r="I63" i="53"/>
  <c r="J58" i="53"/>
  <c r="L56" i="53"/>
  <c r="N54" i="53"/>
  <c r="I51" i="53"/>
  <c r="J50" i="53"/>
  <c r="L48" i="53"/>
  <c r="N46" i="53"/>
  <c r="I70" i="53"/>
  <c r="J69" i="53"/>
  <c r="L67" i="53"/>
  <c r="N65" i="53"/>
  <c r="I58" i="53"/>
  <c r="J57" i="53"/>
  <c r="L55" i="53"/>
  <c r="N53" i="53"/>
  <c r="I50" i="53"/>
  <c r="J49" i="53"/>
  <c r="L47" i="53"/>
  <c r="N45" i="53"/>
  <c r="I69" i="53"/>
  <c r="J68" i="53"/>
  <c r="L66" i="53"/>
  <c r="N64" i="53"/>
  <c r="I57" i="53"/>
  <c r="J56" i="53"/>
  <c r="L54" i="53"/>
  <c r="N52" i="53"/>
  <c r="I49" i="53"/>
  <c r="J48" i="53"/>
  <c r="L46" i="53"/>
  <c r="N44" i="53"/>
  <c r="I41" i="53"/>
  <c r="J40" i="53"/>
  <c r="L38" i="53"/>
  <c r="N36" i="53"/>
  <c r="L39" i="53"/>
  <c r="N80" i="52"/>
  <c r="N77" i="52"/>
  <c r="L80" i="52"/>
  <c r="I84" i="52"/>
  <c r="J80" i="52"/>
  <c r="L84" i="52"/>
  <c r="L77" i="52"/>
  <c r="J77" i="52"/>
  <c r="J84" i="52"/>
  <c r="I80" i="52"/>
  <c r="N84" i="52"/>
  <c r="I77" i="52"/>
  <c r="AA41" i="53" l="1"/>
  <c r="AA49" i="53"/>
  <c r="AA57" i="53"/>
  <c r="AA69" i="53"/>
  <c r="AA50" i="53"/>
  <c r="AA58" i="53"/>
  <c r="AA70" i="53"/>
  <c r="AA51" i="53"/>
  <c r="AA63" i="53"/>
  <c r="AA52" i="53"/>
  <c r="AA64" i="53"/>
  <c r="AA42" i="53"/>
  <c r="AA43" i="53"/>
  <c r="AA45" i="53"/>
  <c r="AA53" i="53"/>
  <c r="AA65" i="53"/>
  <c r="AA46" i="53"/>
  <c r="AA54" i="53"/>
  <c r="AA66" i="53"/>
  <c r="AA38" i="53"/>
  <c r="AA47" i="53"/>
  <c r="AA55" i="53"/>
  <c r="AA67" i="53"/>
  <c r="AA36" i="53"/>
  <c r="AA44" i="53"/>
  <c r="AA37" i="53"/>
  <c r="AA39" i="53"/>
  <c r="AA40" i="53"/>
  <c r="AA48" i="53"/>
  <c r="AA56" i="53"/>
  <c r="AA68" i="53"/>
  <c r="AF47" i="61"/>
  <c r="AB47" i="61"/>
  <c r="AF65" i="61"/>
  <c r="AF43" i="61"/>
  <c r="AB43" i="61"/>
  <c r="AB68" i="61"/>
  <c r="AF68" i="61"/>
  <c r="AF39" i="61"/>
  <c r="AB39" i="61"/>
  <c r="AF53" i="61"/>
  <c r="AB53" i="61"/>
  <c r="AB70" i="61"/>
  <c r="AF70" i="61"/>
  <c r="AB56" i="61"/>
  <c r="AF56" i="61"/>
  <c r="AF37" i="61"/>
  <c r="AB37" i="61"/>
  <c r="AB44" i="61"/>
  <c r="AF44" i="61"/>
  <c r="AB58" i="61"/>
  <c r="AF58" i="61"/>
  <c r="AB48" i="61"/>
  <c r="AF48" i="61"/>
  <c r="AB66" i="61"/>
  <c r="AF66" i="61"/>
  <c r="AB36" i="61"/>
  <c r="AF36" i="61"/>
  <c r="AF50" i="61"/>
  <c r="AB40" i="61"/>
  <c r="AF40" i="61"/>
  <c r="AB54" i="61"/>
  <c r="AF54" i="61"/>
  <c r="AB64" i="61"/>
  <c r="AF64" i="61"/>
  <c r="AF69" i="61"/>
  <c r="AB69" i="61"/>
  <c r="AB38" i="61"/>
  <c r="AF38" i="61"/>
  <c r="AB46" i="61"/>
  <c r="AF46" i="61"/>
  <c r="AB52" i="61"/>
  <c r="AF52" i="61"/>
  <c r="AF57" i="61"/>
  <c r="AB57" i="61"/>
  <c r="AF67" i="61"/>
  <c r="AB67" i="61"/>
  <c r="AF45" i="61"/>
  <c r="AB45" i="61"/>
  <c r="AF63" i="61"/>
  <c r="AB63" i="61"/>
  <c r="AF49" i="61"/>
  <c r="AB49" i="61"/>
  <c r="AF55" i="61"/>
  <c r="AB55" i="61"/>
  <c r="AB42" i="61"/>
  <c r="AF42" i="61"/>
  <c r="AF51" i="61"/>
  <c r="AB51" i="61"/>
  <c r="AF41" i="61"/>
  <c r="AN67" i="63"/>
  <c r="AM67" i="63"/>
  <c r="AN51" i="63"/>
  <c r="AM51" i="63"/>
  <c r="AN52" i="63"/>
  <c r="AM52" i="63"/>
  <c r="AN63" i="63"/>
  <c r="AM63" i="63"/>
  <c r="AN39" i="63"/>
  <c r="AM39" i="63"/>
  <c r="AN66" i="63"/>
  <c r="AM66" i="63"/>
  <c r="AM57" i="63"/>
  <c r="AN57" i="63"/>
  <c r="AN64" i="63"/>
  <c r="AM64" i="63"/>
  <c r="AN56" i="63"/>
  <c r="AM56" i="63"/>
  <c r="AN55" i="63"/>
  <c r="AM55" i="63"/>
  <c r="AN58" i="63"/>
  <c r="AM58" i="63"/>
  <c r="AN70" i="63"/>
  <c r="AM70" i="63"/>
  <c r="AN53" i="63"/>
  <c r="AM53" i="63"/>
  <c r="AN48" i="63"/>
  <c r="AM48" i="63"/>
  <c r="AM44" i="63"/>
  <c r="AN44" i="63"/>
  <c r="AN42" i="63"/>
  <c r="AM42" i="63"/>
  <c r="AN36" i="63"/>
  <c r="AM36" i="63"/>
  <c r="AN43" i="63"/>
  <c r="AM43" i="63"/>
  <c r="AN54" i="63"/>
  <c r="AM54" i="63"/>
  <c r="AN37" i="63"/>
  <c r="AM37" i="63"/>
  <c r="AN47" i="63"/>
  <c r="AM47" i="63"/>
  <c r="AM45" i="63"/>
  <c r="AN45" i="63"/>
  <c r="AN46" i="63"/>
  <c r="AM46" i="63"/>
  <c r="AM69" i="63"/>
  <c r="AN69" i="63"/>
  <c r="AN40" i="63"/>
  <c r="AM40" i="63"/>
  <c r="AM38" i="63"/>
  <c r="AN38" i="63"/>
  <c r="AN68" i="63"/>
  <c r="AM68" i="63"/>
  <c r="AM49" i="63"/>
  <c r="AN49" i="63"/>
  <c r="AI56" i="61"/>
  <c r="AI43" i="61"/>
  <c r="AI58" i="61"/>
  <c r="AI55" i="61"/>
  <c r="AI52" i="61"/>
  <c r="AI57" i="61"/>
  <c r="AN77" i="61"/>
  <c r="AM77" i="61"/>
  <c r="AI38" i="61"/>
  <c r="AI37" i="61"/>
  <c r="AI42" i="61"/>
  <c r="AI66" i="61"/>
  <c r="AI48" i="61"/>
  <c r="AI50" i="61"/>
  <c r="AN80" i="61"/>
  <c r="AM80" i="61"/>
  <c r="AI46" i="61"/>
  <c r="AI65" i="61"/>
  <c r="AI45" i="61"/>
  <c r="AI40" i="61"/>
  <c r="AI67" i="61"/>
  <c r="AI53" i="61"/>
  <c r="AI64" i="61"/>
  <c r="AI49" i="61"/>
  <c r="AI36" i="61"/>
  <c r="AI47" i="61"/>
  <c r="AI68" i="61"/>
  <c r="AI39" i="61"/>
  <c r="AI54" i="61"/>
  <c r="AI51" i="61"/>
  <c r="AI70" i="61"/>
  <c r="AI63" i="61"/>
  <c r="AN84" i="61"/>
  <c r="AM84" i="61"/>
  <c r="AI44" i="61"/>
  <c r="AI69" i="61"/>
  <c r="AI41" i="61"/>
  <c r="M41" i="53"/>
  <c r="K41" i="53"/>
  <c r="K49" i="53"/>
  <c r="M49" i="53"/>
  <c r="M57" i="53"/>
  <c r="K57" i="53"/>
  <c r="M69" i="53"/>
  <c r="K69" i="53"/>
  <c r="M50" i="53"/>
  <c r="K50" i="53"/>
  <c r="M58" i="53"/>
  <c r="K58" i="53"/>
  <c r="M70" i="53"/>
  <c r="K70" i="53"/>
  <c r="M51" i="53"/>
  <c r="K51" i="53"/>
  <c r="M63" i="53"/>
  <c r="K63" i="53"/>
  <c r="M52" i="53"/>
  <c r="K52" i="53"/>
  <c r="M64" i="53"/>
  <c r="K64" i="53"/>
  <c r="M42" i="53"/>
  <c r="K42" i="53"/>
  <c r="M43" i="53"/>
  <c r="K43" i="53"/>
  <c r="K45" i="53"/>
  <c r="M45" i="53"/>
  <c r="K53" i="53"/>
  <c r="M53" i="53"/>
  <c r="K65" i="53"/>
  <c r="M65" i="53"/>
  <c r="K46" i="53"/>
  <c r="M46" i="53"/>
  <c r="K54" i="53"/>
  <c r="M54" i="53"/>
  <c r="K66" i="53"/>
  <c r="K38" i="53"/>
  <c r="M38" i="53"/>
  <c r="M47" i="53"/>
  <c r="K47" i="53"/>
  <c r="M55" i="53"/>
  <c r="K55" i="53"/>
  <c r="K67" i="53"/>
  <c r="M36" i="53"/>
  <c r="K36" i="53"/>
  <c r="M44" i="53"/>
  <c r="K44" i="53"/>
  <c r="K37" i="53"/>
  <c r="M37" i="53"/>
  <c r="M39" i="53"/>
  <c r="K39" i="53"/>
  <c r="K40" i="53"/>
  <c r="M40" i="53"/>
  <c r="M48" i="53"/>
  <c r="K48" i="53"/>
  <c r="K56" i="53"/>
  <c r="M68" i="53"/>
  <c r="K68" i="53"/>
  <c r="AI80" i="53"/>
  <c r="AB80" i="53"/>
  <c r="AF80" i="53"/>
  <c r="AI84" i="53"/>
  <c r="AF84" i="53"/>
  <c r="AB84" i="53"/>
  <c r="AI77" i="53"/>
  <c r="AF77" i="53"/>
  <c r="AB77" i="53"/>
  <c r="AA77" i="52"/>
  <c r="M77" i="52"/>
  <c r="K77" i="52"/>
  <c r="M80" i="52"/>
  <c r="K80" i="52"/>
  <c r="AA80" i="52"/>
  <c r="M84" i="52"/>
  <c r="K84" i="52"/>
  <c r="AA84" i="52"/>
  <c r="AH70" i="52"/>
  <c r="AH69" i="52"/>
  <c r="AH68" i="52"/>
  <c r="AH67" i="52"/>
  <c r="AH66" i="52"/>
  <c r="AH65" i="52"/>
  <c r="AH64" i="52"/>
  <c r="AH63" i="52"/>
  <c r="AH58" i="52"/>
  <c r="AH57" i="52"/>
  <c r="AH56" i="52"/>
  <c r="AH55" i="52"/>
  <c r="AH54" i="52"/>
  <c r="AH53" i="52"/>
  <c r="AH52" i="52"/>
  <c r="AH51" i="52"/>
  <c r="AH50" i="52"/>
  <c r="AH49" i="52"/>
  <c r="AH48" i="52"/>
  <c r="AH47" i="52"/>
  <c r="AH46" i="52"/>
  <c r="AH45" i="52"/>
  <c r="AH44" i="52"/>
  <c r="AH43" i="52"/>
  <c r="AH42" i="52"/>
  <c r="AH41" i="52"/>
  <c r="AH40" i="52"/>
  <c r="AH39" i="52"/>
  <c r="AH38" i="52"/>
  <c r="AH37" i="52"/>
  <c r="AH36" i="52"/>
  <c r="AH77" i="51"/>
  <c r="AE77" i="51"/>
  <c r="M66" i="53"/>
  <c r="M56" i="53"/>
  <c r="M67" i="53"/>
  <c r="I68" i="52"/>
  <c r="J67" i="52"/>
  <c r="L65" i="52"/>
  <c r="N63" i="52"/>
  <c r="I56" i="52"/>
  <c r="J55" i="52"/>
  <c r="L53" i="52"/>
  <c r="N51" i="52"/>
  <c r="I48" i="52"/>
  <c r="J47" i="52"/>
  <c r="L45" i="52"/>
  <c r="N43" i="52"/>
  <c r="I40" i="52"/>
  <c r="J39" i="52"/>
  <c r="L37" i="52"/>
  <c r="L44" i="52"/>
  <c r="N42" i="52"/>
  <c r="J38" i="52"/>
  <c r="L36" i="52"/>
  <c r="I37" i="52"/>
  <c r="I44" i="52"/>
  <c r="N39" i="52"/>
  <c r="I43" i="52"/>
  <c r="L39" i="52"/>
  <c r="N70" i="52"/>
  <c r="I67" i="52"/>
  <c r="J66" i="52"/>
  <c r="L64" i="52"/>
  <c r="N58" i="52"/>
  <c r="I55" i="52"/>
  <c r="J54" i="52"/>
  <c r="L52" i="52"/>
  <c r="N50" i="52"/>
  <c r="I47" i="52"/>
  <c r="J46" i="52"/>
  <c r="I39" i="52"/>
  <c r="N40" i="52"/>
  <c r="N47" i="52"/>
  <c r="J43" i="52"/>
  <c r="J42" i="52"/>
  <c r="J41" i="52"/>
  <c r="N69" i="52"/>
  <c r="I66" i="52"/>
  <c r="J65" i="52"/>
  <c r="L63" i="52"/>
  <c r="N57" i="52"/>
  <c r="I54" i="52"/>
  <c r="J53" i="52"/>
  <c r="L51" i="52"/>
  <c r="N49" i="52"/>
  <c r="I46" i="52"/>
  <c r="J45" i="52"/>
  <c r="L43" i="52"/>
  <c r="N41" i="52"/>
  <c r="I38" i="52"/>
  <c r="J37" i="52"/>
  <c r="J36" i="52"/>
  <c r="L41" i="52"/>
  <c r="L70" i="52"/>
  <c r="N68" i="52"/>
  <c r="I65" i="52"/>
  <c r="J64" i="52"/>
  <c r="L58" i="52"/>
  <c r="N56" i="52"/>
  <c r="I53" i="52"/>
  <c r="J52" i="52"/>
  <c r="L50" i="52"/>
  <c r="N48" i="52"/>
  <c r="I45" i="52"/>
  <c r="J44" i="52"/>
  <c r="L42" i="52"/>
  <c r="L69" i="52"/>
  <c r="N67" i="52"/>
  <c r="I64" i="52"/>
  <c r="J63" i="52"/>
  <c r="L57" i="52"/>
  <c r="N55" i="52"/>
  <c r="I52" i="52"/>
  <c r="J51" i="52"/>
  <c r="L49" i="52"/>
  <c r="I36" i="52"/>
  <c r="L40" i="52"/>
  <c r="J70" i="52"/>
  <c r="L68" i="52"/>
  <c r="N66" i="52"/>
  <c r="I63" i="52"/>
  <c r="J58" i="52"/>
  <c r="L56" i="52"/>
  <c r="N54" i="52"/>
  <c r="I51" i="52"/>
  <c r="J50" i="52"/>
  <c r="L48" i="52"/>
  <c r="N46" i="52"/>
  <c r="N38" i="52"/>
  <c r="I70" i="52"/>
  <c r="J69" i="52"/>
  <c r="L67" i="52"/>
  <c r="N65" i="52"/>
  <c r="I58" i="52"/>
  <c r="J57" i="52"/>
  <c r="L55" i="52"/>
  <c r="N53" i="52"/>
  <c r="I50" i="52"/>
  <c r="J49" i="52"/>
  <c r="L47" i="52"/>
  <c r="N45" i="52"/>
  <c r="I42" i="52"/>
  <c r="I69" i="52"/>
  <c r="J68" i="52"/>
  <c r="L66" i="52"/>
  <c r="N64" i="52"/>
  <c r="I57" i="52"/>
  <c r="J56" i="52"/>
  <c r="L54" i="52"/>
  <c r="N52" i="52"/>
  <c r="I49" i="52"/>
  <c r="J48" i="52"/>
  <c r="L46" i="52"/>
  <c r="N44" i="52"/>
  <c r="I41" i="52"/>
  <c r="J40" i="52"/>
  <c r="L38" i="52"/>
  <c r="N36" i="52"/>
  <c r="N37" i="52"/>
  <c r="N92" i="51"/>
  <c r="I89" i="51"/>
  <c r="J88" i="51"/>
  <c r="L83" i="51"/>
  <c r="N81" i="51"/>
  <c r="N80" i="51"/>
  <c r="I83" i="51"/>
  <c r="I82" i="51"/>
  <c r="I77" i="51"/>
  <c r="L93" i="51"/>
  <c r="N91" i="51"/>
  <c r="I88" i="51"/>
  <c r="J87" i="51"/>
  <c r="L82" i="51"/>
  <c r="L92" i="51"/>
  <c r="N90" i="51"/>
  <c r="I87" i="51"/>
  <c r="J83" i="51"/>
  <c r="L81" i="51"/>
  <c r="N77" i="51"/>
  <c r="L80" i="51"/>
  <c r="L77" i="51"/>
  <c r="I80" i="51"/>
  <c r="J93" i="51"/>
  <c r="L91" i="51"/>
  <c r="N89" i="51"/>
  <c r="J82" i="51"/>
  <c r="N87" i="51"/>
  <c r="J80" i="51"/>
  <c r="L88" i="51"/>
  <c r="I93" i="51"/>
  <c r="J92" i="51"/>
  <c r="L90" i="51"/>
  <c r="N88" i="51"/>
  <c r="J81" i="51"/>
  <c r="I81" i="51"/>
  <c r="I91" i="51"/>
  <c r="N83" i="51"/>
  <c r="I92" i="51"/>
  <c r="J91" i="51"/>
  <c r="L89" i="51"/>
  <c r="J77" i="51"/>
  <c r="J90" i="51"/>
  <c r="N93" i="51"/>
  <c r="I90" i="51"/>
  <c r="J89" i="51"/>
  <c r="L87" i="51"/>
  <c r="N82" i="51"/>
  <c r="AA90" i="51" l="1"/>
  <c r="AA92" i="51"/>
  <c r="AA91" i="51"/>
  <c r="AA81" i="51"/>
  <c r="AA93" i="51"/>
  <c r="AA80" i="51"/>
  <c r="AA87" i="51"/>
  <c r="AA88" i="51"/>
  <c r="AA82" i="51"/>
  <c r="AA83" i="51"/>
  <c r="AA89" i="51"/>
  <c r="AA41" i="52"/>
  <c r="AA49" i="52"/>
  <c r="AA57" i="52"/>
  <c r="AA69" i="52"/>
  <c r="AA42" i="52"/>
  <c r="AA50" i="52"/>
  <c r="AA58" i="52"/>
  <c r="AA70" i="52"/>
  <c r="AA51" i="52"/>
  <c r="AA63" i="52"/>
  <c r="AA36" i="52"/>
  <c r="AA52" i="52"/>
  <c r="AA64" i="52"/>
  <c r="AA45" i="52"/>
  <c r="AA53" i="52"/>
  <c r="AA65" i="52"/>
  <c r="AA38" i="52"/>
  <c r="AA46" i="52"/>
  <c r="AA54" i="52"/>
  <c r="AA66" i="52"/>
  <c r="AA39" i="52"/>
  <c r="AA47" i="52"/>
  <c r="AA55" i="52"/>
  <c r="AA67" i="52"/>
  <c r="AA43" i="52"/>
  <c r="AA44" i="52"/>
  <c r="AA37" i="52"/>
  <c r="AA40" i="52"/>
  <c r="AA48" i="52"/>
  <c r="AA56" i="52"/>
  <c r="AA68" i="52"/>
  <c r="AB36" i="53"/>
  <c r="AF36" i="53"/>
  <c r="AF65" i="53"/>
  <c r="AB51" i="53"/>
  <c r="AF51" i="53"/>
  <c r="AB68" i="53"/>
  <c r="AF68" i="53"/>
  <c r="AB67" i="53"/>
  <c r="AF67" i="53"/>
  <c r="AB53" i="53"/>
  <c r="AF53" i="53"/>
  <c r="AB70" i="53"/>
  <c r="AF70" i="53"/>
  <c r="AB56" i="53"/>
  <c r="AF56" i="53"/>
  <c r="AB55" i="53"/>
  <c r="AF55" i="53"/>
  <c r="AB45" i="53"/>
  <c r="AF45" i="53"/>
  <c r="AB58" i="53"/>
  <c r="AF58" i="53"/>
  <c r="AB48" i="53"/>
  <c r="AF48" i="53"/>
  <c r="AB47" i="53"/>
  <c r="AF47" i="53"/>
  <c r="AB43" i="53"/>
  <c r="AF43" i="53"/>
  <c r="AF50" i="53"/>
  <c r="AB40" i="53"/>
  <c r="AF40" i="53"/>
  <c r="AB38" i="53"/>
  <c r="AF38" i="53"/>
  <c r="AB42" i="53"/>
  <c r="AF42" i="53"/>
  <c r="AB69" i="53"/>
  <c r="AF69" i="53"/>
  <c r="AB39" i="53"/>
  <c r="AF39" i="53"/>
  <c r="AB66" i="53"/>
  <c r="AF66" i="53"/>
  <c r="AB64" i="53"/>
  <c r="AF64" i="53"/>
  <c r="AB57" i="53"/>
  <c r="AF57" i="53"/>
  <c r="AB37" i="53"/>
  <c r="AF37" i="53"/>
  <c r="AB54" i="53"/>
  <c r="AF54" i="53"/>
  <c r="AB52" i="53"/>
  <c r="AF52" i="53"/>
  <c r="AB49" i="53"/>
  <c r="AF49" i="53"/>
  <c r="AB44" i="53"/>
  <c r="AF44" i="53"/>
  <c r="AB46" i="53"/>
  <c r="AF46" i="53"/>
  <c r="AB63" i="53"/>
  <c r="AF63" i="53"/>
  <c r="AF41" i="53"/>
  <c r="AN70" i="61"/>
  <c r="AM70" i="61"/>
  <c r="AM36" i="61"/>
  <c r="AN36" i="61"/>
  <c r="AN64" i="61"/>
  <c r="AM64" i="61"/>
  <c r="AN66" i="61"/>
  <c r="AM66" i="61"/>
  <c r="AM43" i="61"/>
  <c r="AN43" i="61"/>
  <c r="AN45" i="61"/>
  <c r="AM45" i="61"/>
  <c r="AN67" i="61"/>
  <c r="AM67" i="61"/>
  <c r="AM46" i="61"/>
  <c r="AN46" i="61"/>
  <c r="AN42" i="61"/>
  <c r="AM42" i="61"/>
  <c r="AN55" i="61"/>
  <c r="AM55" i="61"/>
  <c r="AN68" i="61"/>
  <c r="AM68" i="61"/>
  <c r="AM57" i="61"/>
  <c r="AN57" i="61"/>
  <c r="AN63" i="61"/>
  <c r="AM63" i="61"/>
  <c r="AN51" i="61"/>
  <c r="AM51" i="61"/>
  <c r="AN38" i="61"/>
  <c r="AM38" i="61"/>
  <c r="AN52" i="61"/>
  <c r="AM52" i="61"/>
  <c r="AN58" i="61"/>
  <c r="AM58" i="61"/>
  <c r="AM69" i="61"/>
  <c r="AN69" i="61"/>
  <c r="AN39" i="61"/>
  <c r="AM39" i="61"/>
  <c r="AN53" i="61"/>
  <c r="AM53" i="61"/>
  <c r="AN48" i="61"/>
  <c r="AM48" i="61"/>
  <c r="AN54" i="61"/>
  <c r="AM54" i="61"/>
  <c r="AN44" i="61"/>
  <c r="AM44" i="61"/>
  <c r="AN47" i="61"/>
  <c r="AM47" i="61"/>
  <c r="AM49" i="61"/>
  <c r="AN49" i="61"/>
  <c r="AN40" i="61"/>
  <c r="AM40" i="61"/>
  <c r="AN37" i="61"/>
  <c r="AM37" i="61"/>
  <c r="AN56" i="61"/>
  <c r="AM56" i="61"/>
  <c r="AI55" i="53"/>
  <c r="AI66" i="53"/>
  <c r="AI51" i="53"/>
  <c r="AI58" i="53"/>
  <c r="AI36" i="53"/>
  <c r="AI57" i="53"/>
  <c r="AI56" i="53"/>
  <c r="AI52" i="53"/>
  <c r="AI43" i="53"/>
  <c r="AN84" i="53"/>
  <c r="AM84" i="53"/>
  <c r="AI37" i="53"/>
  <c r="AI54" i="53"/>
  <c r="AI50" i="53"/>
  <c r="AI53" i="53"/>
  <c r="AI49" i="53"/>
  <c r="AI40" i="53"/>
  <c r="AI44" i="53"/>
  <c r="AI67" i="53"/>
  <c r="AI38" i="53"/>
  <c r="AI63" i="53"/>
  <c r="AI70" i="53"/>
  <c r="AN80" i="53"/>
  <c r="AM80" i="53"/>
  <c r="AI48" i="53"/>
  <c r="AI68" i="53"/>
  <c r="AI46" i="53"/>
  <c r="AI42" i="53"/>
  <c r="AI69" i="53"/>
  <c r="AI39" i="53"/>
  <c r="AI65" i="53"/>
  <c r="AI47" i="53"/>
  <c r="AN77" i="53"/>
  <c r="AM77" i="53"/>
  <c r="AI45" i="53"/>
  <c r="AI64" i="53"/>
  <c r="AI41" i="53"/>
  <c r="M41" i="52"/>
  <c r="K41" i="52"/>
  <c r="M49" i="52"/>
  <c r="K49" i="52"/>
  <c r="M57" i="52"/>
  <c r="K57" i="52"/>
  <c r="M69" i="52"/>
  <c r="K69" i="52"/>
  <c r="M42" i="52"/>
  <c r="K42" i="52"/>
  <c r="M50" i="52"/>
  <c r="K50" i="52"/>
  <c r="M58" i="52"/>
  <c r="K58" i="52"/>
  <c r="M70" i="52"/>
  <c r="K70" i="52"/>
  <c r="M51" i="52"/>
  <c r="K51" i="52"/>
  <c r="M63" i="52"/>
  <c r="K63" i="52"/>
  <c r="M36" i="52"/>
  <c r="K36" i="52"/>
  <c r="M52" i="52"/>
  <c r="K52" i="52"/>
  <c r="M64" i="52"/>
  <c r="K64" i="52"/>
  <c r="K45" i="52"/>
  <c r="M45" i="52"/>
  <c r="K53" i="52"/>
  <c r="M53" i="52"/>
  <c r="K65" i="52"/>
  <c r="M65" i="52"/>
  <c r="K38" i="52"/>
  <c r="M38" i="52"/>
  <c r="K46" i="52"/>
  <c r="M46" i="52"/>
  <c r="K54" i="52"/>
  <c r="M54" i="52"/>
  <c r="K66" i="52"/>
  <c r="M39" i="52"/>
  <c r="K39" i="52"/>
  <c r="M47" i="52"/>
  <c r="K47" i="52"/>
  <c r="M55" i="52"/>
  <c r="K55" i="52"/>
  <c r="K67" i="52"/>
  <c r="M43" i="52"/>
  <c r="K43" i="52"/>
  <c r="M44" i="52"/>
  <c r="K44" i="52"/>
  <c r="K37" i="52"/>
  <c r="M37" i="52"/>
  <c r="M40" i="52"/>
  <c r="K40" i="52"/>
  <c r="M48" i="52"/>
  <c r="K48" i="52"/>
  <c r="K56" i="52"/>
  <c r="M68" i="52"/>
  <c r="K68" i="52"/>
  <c r="AI80" i="52"/>
  <c r="AB80" i="52"/>
  <c r="AF80" i="52"/>
  <c r="AI84" i="52"/>
  <c r="AF84" i="52"/>
  <c r="AB84" i="52"/>
  <c r="AB77" i="52"/>
  <c r="AI77" i="52"/>
  <c r="AF77" i="52"/>
  <c r="K90" i="51"/>
  <c r="K92" i="51"/>
  <c r="K91" i="51"/>
  <c r="M81" i="51"/>
  <c r="K81" i="51"/>
  <c r="K93" i="51"/>
  <c r="M80" i="51"/>
  <c r="K80" i="51"/>
  <c r="K87" i="51"/>
  <c r="K88" i="51"/>
  <c r="AA77" i="51"/>
  <c r="M77" i="51"/>
  <c r="K77" i="51"/>
  <c r="M82" i="51"/>
  <c r="K82" i="51"/>
  <c r="K83" i="51"/>
  <c r="M83" i="51"/>
  <c r="K89" i="51"/>
  <c r="M89" i="51"/>
  <c r="AH69" i="51"/>
  <c r="AH68" i="51"/>
  <c r="AH67" i="51"/>
  <c r="AH66" i="51"/>
  <c r="AH65" i="51"/>
  <c r="AH56" i="51"/>
  <c r="AH53" i="51"/>
  <c r="AH52" i="51"/>
  <c r="AH51" i="51"/>
  <c r="AH50" i="51"/>
  <c r="AH46" i="51"/>
  <c r="AH45" i="51"/>
  <c r="AH41" i="51"/>
  <c r="AH39" i="51"/>
  <c r="AH38" i="51"/>
  <c r="AH105" i="9"/>
  <c r="M56" i="52"/>
  <c r="M67" i="52"/>
  <c r="M66" i="52"/>
  <c r="J70" i="51"/>
  <c r="L68" i="51"/>
  <c r="N66" i="51"/>
  <c r="I63" i="51"/>
  <c r="J58" i="51"/>
  <c r="L56" i="51"/>
  <c r="N54" i="51"/>
  <c r="I51" i="51"/>
  <c r="J50" i="51"/>
  <c r="L48" i="51"/>
  <c r="N46" i="51"/>
  <c r="I43" i="51"/>
  <c r="J42" i="51"/>
  <c r="L40" i="51"/>
  <c r="N38" i="51"/>
  <c r="J49" i="51"/>
  <c r="N37" i="51"/>
  <c r="J40" i="51"/>
  <c r="L38" i="51"/>
  <c r="N36" i="51"/>
  <c r="I40" i="51"/>
  <c r="L37" i="51"/>
  <c r="L43" i="51"/>
  <c r="M90" i="51"/>
  <c r="I70" i="51"/>
  <c r="J69" i="51"/>
  <c r="L67" i="51"/>
  <c r="N65" i="51"/>
  <c r="I58" i="51"/>
  <c r="J57" i="51"/>
  <c r="L55" i="51"/>
  <c r="N53" i="51"/>
  <c r="I50" i="51"/>
  <c r="L47" i="51"/>
  <c r="N45" i="51"/>
  <c r="I42" i="51"/>
  <c r="J41" i="51"/>
  <c r="L39" i="51"/>
  <c r="I39" i="51"/>
  <c r="L36" i="51"/>
  <c r="I38" i="51"/>
  <c r="I69" i="51"/>
  <c r="J68" i="51"/>
  <c r="L66" i="51"/>
  <c r="N64" i="51"/>
  <c r="I57" i="51"/>
  <c r="J56" i="51"/>
  <c r="L54" i="51"/>
  <c r="N52" i="51"/>
  <c r="I49" i="51"/>
  <c r="J48" i="51"/>
  <c r="L46" i="51"/>
  <c r="N44" i="51"/>
  <c r="I41" i="51"/>
  <c r="J39" i="51"/>
  <c r="M92" i="51"/>
  <c r="M87" i="51"/>
  <c r="I68" i="51"/>
  <c r="J67" i="51"/>
  <c r="L65" i="51"/>
  <c r="N63" i="51"/>
  <c r="I56" i="51"/>
  <c r="J55" i="51"/>
  <c r="L53" i="51"/>
  <c r="N51" i="51"/>
  <c r="I48" i="51"/>
  <c r="J47" i="51"/>
  <c r="L45" i="51"/>
  <c r="N43" i="51"/>
  <c r="M93" i="51"/>
  <c r="N70" i="51"/>
  <c r="I67" i="51"/>
  <c r="J66" i="51"/>
  <c r="L64" i="51"/>
  <c r="N58" i="51"/>
  <c r="I55" i="51"/>
  <c r="J54" i="51"/>
  <c r="L52" i="51"/>
  <c r="N50" i="51"/>
  <c r="I47" i="51"/>
  <c r="J46" i="51"/>
  <c r="L44" i="51"/>
  <c r="N42" i="51"/>
  <c r="J38" i="51"/>
  <c r="N69" i="51"/>
  <c r="I66" i="51"/>
  <c r="J65" i="51"/>
  <c r="L63" i="51"/>
  <c r="N57" i="51"/>
  <c r="I54" i="51"/>
  <c r="J53" i="51"/>
  <c r="L51" i="51"/>
  <c r="N49" i="51"/>
  <c r="I46" i="51"/>
  <c r="J45" i="51"/>
  <c r="N41" i="51"/>
  <c r="M88" i="51"/>
  <c r="L70" i="51"/>
  <c r="N68" i="51"/>
  <c r="I65" i="51"/>
  <c r="J64" i="51"/>
  <c r="L58" i="51"/>
  <c r="N56" i="51"/>
  <c r="I53" i="51"/>
  <c r="J52" i="51"/>
  <c r="L50" i="51"/>
  <c r="N48" i="51"/>
  <c r="I45" i="51"/>
  <c r="M91" i="51"/>
  <c r="L69" i="51"/>
  <c r="N67" i="51"/>
  <c r="I64" i="51"/>
  <c r="J63" i="51"/>
  <c r="L57" i="51"/>
  <c r="N55" i="51"/>
  <c r="I52" i="51"/>
  <c r="J51" i="51"/>
  <c r="L49" i="51"/>
  <c r="N47" i="51"/>
  <c r="I44" i="51"/>
  <c r="J43" i="51"/>
  <c r="L41" i="51"/>
  <c r="N39" i="51"/>
  <c r="I36" i="51"/>
  <c r="N40" i="51"/>
  <c r="J36" i="51"/>
  <c r="I37" i="51"/>
  <c r="J37" i="51"/>
  <c r="L42" i="51"/>
  <c r="J44" i="51"/>
  <c r="N117" i="9"/>
  <c r="I114" i="9"/>
  <c r="J113" i="9"/>
  <c r="L111" i="9"/>
  <c r="N109" i="9"/>
  <c r="I106" i="9"/>
  <c r="J105" i="9"/>
  <c r="L103" i="9"/>
  <c r="N101" i="9"/>
  <c r="I98" i="9"/>
  <c r="J97" i="9"/>
  <c r="L95" i="9"/>
  <c r="N90" i="9"/>
  <c r="I87" i="9"/>
  <c r="J86" i="9"/>
  <c r="L84" i="9"/>
  <c r="N82" i="9"/>
  <c r="I77" i="9"/>
  <c r="J81" i="9"/>
  <c r="L77" i="9"/>
  <c r="L118" i="9"/>
  <c r="N116" i="9"/>
  <c r="I113" i="9"/>
  <c r="J112" i="9"/>
  <c r="L110" i="9"/>
  <c r="N108" i="9"/>
  <c r="I105" i="9"/>
  <c r="J104" i="9"/>
  <c r="L102" i="9"/>
  <c r="N100" i="9"/>
  <c r="I97" i="9"/>
  <c r="J96" i="9"/>
  <c r="L94" i="9"/>
  <c r="N89" i="9"/>
  <c r="I86" i="9"/>
  <c r="J85" i="9"/>
  <c r="L83" i="9"/>
  <c r="N81" i="9"/>
  <c r="I82" i="9"/>
  <c r="L117" i="9"/>
  <c r="N115" i="9"/>
  <c r="I112" i="9"/>
  <c r="J111" i="9"/>
  <c r="L109" i="9"/>
  <c r="N107" i="9"/>
  <c r="I104" i="9"/>
  <c r="J103" i="9"/>
  <c r="L101" i="9"/>
  <c r="N99" i="9"/>
  <c r="I96" i="9"/>
  <c r="J95" i="9"/>
  <c r="L90" i="9"/>
  <c r="N88" i="9"/>
  <c r="I85" i="9"/>
  <c r="J84" i="9"/>
  <c r="L82" i="9"/>
  <c r="N80" i="9"/>
  <c r="J80" i="9"/>
  <c r="J118" i="9"/>
  <c r="L116" i="9"/>
  <c r="N114" i="9"/>
  <c r="I111" i="9"/>
  <c r="J110" i="9"/>
  <c r="L108" i="9"/>
  <c r="N106" i="9"/>
  <c r="I103" i="9"/>
  <c r="J102" i="9"/>
  <c r="L100" i="9"/>
  <c r="N98" i="9"/>
  <c r="I95" i="9"/>
  <c r="J94" i="9"/>
  <c r="L89" i="9"/>
  <c r="N87" i="9"/>
  <c r="I84" i="9"/>
  <c r="J83" i="9"/>
  <c r="L81" i="9"/>
  <c r="N77" i="9"/>
  <c r="I118" i="9"/>
  <c r="J117" i="9"/>
  <c r="L115" i="9"/>
  <c r="N113" i="9"/>
  <c r="I110" i="9"/>
  <c r="J109" i="9"/>
  <c r="L107" i="9"/>
  <c r="N105" i="9"/>
  <c r="I102" i="9"/>
  <c r="J101" i="9"/>
  <c r="L99" i="9"/>
  <c r="N97" i="9"/>
  <c r="I94" i="9"/>
  <c r="J90" i="9"/>
  <c r="L88" i="9"/>
  <c r="N86" i="9"/>
  <c r="I83" i="9"/>
  <c r="J82" i="9"/>
  <c r="L80" i="9"/>
  <c r="I117" i="9"/>
  <c r="J116" i="9"/>
  <c r="L114" i="9"/>
  <c r="N112" i="9"/>
  <c r="I109" i="9"/>
  <c r="J108" i="9"/>
  <c r="L106" i="9"/>
  <c r="N104" i="9"/>
  <c r="I101" i="9"/>
  <c r="J100" i="9"/>
  <c r="L98" i="9"/>
  <c r="N96" i="9"/>
  <c r="I90" i="9"/>
  <c r="J89" i="9"/>
  <c r="L87" i="9"/>
  <c r="N85" i="9"/>
  <c r="I81" i="9"/>
  <c r="I116" i="9"/>
  <c r="J115" i="9"/>
  <c r="L113" i="9"/>
  <c r="N111" i="9"/>
  <c r="I108" i="9"/>
  <c r="J107" i="9"/>
  <c r="L105" i="9"/>
  <c r="N103" i="9"/>
  <c r="I100" i="9"/>
  <c r="J99" i="9"/>
  <c r="L97" i="9"/>
  <c r="N95" i="9"/>
  <c r="I89" i="9"/>
  <c r="J88" i="9"/>
  <c r="L86" i="9"/>
  <c r="N84" i="9"/>
  <c r="N118" i="9"/>
  <c r="I115" i="9"/>
  <c r="J114" i="9"/>
  <c r="L112" i="9"/>
  <c r="N110" i="9"/>
  <c r="I107" i="9"/>
  <c r="J106" i="9"/>
  <c r="L104" i="9"/>
  <c r="N102" i="9"/>
  <c r="I99" i="9"/>
  <c r="J98" i="9"/>
  <c r="L96" i="9"/>
  <c r="N94" i="9"/>
  <c r="I88" i="9"/>
  <c r="J87" i="9"/>
  <c r="L85" i="9"/>
  <c r="N83" i="9"/>
  <c r="I80" i="9"/>
  <c r="J77" i="9"/>
  <c r="AA80" i="9" l="1"/>
  <c r="AA88" i="9"/>
  <c r="AA99" i="9"/>
  <c r="AA107" i="9"/>
  <c r="AA115" i="9"/>
  <c r="AA89" i="9"/>
  <c r="AA100" i="9"/>
  <c r="AA108" i="9"/>
  <c r="AA116" i="9"/>
  <c r="AA81" i="9"/>
  <c r="AA90" i="9"/>
  <c r="AA101" i="9"/>
  <c r="AA109" i="9"/>
  <c r="AA117" i="9"/>
  <c r="AA83" i="9"/>
  <c r="AA94" i="9"/>
  <c r="AA102" i="9"/>
  <c r="AA110" i="9"/>
  <c r="AA118" i="9"/>
  <c r="AA84" i="9"/>
  <c r="AA95" i="9"/>
  <c r="AA103" i="9"/>
  <c r="AA111" i="9"/>
  <c r="AA85" i="9"/>
  <c r="AA96" i="9"/>
  <c r="AA104" i="9"/>
  <c r="AA112" i="9"/>
  <c r="AA82" i="9"/>
  <c r="AA86" i="9"/>
  <c r="AA97" i="9"/>
  <c r="AA105" i="9"/>
  <c r="AA113" i="9"/>
  <c r="AA77" i="9"/>
  <c r="AA87" i="9"/>
  <c r="AA98" i="9"/>
  <c r="AA106" i="9"/>
  <c r="AA114" i="9"/>
  <c r="AA37" i="51"/>
  <c r="AA36" i="51"/>
  <c r="AA44" i="51"/>
  <c r="AA52" i="51"/>
  <c r="AA64" i="51"/>
  <c r="AA45" i="51"/>
  <c r="AA53" i="51"/>
  <c r="AA65" i="51"/>
  <c r="AA46" i="51"/>
  <c r="AA54" i="51"/>
  <c r="AA66" i="51"/>
  <c r="AA47" i="51"/>
  <c r="AA55" i="51"/>
  <c r="AA67" i="51"/>
  <c r="AA48" i="51"/>
  <c r="AA56" i="51"/>
  <c r="AA68" i="51"/>
  <c r="AA41" i="51"/>
  <c r="AA49" i="51"/>
  <c r="AA57" i="51"/>
  <c r="AA69" i="51"/>
  <c r="AA38" i="51"/>
  <c r="AA39" i="51"/>
  <c r="AA42" i="51"/>
  <c r="AA50" i="51"/>
  <c r="AA58" i="51"/>
  <c r="AA70" i="51"/>
  <c r="AA40" i="51"/>
  <c r="AA43" i="51"/>
  <c r="AA51" i="51"/>
  <c r="AA63" i="51"/>
  <c r="AB48" i="52"/>
  <c r="AF48" i="52"/>
  <c r="AB39" i="52"/>
  <c r="AF39" i="52"/>
  <c r="AB64" i="52"/>
  <c r="AF64" i="52"/>
  <c r="AB42" i="52"/>
  <c r="AF42" i="52"/>
  <c r="AF88" i="51"/>
  <c r="AB88" i="51"/>
  <c r="AB40" i="52"/>
  <c r="AF40" i="52"/>
  <c r="AB66" i="52"/>
  <c r="AF66" i="52"/>
  <c r="AB52" i="52"/>
  <c r="AF52" i="52"/>
  <c r="AB69" i="52"/>
  <c r="AF69" i="52"/>
  <c r="AB87" i="51"/>
  <c r="AF87" i="51"/>
  <c r="AB37" i="52"/>
  <c r="AF37" i="52"/>
  <c r="AB54" i="52"/>
  <c r="AF54" i="52"/>
  <c r="AB36" i="52"/>
  <c r="AF36" i="52"/>
  <c r="AB57" i="52"/>
  <c r="AF57" i="52"/>
  <c r="AF80" i="51"/>
  <c r="AB44" i="52"/>
  <c r="AF44" i="52"/>
  <c r="AB46" i="52"/>
  <c r="AF46" i="52"/>
  <c r="AB63" i="52"/>
  <c r="AF63" i="52"/>
  <c r="AB49" i="52"/>
  <c r="AF49" i="52"/>
  <c r="AB93" i="51"/>
  <c r="AF93" i="51"/>
  <c r="AB43" i="52"/>
  <c r="AF43" i="52"/>
  <c r="AB38" i="52"/>
  <c r="AF38" i="52"/>
  <c r="AB51" i="52"/>
  <c r="AF51" i="52"/>
  <c r="AF41" i="52"/>
  <c r="AF81" i="51"/>
  <c r="AB67" i="52"/>
  <c r="AF67" i="52"/>
  <c r="AF65" i="52"/>
  <c r="AB70" i="52"/>
  <c r="AF70" i="52"/>
  <c r="AB89" i="51"/>
  <c r="AF89" i="51"/>
  <c r="AB91" i="51"/>
  <c r="AF91" i="51"/>
  <c r="AB68" i="52"/>
  <c r="AF68" i="52"/>
  <c r="AB55" i="52"/>
  <c r="AF55" i="52"/>
  <c r="AB53" i="52"/>
  <c r="AF53" i="52"/>
  <c r="AB58" i="52"/>
  <c r="AF58" i="52"/>
  <c r="AF83" i="51"/>
  <c r="AF92" i="51"/>
  <c r="AB92" i="51"/>
  <c r="AB56" i="52"/>
  <c r="AF56" i="52"/>
  <c r="AB47" i="52"/>
  <c r="AF47" i="52"/>
  <c r="AB45" i="52"/>
  <c r="AF45" i="52"/>
  <c r="AF50" i="52"/>
  <c r="AF82" i="51"/>
  <c r="AF90" i="51"/>
  <c r="AB90" i="51"/>
  <c r="AN38" i="53"/>
  <c r="AM38" i="53"/>
  <c r="AN52" i="53"/>
  <c r="AM52" i="53"/>
  <c r="AN58" i="53"/>
  <c r="AM58" i="53"/>
  <c r="AM49" i="53"/>
  <c r="AN49" i="53"/>
  <c r="AN46" i="53"/>
  <c r="AM46" i="53"/>
  <c r="AN66" i="53"/>
  <c r="AM66" i="53"/>
  <c r="AN48" i="53"/>
  <c r="AM48" i="53"/>
  <c r="AN53" i="53"/>
  <c r="AM53" i="53"/>
  <c r="AM57" i="53"/>
  <c r="AN57" i="53"/>
  <c r="AN67" i="53"/>
  <c r="AM67" i="53"/>
  <c r="AN54" i="53"/>
  <c r="AM54" i="53"/>
  <c r="AN43" i="53"/>
  <c r="AM43" i="53"/>
  <c r="AN51" i="53"/>
  <c r="AM51" i="53"/>
  <c r="AN63" i="53"/>
  <c r="AM63" i="53"/>
  <c r="AN40" i="53"/>
  <c r="AM40" i="53"/>
  <c r="AN36" i="53"/>
  <c r="AM36" i="53"/>
  <c r="AN64" i="53"/>
  <c r="AM64" i="53"/>
  <c r="AM69" i="53"/>
  <c r="AN69" i="53"/>
  <c r="AN47" i="53"/>
  <c r="AM47" i="53"/>
  <c r="AN39" i="53"/>
  <c r="AM39" i="53"/>
  <c r="AN70" i="53"/>
  <c r="AM70" i="53"/>
  <c r="AN44" i="53"/>
  <c r="AM44" i="53"/>
  <c r="AN55" i="53"/>
  <c r="AM55" i="53"/>
  <c r="AN42" i="53"/>
  <c r="AM42" i="53"/>
  <c r="AN45" i="53"/>
  <c r="AM45" i="53"/>
  <c r="AN68" i="53"/>
  <c r="AM68" i="53"/>
  <c r="AM37" i="53"/>
  <c r="AN37" i="53"/>
  <c r="AN56" i="53"/>
  <c r="AM56" i="53"/>
  <c r="AN80" i="52"/>
  <c r="AM80" i="52"/>
  <c r="AI56" i="52"/>
  <c r="AI37" i="52"/>
  <c r="AI47" i="52"/>
  <c r="AI54" i="52"/>
  <c r="AI50" i="52"/>
  <c r="AI65" i="52"/>
  <c r="AI64" i="52"/>
  <c r="AI57" i="52"/>
  <c r="AI67" i="52"/>
  <c r="AI63" i="52"/>
  <c r="AI70" i="52"/>
  <c r="AI39" i="52"/>
  <c r="AI42" i="52"/>
  <c r="AI53" i="52"/>
  <c r="AI52" i="52"/>
  <c r="AI49" i="52"/>
  <c r="AI44" i="52"/>
  <c r="AI48" i="52"/>
  <c r="AI68" i="52"/>
  <c r="AI43" i="52"/>
  <c r="AI55" i="52"/>
  <c r="AI66" i="52"/>
  <c r="AI51" i="52"/>
  <c r="AI58" i="52"/>
  <c r="AM77" i="52"/>
  <c r="AN77" i="52"/>
  <c r="AM84" i="52"/>
  <c r="AN84" i="52"/>
  <c r="AI40" i="52"/>
  <c r="AI38" i="52"/>
  <c r="AI69" i="52"/>
  <c r="AI46" i="52"/>
  <c r="AI45" i="52"/>
  <c r="AI36" i="52"/>
  <c r="AI41" i="52"/>
  <c r="M37" i="51"/>
  <c r="K37" i="51"/>
  <c r="K36" i="51"/>
  <c r="M36" i="51"/>
  <c r="K44" i="51"/>
  <c r="M44" i="51"/>
  <c r="M52" i="51"/>
  <c r="K52" i="51"/>
  <c r="M64" i="51"/>
  <c r="K64" i="51"/>
  <c r="M45" i="51"/>
  <c r="K45" i="51"/>
  <c r="M53" i="51"/>
  <c r="K53" i="51"/>
  <c r="M65" i="51"/>
  <c r="K65" i="51"/>
  <c r="M46" i="51"/>
  <c r="K46" i="51"/>
  <c r="M54" i="51"/>
  <c r="K54" i="51"/>
  <c r="K66" i="51"/>
  <c r="M47" i="51"/>
  <c r="K47" i="51"/>
  <c r="M55" i="51"/>
  <c r="K55" i="51"/>
  <c r="K67" i="51"/>
  <c r="K48" i="51"/>
  <c r="M48" i="51"/>
  <c r="K56" i="51"/>
  <c r="K68" i="51"/>
  <c r="M68" i="51"/>
  <c r="K41" i="51"/>
  <c r="M41" i="51"/>
  <c r="K49" i="51"/>
  <c r="M49" i="51"/>
  <c r="K57" i="51"/>
  <c r="M57" i="51"/>
  <c r="K69" i="51"/>
  <c r="M69" i="51"/>
  <c r="M38" i="51"/>
  <c r="K38" i="51"/>
  <c r="M39" i="51"/>
  <c r="K39" i="51"/>
  <c r="M42" i="51"/>
  <c r="K42" i="51"/>
  <c r="M50" i="51"/>
  <c r="K50" i="51"/>
  <c r="M58" i="51"/>
  <c r="K58" i="51"/>
  <c r="M70" i="51"/>
  <c r="K70" i="51"/>
  <c r="K40" i="51"/>
  <c r="M40" i="51"/>
  <c r="M43" i="51"/>
  <c r="K43" i="51"/>
  <c r="M51" i="51"/>
  <c r="K51" i="51"/>
  <c r="M63" i="51"/>
  <c r="K63" i="51"/>
  <c r="AI83" i="51"/>
  <c r="AI80" i="51"/>
  <c r="AI93" i="51"/>
  <c r="AI91" i="51"/>
  <c r="AI88" i="51"/>
  <c r="AI92" i="51"/>
  <c r="AI82" i="51"/>
  <c r="AI87" i="51"/>
  <c r="AI81" i="51"/>
  <c r="AI89" i="51"/>
  <c r="AB77" i="51"/>
  <c r="AI77" i="51"/>
  <c r="AF77" i="51"/>
  <c r="AI90" i="51"/>
  <c r="M80" i="9"/>
  <c r="K80" i="9"/>
  <c r="M88" i="9"/>
  <c r="K88" i="9"/>
  <c r="K99" i="9"/>
  <c r="K107" i="9"/>
  <c r="K115" i="9"/>
  <c r="M89" i="9"/>
  <c r="K89" i="9"/>
  <c r="K100" i="9"/>
  <c r="K108" i="9"/>
  <c r="K116" i="9"/>
  <c r="M81" i="9"/>
  <c r="K81" i="9"/>
  <c r="M90" i="9"/>
  <c r="K90" i="9"/>
  <c r="K101" i="9"/>
  <c r="K109" i="9"/>
  <c r="K117" i="9"/>
  <c r="M83" i="9"/>
  <c r="K83" i="9"/>
  <c r="K94" i="9"/>
  <c r="K102" i="9"/>
  <c r="K110" i="9"/>
  <c r="M118" i="9"/>
  <c r="K118" i="9"/>
  <c r="K84" i="9"/>
  <c r="M84" i="9"/>
  <c r="K95" i="9"/>
  <c r="K103" i="9"/>
  <c r="M103" i="9"/>
  <c r="K111" i="9"/>
  <c r="K85" i="9"/>
  <c r="M85" i="9"/>
  <c r="K96" i="9"/>
  <c r="M96" i="9"/>
  <c r="K104" i="9"/>
  <c r="M104" i="9"/>
  <c r="K112" i="9"/>
  <c r="M82" i="9"/>
  <c r="K82" i="9"/>
  <c r="M86" i="9"/>
  <c r="K86" i="9"/>
  <c r="K97" i="9"/>
  <c r="M105" i="9"/>
  <c r="K105" i="9"/>
  <c r="K113" i="9"/>
  <c r="M77" i="9"/>
  <c r="K77" i="9"/>
  <c r="M87" i="9"/>
  <c r="K87" i="9"/>
  <c r="K98" i="9"/>
  <c r="M106" i="9"/>
  <c r="K106" i="9"/>
  <c r="K114" i="9"/>
  <c r="AH69" i="9"/>
  <c r="AH68" i="9"/>
  <c r="AH67" i="9"/>
  <c r="AH66" i="9"/>
  <c r="AH65" i="9"/>
  <c r="AH56" i="9"/>
  <c r="AH53" i="9"/>
  <c r="AH52" i="9"/>
  <c r="AH51" i="9"/>
  <c r="AH50" i="9"/>
  <c r="AH46" i="9"/>
  <c r="AH45" i="9"/>
  <c r="AH43" i="9"/>
  <c r="AH41" i="9"/>
  <c r="AH39" i="9"/>
  <c r="AH38" i="9"/>
  <c r="AH36" i="9"/>
  <c r="AH60" i="18"/>
  <c r="AE60" i="18"/>
  <c r="AH56" i="18"/>
  <c r="AE56" i="18"/>
  <c r="AB56" i="18"/>
  <c r="AH53" i="18"/>
  <c r="AE53" i="18"/>
  <c r="AB53" i="18"/>
  <c r="M66" i="51"/>
  <c r="M67" i="51"/>
  <c r="M56" i="51"/>
  <c r="M102" i="9"/>
  <c r="M112" i="9"/>
  <c r="M97" i="9"/>
  <c r="N69" i="9"/>
  <c r="I66" i="9"/>
  <c r="J65" i="9"/>
  <c r="L63" i="9"/>
  <c r="N57" i="9"/>
  <c r="I54" i="9"/>
  <c r="J53" i="9"/>
  <c r="L51" i="9"/>
  <c r="N49" i="9"/>
  <c r="I46" i="9"/>
  <c r="J45" i="9"/>
  <c r="L43" i="9"/>
  <c r="N41" i="9"/>
  <c r="I38" i="9"/>
  <c r="J37" i="9"/>
  <c r="N44" i="9"/>
  <c r="J40" i="9"/>
  <c r="M116" i="9"/>
  <c r="M101" i="9"/>
  <c r="L70" i="9"/>
  <c r="N68" i="9"/>
  <c r="I65" i="9"/>
  <c r="J64" i="9"/>
  <c r="L58" i="9"/>
  <c r="N56" i="9"/>
  <c r="I53" i="9"/>
  <c r="J52" i="9"/>
  <c r="L50" i="9"/>
  <c r="N48" i="9"/>
  <c r="I45" i="9"/>
  <c r="J44" i="9"/>
  <c r="L42" i="9"/>
  <c r="N40" i="9"/>
  <c r="I37" i="9"/>
  <c r="J36" i="9"/>
  <c r="I36" i="9"/>
  <c r="N45" i="9"/>
  <c r="L39" i="9"/>
  <c r="I40" i="9"/>
  <c r="M107" i="9"/>
  <c r="L69" i="9"/>
  <c r="N67" i="9"/>
  <c r="I64" i="9"/>
  <c r="J63" i="9"/>
  <c r="L57" i="9"/>
  <c r="N55" i="9"/>
  <c r="I52" i="9"/>
  <c r="J51" i="9"/>
  <c r="L49" i="9"/>
  <c r="N47" i="9"/>
  <c r="I44" i="9"/>
  <c r="J43" i="9"/>
  <c r="L41" i="9"/>
  <c r="N39" i="9"/>
  <c r="M100" i="9"/>
  <c r="M110" i="9"/>
  <c r="J70" i="9"/>
  <c r="L68" i="9"/>
  <c r="N66" i="9"/>
  <c r="I63" i="9"/>
  <c r="J58" i="9"/>
  <c r="L56" i="9"/>
  <c r="N54" i="9"/>
  <c r="I51" i="9"/>
  <c r="J50" i="9"/>
  <c r="L48" i="9"/>
  <c r="N46" i="9"/>
  <c r="I43" i="9"/>
  <c r="J42" i="9"/>
  <c r="L40" i="9"/>
  <c r="N38" i="9"/>
  <c r="J41" i="9"/>
  <c r="N37" i="9"/>
  <c r="L38" i="9"/>
  <c r="M109" i="9"/>
  <c r="M111" i="9"/>
  <c r="I70" i="9"/>
  <c r="J69" i="9"/>
  <c r="L67" i="9"/>
  <c r="N65" i="9"/>
  <c r="I58" i="9"/>
  <c r="J57" i="9"/>
  <c r="L55" i="9"/>
  <c r="N53" i="9"/>
  <c r="I50" i="9"/>
  <c r="J49" i="9"/>
  <c r="L47" i="9"/>
  <c r="I42" i="9"/>
  <c r="N36" i="9"/>
  <c r="L37" i="9"/>
  <c r="M115" i="9"/>
  <c r="M94" i="9"/>
  <c r="M114" i="9"/>
  <c r="I69" i="9"/>
  <c r="J68" i="9"/>
  <c r="L66" i="9"/>
  <c r="N64" i="9"/>
  <c r="I57" i="9"/>
  <c r="J56" i="9"/>
  <c r="L54" i="9"/>
  <c r="N52" i="9"/>
  <c r="I49" i="9"/>
  <c r="J48" i="9"/>
  <c r="L46" i="9"/>
  <c r="I41" i="9"/>
  <c r="M108" i="9"/>
  <c r="M95" i="9"/>
  <c r="M113" i="9"/>
  <c r="I68" i="9"/>
  <c r="J67" i="9"/>
  <c r="L65" i="9"/>
  <c r="N63" i="9"/>
  <c r="I56" i="9"/>
  <c r="J55" i="9"/>
  <c r="L53" i="9"/>
  <c r="N51" i="9"/>
  <c r="I48" i="9"/>
  <c r="J47" i="9"/>
  <c r="L45" i="9"/>
  <c r="N43" i="9"/>
  <c r="J39" i="9"/>
  <c r="M99" i="9"/>
  <c r="M117" i="9"/>
  <c r="M98" i="9"/>
  <c r="N70" i="9"/>
  <c r="I67" i="9"/>
  <c r="J66" i="9"/>
  <c r="L64" i="9"/>
  <c r="N58" i="9"/>
  <c r="I55" i="9"/>
  <c r="J54" i="9"/>
  <c r="L52" i="9"/>
  <c r="N50" i="9"/>
  <c r="I47" i="9"/>
  <c r="J46" i="9"/>
  <c r="L44" i="9"/>
  <c r="N42" i="9"/>
  <c r="I39" i="9"/>
  <c r="J38" i="9"/>
  <c r="L36" i="9"/>
  <c r="L56" i="18"/>
  <c r="L53" i="18"/>
  <c r="I56" i="18"/>
  <c r="N60" i="18"/>
  <c r="J56" i="18"/>
  <c r="N53" i="18"/>
  <c r="L60" i="18"/>
  <c r="I53" i="18"/>
  <c r="I60" i="18"/>
  <c r="N56" i="18"/>
  <c r="J53" i="18"/>
  <c r="J60" i="18"/>
  <c r="AA39" i="9" l="1"/>
  <c r="AA47" i="9"/>
  <c r="AA55" i="9"/>
  <c r="AA67" i="9"/>
  <c r="AA48" i="9"/>
  <c r="AA56" i="9"/>
  <c r="AA68" i="9"/>
  <c r="AA41" i="9"/>
  <c r="AA49" i="9"/>
  <c r="AA57" i="9"/>
  <c r="AA69" i="9"/>
  <c r="AA42" i="9"/>
  <c r="AA50" i="9"/>
  <c r="AA58" i="9"/>
  <c r="AA70" i="9"/>
  <c r="AA43" i="9"/>
  <c r="AA51" i="9"/>
  <c r="AA63" i="9"/>
  <c r="AA44" i="9"/>
  <c r="AA52" i="9"/>
  <c r="AA64" i="9"/>
  <c r="AA40" i="9"/>
  <c r="AA36" i="9"/>
  <c r="AA37" i="9"/>
  <c r="AA45" i="9"/>
  <c r="AA53" i="9"/>
  <c r="AA65" i="9"/>
  <c r="AA38" i="9"/>
  <c r="AA46" i="9"/>
  <c r="AA54" i="9"/>
  <c r="AA66" i="9"/>
  <c r="AF70" i="51"/>
  <c r="AF49" i="51"/>
  <c r="AB66" i="51"/>
  <c r="AF66" i="51"/>
  <c r="AB44" i="51"/>
  <c r="AF44" i="51"/>
  <c r="AB113" i="9"/>
  <c r="AF113" i="9"/>
  <c r="AF85" i="9"/>
  <c r="AF94" i="9"/>
  <c r="AB94" i="9"/>
  <c r="AB108" i="9"/>
  <c r="AF108" i="9"/>
  <c r="AF58" i="51"/>
  <c r="AF41" i="51"/>
  <c r="AF54" i="51"/>
  <c r="AF36" i="51"/>
  <c r="AF105" i="9"/>
  <c r="AF111" i="9"/>
  <c r="AF83" i="9"/>
  <c r="AF100" i="9"/>
  <c r="AF50" i="51"/>
  <c r="AB68" i="51"/>
  <c r="AF68" i="51"/>
  <c r="AB46" i="51"/>
  <c r="AF46" i="51"/>
  <c r="AF37" i="51"/>
  <c r="AB37" i="51"/>
  <c r="AF97" i="9"/>
  <c r="AB97" i="9"/>
  <c r="AF103" i="9"/>
  <c r="AB117" i="9"/>
  <c r="AF117" i="9"/>
  <c r="AF89" i="9"/>
  <c r="AB42" i="51"/>
  <c r="AF42" i="51"/>
  <c r="AB56" i="51"/>
  <c r="AF56" i="51"/>
  <c r="AF65" i="51"/>
  <c r="AB114" i="9"/>
  <c r="AF114" i="9"/>
  <c r="AF86" i="9"/>
  <c r="AF95" i="9"/>
  <c r="AB95" i="9"/>
  <c r="AF109" i="9"/>
  <c r="AB115" i="9"/>
  <c r="AF115" i="9"/>
  <c r="AF63" i="51"/>
  <c r="AF39" i="51"/>
  <c r="AB39" i="51"/>
  <c r="AF48" i="51"/>
  <c r="AF53" i="51"/>
  <c r="AB53" i="51"/>
  <c r="AB106" i="9"/>
  <c r="AF106" i="9"/>
  <c r="AF82" i="9"/>
  <c r="AB84" i="9"/>
  <c r="AF84" i="9"/>
  <c r="AB101" i="9"/>
  <c r="AF101" i="9"/>
  <c r="AB107" i="9"/>
  <c r="AF107" i="9"/>
  <c r="AF51" i="51"/>
  <c r="AB51" i="51"/>
  <c r="AB38" i="51"/>
  <c r="AF38" i="51"/>
  <c r="AF67" i="51"/>
  <c r="AB67" i="51"/>
  <c r="AF45" i="51"/>
  <c r="AB45" i="51"/>
  <c r="AF98" i="9"/>
  <c r="AB98" i="9"/>
  <c r="AB112" i="9"/>
  <c r="AF112" i="9"/>
  <c r="AB118" i="9"/>
  <c r="AF118" i="9"/>
  <c r="AF90" i="9"/>
  <c r="AB99" i="9"/>
  <c r="AF99" i="9"/>
  <c r="AF43" i="51"/>
  <c r="AF69" i="51"/>
  <c r="AB69" i="51"/>
  <c r="AF55" i="51"/>
  <c r="AF64" i="51"/>
  <c r="AF87" i="9"/>
  <c r="AF104" i="9"/>
  <c r="AF110" i="9"/>
  <c r="AF81" i="9"/>
  <c r="AF88" i="9"/>
  <c r="AF40" i="51"/>
  <c r="AF57" i="51"/>
  <c r="AF47" i="51"/>
  <c r="AB52" i="51"/>
  <c r="AF52" i="51"/>
  <c r="AB77" i="9"/>
  <c r="AF77" i="9"/>
  <c r="AF96" i="9"/>
  <c r="AB96" i="9"/>
  <c r="AF102" i="9"/>
  <c r="AF116" i="9"/>
  <c r="AF80" i="9"/>
  <c r="AN66" i="52"/>
  <c r="AM66" i="52"/>
  <c r="AN54" i="52"/>
  <c r="AM54" i="52"/>
  <c r="AN37" i="52"/>
  <c r="AM37" i="52"/>
  <c r="AM69" i="52"/>
  <c r="AN69" i="52"/>
  <c r="AN40" i="52"/>
  <c r="AM40" i="52"/>
  <c r="AM43" i="52"/>
  <c r="AN43" i="52"/>
  <c r="AN48" i="52"/>
  <c r="AM48" i="52"/>
  <c r="AM49" i="52"/>
  <c r="AN49" i="52"/>
  <c r="AM57" i="52"/>
  <c r="AN57" i="52"/>
  <c r="AN51" i="52"/>
  <c r="AM51" i="52"/>
  <c r="AN44" i="52"/>
  <c r="AM44" i="52"/>
  <c r="AN52" i="52"/>
  <c r="AM52" i="52"/>
  <c r="AN42" i="52"/>
  <c r="AM42" i="52"/>
  <c r="AN70" i="52"/>
  <c r="AM70" i="52"/>
  <c r="AN64" i="52"/>
  <c r="AM64" i="52"/>
  <c r="AN46" i="52"/>
  <c r="AM46" i="52"/>
  <c r="AN55" i="52"/>
  <c r="AM55" i="52"/>
  <c r="AN67" i="52"/>
  <c r="AM67" i="52"/>
  <c r="AN47" i="52"/>
  <c r="AM47" i="52"/>
  <c r="AN68" i="52"/>
  <c r="AM68" i="52"/>
  <c r="AN56" i="52"/>
  <c r="AM56" i="52"/>
  <c r="AM38" i="52"/>
  <c r="AN38" i="52"/>
  <c r="AN58" i="52"/>
  <c r="AM58" i="52"/>
  <c r="AN39" i="52"/>
  <c r="AM39" i="52"/>
  <c r="AN63" i="52"/>
  <c r="AM63" i="52"/>
  <c r="AM36" i="52"/>
  <c r="AN36" i="52"/>
  <c r="AM45" i="52"/>
  <c r="AN45" i="52"/>
  <c r="AN53" i="52"/>
  <c r="AM53" i="52"/>
  <c r="AI51" i="51"/>
  <c r="AI49" i="51"/>
  <c r="AI45" i="51"/>
  <c r="AI56" i="51"/>
  <c r="AI55" i="51"/>
  <c r="AI44" i="51"/>
  <c r="AM77" i="51"/>
  <c r="AN77" i="51"/>
  <c r="AI42" i="51"/>
  <c r="AI69" i="51"/>
  <c r="AI54" i="51"/>
  <c r="AI65" i="51"/>
  <c r="AM88" i="51"/>
  <c r="AM92" i="51"/>
  <c r="AI43" i="51"/>
  <c r="AI39" i="51"/>
  <c r="AI41" i="51"/>
  <c r="AI64" i="51"/>
  <c r="AI58" i="51"/>
  <c r="AI48" i="51"/>
  <c r="AI47" i="51"/>
  <c r="AI36" i="51"/>
  <c r="AM91" i="51"/>
  <c r="AI63" i="51"/>
  <c r="AI40" i="51"/>
  <c r="AI57" i="51"/>
  <c r="AI46" i="51"/>
  <c r="AI53" i="51"/>
  <c r="AM90" i="51"/>
  <c r="AM89" i="51"/>
  <c r="AI38" i="51"/>
  <c r="AI68" i="51"/>
  <c r="AI67" i="51"/>
  <c r="AI52" i="51"/>
  <c r="AI70" i="51"/>
  <c r="AM87" i="51"/>
  <c r="AM93" i="51"/>
  <c r="AI50" i="51"/>
  <c r="AI66" i="51"/>
  <c r="AI37" i="51"/>
  <c r="M39" i="9"/>
  <c r="K39" i="9"/>
  <c r="M47" i="9"/>
  <c r="K47" i="9"/>
  <c r="M55" i="9"/>
  <c r="K55" i="9"/>
  <c r="K67" i="9"/>
  <c r="M48" i="9"/>
  <c r="K48" i="9"/>
  <c r="K56" i="9"/>
  <c r="M68" i="9"/>
  <c r="K68" i="9"/>
  <c r="M41" i="9"/>
  <c r="K41" i="9"/>
  <c r="M49" i="9"/>
  <c r="K49" i="9"/>
  <c r="M57" i="9"/>
  <c r="K57" i="9"/>
  <c r="M69" i="9"/>
  <c r="K69" i="9"/>
  <c r="M42" i="9"/>
  <c r="K42" i="9"/>
  <c r="M50" i="9"/>
  <c r="K50" i="9"/>
  <c r="M58" i="9"/>
  <c r="K58" i="9"/>
  <c r="M70" i="9"/>
  <c r="K70" i="9"/>
  <c r="K43" i="9"/>
  <c r="M43" i="9"/>
  <c r="K51" i="9"/>
  <c r="M51" i="9"/>
  <c r="K63" i="9"/>
  <c r="M63" i="9"/>
  <c r="K44" i="9"/>
  <c r="M44" i="9"/>
  <c r="K52" i="9"/>
  <c r="M52" i="9"/>
  <c r="K64" i="9"/>
  <c r="M64" i="9"/>
  <c r="M40" i="9"/>
  <c r="K40" i="9"/>
  <c r="K36" i="9"/>
  <c r="M36" i="9"/>
  <c r="M37" i="9"/>
  <c r="K37" i="9"/>
  <c r="M45" i="9"/>
  <c r="K45" i="9"/>
  <c r="M53" i="9"/>
  <c r="K53" i="9"/>
  <c r="M65" i="9"/>
  <c r="K65" i="9"/>
  <c r="K38" i="9"/>
  <c r="M38" i="9"/>
  <c r="M46" i="9"/>
  <c r="K46" i="9"/>
  <c r="M54" i="9"/>
  <c r="K54" i="9"/>
  <c r="K66" i="9"/>
  <c r="AI97" i="9"/>
  <c r="AI112" i="9"/>
  <c r="AI85" i="9"/>
  <c r="AI94" i="9"/>
  <c r="AI89" i="9"/>
  <c r="AI98" i="9"/>
  <c r="AI109" i="9"/>
  <c r="AI99" i="9"/>
  <c r="AI113" i="9"/>
  <c r="AI95" i="9"/>
  <c r="AI110" i="9"/>
  <c r="AI108" i="9"/>
  <c r="AI114" i="9"/>
  <c r="AI86" i="9"/>
  <c r="AI104" i="9"/>
  <c r="AI115" i="9"/>
  <c r="AI87" i="9"/>
  <c r="AI82" i="9"/>
  <c r="AI111" i="9"/>
  <c r="AI83" i="9"/>
  <c r="AI101" i="9"/>
  <c r="AI81" i="9"/>
  <c r="AI88" i="9"/>
  <c r="AI105" i="9"/>
  <c r="AI84" i="9"/>
  <c r="AI102" i="9"/>
  <c r="AI100" i="9"/>
  <c r="AI106" i="9"/>
  <c r="AI77" i="9"/>
  <c r="AI96" i="9"/>
  <c r="AI117" i="9"/>
  <c r="AI107" i="9"/>
  <c r="AI103" i="9"/>
  <c r="AI118" i="9"/>
  <c r="AI90" i="9"/>
  <c r="AI116" i="9"/>
  <c r="AI80" i="9"/>
  <c r="AA60" i="18"/>
  <c r="K60" i="18"/>
  <c r="M60" i="18"/>
  <c r="AA53" i="18"/>
  <c r="M53" i="18"/>
  <c r="K53" i="18"/>
  <c r="M56" i="18"/>
  <c r="K56" i="18"/>
  <c r="AA56" i="18"/>
  <c r="AH46" i="18"/>
  <c r="AH45" i="18"/>
  <c r="AH44" i="18"/>
  <c r="AH43" i="18"/>
  <c r="AH39" i="18"/>
  <c r="AH38" i="18"/>
  <c r="AH37" i="18"/>
  <c r="AH36" i="18"/>
  <c r="AH35" i="18"/>
  <c r="AH65" i="29"/>
  <c r="AH60" i="29"/>
  <c r="AH51" i="29"/>
  <c r="AH36" i="29"/>
  <c r="AE36" i="29"/>
  <c r="M56" i="9"/>
  <c r="M67" i="9"/>
  <c r="M66" i="9"/>
  <c r="J46" i="18"/>
  <c r="N45" i="18"/>
  <c r="J44" i="18"/>
  <c r="N43" i="18"/>
  <c r="J39" i="18"/>
  <c r="N38" i="18"/>
  <c r="J37" i="18"/>
  <c r="N36" i="18"/>
  <c r="J35" i="18"/>
  <c r="N39" i="18"/>
  <c r="J36" i="18"/>
  <c r="I43" i="18"/>
  <c r="I38" i="18"/>
  <c r="L44" i="18"/>
  <c r="I46" i="18"/>
  <c r="I44" i="18"/>
  <c r="I39" i="18"/>
  <c r="I37" i="18"/>
  <c r="I35" i="18"/>
  <c r="N44" i="18"/>
  <c r="L37" i="18"/>
  <c r="L45" i="18"/>
  <c r="L43" i="18"/>
  <c r="L38" i="18"/>
  <c r="L36" i="18"/>
  <c r="J45" i="18"/>
  <c r="J38" i="18"/>
  <c r="N35" i="18"/>
  <c r="I45" i="18"/>
  <c r="I36" i="18"/>
  <c r="L39" i="18"/>
  <c r="N46" i="18"/>
  <c r="J43" i="18"/>
  <c r="N37" i="18"/>
  <c r="L35" i="18"/>
  <c r="L46" i="18"/>
  <c r="J72" i="29"/>
  <c r="L70" i="29"/>
  <c r="N68" i="29"/>
  <c r="I65" i="29"/>
  <c r="J64" i="29"/>
  <c r="L62" i="29"/>
  <c r="N60" i="29"/>
  <c r="I57" i="29"/>
  <c r="J56" i="29"/>
  <c r="L54" i="29"/>
  <c r="N52" i="29"/>
  <c r="I46" i="29"/>
  <c r="J45" i="29"/>
  <c r="L43" i="29"/>
  <c r="N41" i="29"/>
  <c r="I36" i="29"/>
  <c r="I40" i="29"/>
  <c r="I39" i="29"/>
  <c r="J36" i="29"/>
  <c r="I72" i="29"/>
  <c r="J71" i="29"/>
  <c r="L69" i="29"/>
  <c r="N67" i="29"/>
  <c r="I64" i="29"/>
  <c r="J63" i="29"/>
  <c r="L61" i="29"/>
  <c r="N59" i="29"/>
  <c r="I56" i="29"/>
  <c r="J55" i="29"/>
  <c r="L53" i="29"/>
  <c r="N51" i="29"/>
  <c r="I45" i="29"/>
  <c r="J44" i="29"/>
  <c r="L42" i="29"/>
  <c r="N40" i="29"/>
  <c r="L39" i="29"/>
  <c r="J39" i="29"/>
  <c r="I71" i="29"/>
  <c r="J70" i="29"/>
  <c r="L68" i="29"/>
  <c r="N66" i="29"/>
  <c r="I63" i="29"/>
  <c r="J62" i="29"/>
  <c r="L60" i="29"/>
  <c r="N58" i="29"/>
  <c r="I55" i="29"/>
  <c r="J54" i="29"/>
  <c r="L52" i="29"/>
  <c r="N47" i="29"/>
  <c r="I44" i="29"/>
  <c r="J43" i="29"/>
  <c r="L41" i="29"/>
  <c r="N39" i="29"/>
  <c r="J41" i="29"/>
  <c r="I70" i="29"/>
  <c r="J69" i="29"/>
  <c r="L67" i="29"/>
  <c r="N65" i="29"/>
  <c r="I62" i="29"/>
  <c r="J61" i="29"/>
  <c r="L59" i="29"/>
  <c r="N57" i="29"/>
  <c r="I54" i="29"/>
  <c r="J53" i="29"/>
  <c r="L51" i="29"/>
  <c r="N46" i="29"/>
  <c r="I43" i="29"/>
  <c r="J42" i="29"/>
  <c r="L40" i="29"/>
  <c r="N36" i="29"/>
  <c r="L36" i="29"/>
  <c r="N72" i="29"/>
  <c r="I69" i="29"/>
  <c r="J68" i="29"/>
  <c r="L66" i="29"/>
  <c r="N64" i="29"/>
  <c r="I61" i="29"/>
  <c r="J60" i="29"/>
  <c r="L58" i="29"/>
  <c r="N56" i="29"/>
  <c r="I53" i="29"/>
  <c r="J52" i="29"/>
  <c r="L47" i="29"/>
  <c r="N45" i="29"/>
  <c r="I42" i="29"/>
  <c r="N71" i="29"/>
  <c r="I68" i="29"/>
  <c r="J67" i="29"/>
  <c r="L65" i="29"/>
  <c r="N63" i="29"/>
  <c r="I60" i="29"/>
  <c r="J59" i="29"/>
  <c r="L57" i="29"/>
  <c r="N55" i="29"/>
  <c r="I52" i="29"/>
  <c r="J51" i="29"/>
  <c r="L46" i="29"/>
  <c r="N44" i="29"/>
  <c r="I41" i="29"/>
  <c r="J40" i="29"/>
  <c r="L72" i="29"/>
  <c r="N70" i="29"/>
  <c r="I67" i="29"/>
  <c r="J66" i="29"/>
  <c r="L64" i="29"/>
  <c r="N62" i="29"/>
  <c r="I59" i="29"/>
  <c r="J58" i="29"/>
  <c r="L56" i="29"/>
  <c r="N54" i="29"/>
  <c r="I51" i="29"/>
  <c r="J47" i="29"/>
  <c r="L45" i="29"/>
  <c r="N43" i="29"/>
  <c r="L71" i="29"/>
  <c r="N69" i="29"/>
  <c r="I66" i="29"/>
  <c r="J65" i="29"/>
  <c r="L63" i="29"/>
  <c r="N61" i="29"/>
  <c r="I58" i="29"/>
  <c r="J57" i="29"/>
  <c r="L55" i="29"/>
  <c r="N53" i="29"/>
  <c r="I47" i="29"/>
  <c r="J46" i="29"/>
  <c r="L44" i="29"/>
  <c r="N42" i="29"/>
  <c r="AA47" i="29" l="1"/>
  <c r="AA58" i="29"/>
  <c r="AA66" i="29"/>
  <c r="AA51" i="29"/>
  <c r="AA59" i="29"/>
  <c r="AA67" i="29"/>
  <c r="AA41" i="29"/>
  <c r="AA52" i="29"/>
  <c r="AA60" i="29"/>
  <c r="AA68" i="29"/>
  <c r="AA42" i="29"/>
  <c r="AA53" i="29"/>
  <c r="AA61" i="29"/>
  <c r="AA69" i="29"/>
  <c r="AA43" i="29"/>
  <c r="AA54" i="29"/>
  <c r="AA62" i="29"/>
  <c r="AA70" i="29"/>
  <c r="AA44" i="29"/>
  <c r="AA55" i="29"/>
  <c r="AA63" i="29"/>
  <c r="AA71" i="29"/>
  <c r="AA45" i="29"/>
  <c r="AA56" i="29"/>
  <c r="AA64" i="29"/>
  <c r="AA72" i="29"/>
  <c r="AA39" i="29"/>
  <c r="AA40" i="29"/>
  <c r="AA46" i="29"/>
  <c r="AA57" i="29"/>
  <c r="AA65" i="29"/>
  <c r="AA36" i="18"/>
  <c r="AA45" i="18"/>
  <c r="AA35" i="18"/>
  <c r="AA37" i="18"/>
  <c r="AA39" i="18"/>
  <c r="AA44" i="18"/>
  <c r="AA46" i="18"/>
  <c r="AA38" i="18"/>
  <c r="AA43" i="18"/>
  <c r="AF37" i="9"/>
  <c r="AB43" i="9"/>
  <c r="AF43" i="9"/>
  <c r="AF41" i="9"/>
  <c r="AB66" i="9"/>
  <c r="AF66" i="9"/>
  <c r="AB36" i="9"/>
  <c r="AF36" i="9"/>
  <c r="AF70" i="9"/>
  <c r="AF68" i="9"/>
  <c r="AF54" i="9"/>
  <c r="AF40" i="9"/>
  <c r="AF58" i="9"/>
  <c r="AB56" i="9"/>
  <c r="AF56" i="9"/>
  <c r="AB46" i="9"/>
  <c r="AF46" i="9"/>
  <c r="AF64" i="9"/>
  <c r="AF50" i="9"/>
  <c r="AB48" i="9"/>
  <c r="AF48" i="9"/>
  <c r="AB38" i="9"/>
  <c r="AF38" i="9"/>
  <c r="AB52" i="9"/>
  <c r="AF52" i="9"/>
  <c r="AF42" i="9"/>
  <c r="AB67" i="9"/>
  <c r="AF67" i="9"/>
  <c r="AF65" i="9"/>
  <c r="AB44" i="9"/>
  <c r="AF44" i="9"/>
  <c r="AF69" i="9"/>
  <c r="AF55" i="9"/>
  <c r="AB53" i="9"/>
  <c r="AF53" i="9"/>
  <c r="AF63" i="9"/>
  <c r="AF57" i="9"/>
  <c r="AF47" i="9"/>
  <c r="AB45" i="9"/>
  <c r="AF45" i="9"/>
  <c r="AB51" i="9"/>
  <c r="AF51" i="9"/>
  <c r="AF49" i="9"/>
  <c r="AB39" i="9"/>
  <c r="AF39" i="9"/>
  <c r="AN66" i="51"/>
  <c r="AM66" i="51"/>
  <c r="AN67" i="51"/>
  <c r="AM67" i="51"/>
  <c r="AN38" i="51"/>
  <c r="AM38" i="51"/>
  <c r="AM39" i="51"/>
  <c r="AN39" i="51"/>
  <c r="AM44" i="51"/>
  <c r="AM42" i="51"/>
  <c r="AN45" i="51"/>
  <c r="AM45" i="51"/>
  <c r="AN53" i="51"/>
  <c r="AM53" i="51"/>
  <c r="AN68" i="51"/>
  <c r="AM68" i="51"/>
  <c r="AN51" i="51"/>
  <c r="AM51" i="51"/>
  <c r="AN46" i="51"/>
  <c r="AM46" i="51"/>
  <c r="AN69" i="51"/>
  <c r="AM69" i="51"/>
  <c r="AM37" i="51"/>
  <c r="AM52" i="51"/>
  <c r="AN52" i="51"/>
  <c r="AN56" i="51"/>
  <c r="AM56" i="51"/>
  <c r="AM84" i="9"/>
  <c r="AI54" i="9"/>
  <c r="AI40" i="9"/>
  <c r="AI44" i="9"/>
  <c r="AI41" i="9"/>
  <c r="AI56" i="9"/>
  <c r="AM97" i="9"/>
  <c r="AI65" i="9"/>
  <c r="AI43" i="9"/>
  <c r="AI50" i="9"/>
  <c r="AI55" i="9"/>
  <c r="AM114" i="9"/>
  <c r="AI46" i="9"/>
  <c r="AI37" i="9"/>
  <c r="AI64" i="9"/>
  <c r="AI57" i="9"/>
  <c r="AM113" i="9"/>
  <c r="AM108" i="9"/>
  <c r="AM94" i="9"/>
  <c r="AI63" i="9"/>
  <c r="AI70" i="9"/>
  <c r="AI48" i="9"/>
  <c r="AM77" i="9"/>
  <c r="AM118" i="9"/>
  <c r="AM95" i="9"/>
  <c r="AI53" i="9"/>
  <c r="AI36" i="9"/>
  <c r="AI42" i="9"/>
  <c r="AI47" i="9"/>
  <c r="AM112" i="9"/>
  <c r="AI66" i="9"/>
  <c r="AI38" i="9"/>
  <c r="AI52" i="9"/>
  <c r="AI49" i="9"/>
  <c r="AI68" i="9"/>
  <c r="AM96" i="9"/>
  <c r="AM107" i="9"/>
  <c r="AM106" i="9"/>
  <c r="AM115" i="9"/>
  <c r="AM99" i="9"/>
  <c r="AM98" i="9"/>
  <c r="AI51" i="9"/>
  <c r="AI58" i="9"/>
  <c r="AI67" i="9"/>
  <c r="AM117" i="9"/>
  <c r="AM101" i="9"/>
  <c r="AI45" i="9"/>
  <c r="AI69" i="9"/>
  <c r="AI39" i="9"/>
  <c r="K36" i="18"/>
  <c r="K45" i="18"/>
  <c r="K35" i="18"/>
  <c r="K37" i="18"/>
  <c r="M39" i="18"/>
  <c r="K39" i="18"/>
  <c r="K44" i="18"/>
  <c r="M46" i="18"/>
  <c r="K46" i="18"/>
  <c r="K38" i="18"/>
  <c r="K43" i="18"/>
  <c r="AF53" i="18"/>
  <c r="AI53" i="18"/>
  <c r="AI56" i="18"/>
  <c r="AF56" i="18"/>
  <c r="AB60" i="18"/>
  <c r="AF60" i="18"/>
  <c r="AI60" i="18"/>
  <c r="M47" i="29"/>
  <c r="K47" i="29"/>
  <c r="K58" i="29"/>
  <c r="K66" i="29"/>
  <c r="K51" i="29"/>
  <c r="K59" i="29"/>
  <c r="K67" i="29"/>
  <c r="M41" i="29"/>
  <c r="K41" i="29"/>
  <c r="K52" i="29"/>
  <c r="K60" i="29"/>
  <c r="M68" i="29"/>
  <c r="K68" i="29"/>
  <c r="M42" i="29"/>
  <c r="K42" i="29"/>
  <c r="M53" i="29"/>
  <c r="K53" i="29"/>
  <c r="M61" i="29"/>
  <c r="K61" i="29"/>
  <c r="K69" i="29"/>
  <c r="K43" i="29"/>
  <c r="M43" i="29"/>
  <c r="K54" i="29"/>
  <c r="M54" i="29"/>
  <c r="K62" i="29"/>
  <c r="M62" i="29"/>
  <c r="K70" i="29"/>
  <c r="K44" i="29"/>
  <c r="M44" i="29"/>
  <c r="K55" i="29"/>
  <c r="M55" i="29"/>
  <c r="K63" i="29"/>
  <c r="K71" i="29"/>
  <c r="M71" i="29"/>
  <c r="M45" i="29"/>
  <c r="K45" i="29"/>
  <c r="M56" i="29"/>
  <c r="K56" i="29"/>
  <c r="K64" i="29"/>
  <c r="K72" i="29"/>
  <c r="K39" i="29"/>
  <c r="M39" i="29"/>
  <c r="M40" i="29"/>
  <c r="K40" i="29"/>
  <c r="AA36" i="29"/>
  <c r="M36" i="29"/>
  <c r="K36" i="29"/>
  <c r="M46" i="29"/>
  <c r="K46" i="29"/>
  <c r="M57" i="29"/>
  <c r="K57" i="29"/>
  <c r="M65" i="29"/>
  <c r="K65" i="29"/>
  <c r="AH92" i="4"/>
  <c r="AH61" i="4"/>
  <c r="AH56" i="4"/>
  <c r="AE56" i="4"/>
  <c r="M36" i="18"/>
  <c r="M44" i="18"/>
  <c r="M43" i="18"/>
  <c r="M37" i="18"/>
  <c r="M45" i="18"/>
  <c r="M38" i="18"/>
  <c r="M35" i="18"/>
  <c r="M67" i="29"/>
  <c r="M60" i="29"/>
  <c r="M72" i="29"/>
  <c r="M64" i="29"/>
  <c r="M63" i="29"/>
  <c r="M51" i="29"/>
  <c r="M58" i="29"/>
  <c r="M59" i="29"/>
  <c r="M52" i="29"/>
  <c r="M70" i="29"/>
  <c r="M66" i="29"/>
  <c r="M69" i="29"/>
  <c r="N93" i="4"/>
  <c r="I90" i="4"/>
  <c r="J89" i="4"/>
  <c r="L87" i="4"/>
  <c r="N85" i="4"/>
  <c r="I82" i="4"/>
  <c r="J81" i="4"/>
  <c r="L79" i="4"/>
  <c r="N77" i="4"/>
  <c r="I74" i="4"/>
  <c r="J73" i="4"/>
  <c r="L68" i="4"/>
  <c r="N66" i="4"/>
  <c r="I63" i="4"/>
  <c r="J62" i="4"/>
  <c r="L60" i="4"/>
  <c r="N56" i="4"/>
  <c r="L66" i="4"/>
  <c r="N64" i="4"/>
  <c r="L94" i="4"/>
  <c r="N92" i="4"/>
  <c r="I89" i="4"/>
  <c r="J88" i="4"/>
  <c r="L86" i="4"/>
  <c r="N84" i="4"/>
  <c r="I81" i="4"/>
  <c r="J80" i="4"/>
  <c r="L78" i="4"/>
  <c r="N76" i="4"/>
  <c r="I73" i="4"/>
  <c r="J69" i="4"/>
  <c r="L67" i="4"/>
  <c r="N65" i="4"/>
  <c r="I62" i="4"/>
  <c r="J61" i="4"/>
  <c r="L59" i="4"/>
  <c r="I88" i="4"/>
  <c r="I80" i="4"/>
  <c r="J79" i="4"/>
  <c r="L77" i="4"/>
  <c r="N75" i="4"/>
  <c r="J68" i="4"/>
  <c r="L93" i="4"/>
  <c r="N91" i="4"/>
  <c r="J87" i="4"/>
  <c r="L85" i="4"/>
  <c r="N83" i="4"/>
  <c r="I69" i="4"/>
  <c r="J94" i="4"/>
  <c r="L92" i="4"/>
  <c r="N90" i="4"/>
  <c r="I87" i="4"/>
  <c r="J86" i="4"/>
  <c r="L84" i="4"/>
  <c r="N82" i="4"/>
  <c r="I79" i="4"/>
  <c r="J78" i="4"/>
  <c r="L76" i="4"/>
  <c r="N74" i="4"/>
  <c r="I68" i="4"/>
  <c r="J67" i="4"/>
  <c r="L65" i="4"/>
  <c r="N63" i="4"/>
  <c r="I60" i="4"/>
  <c r="J59" i="4"/>
  <c r="I94" i="4"/>
  <c r="J93" i="4"/>
  <c r="L91" i="4"/>
  <c r="N89" i="4"/>
  <c r="I86" i="4"/>
  <c r="J85" i="4"/>
  <c r="L83" i="4"/>
  <c r="N81" i="4"/>
  <c r="I78" i="4"/>
  <c r="J77" i="4"/>
  <c r="L75" i="4"/>
  <c r="N73" i="4"/>
  <c r="I67" i="4"/>
  <c r="J66" i="4"/>
  <c r="L64" i="4"/>
  <c r="N62" i="4"/>
  <c r="I59" i="4"/>
  <c r="J56" i="4"/>
  <c r="I92" i="4"/>
  <c r="J91" i="4"/>
  <c r="L89" i="4"/>
  <c r="N87" i="4"/>
  <c r="I84" i="4"/>
  <c r="J83" i="4"/>
  <c r="L81" i="4"/>
  <c r="N79" i="4"/>
  <c r="I76" i="4"/>
  <c r="J75" i="4"/>
  <c r="L73" i="4"/>
  <c r="N68" i="4"/>
  <c r="I65" i="4"/>
  <c r="J64" i="4"/>
  <c r="L62" i="4"/>
  <c r="N60" i="4"/>
  <c r="N94" i="4"/>
  <c r="I91" i="4"/>
  <c r="N88" i="4"/>
  <c r="J63" i="4"/>
  <c r="L56" i="4"/>
  <c r="I56" i="4"/>
  <c r="N69" i="4"/>
  <c r="N80" i="4"/>
  <c r="I66" i="4"/>
  <c r="L88" i="4"/>
  <c r="J84" i="4"/>
  <c r="I77" i="4"/>
  <c r="L74" i="4"/>
  <c r="N67" i="4"/>
  <c r="I64" i="4"/>
  <c r="N59" i="4"/>
  <c r="L61" i="4"/>
  <c r="J82" i="4"/>
  <c r="I75" i="4"/>
  <c r="I61" i="4"/>
  <c r="J76" i="4"/>
  <c r="J74" i="4"/>
  <c r="N61" i="4"/>
  <c r="J90" i="4"/>
  <c r="L80" i="4"/>
  <c r="L63" i="4"/>
  <c r="J92" i="4"/>
  <c r="I85" i="4"/>
  <c r="L82" i="4"/>
  <c r="N78" i="4"/>
  <c r="J65" i="4"/>
  <c r="J60" i="4"/>
  <c r="I93" i="4"/>
  <c r="L90" i="4"/>
  <c r="N86" i="4"/>
  <c r="L69" i="4"/>
  <c r="I83" i="4"/>
  <c r="AA83" i="4" l="1"/>
  <c r="AA93" i="4"/>
  <c r="AA85" i="4"/>
  <c r="AA61" i="4"/>
  <c r="AA75" i="4"/>
  <c r="AA64" i="4"/>
  <c r="AA77" i="4"/>
  <c r="AA66" i="4"/>
  <c r="AA91" i="4"/>
  <c r="AA65" i="4"/>
  <c r="AA76" i="4"/>
  <c r="AA84" i="4"/>
  <c r="AA92" i="4"/>
  <c r="AA59" i="4"/>
  <c r="AA67" i="4"/>
  <c r="AA78" i="4"/>
  <c r="AA86" i="4"/>
  <c r="AA94" i="4"/>
  <c r="AA60" i="4"/>
  <c r="AA68" i="4"/>
  <c r="AA79" i="4"/>
  <c r="AA87" i="4"/>
  <c r="AA69" i="4"/>
  <c r="AA80" i="4"/>
  <c r="AA88" i="4"/>
  <c r="AA62" i="4"/>
  <c r="AA73" i="4"/>
  <c r="AA81" i="4"/>
  <c r="AA89" i="4"/>
  <c r="AA63" i="4"/>
  <c r="AA74" i="4"/>
  <c r="AA82" i="4"/>
  <c r="AA90" i="4"/>
  <c r="AB43" i="18"/>
  <c r="AF43" i="18"/>
  <c r="AB36" i="18"/>
  <c r="AF36" i="18"/>
  <c r="AF56" i="29"/>
  <c r="AF54" i="29"/>
  <c r="AF52" i="29"/>
  <c r="AB52" i="29"/>
  <c r="AB38" i="18"/>
  <c r="AF38" i="18"/>
  <c r="AF65" i="29"/>
  <c r="AF45" i="29"/>
  <c r="AF43" i="29"/>
  <c r="AF41" i="29"/>
  <c r="AB46" i="18"/>
  <c r="AF46" i="18"/>
  <c r="AF57" i="29"/>
  <c r="AF71" i="29"/>
  <c r="AF69" i="29"/>
  <c r="AF67" i="29"/>
  <c r="AB44" i="18"/>
  <c r="AF44" i="18"/>
  <c r="AF46" i="29"/>
  <c r="AB63" i="29"/>
  <c r="AF63" i="29"/>
  <c r="AF61" i="29"/>
  <c r="AF59" i="29"/>
  <c r="AB39" i="18"/>
  <c r="AF39" i="18"/>
  <c r="AF40" i="29"/>
  <c r="AF55" i="29"/>
  <c r="AF53" i="29"/>
  <c r="AB51" i="29"/>
  <c r="AF51" i="29"/>
  <c r="AB37" i="18"/>
  <c r="AF37" i="18"/>
  <c r="AF39" i="29"/>
  <c r="AF44" i="29"/>
  <c r="AF42" i="29"/>
  <c r="AF66" i="29"/>
  <c r="AB66" i="29"/>
  <c r="AB35" i="18"/>
  <c r="AF35" i="18"/>
  <c r="AF72" i="29"/>
  <c r="AF70" i="29"/>
  <c r="AB70" i="29"/>
  <c r="AF68" i="29"/>
  <c r="AF58" i="29"/>
  <c r="AB58" i="29"/>
  <c r="AB45" i="18"/>
  <c r="AF45" i="18"/>
  <c r="AF64" i="29"/>
  <c r="AF62" i="29"/>
  <c r="AF60" i="29"/>
  <c r="AF47" i="29"/>
  <c r="AN36" i="9"/>
  <c r="AM36" i="9"/>
  <c r="AM44" i="9"/>
  <c r="AN52" i="9"/>
  <c r="AM52" i="9"/>
  <c r="AN66" i="9"/>
  <c r="AM66" i="9"/>
  <c r="AN46" i="9"/>
  <c r="AM46" i="9"/>
  <c r="AN43" i="9"/>
  <c r="AM43" i="9"/>
  <c r="AN45" i="9"/>
  <c r="AM45" i="9"/>
  <c r="AM39" i="9"/>
  <c r="AN39" i="9"/>
  <c r="AN53" i="9"/>
  <c r="AM53" i="9"/>
  <c r="AM48" i="9"/>
  <c r="AN56" i="9"/>
  <c r="AM56" i="9"/>
  <c r="AN51" i="9"/>
  <c r="AM51" i="9"/>
  <c r="AM67" i="9"/>
  <c r="AN67" i="9"/>
  <c r="AN38" i="9"/>
  <c r="AM38" i="9"/>
  <c r="AI44" i="18"/>
  <c r="AI39" i="18"/>
  <c r="AI45" i="18"/>
  <c r="AI43" i="18"/>
  <c r="AI36" i="18"/>
  <c r="AI35" i="18"/>
  <c r="AI46" i="18"/>
  <c r="AI37" i="18"/>
  <c r="AI38" i="18"/>
  <c r="AI46" i="29"/>
  <c r="AI39" i="29"/>
  <c r="AI44" i="29"/>
  <c r="AI52" i="29"/>
  <c r="AI67" i="29"/>
  <c r="AI54" i="29"/>
  <c r="AI66" i="29"/>
  <c r="AI65" i="29"/>
  <c r="AI68" i="29"/>
  <c r="AI59" i="29"/>
  <c r="AI56" i="29"/>
  <c r="AI72" i="29"/>
  <c r="AI43" i="29"/>
  <c r="AI53" i="29"/>
  <c r="AI58" i="29"/>
  <c r="AI61" i="29"/>
  <c r="AI57" i="29"/>
  <c r="AI45" i="29"/>
  <c r="AI55" i="29"/>
  <c r="AI60" i="29"/>
  <c r="AI63" i="29"/>
  <c r="AB36" i="29"/>
  <c r="AF36" i="29"/>
  <c r="AI36" i="29"/>
  <c r="AI41" i="29"/>
  <c r="AI40" i="29"/>
  <c r="AI62" i="29"/>
  <c r="AI69" i="29"/>
  <c r="AI51" i="29"/>
  <c r="AI70" i="29"/>
  <c r="AI64" i="29"/>
  <c r="AI71" i="29"/>
  <c r="AI42" i="29"/>
  <c r="AI47" i="29"/>
  <c r="M83" i="4"/>
  <c r="K83" i="4"/>
  <c r="M93" i="4"/>
  <c r="K93" i="4"/>
  <c r="K85" i="4"/>
  <c r="K61" i="4"/>
  <c r="M61" i="4"/>
  <c r="K75" i="4"/>
  <c r="M64" i="4"/>
  <c r="K64" i="4"/>
  <c r="K77" i="4"/>
  <c r="M66" i="4"/>
  <c r="K66" i="4"/>
  <c r="M56" i="4"/>
  <c r="K56" i="4"/>
  <c r="AA56" i="4"/>
  <c r="K91" i="4"/>
  <c r="M65" i="4"/>
  <c r="K65" i="4"/>
  <c r="K76" i="4"/>
  <c r="K84" i="4"/>
  <c r="M92" i="4"/>
  <c r="K92" i="4"/>
  <c r="M59" i="4"/>
  <c r="K59" i="4"/>
  <c r="M67" i="4"/>
  <c r="K67" i="4"/>
  <c r="M78" i="4"/>
  <c r="K78" i="4"/>
  <c r="K86" i="4"/>
  <c r="M94" i="4"/>
  <c r="K94" i="4"/>
  <c r="K60" i="4"/>
  <c r="M60" i="4"/>
  <c r="K68" i="4"/>
  <c r="M68" i="4"/>
  <c r="K79" i="4"/>
  <c r="M79" i="4"/>
  <c r="K87" i="4"/>
  <c r="K69" i="4"/>
  <c r="M69" i="4"/>
  <c r="K80" i="4"/>
  <c r="M80" i="4"/>
  <c r="K88" i="4"/>
  <c r="M62" i="4"/>
  <c r="K62" i="4"/>
  <c r="K73" i="4"/>
  <c r="M81" i="4"/>
  <c r="K81" i="4"/>
  <c r="M89" i="4"/>
  <c r="K89" i="4"/>
  <c r="M63" i="4"/>
  <c r="K63" i="4"/>
  <c r="M74" i="4"/>
  <c r="K74" i="4"/>
  <c r="K82" i="4"/>
  <c r="K90" i="4"/>
  <c r="AH48" i="4"/>
  <c r="AH45" i="4"/>
  <c r="AH44" i="4"/>
  <c r="AH41" i="4"/>
  <c r="AH70" i="21"/>
  <c r="AE70" i="21"/>
  <c r="AH66" i="21"/>
  <c r="AE66" i="21"/>
  <c r="AH63" i="21"/>
  <c r="AE63" i="21"/>
  <c r="L50" i="4"/>
  <c r="N48" i="4"/>
  <c r="I45" i="4"/>
  <c r="J44" i="4"/>
  <c r="L42" i="4"/>
  <c r="N40" i="4"/>
  <c r="I37" i="4"/>
  <c r="J36" i="4"/>
  <c r="I36" i="4"/>
  <c r="J48" i="4"/>
  <c r="J40" i="4"/>
  <c r="N51" i="4"/>
  <c r="M82" i="4"/>
  <c r="J51" i="4"/>
  <c r="L49" i="4"/>
  <c r="N47" i="4"/>
  <c r="I44" i="4"/>
  <c r="J43" i="4"/>
  <c r="L41" i="4"/>
  <c r="N39" i="4"/>
  <c r="L46" i="4"/>
  <c r="N44" i="4"/>
  <c r="L38" i="4"/>
  <c r="J47" i="4"/>
  <c r="N43" i="4"/>
  <c r="M77" i="4"/>
  <c r="M76" i="4"/>
  <c r="M73" i="4"/>
  <c r="I51" i="4"/>
  <c r="J50" i="4"/>
  <c r="L48" i="4"/>
  <c r="N46" i="4"/>
  <c r="I43" i="4"/>
  <c r="J42" i="4"/>
  <c r="L40" i="4"/>
  <c r="N38" i="4"/>
  <c r="I42" i="4"/>
  <c r="J41" i="4"/>
  <c r="L39" i="4"/>
  <c r="I48" i="4"/>
  <c r="J39" i="4"/>
  <c r="N42" i="4"/>
  <c r="M86" i="4"/>
  <c r="I50" i="4"/>
  <c r="J49" i="4"/>
  <c r="L47" i="4"/>
  <c r="N45" i="4"/>
  <c r="N37" i="4"/>
  <c r="I41" i="4"/>
  <c r="M91" i="4"/>
  <c r="M87" i="4"/>
  <c r="M90" i="4"/>
  <c r="I49" i="4"/>
  <c r="N36" i="4"/>
  <c r="I40" i="4"/>
  <c r="J38" i="4"/>
  <c r="M75" i="4"/>
  <c r="M84" i="4"/>
  <c r="M88" i="4"/>
  <c r="L45" i="4"/>
  <c r="L37" i="4"/>
  <c r="L36" i="4"/>
  <c r="M85" i="4"/>
  <c r="N50" i="4"/>
  <c r="I47" i="4"/>
  <c r="J46" i="4"/>
  <c r="L44" i="4"/>
  <c r="I39" i="4"/>
  <c r="L51" i="4"/>
  <c r="N49" i="4"/>
  <c r="I46" i="4"/>
  <c r="J45" i="4"/>
  <c r="L43" i="4"/>
  <c r="N41" i="4"/>
  <c r="I38" i="4"/>
  <c r="J37" i="4"/>
  <c r="N66" i="21"/>
  <c r="L70" i="21"/>
  <c r="N63" i="21"/>
  <c r="L66" i="21"/>
  <c r="I70" i="21"/>
  <c r="N70" i="21"/>
  <c r="L63" i="21"/>
  <c r="J70" i="21"/>
  <c r="J66" i="21"/>
  <c r="I66" i="21"/>
  <c r="J63" i="21"/>
  <c r="I63" i="21"/>
  <c r="AA38" i="4" l="1"/>
  <c r="AA46" i="4"/>
  <c r="AA39" i="4"/>
  <c r="AA47" i="4"/>
  <c r="AA40" i="4"/>
  <c r="AA49" i="4"/>
  <c r="AA41" i="4"/>
  <c r="AA50" i="4"/>
  <c r="AA48" i="4"/>
  <c r="AA42" i="4"/>
  <c r="AA43" i="4"/>
  <c r="AA51" i="4"/>
  <c r="AA44" i="4"/>
  <c r="AA36" i="4"/>
  <c r="AA37" i="4"/>
  <c r="AA45" i="4"/>
  <c r="AF82" i="4"/>
  <c r="AF80" i="4"/>
  <c r="AF78" i="4"/>
  <c r="AF66" i="4"/>
  <c r="AF74" i="4"/>
  <c r="AF69" i="4"/>
  <c r="AF67" i="4"/>
  <c r="AF77" i="4"/>
  <c r="AF63" i="4"/>
  <c r="AF87" i="4"/>
  <c r="AF59" i="4"/>
  <c r="AF64" i="4"/>
  <c r="AF89" i="4"/>
  <c r="AF79" i="4"/>
  <c r="AF92" i="4"/>
  <c r="AF75" i="4"/>
  <c r="AF81" i="4"/>
  <c r="AF68" i="4"/>
  <c r="AF84" i="4"/>
  <c r="AF61" i="4"/>
  <c r="AF73" i="4"/>
  <c r="AF60" i="4"/>
  <c r="AF76" i="4"/>
  <c r="AF85" i="4"/>
  <c r="AF62" i="4"/>
  <c r="AF94" i="4"/>
  <c r="AF65" i="4"/>
  <c r="AF93" i="4"/>
  <c r="AF90" i="4"/>
  <c r="AF88" i="4"/>
  <c r="AF86" i="4"/>
  <c r="AF91" i="4"/>
  <c r="AF83" i="4"/>
  <c r="AM52" i="29"/>
  <c r="AN51" i="29"/>
  <c r="AM70" i="29"/>
  <c r="AN36" i="29"/>
  <c r="AM36" i="29"/>
  <c r="AM63" i="29"/>
  <c r="AM58" i="29"/>
  <c r="AM66" i="29"/>
  <c r="M38" i="4"/>
  <c r="K38" i="4"/>
  <c r="K46" i="4"/>
  <c r="M46" i="4"/>
  <c r="M39" i="4"/>
  <c r="K39" i="4"/>
  <c r="M47" i="4"/>
  <c r="K47" i="4"/>
  <c r="M40" i="4"/>
  <c r="K40" i="4"/>
  <c r="M49" i="4"/>
  <c r="K49" i="4"/>
  <c r="M41" i="4"/>
  <c r="K41" i="4"/>
  <c r="K50" i="4"/>
  <c r="M48" i="4"/>
  <c r="K48" i="4"/>
  <c r="K42" i="4"/>
  <c r="M42" i="4"/>
  <c r="K43" i="4"/>
  <c r="M43" i="4"/>
  <c r="K51" i="4"/>
  <c r="M51" i="4"/>
  <c r="M44" i="4"/>
  <c r="K44" i="4"/>
  <c r="K36" i="4"/>
  <c r="M36" i="4"/>
  <c r="M37" i="4"/>
  <c r="K37" i="4"/>
  <c r="M45" i="4"/>
  <c r="K45" i="4"/>
  <c r="AI89" i="4"/>
  <c r="AI67" i="4"/>
  <c r="AI92" i="4"/>
  <c r="AI66" i="4"/>
  <c r="AI64" i="4"/>
  <c r="AI62" i="4"/>
  <c r="AI69" i="4"/>
  <c r="AI65" i="4"/>
  <c r="AI74" i="4"/>
  <c r="AI68" i="4"/>
  <c r="AI86" i="4"/>
  <c r="AI93" i="4"/>
  <c r="AI81" i="4"/>
  <c r="AI88" i="4"/>
  <c r="AI84" i="4"/>
  <c r="AI77" i="4"/>
  <c r="AI75" i="4"/>
  <c r="AI90" i="4"/>
  <c r="AI87" i="4"/>
  <c r="AI59" i="4"/>
  <c r="AI91" i="4"/>
  <c r="AI63" i="4"/>
  <c r="AI60" i="4"/>
  <c r="AI78" i="4"/>
  <c r="AF56" i="4"/>
  <c r="AB56" i="4"/>
  <c r="AI56" i="4"/>
  <c r="AI61" i="4"/>
  <c r="AI73" i="4"/>
  <c r="AI80" i="4"/>
  <c r="AI76" i="4"/>
  <c r="AI82" i="4"/>
  <c r="AI79" i="4"/>
  <c r="AI94" i="4"/>
  <c r="AI85" i="4"/>
  <c r="AI83" i="4"/>
  <c r="AA63" i="21"/>
  <c r="M63" i="21"/>
  <c r="K63" i="21"/>
  <c r="M66" i="21"/>
  <c r="K66" i="21"/>
  <c r="AA66" i="21"/>
  <c r="M70" i="21"/>
  <c r="K70" i="21"/>
  <c r="AA70" i="21"/>
  <c r="AH56" i="21"/>
  <c r="AH55" i="21"/>
  <c r="AH54" i="21"/>
  <c r="AH53" i="21"/>
  <c r="AH52" i="21"/>
  <c r="AH51" i="21"/>
  <c r="AH50" i="21"/>
  <c r="AH49" i="21"/>
  <c r="AH48" i="21"/>
  <c r="AH43" i="21"/>
  <c r="AH42" i="21"/>
  <c r="AH41" i="21"/>
  <c r="AH40" i="21"/>
  <c r="AH39" i="21"/>
  <c r="AH38" i="21"/>
  <c r="AH37" i="21"/>
  <c r="AH36" i="21"/>
  <c r="AH60" i="7"/>
  <c r="AH59" i="7"/>
  <c r="AH57" i="7"/>
  <c r="AH56" i="7"/>
  <c r="AH55" i="7"/>
  <c r="M50" i="4"/>
  <c r="I54" i="21"/>
  <c r="J53" i="21"/>
  <c r="L51" i="21"/>
  <c r="N49" i="21"/>
  <c r="I43" i="21"/>
  <c r="J42" i="21"/>
  <c r="L40" i="21"/>
  <c r="N38" i="21"/>
  <c r="I35" i="21"/>
  <c r="I53" i="21"/>
  <c r="N48" i="21"/>
  <c r="J41" i="21"/>
  <c r="L39" i="21"/>
  <c r="N37" i="21"/>
  <c r="L37" i="21"/>
  <c r="N35" i="21"/>
  <c r="J49" i="21"/>
  <c r="N56" i="21"/>
  <c r="J52" i="21"/>
  <c r="L50" i="21"/>
  <c r="I42" i="21"/>
  <c r="N36" i="21"/>
  <c r="L36" i="21"/>
  <c r="N55" i="21"/>
  <c r="I52" i="21"/>
  <c r="J51" i="21"/>
  <c r="L49" i="21"/>
  <c r="N44" i="21"/>
  <c r="I41" i="21"/>
  <c r="J40" i="21"/>
  <c r="L38" i="21"/>
  <c r="I50" i="21"/>
  <c r="I39" i="21"/>
  <c r="I38" i="21"/>
  <c r="L35" i="21"/>
  <c r="L56" i="21"/>
  <c r="N54" i="21"/>
  <c r="I51" i="21"/>
  <c r="J50" i="21"/>
  <c r="L48" i="21"/>
  <c r="N43" i="21"/>
  <c r="I40" i="21"/>
  <c r="J39" i="21"/>
  <c r="L44" i="21"/>
  <c r="N42" i="21"/>
  <c r="J37" i="21"/>
  <c r="I37" i="21"/>
  <c r="L55" i="21"/>
  <c r="N53" i="21"/>
  <c r="J38" i="21"/>
  <c r="J56" i="21"/>
  <c r="L54" i="21"/>
  <c r="N52" i="21"/>
  <c r="I49" i="21"/>
  <c r="J48" i="21"/>
  <c r="L43" i="21"/>
  <c r="N41" i="21"/>
  <c r="I56" i="21"/>
  <c r="J55" i="21"/>
  <c r="L53" i="21"/>
  <c r="N51" i="21"/>
  <c r="I48" i="21"/>
  <c r="J44" i="21"/>
  <c r="L42" i="21"/>
  <c r="N40" i="21"/>
  <c r="I55" i="21"/>
  <c r="J54" i="21"/>
  <c r="L52" i="21"/>
  <c r="N50" i="21"/>
  <c r="I44" i="21"/>
  <c r="J43" i="21"/>
  <c r="L41" i="21"/>
  <c r="N39" i="21"/>
  <c r="I36" i="21"/>
  <c r="J35" i="21"/>
  <c r="J36" i="21"/>
  <c r="L61" i="7"/>
  <c r="L59" i="7"/>
  <c r="L57" i="7"/>
  <c r="L55" i="7"/>
  <c r="I55" i="7"/>
  <c r="L56" i="7"/>
  <c r="N59" i="7"/>
  <c r="J56" i="7"/>
  <c r="L58" i="7"/>
  <c r="J60" i="7"/>
  <c r="I56" i="7"/>
  <c r="J61" i="7"/>
  <c r="N60" i="7"/>
  <c r="J59" i="7"/>
  <c r="N58" i="7"/>
  <c r="J57" i="7"/>
  <c r="N56" i="7"/>
  <c r="J55" i="7"/>
  <c r="I59" i="7"/>
  <c r="N57" i="7"/>
  <c r="N55" i="7"/>
  <c r="I61" i="7"/>
  <c r="I57" i="7"/>
  <c r="J58" i="7"/>
  <c r="I58" i="7"/>
  <c r="L60" i="7"/>
  <c r="I60" i="7"/>
  <c r="N61" i="7"/>
  <c r="AA60" i="7" l="1"/>
  <c r="AA58" i="7"/>
  <c r="AA57" i="7"/>
  <c r="AA61" i="7"/>
  <c r="AA59" i="7"/>
  <c r="AA56" i="7"/>
  <c r="AA55" i="7"/>
  <c r="AA36" i="21"/>
  <c r="AA44" i="21"/>
  <c r="AA55" i="21"/>
  <c r="AA48" i="21"/>
  <c r="AA56" i="21"/>
  <c r="AA49" i="21"/>
  <c r="AA37" i="21"/>
  <c r="AA40" i="21"/>
  <c r="AA51" i="21"/>
  <c r="AA38" i="21"/>
  <c r="AA39" i="21"/>
  <c r="AA50" i="21"/>
  <c r="AA41" i="21"/>
  <c r="AA52" i="21"/>
  <c r="AA42" i="21"/>
  <c r="AA53" i="21"/>
  <c r="AA35" i="21"/>
  <c r="AA43" i="21"/>
  <c r="AA54" i="21"/>
  <c r="AF45" i="4"/>
  <c r="AF50" i="4"/>
  <c r="AF37" i="4"/>
  <c r="AF41" i="4"/>
  <c r="AF49" i="4"/>
  <c r="AF44" i="4"/>
  <c r="AB44" i="4"/>
  <c r="AF40" i="4"/>
  <c r="AF51" i="4"/>
  <c r="AF47" i="4"/>
  <c r="AF43" i="4"/>
  <c r="AF39" i="4"/>
  <c r="AF36" i="4"/>
  <c r="AF42" i="4"/>
  <c r="AF46" i="4"/>
  <c r="AF48" i="4"/>
  <c r="AB48" i="4"/>
  <c r="AF38" i="4"/>
  <c r="AI36" i="4"/>
  <c r="AI43" i="4"/>
  <c r="AI45" i="4"/>
  <c r="AI50" i="4"/>
  <c r="AI40" i="4"/>
  <c r="AI39" i="4"/>
  <c r="AI44" i="4"/>
  <c r="AI42" i="4"/>
  <c r="AI41" i="4"/>
  <c r="AI37" i="4"/>
  <c r="AI46" i="4"/>
  <c r="AI51" i="4"/>
  <c r="AI48" i="4"/>
  <c r="AI49" i="4"/>
  <c r="AI47" i="4"/>
  <c r="AI38" i="4"/>
  <c r="K36" i="21"/>
  <c r="M44" i="21"/>
  <c r="K44" i="21"/>
  <c r="K55" i="21"/>
  <c r="K48" i="21"/>
  <c r="M56" i="21"/>
  <c r="K56" i="21"/>
  <c r="K49" i="21"/>
  <c r="K37" i="21"/>
  <c r="K40" i="21"/>
  <c r="K51" i="21"/>
  <c r="K38" i="21"/>
  <c r="K39" i="21"/>
  <c r="K50" i="21"/>
  <c r="K41" i="21"/>
  <c r="K52" i="21"/>
  <c r="K42" i="21"/>
  <c r="K53" i="21"/>
  <c r="K35" i="21"/>
  <c r="K43" i="21"/>
  <c r="K54" i="21"/>
  <c r="AI66" i="21"/>
  <c r="AB66" i="21"/>
  <c r="AF66" i="21"/>
  <c r="AI70" i="21"/>
  <c r="AF70" i="21"/>
  <c r="AB70" i="21"/>
  <c r="AF63" i="21"/>
  <c r="AI63" i="21"/>
  <c r="AB63" i="21"/>
  <c r="M60" i="7"/>
  <c r="K60" i="7"/>
  <c r="K58" i="7"/>
  <c r="K57" i="7"/>
  <c r="K61" i="7"/>
  <c r="M61" i="7"/>
  <c r="K59" i="7"/>
  <c r="K56" i="7"/>
  <c r="M56" i="7"/>
  <c r="K55" i="7"/>
  <c r="M55" i="7"/>
  <c r="AH44" i="7"/>
  <c r="AH43" i="7"/>
  <c r="AH42" i="7"/>
  <c r="AH40" i="7"/>
  <c r="AH39" i="7"/>
  <c r="AH37" i="7"/>
  <c r="AH36" i="7"/>
  <c r="AH35" i="7"/>
  <c r="AH65" i="36"/>
  <c r="AE65" i="36"/>
  <c r="M52" i="21"/>
  <c r="M38" i="21"/>
  <c r="M43" i="21"/>
  <c r="M37" i="21"/>
  <c r="M39" i="21"/>
  <c r="M36" i="21"/>
  <c r="M50" i="21"/>
  <c r="M35" i="21"/>
  <c r="M41" i="21"/>
  <c r="M48" i="21"/>
  <c r="M51" i="21"/>
  <c r="M42" i="21"/>
  <c r="M53" i="21"/>
  <c r="M55" i="21"/>
  <c r="M49" i="21"/>
  <c r="M40" i="21"/>
  <c r="M54" i="21"/>
  <c r="M57" i="7"/>
  <c r="J45" i="7"/>
  <c r="L43" i="7"/>
  <c r="N41" i="7"/>
  <c r="I38" i="7"/>
  <c r="J37" i="7"/>
  <c r="L35" i="7"/>
  <c r="I37" i="7"/>
  <c r="J36" i="7"/>
  <c r="I36" i="7"/>
  <c r="J35" i="7"/>
  <c r="J40" i="7"/>
  <c r="I45" i="7"/>
  <c r="J44" i="7"/>
  <c r="L42" i="7"/>
  <c r="N40" i="7"/>
  <c r="I41" i="7"/>
  <c r="L37" i="7"/>
  <c r="I44" i="7"/>
  <c r="J43" i="7"/>
  <c r="L41" i="7"/>
  <c r="N39" i="7"/>
  <c r="I35" i="7"/>
  <c r="J41" i="7"/>
  <c r="L38" i="7"/>
  <c r="J39" i="7"/>
  <c r="I43" i="7"/>
  <c r="J42" i="7"/>
  <c r="L40" i="7"/>
  <c r="N38" i="7"/>
  <c r="N37" i="7"/>
  <c r="N36" i="7"/>
  <c r="L45" i="7"/>
  <c r="M58" i="7"/>
  <c r="N45" i="7"/>
  <c r="I42" i="7"/>
  <c r="L39" i="7"/>
  <c r="N35" i="7"/>
  <c r="N44" i="7"/>
  <c r="M59" i="7"/>
  <c r="N43" i="7"/>
  <c r="I40" i="7"/>
  <c r="L44" i="7"/>
  <c r="N42" i="7"/>
  <c r="I39" i="7"/>
  <c r="J38" i="7"/>
  <c r="L36" i="7"/>
  <c r="N62" i="36"/>
  <c r="I59" i="36"/>
  <c r="J58" i="36"/>
  <c r="L56" i="36"/>
  <c r="N54" i="36"/>
  <c r="I48" i="36"/>
  <c r="J47" i="36"/>
  <c r="L45" i="36"/>
  <c r="N40" i="36"/>
  <c r="I37" i="36"/>
  <c r="J36" i="36"/>
  <c r="I45" i="36"/>
  <c r="L39" i="36"/>
  <c r="N37" i="36"/>
  <c r="N36" i="36"/>
  <c r="L36" i="36"/>
  <c r="N61" i="36"/>
  <c r="I58" i="36"/>
  <c r="J57" i="36"/>
  <c r="L55" i="36"/>
  <c r="N50" i="36"/>
  <c r="I47" i="36"/>
  <c r="J46" i="36"/>
  <c r="L41" i="36"/>
  <c r="N39" i="36"/>
  <c r="I36" i="36"/>
  <c r="I56" i="36"/>
  <c r="L50" i="36"/>
  <c r="J41" i="36"/>
  <c r="I41" i="36"/>
  <c r="L38" i="36"/>
  <c r="J37" i="36"/>
  <c r="N65" i="36"/>
  <c r="L62" i="36"/>
  <c r="N60" i="36"/>
  <c r="I57" i="36"/>
  <c r="J56" i="36"/>
  <c r="L54" i="36"/>
  <c r="N49" i="36"/>
  <c r="I46" i="36"/>
  <c r="J45" i="36"/>
  <c r="L40" i="36"/>
  <c r="N38" i="36"/>
  <c r="N48" i="36"/>
  <c r="N47" i="36"/>
  <c r="J65" i="36"/>
  <c r="L61" i="36"/>
  <c r="N59" i="36"/>
  <c r="J55" i="36"/>
  <c r="J40" i="36"/>
  <c r="L37" i="36"/>
  <c r="I39" i="36"/>
  <c r="I65" i="36"/>
  <c r="J62" i="36"/>
  <c r="L60" i="36"/>
  <c r="N58" i="36"/>
  <c r="I55" i="36"/>
  <c r="J54" i="36"/>
  <c r="L49" i="36"/>
  <c r="I62" i="36"/>
  <c r="J61" i="36"/>
  <c r="L59" i="36"/>
  <c r="N57" i="36"/>
  <c r="I54" i="36"/>
  <c r="J50" i="36"/>
  <c r="L48" i="36"/>
  <c r="N46" i="36"/>
  <c r="I40" i="36"/>
  <c r="J39" i="36"/>
  <c r="J38" i="36"/>
  <c r="I61" i="36"/>
  <c r="J60" i="36"/>
  <c r="L58" i="36"/>
  <c r="N56" i="36"/>
  <c r="I50" i="36"/>
  <c r="J49" i="36"/>
  <c r="L47" i="36"/>
  <c r="N45" i="36"/>
  <c r="I60" i="36"/>
  <c r="J59" i="36"/>
  <c r="L57" i="36"/>
  <c r="N55" i="36"/>
  <c r="I49" i="36"/>
  <c r="J48" i="36"/>
  <c r="L46" i="36"/>
  <c r="N41" i="36"/>
  <c r="I38" i="36"/>
  <c r="AA38" i="36" l="1"/>
  <c r="AA49" i="36"/>
  <c r="AA60" i="36"/>
  <c r="AA50" i="36"/>
  <c r="AA61" i="36"/>
  <c r="AA40" i="36"/>
  <c r="AA54" i="36"/>
  <c r="AA62" i="36"/>
  <c r="AA55" i="36"/>
  <c r="AA39" i="36"/>
  <c r="AA46" i="36"/>
  <c r="AA57" i="36"/>
  <c r="AA41" i="36"/>
  <c r="AA56" i="36"/>
  <c r="AA36" i="36"/>
  <c r="AA47" i="36"/>
  <c r="AA58" i="36"/>
  <c r="AA45" i="36"/>
  <c r="AA37" i="36"/>
  <c r="AA48" i="36"/>
  <c r="AA59" i="36"/>
  <c r="AA39" i="7"/>
  <c r="AA40" i="7"/>
  <c r="AA42" i="7"/>
  <c r="AA43" i="7"/>
  <c r="AA35" i="7"/>
  <c r="AA44" i="7"/>
  <c r="AA41" i="7"/>
  <c r="AA45" i="7"/>
  <c r="AA36" i="7"/>
  <c r="AA37" i="7"/>
  <c r="AA38" i="7"/>
  <c r="AF35" i="21"/>
  <c r="AB35" i="21"/>
  <c r="AB51" i="21"/>
  <c r="AF51" i="21"/>
  <c r="AB36" i="21"/>
  <c r="AF36" i="21"/>
  <c r="AF55" i="7"/>
  <c r="AF56" i="7"/>
  <c r="AB56" i="7"/>
  <c r="AF52" i="21"/>
  <c r="AB52" i="21"/>
  <c r="AB49" i="21"/>
  <c r="AF49" i="21"/>
  <c r="AB59" i="7"/>
  <c r="AF59" i="7"/>
  <c r="AB40" i="21"/>
  <c r="AF40" i="21"/>
  <c r="AB42" i="21"/>
  <c r="AF42" i="21"/>
  <c r="AF41" i="21"/>
  <c r="AB41" i="21"/>
  <c r="AF56" i="21"/>
  <c r="AB56" i="21"/>
  <c r="AF61" i="7"/>
  <c r="AF37" i="21"/>
  <c r="AB37" i="21"/>
  <c r="AF50" i="21"/>
  <c r="AB50" i="21"/>
  <c r="AF48" i="21"/>
  <c r="AB48" i="21"/>
  <c r="AB57" i="7"/>
  <c r="AF57" i="7"/>
  <c r="AF54" i="21"/>
  <c r="AB54" i="21"/>
  <c r="AF39" i="21"/>
  <c r="AB39" i="21"/>
  <c r="AB55" i="21"/>
  <c r="AF55" i="21"/>
  <c r="AF58" i="7"/>
  <c r="AB53" i="21"/>
  <c r="AF53" i="21"/>
  <c r="AF43" i="21"/>
  <c r="AB43" i="21"/>
  <c r="AB38" i="21"/>
  <c r="AF38" i="21"/>
  <c r="AB44" i="21"/>
  <c r="AF44" i="21"/>
  <c r="AF60" i="7"/>
  <c r="AB60" i="7"/>
  <c r="AI55" i="21"/>
  <c r="AI53" i="21"/>
  <c r="AI41" i="21"/>
  <c r="AI43" i="21"/>
  <c r="AI50" i="21"/>
  <c r="AI44" i="21"/>
  <c r="AI54" i="21"/>
  <c r="AI40" i="21"/>
  <c r="AI37" i="21"/>
  <c r="AI51" i="21"/>
  <c r="AI49" i="21"/>
  <c r="AI48" i="21"/>
  <c r="AI38" i="21"/>
  <c r="AM63" i="21"/>
  <c r="AN63" i="21"/>
  <c r="AI56" i="21"/>
  <c r="AN66" i="21"/>
  <c r="AM66" i="21"/>
  <c r="AI42" i="21"/>
  <c r="AN70" i="21"/>
  <c r="AM70" i="21"/>
  <c r="AI35" i="21"/>
  <c r="AI52" i="21"/>
  <c r="AI39" i="21"/>
  <c r="AI36" i="21"/>
  <c r="K39" i="7"/>
  <c r="K40" i="7"/>
  <c r="M40" i="7"/>
  <c r="M42" i="7"/>
  <c r="K42" i="7"/>
  <c r="K43" i="7"/>
  <c r="M43" i="7"/>
  <c r="K35" i="7"/>
  <c r="K44" i="7"/>
  <c r="M44" i="7"/>
  <c r="K41" i="7"/>
  <c r="M41" i="7"/>
  <c r="M45" i="7"/>
  <c r="K45" i="7"/>
  <c r="K36" i="7"/>
  <c r="K37" i="7"/>
  <c r="K38" i="7"/>
  <c r="AI57" i="7"/>
  <c r="AI59" i="7"/>
  <c r="AI55" i="7"/>
  <c r="AI58" i="7"/>
  <c r="AI61" i="7"/>
  <c r="AI56" i="7"/>
  <c r="AI60" i="7"/>
  <c r="M38" i="36"/>
  <c r="K38" i="36"/>
  <c r="M49" i="36"/>
  <c r="K49" i="36"/>
  <c r="K60" i="36"/>
  <c r="M50" i="36"/>
  <c r="K50" i="36"/>
  <c r="M61" i="36"/>
  <c r="K61" i="36"/>
  <c r="M40" i="36"/>
  <c r="K40" i="36"/>
  <c r="M54" i="36"/>
  <c r="K54" i="36"/>
  <c r="M62" i="36"/>
  <c r="K62" i="36"/>
  <c r="K55" i="36"/>
  <c r="AA65" i="36"/>
  <c r="K39" i="36"/>
  <c r="M39" i="36"/>
  <c r="K46" i="36"/>
  <c r="K57" i="36"/>
  <c r="M41" i="36"/>
  <c r="K41" i="36"/>
  <c r="K56" i="36"/>
  <c r="M36" i="36"/>
  <c r="K36" i="36"/>
  <c r="M47" i="36"/>
  <c r="K47" i="36"/>
  <c r="M58" i="36"/>
  <c r="K58" i="36"/>
  <c r="K45" i="36"/>
  <c r="K37" i="36"/>
  <c r="M37" i="36"/>
  <c r="K48" i="36"/>
  <c r="M59" i="36"/>
  <c r="K59" i="36"/>
  <c r="AH36" i="30"/>
  <c r="AE36" i="30"/>
  <c r="M39" i="7"/>
  <c r="M38" i="7"/>
  <c r="M36" i="7"/>
  <c r="M35" i="7"/>
  <c r="M37" i="7"/>
  <c r="M55" i="36"/>
  <c r="M56" i="36"/>
  <c r="M57" i="36"/>
  <c r="M45" i="36"/>
  <c r="M46" i="36"/>
  <c r="M48" i="36"/>
  <c r="M60" i="36"/>
  <c r="N69" i="30"/>
  <c r="I66" i="30"/>
  <c r="J65" i="30"/>
  <c r="L63" i="30"/>
  <c r="N61" i="30"/>
  <c r="I58" i="30"/>
  <c r="J57" i="30"/>
  <c r="L55" i="30"/>
  <c r="N53" i="30"/>
  <c r="I47" i="30"/>
  <c r="J46" i="30"/>
  <c r="L44" i="30"/>
  <c r="N42" i="30"/>
  <c r="I39" i="30"/>
  <c r="J36" i="30"/>
  <c r="I41" i="30"/>
  <c r="L70" i="30"/>
  <c r="N68" i="30"/>
  <c r="I65" i="30"/>
  <c r="J64" i="30"/>
  <c r="L62" i="30"/>
  <c r="N60" i="30"/>
  <c r="I57" i="30"/>
  <c r="J56" i="30"/>
  <c r="L54" i="30"/>
  <c r="N52" i="30"/>
  <c r="I46" i="30"/>
  <c r="J45" i="30"/>
  <c r="L43" i="30"/>
  <c r="N41" i="30"/>
  <c r="I36" i="30"/>
  <c r="L69" i="30"/>
  <c r="N67" i="30"/>
  <c r="I64" i="30"/>
  <c r="J63" i="30"/>
  <c r="L61" i="30"/>
  <c r="N59" i="30"/>
  <c r="I56" i="30"/>
  <c r="J55" i="30"/>
  <c r="L53" i="30"/>
  <c r="N51" i="30"/>
  <c r="I45" i="30"/>
  <c r="J44" i="30"/>
  <c r="L42" i="30"/>
  <c r="N40" i="30"/>
  <c r="L40" i="30"/>
  <c r="L36" i="30"/>
  <c r="J70" i="30"/>
  <c r="L68" i="30"/>
  <c r="N66" i="30"/>
  <c r="I63" i="30"/>
  <c r="J62" i="30"/>
  <c r="L60" i="30"/>
  <c r="N58" i="30"/>
  <c r="I55" i="30"/>
  <c r="J54" i="30"/>
  <c r="L52" i="30"/>
  <c r="N47" i="30"/>
  <c r="I44" i="30"/>
  <c r="J43" i="30"/>
  <c r="L41" i="30"/>
  <c r="N39" i="30"/>
  <c r="N36" i="30"/>
  <c r="J41" i="30"/>
  <c r="J40" i="30"/>
  <c r="I70" i="30"/>
  <c r="J69" i="30"/>
  <c r="L67" i="30"/>
  <c r="N65" i="30"/>
  <c r="I62" i="30"/>
  <c r="J61" i="30"/>
  <c r="L59" i="30"/>
  <c r="N57" i="30"/>
  <c r="I54" i="30"/>
  <c r="J53" i="30"/>
  <c r="L51" i="30"/>
  <c r="N46" i="30"/>
  <c r="I43" i="30"/>
  <c r="J42" i="30"/>
  <c r="J39" i="30"/>
  <c r="I69" i="30"/>
  <c r="J68" i="30"/>
  <c r="L66" i="30"/>
  <c r="N64" i="30"/>
  <c r="I61" i="30"/>
  <c r="J60" i="30"/>
  <c r="L58" i="30"/>
  <c r="N56" i="30"/>
  <c r="I53" i="30"/>
  <c r="J52" i="30"/>
  <c r="L47" i="30"/>
  <c r="N45" i="30"/>
  <c r="I42" i="30"/>
  <c r="L39" i="30"/>
  <c r="I68" i="30"/>
  <c r="J67" i="30"/>
  <c r="L65" i="30"/>
  <c r="N63" i="30"/>
  <c r="I60" i="30"/>
  <c r="J59" i="30"/>
  <c r="L57" i="30"/>
  <c r="N55" i="30"/>
  <c r="I52" i="30"/>
  <c r="J51" i="30"/>
  <c r="L46" i="30"/>
  <c r="N44" i="30"/>
  <c r="N70" i="30"/>
  <c r="I67" i="30"/>
  <c r="J66" i="30"/>
  <c r="L64" i="30"/>
  <c r="N62" i="30"/>
  <c r="I59" i="30"/>
  <c r="J58" i="30"/>
  <c r="L56" i="30"/>
  <c r="N54" i="30"/>
  <c r="I51" i="30"/>
  <c r="J47" i="30"/>
  <c r="L45" i="30"/>
  <c r="N43" i="30"/>
  <c r="I40" i="30"/>
  <c r="AA40" i="30" l="1"/>
  <c r="AA51" i="30"/>
  <c r="AA59" i="30"/>
  <c r="AA67" i="30"/>
  <c r="AA52" i="30"/>
  <c r="AA60" i="30"/>
  <c r="AA68" i="30"/>
  <c r="AA42" i="30"/>
  <c r="AA53" i="30"/>
  <c r="AA61" i="30"/>
  <c r="AA69" i="30"/>
  <c r="AA43" i="30"/>
  <c r="AA54" i="30"/>
  <c r="AA62" i="30"/>
  <c r="AA70" i="30"/>
  <c r="AA44" i="30"/>
  <c r="AA55" i="30"/>
  <c r="AA63" i="30"/>
  <c r="AA45" i="30"/>
  <c r="AA56" i="30"/>
  <c r="AA64" i="30"/>
  <c r="AA46" i="30"/>
  <c r="AA57" i="30"/>
  <c r="AA65" i="30"/>
  <c r="AA41" i="30"/>
  <c r="AA39" i="30"/>
  <c r="AA47" i="30"/>
  <c r="AA58" i="30"/>
  <c r="AA66" i="30"/>
  <c r="AF38" i="7"/>
  <c r="AF42" i="7"/>
  <c r="AB42" i="7"/>
  <c r="AF47" i="36"/>
  <c r="AF62" i="36"/>
  <c r="AB37" i="7"/>
  <c r="AF37" i="7"/>
  <c r="AF40" i="7"/>
  <c r="AB40" i="7"/>
  <c r="AF36" i="36"/>
  <c r="AF54" i="36"/>
  <c r="AF36" i="7"/>
  <c r="AB36" i="7"/>
  <c r="AB39" i="7"/>
  <c r="AF39" i="7"/>
  <c r="AF56" i="36"/>
  <c r="AF40" i="36"/>
  <c r="AF45" i="7"/>
  <c r="AF59" i="36"/>
  <c r="AF41" i="36"/>
  <c r="AF61" i="36"/>
  <c r="AF41" i="7"/>
  <c r="AF48" i="36"/>
  <c r="AF57" i="36"/>
  <c r="AF50" i="36"/>
  <c r="AF44" i="7"/>
  <c r="AB44" i="7"/>
  <c r="AF37" i="36"/>
  <c r="AF46" i="36"/>
  <c r="AF60" i="36"/>
  <c r="AB35" i="7"/>
  <c r="AF35" i="7"/>
  <c r="AF45" i="36"/>
  <c r="AF39" i="36"/>
  <c r="AF49" i="36"/>
  <c r="AB43" i="7"/>
  <c r="AF43" i="7"/>
  <c r="AF58" i="36"/>
  <c r="AF55" i="36"/>
  <c r="AF38" i="36"/>
  <c r="AN52" i="21"/>
  <c r="AM52" i="21"/>
  <c r="AN48" i="21"/>
  <c r="AM48" i="21"/>
  <c r="AM36" i="21"/>
  <c r="AN36" i="21"/>
  <c r="AM51" i="21"/>
  <c r="AN51" i="21"/>
  <c r="AM40" i="21"/>
  <c r="AN40" i="21"/>
  <c r="AN53" i="21"/>
  <c r="AM53" i="21"/>
  <c r="AN38" i="21"/>
  <c r="AM38" i="21"/>
  <c r="AN49" i="21"/>
  <c r="AM49" i="21"/>
  <c r="AN37" i="21"/>
  <c r="AM37" i="21"/>
  <c r="AN50" i="21"/>
  <c r="AM50" i="21"/>
  <c r="AN42" i="21"/>
  <c r="AM42" i="21"/>
  <c r="AM35" i="21"/>
  <c r="AN39" i="21"/>
  <c r="AM39" i="21"/>
  <c r="AN56" i="21"/>
  <c r="AM56" i="21"/>
  <c r="AN41" i="21"/>
  <c r="AM41" i="21"/>
  <c r="AM44" i="21"/>
  <c r="AN43" i="21"/>
  <c r="AM43" i="21"/>
  <c r="AN54" i="21"/>
  <c r="AM54" i="21"/>
  <c r="AM55" i="21"/>
  <c r="AN55" i="21"/>
  <c r="AI40" i="7"/>
  <c r="AI45" i="7"/>
  <c r="AI41" i="7"/>
  <c r="AI38" i="7"/>
  <c r="AI35" i="7"/>
  <c r="AI36" i="7"/>
  <c r="AI44" i="7"/>
  <c r="AI43" i="7"/>
  <c r="AI39" i="7"/>
  <c r="AI37" i="7"/>
  <c r="AI42" i="7"/>
  <c r="AI62" i="36"/>
  <c r="AI60" i="36"/>
  <c r="AI57" i="36"/>
  <c r="AI49" i="36"/>
  <c r="AI41" i="36"/>
  <c r="AI47" i="36"/>
  <c r="AI45" i="36"/>
  <c r="AI55" i="36"/>
  <c r="AB65" i="36"/>
  <c r="AI65" i="36"/>
  <c r="AF65" i="36"/>
  <c r="AI58" i="36"/>
  <c r="AI56" i="36"/>
  <c r="AI40" i="36"/>
  <c r="AI50" i="36"/>
  <c r="AI59" i="36"/>
  <c r="AI39" i="36"/>
  <c r="AI54" i="36"/>
  <c r="AI61" i="36"/>
  <c r="AI36" i="36"/>
  <c r="AI48" i="36"/>
  <c r="AI37" i="36"/>
  <c r="AI46" i="36"/>
  <c r="AI38" i="36"/>
  <c r="M40" i="30"/>
  <c r="K40" i="30"/>
  <c r="M51" i="30"/>
  <c r="K51" i="30"/>
  <c r="K59" i="30"/>
  <c r="K67" i="30"/>
  <c r="M52" i="30"/>
  <c r="K52" i="30"/>
  <c r="M60" i="30"/>
  <c r="K60" i="30"/>
  <c r="K68" i="30"/>
  <c r="M42" i="30"/>
  <c r="K42" i="30"/>
  <c r="M53" i="30"/>
  <c r="K53" i="30"/>
  <c r="K61" i="30"/>
  <c r="K69" i="30"/>
  <c r="M43" i="30"/>
  <c r="K43" i="30"/>
  <c r="K54" i="30"/>
  <c r="K62" i="30"/>
  <c r="K70" i="30"/>
  <c r="K44" i="30"/>
  <c r="M44" i="30"/>
  <c r="K55" i="30"/>
  <c r="K63" i="30"/>
  <c r="K45" i="30"/>
  <c r="M45" i="30"/>
  <c r="K56" i="30"/>
  <c r="K64" i="30"/>
  <c r="K36" i="30"/>
  <c r="AA36" i="30"/>
  <c r="M36" i="30"/>
  <c r="M46" i="30"/>
  <c r="K46" i="30"/>
  <c r="K57" i="30"/>
  <c r="K65" i="30"/>
  <c r="K41" i="30"/>
  <c r="M41" i="30"/>
  <c r="M39" i="30"/>
  <c r="K39" i="30"/>
  <c r="M47" i="30"/>
  <c r="K47" i="30"/>
  <c r="K58" i="30"/>
  <c r="K66" i="30"/>
  <c r="AH56" i="20"/>
  <c r="AE56" i="20"/>
  <c r="AH52" i="20"/>
  <c r="AE52" i="20"/>
  <c r="AH49" i="20"/>
  <c r="AE49" i="20"/>
  <c r="M66" i="30"/>
  <c r="M57" i="30"/>
  <c r="M62" i="30"/>
  <c r="M65" i="30"/>
  <c r="M67" i="30"/>
  <c r="M70" i="30"/>
  <c r="M55" i="30"/>
  <c r="M58" i="30"/>
  <c r="M68" i="30"/>
  <c r="M61" i="30"/>
  <c r="M56" i="30"/>
  <c r="M69" i="30"/>
  <c r="M64" i="30"/>
  <c r="M59" i="30"/>
  <c r="M54" i="30"/>
  <c r="M63" i="30"/>
  <c r="N52" i="20"/>
  <c r="L52" i="20"/>
  <c r="J52" i="20"/>
  <c r="J49" i="20"/>
  <c r="L56" i="20"/>
  <c r="N49" i="20"/>
  <c r="J56" i="20"/>
  <c r="I52" i="20"/>
  <c r="L49" i="20"/>
  <c r="I56" i="20"/>
  <c r="I49" i="20"/>
  <c r="N56" i="20"/>
  <c r="AF65" i="30" l="1"/>
  <c r="AF44" i="30"/>
  <c r="AF42" i="30"/>
  <c r="AF57" i="30"/>
  <c r="AF70" i="30"/>
  <c r="AF68" i="30"/>
  <c r="AF62" i="30"/>
  <c r="AF60" i="30"/>
  <c r="AF66" i="30"/>
  <c r="AF64" i="30"/>
  <c r="AF54" i="30"/>
  <c r="AF52" i="30"/>
  <c r="AF58" i="30"/>
  <c r="AF56" i="30"/>
  <c r="AF43" i="30"/>
  <c r="AF67" i="30"/>
  <c r="AF46" i="30"/>
  <c r="AF47" i="30"/>
  <c r="AF45" i="30"/>
  <c r="AF69" i="30"/>
  <c r="AF59" i="30"/>
  <c r="AF39" i="30"/>
  <c r="AF63" i="30"/>
  <c r="AB63" i="30"/>
  <c r="AF61" i="30"/>
  <c r="AF51" i="30"/>
  <c r="AF41" i="30"/>
  <c r="AF55" i="30"/>
  <c r="AB53" i="30"/>
  <c r="AF53" i="30"/>
  <c r="AF40" i="30"/>
  <c r="AM65" i="36"/>
  <c r="AN65" i="36"/>
  <c r="AI39" i="30"/>
  <c r="AI59" i="30"/>
  <c r="AI58" i="30"/>
  <c r="AI52" i="30"/>
  <c r="AI61" i="30"/>
  <c r="AI63" i="30"/>
  <c r="AI70" i="30"/>
  <c r="AI41" i="30"/>
  <c r="AI51" i="30"/>
  <c r="AI44" i="30"/>
  <c r="AI42" i="30"/>
  <c r="AI57" i="30"/>
  <c r="AI46" i="30"/>
  <c r="AI56" i="30"/>
  <c r="AI43" i="30"/>
  <c r="AI53" i="30"/>
  <c r="AI68" i="30"/>
  <c r="AI66" i="30"/>
  <c r="AI45" i="30"/>
  <c r="AI64" i="30"/>
  <c r="AI47" i="30"/>
  <c r="AI55" i="30"/>
  <c r="AI62" i="30"/>
  <c r="AI67" i="30"/>
  <c r="AI60" i="30"/>
  <c r="AI54" i="30"/>
  <c r="AI65" i="30"/>
  <c r="AF36" i="30"/>
  <c r="AB36" i="30"/>
  <c r="AI36" i="30"/>
  <c r="AI69" i="30"/>
  <c r="AI40" i="30"/>
  <c r="AA49" i="20"/>
  <c r="M49" i="20"/>
  <c r="K49" i="20"/>
  <c r="M56" i="20"/>
  <c r="K56" i="20"/>
  <c r="AA56" i="20"/>
  <c r="M52" i="20"/>
  <c r="K52" i="20"/>
  <c r="AA52" i="20"/>
  <c r="AH42" i="20"/>
  <c r="AH38" i="20"/>
  <c r="AH37" i="20"/>
  <c r="AH36" i="20"/>
  <c r="AH35" i="20"/>
  <c r="AF57" i="24"/>
  <c r="AG57" i="24" s="1"/>
  <c r="AC57" i="24"/>
  <c r="AD57" i="24" s="1"/>
  <c r="Y57" i="24"/>
  <c r="X57" i="24"/>
  <c r="W57" i="24"/>
  <c r="V57" i="24"/>
  <c r="U57" i="24"/>
  <c r="T57" i="24"/>
  <c r="S57" i="24"/>
  <c r="R57" i="24"/>
  <c r="Q57" i="24"/>
  <c r="P57" i="24"/>
  <c r="O57" i="24"/>
  <c r="N57" i="24"/>
  <c r="AF56" i="24"/>
  <c r="AC56" i="24"/>
  <c r="AD56" i="24" s="1"/>
  <c r="Y56" i="24"/>
  <c r="X56" i="24"/>
  <c r="W56" i="24"/>
  <c r="V56" i="24"/>
  <c r="U56" i="24"/>
  <c r="T56" i="24"/>
  <c r="S56" i="24"/>
  <c r="R56" i="24"/>
  <c r="Q56" i="24"/>
  <c r="P56" i="24"/>
  <c r="O56" i="24"/>
  <c r="N56" i="24"/>
  <c r="AF55" i="24"/>
  <c r="AG55" i="24" s="1"/>
  <c r="AC55" i="24"/>
  <c r="AD55" i="24" s="1"/>
  <c r="Y55" i="24"/>
  <c r="X55" i="24"/>
  <c r="W55" i="24"/>
  <c r="V55" i="24"/>
  <c r="U55" i="24"/>
  <c r="T55" i="24"/>
  <c r="S55" i="24"/>
  <c r="R55" i="24"/>
  <c r="Q55" i="24"/>
  <c r="P55" i="24"/>
  <c r="O55" i="24"/>
  <c r="N55" i="24"/>
  <c r="AF54" i="24"/>
  <c r="AC54" i="24"/>
  <c r="AD54" i="24" s="1"/>
  <c r="Y54" i="24"/>
  <c r="X54" i="24"/>
  <c r="W54" i="24"/>
  <c r="V54" i="24"/>
  <c r="U54" i="24"/>
  <c r="T54" i="24"/>
  <c r="S54" i="24"/>
  <c r="R54" i="24"/>
  <c r="Q54" i="24"/>
  <c r="P54" i="24"/>
  <c r="O54" i="24"/>
  <c r="N54" i="24"/>
  <c r="AF53" i="24"/>
  <c r="AG53" i="24" s="1"/>
  <c r="AC53" i="24"/>
  <c r="AD53" i="24" s="1"/>
  <c r="Y53" i="24"/>
  <c r="X53" i="24"/>
  <c r="W53" i="24"/>
  <c r="V53" i="24"/>
  <c r="U53" i="24"/>
  <c r="T53" i="24"/>
  <c r="S53" i="24"/>
  <c r="R53" i="24"/>
  <c r="Q53" i="24"/>
  <c r="P53" i="24"/>
  <c r="O53" i="24"/>
  <c r="N53" i="24"/>
  <c r="AG48" i="24"/>
  <c r="AG47" i="24"/>
  <c r="AG46" i="24"/>
  <c r="AG45" i="24"/>
  <c r="AG44" i="24"/>
  <c r="AG38" i="24"/>
  <c r="AG36" i="24"/>
  <c r="AG35" i="24"/>
  <c r="I37" i="20"/>
  <c r="J36" i="20"/>
  <c r="J35" i="20"/>
  <c r="N38" i="20"/>
  <c r="I35" i="20"/>
  <c r="L42" i="20"/>
  <c r="L37" i="20"/>
  <c r="J37" i="20"/>
  <c r="L35" i="20"/>
  <c r="N42" i="20"/>
  <c r="I36" i="20"/>
  <c r="J38" i="20"/>
  <c r="L38" i="20"/>
  <c r="N35" i="20"/>
  <c r="I42" i="20"/>
  <c r="L36" i="20"/>
  <c r="I38" i="20"/>
  <c r="N37" i="20"/>
  <c r="N36" i="20"/>
  <c r="J42" i="20"/>
  <c r="J56" i="24"/>
  <c r="J54" i="24"/>
  <c r="J47" i="24"/>
  <c r="J38" i="24"/>
  <c r="I37" i="24"/>
  <c r="I38" i="24"/>
  <c r="M45" i="24"/>
  <c r="M37" i="24"/>
  <c r="I36" i="24"/>
  <c r="I56" i="24"/>
  <c r="I54" i="24"/>
  <c r="M48" i="24"/>
  <c r="I47" i="24"/>
  <c r="M44" i="24"/>
  <c r="J39" i="24"/>
  <c r="I44" i="24"/>
  <c r="M35" i="24"/>
  <c r="M36" i="24"/>
  <c r="I35" i="24"/>
  <c r="J37" i="24"/>
  <c r="J48" i="24"/>
  <c r="J44" i="24"/>
  <c r="I39" i="24"/>
  <c r="J36" i="24"/>
  <c r="M57" i="24"/>
  <c r="M55" i="24"/>
  <c r="M53" i="24"/>
  <c r="I48" i="24"/>
  <c r="J57" i="24"/>
  <c r="J55" i="24"/>
  <c r="J53" i="24"/>
  <c r="J45" i="24"/>
  <c r="M38" i="24"/>
  <c r="I57" i="24"/>
  <c r="I55" i="24"/>
  <c r="I53" i="24"/>
  <c r="M46" i="24"/>
  <c r="I45" i="24"/>
  <c r="J35" i="24"/>
  <c r="J46" i="24"/>
  <c r="M56" i="24"/>
  <c r="M54" i="24"/>
  <c r="M47" i="24"/>
  <c r="I46" i="24"/>
  <c r="M39" i="24"/>
  <c r="Z46" i="24" l="1"/>
  <c r="Z45" i="24"/>
  <c r="Z48" i="24"/>
  <c r="Z39" i="24"/>
  <c r="Z35" i="24"/>
  <c r="Z44" i="24"/>
  <c r="Z47" i="24"/>
  <c r="Z36" i="24"/>
  <c r="Z38" i="24"/>
  <c r="Z37" i="24"/>
  <c r="AA38" i="20"/>
  <c r="AA42" i="20"/>
  <c r="AA36" i="20"/>
  <c r="AA35" i="20"/>
  <c r="AA37" i="20"/>
  <c r="AN36" i="30"/>
  <c r="AM36" i="30"/>
  <c r="K38" i="20"/>
  <c r="M38" i="20"/>
  <c r="M42" i="20"/>
  <c r="K42" i="20"/>
  <c r="K36" i="20"/>
  <c r="K35" i="20"/>
  <c r="M35" i="20"/>
  <c r="K37" i="20"/>
  <c r="AB56" i="20"/>
  <c r="AI56" i="20"/>
  <c r="AF56" i="20"/>
  <c r="AI52" i="20"/>
  <c r="AB52" i="20"/>
  <c r="AF52" i="20"/>
  <c r="AB49" i="20"/>
  <c r="AI49" i="20"/>
  <c r="AF49" i="20"/>
  <c r="Z53" i="24"/>
  <c r="Z55" i="24"/>
  <c r="Z57" i="24"/>
  <c r="K39" i="24"/>
  <c r="K35" i="24"/>
  <c r="Z54" i="24"/>
  <c r="Z56" i="24"/>
  <c r="K36" i="24"/>
  <c r="K38" i="24"/>
  <c r="K37" i="24"/>
  <c r="AG54" i="24"/>
  <c r="AG56" i="24"/>
  <c r="AH65" i="33"/>
  <c r="AH64" i="33"/>
  <c r="AH63" i="33"/>
  <c r="AH62" i="33"/>
  <c r="AH61" i="33"/>
  <c r="AH60" i="33"/>
  <c r="AH59" i="33"/>
  <c r="AH58" i="33"/>
  <c r="AH57" i="33"/>
  <c r="AH56" i="33"/>
  <c r="AH50" i="33"/>
  <c r="AH49" i="33"/>
  <c r="AH47" i="33"/>
  <c r="AH46" i="33"/>
  <c r="AH42" i="33"/>
  <c r="AH38" i="33"/>
  <c r="AH36" i="33"/>
  <c r="M37" i="20"/>
  <c r="M36" i="20"/>
  <c r="N64" i="33"/>
  <c r="I61" i="33"/>
  <c r="J60" i="33"/>
  <c r="L58" i="33"/>
  <c r="N56" i="33"/>
  <c r="I53" i="33"/>
  <c r="J52" i="33"/>
  <c r="L50" i="33"/>
  <c r="N48" i="33"/>
  <c r="I45" i="33"/>
  <c r="J44" i="33"/>
  <c r="L42" i="33"/>
  <c r="N40" i="33"/>
  <c r="I37" i="33"/>
  <c r="J36" i="33"/>
  <c r="I36" i="33"/>
  <c r="J35" i="33"/>
  <c r="I35" i="33"/>
  <c r="J41" i="33"/>
  <c r="N36" i="33"/>
  <c r="N43" i="33"/>
  <c r="L65" i="33"/>
  <c r="N63" i="33"/>
  <c r="I60" i="33"/>
  <c r="J59" i="33"/>
  <c r="L57" i="33"/>
  <c r="N55" i="33"/>
  <c r="I52" i="33"/>
  <c r="J51" i="33"/>
  <c r="L49" i="33"/>
  <c r="N47" i="33"/>
  <c r="I44" i="33"/>
  <c r="J43" i="33"/>
  <c r="L41" i="33"/>
  <c r="N39" i="33"/>
  <c r="L38" i="33"/>
  <c r="J39" i="33"/>
  <c r="N42" i="33"/>
  <c r="L64" i="33"/>
  <c r="N62" i="33"/>
  <c r="I59" i="33"/>
  <c r="J58" i="33"/>
  <c r="L56" i="33"/>
  <c r="N54" i="33"/>
  <c r="I51" i="33"/>
  <c r="J50" i="33"/>
  <c r="L48" i="33"/>
  <c r="N46" i="33"/>
  <c r="I43" i="33"/>
  <c r="J42" i="33"/>
  <c r="L40" i="33"/>
  <c r="N38" i="33"/>
  <c r="N37" i="33"/>
  <c r="L44" i="33"/>
  <c r="J65" i="33"/>
  <c r="L63" i="33"/>
  <c r="N61" i="33"/>
  <c r="I58" i="33"/>
  <c r="J57" i="33"/>
  <c r="L55" i="33"/>
  <c r="N53" i="33"/>
  <c r="I50" i="33"/>
  <c r="J49" i="33"/>
  <c r="L47" i="33"/>
  <c r="N45" i="33"/>
  <c r="I42" i="33"/>
  <c r="L39" i="33"/>
  <c r="N35" i="33"/>
  <c r="I65" i="33"/>
  <c r="J64" i="33"/>
  <c r="L62" i="33"/>
  <c r="N60" i="33"/>
  <c r="I57" i="33"/>
  <c r="J56" i="33"/>
  <c r="L54" i="33"/>
  <c r="N52" i="33"/>
  <c r="I49" i="33"/>
  <c r="J48" i="33"/>
  <c r="L46" i="33"/>
  <c r="N44" i="33"/>
  <c r="I41" i="33"/>
  <c r="J40" i="33"/>
  <c r="J38" i="33"/>
  <c r="I64" i="33"/>
  <c r="J63" i="33"/>
  <c r="L61" i="33"/>
  <c r="N59" i="33"/>
  <c r="I56" i="33"/>
  <c r="J55" i="33"/>
  <c r="L53" i="33"/>
  <c r="N51" i="33"/>
  <c r="I48" i="33"/>
  <c r="J47" i="33"/>
  <c r="L45" i="33"/>
  <c r="I40" i="33"/>
  <c r="L37" i="33"/>
  <c r="I63" i="33"/>
  <c r="J62" i="33"/>
  <c r="L60" i="33"/>
  <c r="N58" i="33"/>
  <c r="I55" i="33"/>
  <c r="J54" i="33"/>
  <c r="L52" i="33"/>
  <c r="N50" i="33"/>
  <c r="I47" i="33"/>
  <c r="J46" i="33"/>
  <c r="I39" i="33"/>
  <c r="L36" i="33"/>
  <c r="N65" i="33"/>
  <c r="I62" i="33"/>
  <c r="J61" i="33"/>
  <c r="L59" i="33"/>
  <c r="N57" i="33"/>
  <c r="I54" i="33"/>
  <c r="J53" i="33"/>
  <c r="L51" i="33"/>
  <c r="N49" i="33"/>
  <c r="I46" i="33"/>
  <c r="J45" i="33"/>
  <c r="L43" i="33"/>
  <c r="N41" i="33"/>
  <c r="I38" i="33"/>
  <c r="J37" i="33"/>
  <c r="L35" i="33"/>
  <c r="AA38" i="33" l="1"/>
  <c r="AA46" i="33"/>
  <c r="AA54" i="33"/>
  <c r="AA62" i="33"/>
  <c r="AA39" i="33"/>
  <c r="AA47" i="33"/>
  <c r="AA55" i="33"/>
  <c r="AA63" i="33"/>
  <c r="AA40" i="33"/>
  <c r="AA48" i="33"/>
  <c r="AA56" i="33"/>
  <c r="AA64" i="33"/>
  <c r="AA41" i="33"/>
  <c r="AA49" i="33"/>
  <c r="AA57" i="33"/>
  <c r="AA65" i="33"/>
  <c r="AA42" i="33"/>
  <c r="AA50" i="33"/>
  <c r="AA58" i="33"/>
  <c r="AA43" i="33"/>
  <c r="AA51" i="33"/>
  <c r="AA59" i="33"/>
  <c r="AA44" i="33"/>
  <c r="AA52" i="33"/>
  <c r="AA60" i="33"/>
  <c r="AA35" i="33"/>
  <c r="AA36" i="33"/>
  <c r="AA37" i="33"/>
  <c r="AA45" i="33"/>
  <c r="AA53" i="33"/>
  <c r="AA61" i="33"/>
  <c r="AA36" i="24"/>
  <c r="AE36" i="24"/>
  <c r="AB35" i="20"/>
  <c r="AF35" i="20"/>
  <c r="AE44" i="24"/>
  <c r="AA44" i="24"/>
  <c r="AF36" i="20"/>
  <c r="AB36" i="20"/>
  <c r="AE35" i="24"/>
  <c r="AA35" i="24"/>
  <c r="AB42" i="20"/>
  <c r="AF42" i="20"/>
  <c r="AE39" i="24"/>
  <c r="AB37" i="20"/>
  <c r="AF37" i="20"/>
  <c r="AF38" i="20"/>
  <c r="AB38" i="20"/>
  <c r="AE48" i="24"/>
  <c r="AA48" i="24"/>
  <c r="AE37" i="24"/>
  <c r="AA37" i="24"/>
  <c r="AA45" i="24"/>
  <c r="AE45" i="24"/>
  <c r="AA47" i="24"/>
  <c r="AE47" i="24"/>
  <c r="AA38" i="24"/>
  <c r="AE38" i="24"/>
  <c r="AE46" i="24"/>
  <c r="AA46" i="24"/>
  <c r="AI36" i="20"/>
  <c r="AI37" i="20"/>
  <c r="AN52" i="20"/>
  <c r="AM52" i="20"/>
  <c r="AI35" i="20"/>
  <c r="AI42" i="20"/>
  <c r="AN49" i="20"/>
  <c r="AM49" i="20"/>
  <c r="AM56" i="20"/>
  <c r="AN56" i="20"/>
  <c r="AI38" i="20"/>
  <c r="AE57" i="24"/>
  <c r="AA57" i="24"/>
  <c r="AH57" i="24"/>
  <c r="AH39" i="24"/>
  <c r="AE55" i="24"/>
  <c r="AA55" i="24"/>
  <c r="AH55" i="24"/>
  <c r="AH36" i="24"/>
  <c r="AA54" i="24"/>
  <c r="AH54" i="24"/>
  <c r="AE54" i="24"/>
  <c r="AH37" i="24"/>
  <c r="AE53" i="24"/>
  <c r="AA53" i="24"/>
  <c r="AH53" i="24"/>
  <c r="AH48" i="24"/>
  <c r="AH45" i="24"/>
  <c r="AA56" i="24"/>
  <c r="AH56" i="24"/>
  <c r="AE56" i="24"/>
  <c r="AH47" i="24"/>
  <c r="AH44" i="24"/>
  <c r="AH38" i="24"/>
  <c r="AH35" i="24"/>
  <c r="AH46" i="24"/>
  <c r="M38" i="33"/>
  <c r="K38" i="33"/>
  <c r="K46" i="33"/>
  <c r="M54" i="33"/>
  <c r="K54" i="33"/>
  <c r="M62" i="33"/>
  <c r="K62" i="33"/>
  <c r="M39" i="33"/>
  <c r="K39" i="33"/>
  <c r="K47" i="33"/>
  <c r="M55" i="33"/>
  <c r="K55" i="33"/>
  <c r="K63" i="33"/>
  <c r="M40" i="33"/>
  <c r="K40" i="33"/>
  <c r="M48" i="33"/>
  <c r="K48" i="33"/>
  <c r="M56" i="33"/>
  <c r="K56" i="33"/>
  <c r="M64" i="33"/>
  <c r="K64" i="33"/>
  <c r="M41" i="33"/>
  <c r="K41" i="33"/>
  <c r="M49" i="33"/>
  <c r="K49" i="33"/>
  <c r="K57" i="33"/>
  <c r="M65" i="33"/>
  <c r="K65" i="33"/>
  <c r="K42" i="33"/>
  <c r="M42" i="33"/>
  <c r="K50" i="33"/>
  <c r="M50" i="33"/>
  <c r="K58" i="33"/>
  <c r="K43" i="33"/>
  <c r="K51" i="33"/>
  <c r="M51" i="33"/>
  <c r="K59" i="33"/>
  <c r="K44" i="33"/>
  <c r="M52" i="33"/>
  <c r="K52" i="33"/>
  <c r="K60" i="33"/>
  <c r="K35" i="33"/>
  <c r="K36" i="33"/>
  <c r="K37" i="33"/>
  <c r="M37" i="33"/>
  <c r="K45" i="33"/>
  <c r="M53" i="33"/>
  <c r="K53" i="33"/>
  <c r="K61" i="33"/>
  <c r="AH49" i="25"/>
  <c r="AH48" i="25"/>
  <c r="AH47" i="25"/>
  <c r="AH45" i="25"/>
  <c r="AH44" i="25"/>
  <c r="AH43" i="25"/>
  <c r="AH42" i="25"/>
  <c r="AH41" i="25"/>
  <c r="AH40" i="25"/>
  <c r="AH39" i="25"/>
  <c r="M47" i="33"/>
  <c r="M58" i="33"/>
  <c r="M44" i="33"/>
  <c r="M35" i="33"/>
  <c r="M63" i="33"/>
  <c r="M36" i="33"/>
  <c r="M59" i="33"/>
  <c r="M60" i="33"/>
  <c r="M61" i="33"/>
  <c r="M57" i="33"/>
  <c r="M43" i="33"/>
  <c r="M45" i="33"/>
  <c r="M46" i="33"/>
  <c r="N49" i="25"/>
  <c r="I46" i="25"/>
  <c r="J45" i="25"/>
  <c r="L43" i="25"/>
  <c r="N41" i="25"/>
  <c r="I38" i="25"/>
  <c r="J37" i="25"/>
  <c r="L35" i="25"/>
  <c r="L40" i="25"/>
  <c r="I35" i="25"/>
  <c r="I42" i="25"/>
  <c r="N37" i="25"/>
  <c r="L50" i="25"/>
  <c r="N48" i="25"/>
  <c r="I45" i="25"/>
  <c r="J44" i="25"/>
  <c r="L42" i="25"/>
  <c r="N40" i="25"/>
  <c r="I37" i="25"/>
  <c r="J36" i="25"/>
  <c r="J35" i="25"/>
  <c r="L38" i="25"/>
  <c r="N35" i="25"/>
  <c r="L49" i="25"/>
  <c r="N47" i="25"/>
  <c r="I44" i="25"/>
  <c r="J43" i="25"/>
  <c r="L41" i="25"/>
  <c r="N39" i="25"/>
  <c r="I36" i="25"/>
  <c r="L39" i="25"/>
  <c r="J39" i="25"/>
  <c r="L36" i="25"/>
  <c r="J50" i="25"/>
  <c r="L48" i="25"/>
  <c r="N46" i="25"/>
  <c r="I43" i="25"/>
  <c r="J42" i="25"/>
  <c r="N38" i="25"/>
  <c r="I41" i="25"/>
  <c r="L45" i="25"/>
  <c r="I50" i="25"/>
  <c r="J49" i="25"/>
  <c r="L47" i="25"/>
  <c r="N45" i="25"/>
  <c r="J41" i="25"/>
  <c r="J40" i="25"/>
  <c r="L37" i="25"/>
  <c r="I49" i="25"/>
  <c r="J48" i="25"/>
  <c r="L46" i="25"/>
  <c r="N44" i="25"/>
  <c r="N36" i="25"/>
  <c r="I40" i="25"/>
  <c r="I48" i="25"/>
  <c r="J47" i="25"/>
  <c r="N43" i="25"/>
  <c r="N50" i="25"/>
  <c r="I47" i="25"/>
  <c r="J46" i="25"/>
  <c r="L44" i="25"/>
  <c r="N42" i="25"/>
  <c r="I39" i="25"/>
  <c r="J38" i="25"/>
  <c r="AA39" i="25" l="1"/>
  <c r="AA47" i="25"/>
  <c r="AA48" i="25"/>
  <c r="AA40" i="25"/>
  <c r="AA49" i="25"/>
  <c r="AA50" i="25"/>
  <c r="AA41" i="25"/>
  <c r="AA43" i="25"/>
  <c r="AA36" i="25"/>
  <c r="AA44" i="25"/>
  <c r="AA37" i="25"/>
  <c r="AA45" i="25"/>
  <c r="AA42" i="25"/>
  <c r="AA35" i="25"/>
  <c r="AA38" i="25"/>
  <c r="AA46" i="25"/>
  <c r="AF52" i="33"/>
  <c r="AF65" i="33"/>
  <c r="AB65" i="33"/>
  <c r="AF63" i="33"/>
  <c r="AB63" i="33"/>
  <c r="AF44" i="33"/>
  <c r="AF53" i="33"/>
  <c r="AF59" i="33"/>
  <c r="AB59" i="33"/>
  <c r="AF49" i="33"/>
  <c r="AF47" i="33"/>
  <c r="AB47" i="33"/>
  <c r="AF45" i="33"/>
  <c r="AF51" i="33"/>
  <c r="AF41" i="33"/>
  <c r="AF39" i="33"/>
  <c r="AF57" i="33"/>
  <c r="AB57" i="33"/>
  <c r="AF37" i="33"/>
  <c r="AF43" i="33"/>
  <c r="AB64" i="33"/>
  <c r="AF64" i="33"/>
  <c r="AB62" i="33"/>
  <c r="AF62" i="33"/>
  <c r="AF55" i="33"/>
  <c r="AB36" i="33"/>
  <c r="AF36" i="33"/>
  <c r="AB58" i="33"/>
  <c r="AF58" i="33"/>
  <c r="AF56" i="33"/>
  <c r="AF54" i="33"/>
  <c r="AF35" i="33"/>
  <c r="AB50" i="33"/>
  <c r="AF50" i="33"/>
  <c r="AF48" i="33"/>
  <c r="AB46" i="33"/>
  <c r="AF46" i="33"/>
  <c r="AF61" i="33"/>
  <c r="AB61" i="33"/>
  <c r="AB60" i="33"/>
  <c r="AF60" i="33"/>
  <c r="AF42" i="33"/>
  <c r="AF40" i="33"/>
  <c r="AF38" i="33"/>
  <c r="AN35" i="20"/>
  <c r="AM35" i="20"/>
  <c r="AM38" i="20"/>
  <c r="AN38" i="20"/>
  <c r="AN42" i="20"/>
  <c r="AM42" i="20"/>
  <c r="AN36" i="20"/>
  <c r="AM36" i="20"/>
  <c r="AN37" i="20"/>
  <c r="AM37" i="20"/>
  <c r="AM56" i="24"/>
  <c r="AL56" i="24"/>
  <c r="AM36" i="24"/>
  <c r="AL36" i="24"/>
  <c r="AM47" i="24"/>
  <c r="AL47" i="24"/>
  <c r="AM48" i="24"/>
  <c r="AL48" i="24"/>
  <c r="AM46" i="24"/>
  <c r="AL46" i="24"/>
  <c r="AM44" i="24"/>
  <c r="AL44" i="24"/>
  <c r="AM53" i="24"/>
  <c r="AL53" i="24"/>
  <c r="AM55" i="24"/>
  <c r="AL55" i="24"/>
  <c r="AM57" i="24"/>
  <c r="AL57" i="24"/>
  <c r="AL37" i="24"/>
  <c r="AM35" i="24"/>
  <c r="AL35" i="24"/>
  <c r="AM38" i="24"/>
  <c r="AL38" i="24"/>
  <c r="AM45" i="24"/>
  <c r="AL45" i="24"/>
  <c r="AM54" i="24"/>
  <c r="AL54" i="24"/>
  <c r="AI47" i="33"/>
  <c r="AI54" i="33"/>
  <c r="AI52" i="33"/>
  <c r="AI48" i="33"/>
  <c r="AI39" i="33"/>
  <c r="AI41" i="33"/>
  <c r="AI63" i="33"/>
  <c r="AI45" i="33"/>
  <c r="AI46" i="33"/>
  <c r="AI53" i="33"/>
  <c r="AI36" i="33"/>
  <c r="AI51" i="33"/>
  <c r="AI50" i="33"/>
  <c r="AI61" i="33"/>
  <c r="AI40" i="33"/>
  <c r="AI55" i="33"/>
  <c r="AI65" i="33"/>
  <c r="AI64" i="33"/>
  <c r="AI42" i="33"/>
  <c r="AI49" i="33"/>
  <c r="AI62" i="33"/>
  <c r="AI58" i="33"/>
  <c r="AI35" i="33"/>
  <c r="AI57" i="33"/>
  <c r="AI44" i="33"/>
  <c r="AI43" i="33"/>
  <c r="AI37" i="33"/>
  <c r="AI60" i="33"/>
  <c r="AI59" i="33"/>
  <c r="AI56" i="33"/>
  <c r="AI38" i="33"/>
  <c r="K39" i="25"/>
  <c r="K47" i="25"/>
  <c r="K48" i="25"/>
  <c r="K40" i="25"/>
  <c r="K49" i="25"/>
  <c r="M50" i="25"/>
  <c r="K50" i="25"/>
  <c r="K41" i="25"/>
  <c r="K43" i="25"/>
  <c r="K36" i="25"/>
  <c r="K44" i="25"/>
  <c r="M37" i="25"/>
  <c r="K37" i="25"/>
  <c r="M45" i="25"/>
  <c r="K45" i="25"/>
  <c r="K42" i="25"/>
  <c r="K35" i="25"/>
  <c r="M35" i="25"/>
  <c r="K38" i="25"/>
  <c r="M38" i="25"/>
  <c r="K46" i="25"/>
  <c r="AG94" i="23"/>
  <c r="AH94" i="23" s="1"/>
  <c r="AD94" i="23"/>
  <c r="AE94" i="23" s="1"/>
  <c r="Z94" i="23"/>
  <c r="Y94" i="23"/>
  <c r="X94" i="23"/>
  <c r="W94" i="23"/>
  <c r="V94" i="23"/>
  <c r="U94" i="23"/>
  <c r="T94" i="23"/>
  <c r="S94" i="23"/>
  <c r="R94" i="23"/>
  <c r="Q94" i="23"/>
  <c r="P94" i="23"/>
  <c r="O94" i="23"/>
  <c r="N94" i="23"/>
  <c r="AG93" i="23"/>
  <c r="AH93" i="23" s="1"/>
  <c r="AD93" i="23"/>
  <c r="AE93" i="23" s="1"/>
  <c r="Z93" i="23"/>
  <c r="Y93" i="23"/>
  <c r="X93" i="23"/>
  <c r="W93" i="23"/>
  <c r="V93" i="23"/>
  <c r="U93" i="23"/>
  <c r="T93" i="23"/>
  <c r="S93" i="23"/>
  <c r="R93" i="23"/>
  <c r="Q93" i="23"/>
  <c r="P93" i="23"/>
  <c r="O93" i="23"/>
  <c r="N93" i="23"/>
  <c r="AG92" i="23"/>
  <c r="AH92" i="23" s="1"/>
  <c r="AD92" i="23"/>
  <c r="AE92" i="23" s="1"/>
  <c r="Z92" i="23"/>
  <c r="Y92" i="23"/>
  <c r="X92" i="23"/>
  <c r="W92" i="23"/>
  <c r="V92" i="23"/>
  <c r="U92" i="23"/>
  <c r="T92" i="23"/>
  <c r="S92" i="23"/>
  <c r="R92" i="23"/>
  <c r="Q92" i="23"/>
  <c r="P92" i="23"/>
  <c r="O92" i="23"/>
  <c r="N92" i="23"/>
  <c r="AG91" i="23"/>
  <c r="AH91" i="23" s="1"/>
  <c r="AD91" i="23"/>
  <c r="AE91" i="23" s="1"/>
  <c r="Z91" i="23"/>
  <c r="Y91" i="23"/>
  <c r="X91" i="23"/>
  <c r="W91" i="23"/>
  <c r="V91" i="23"/>
  <c r="U91" i="23"/>
  <c r="T91" i="23"/>
  <c r="S91" i="23"/>
  <c r="R91" i="23"/>
  <c r="Q91" i="23"/>
  <c r="P91" i="23"/>
  <c r="O91" i="23"/>
  <c r="N91" i="23"/>
  <c r="AG90" i="23"/>
  <c r="AH90" i="23" s="1"/>
  <c r="AD90" i="23"/>
  <c r="AE90" i="23" s="1"/>
  <c r="Z90" i="23"/>
  <c r="Y90" i="23"/>
  <c r="X90" i="23"/>
  <c r="W90" i="23"/>
  <c r="V90" i="23"/>
  <c r="U90" i="23"/>
  <c r="T90" i="23"/>
  <c r="S90" i="23"/>
  <c r="R90" i="23"/>
  <c r="Q90" i="23"/>
  <c r="P90" i="23"/>
  <c r="O90" i="23"/>
  <c r="N90" i="23"/>
  <c r="AG89" i="23"/>
  <c r="AH89" i="23" s="1"/>
  <c r="AD89" i="23"/>
  <c r="AE89" i="23" s="1"/>
  <c r="Z89" i="23"/>
  <c r="Y89" i="23"/>
  <c r="X89" i="23"/>
  <c r="W89" i="23"/>
  <c r="V89" i="23"/>
  <c r="U89" i="23"/>
  <c r="T89" i="23"/>
  <c r="S89" i="23"/>
  <c r="R89" i="23"/>
  <c r="Q89" i="23"/>
  <c r="P89" i="23"/>
  <c r="O89" i="23"/>
  <c r="N89" i="23"/>
  <c r="AG88" i="23"/>
  <c r="AH88" i="23" s="1"/>
  <c r="AD88" i="23"/>
  <c r="AE88" i="23" s="1"/>
  <c r="Z88" i="23"/>
  <c r="Y88" i="23"/>
  <c r="X88" i="23"/>
  <c r="W88" i="23"/>
  <c r="V88" i="23"/>
  <c r="U88" i="23"/>
  <c r="T88" i="23"/>
  <c r="S88" i="23"/>
  <c r="R88" i="23"/>
  <c r="Q88" i="23"/>
  <c r="P88" i="23"/>
  <c r="O88" i="23"/>
  <c r="N88" i="23"/>
  <c r="AG87" i="23"/>
  <c r="AH87" i="23" s="1"/>
  <c r="AD87" i="23"/>
  <c r="AE87" i="23" s="1"/>
  <c r="Z87" i="23"/>
  <c r="Y87" i="23"/>
  <c r="X87" i="23"/>
  <c r="W87" i="23"/>
  <c r="V87" i="23"/>
  <c r="U87" i="23"/>
  <c r="T87" i="23"/>
  <c r="S87" i="23"/>
  <c r="R87" i="23"/>
  <c r="Q87" i="23"/>
  <c r="P87" i="23"/>
  <c r="O87" i="23"/>
  <c r="N87" i="23"/>
  <c r="AG86" i="23"/>
  <c r="AH86" i="23" s="1"/>
  <c r="AD86" i="23"/>
  <c r="AE86" i="23" s="1"/>
  <c r="Z86" i="23"/>
  <c r="Y86" i="23"/>
  <c r="X86" i="23"/>
  <c r="W86" i="23"/>
  <c r="V86" i="23"/>
  <c r="U86" i="23"/>
  <c r="T86" i="23"/>
  <c r="S86" i="23"/>
  <c r="R86" i="23"/>
  <c r="Q86" i="23"/>
  <c r="P86" i="23"/>
  <c r="O86" i="23"/>
  <c r="N86" i="23"/>
  <c r="AG85" i="23"/>
  <c r="AH85" i="23" s="1"/>
  <c r="AD85" i="23"/>
  <c r="AE85" i="23" s="1"/>
  <c r="Z85" i="23"/>
  <c r="Y85" i="23"/>
  <c r="X85" i="23"/>
  <c r="W85" i="23"/>
  <c r="V85" i="23"/>
  <c r="U85" i="23"/>
  <c r="T85" i="23"/>
  <c r="S85" i="23"/>
  <c r="R85" i="23"/>
  <c r="Q85" i="23"/>
  <c r="P85" i="23"/>
  <c r="O85" i="23"/>
  <c r="N85" i="23"/>
  <c r="AG84" i="23"/>
  <c r="AH84" i="23" s="1"/>
  <c r="AD84" i="23"/>
  <c r="AE84" i="23" s="1"/>
  <c r="Z84" i="23"/>
  <c r="Y84" i="23"/>
  <c r="X84" i="23"/>
  <c r="W84" i="23"/>
  <c r="V84" i="23"/>
  <c r="U84" i="23"/>
  <c r="T84" i="23"/>
  <c r="S84" i="23"/>
  <c r="R84" i="23"/>
  <c r="Q84" i="23"/>
  <c r="P84" i="23"/>
  <c r="O84" i="23"/>
  <c r="N84" i="23"/>
  <c r="AG83" i="23"/>
  <c r="AH83" i="23" s="1"/>
  <c r="AD83" i="23"/>
  <c r="AE83" i="23" s="1"/>
  <c r="Z83" i="23"/>
  <c r="Y83" i="23"/>
  <c r="X83" i="23"/>
  <c r="W83" i="23"/>
  <c r="V83" i="23"/>
  <c r="U83" i="23"/>
  <c r="T83" i="23"/>
  <c r="S83" i="23"/>
  <c r="R83" i="23"/>
  <c r="Q83" i="23"/>
  <c r="P83" i="23"/>
  <c r="O83" i="23"/>
  <c r="N83" i="23"/>
  <c r="AG82" i="23"/>
  <c r="AH82" i="23" s="1"/>
  <c r="AD82" i="23"/>
  <c r="AE82" i="23" s="1"/>
  <c r="Z82" i="23"/>
  <c r="Y82" i="23"/>
  <c r="X82" i="23"/>
  <c r="W82" i="23"/>
  <c r="V82" i="23"/>
  <c r="U82" i="23"/>
  <c r="T82" i="23"/>
  <c r="S82" i="23"/>
  <c r="R82" i="23"/>
  <c r="Q82" i="23"/>
  <c r="P82" i="23"/>
  <c r="O82" i="23"/>
  <c r="N82" i="23"/>
  <c r="AG81" i="23"/>
  <c r="AH81" i="23" s="1"/>
  <c r="AD81" i="23"/>
  <c r="AE81" i="23" s="1"/>
  <c r="Z81" i="23"/>
  <c r="Y81" i="23"/>
  <c r="X81" i="23"/>
  <c r="W81" i="23"/>
  <c r="V81" i="23"/>
  <c r="U81" i="23"/>
  <c r="T81" i="23"/>
  <c r="S81" i="23"/>
  <c r="R81" i="23"/>
  <c r="Q81" i="23"/>
  <c r="P81" i="23"/>
  <c r="O81" i="23"/>
  <c r="N81" i="23"/>
  <c r="AG80" i="23"/>
  <c r="AH80" i="23" s="1"/>
  <c r="AD80" i="23"/>
  <c r="AE80" i="23" s="1"/>
  <c r="Z80" i="23"/>
  <c r="Y80" i="23"/>
  <c r="X80" i="23"/>
  <c r="W80" i="23"/>
  <c r="V80" i="23"/>
  <c r="U80" i="23"/>
  <c r="T80" i="23"/>
  <c r="S80" i="23"/>
  <c r="R80" i="23"/>
  <c r="Q80" i="23"/>
  <c r="P80" i="23"/>
  <c r="O80" i="23"/>
  <c r="N80" i="23"/>
  <c r="AG79" i="23"/>
  <c r="AH79" i="23" s="1"/>
  <c r="AD79" i="23"/>
  <c r="AE79" i="23" s="1"/>
  <c r="Z79" i="23"/>
  <c r="Y79" i="23"/>
  <c r="X79" i="23"/>
  <c r="W79" i="23"/>
  <c r="V79" i="23"/>
  <c r="U79" i="23"/>
  <c r="T79" i="23"/>
  <c r="S79" i="23"/>
  <c r="R79" i="23"/>
  <c r="Q79" i="23"/>
  <c r="P79" i="23"/>
  <c r="O79" i="23"/>
  <c r="N79" i="23"/>
  <c r="AG78" i="23"/>
  <c r="AH78" i="23" s="1"/>
  <c r="AD78" i="23"/>
  <c r="AE78" i="23" s="1"/>
  <c r="Z78" i="23"/>
  <c r="Y78" i="23"/>
  <c r="X78" i="23"/>
  <c r="W78" i="23"/>
  <c r="V78" i="23"/>
  <c r="U78" i="23"/>
  <c r="T78" i="23"/>
  <c r="S78" i="23"/>
  <c r="R78" i="23"/>
  <c r="Q78" i="23"/>
  <c r="P78" i="23"/>
  <c r="O78" i="23"/>
  <c r="N78" i="23"/>
  <c r="M42" i="25"/>
  <c r="M39" i="25"/>
  <c r="M40" i="25"/>
  <c r="M41" i="25"/>
  <c r="M36" i="25"/>
  <c r="M44" i="25"/>
  <c r="M47" i="25"/>
  <c r="M49" i="25"/>
  <c r="M46" i="25"/>
  <c r="M48" i="25"/>
  <c r="M43" i="25"/>
  <c r="J78" i="23"/>
  <c r="J93" i="23"/>
  <c r="J91" i="23"/>
  <c r="J89" i="23"/>
  <c r="J87" i="23"/>
  <c r="J85" i="23"/>
  <c r="J83" i="23"/>
  <c r="J81" i="23"/>
  <c r="J79" i="23"/>
  <c r="J86" i="23"/>
  <c r="I93" i="23"/>
  <c r="I91" i="23"/>
  <c r="I89" i="23"/>
  <c r="I87" i="23"/>
  <c r="I85" i="23"/>
  <c r="I83" i="23"/>
  <c r="I81" i="23"/>
  <c r="I79" i="23"/>
  <c r="J84" i="23"/>
  <c r="J88" i="23"/>
  <c r="J94" i="23"/>
  <c r="J92" i="23"/>
  <c r="J90" i="23"/>
  <c r="J82" i="23"/>
  <c r="I94" i="23"/>
  <c r="I92" i="23"/>
  <c r="I90" i="23"/>
  <c r="I88" i="23"/>
  <c r="I86" i="23"/>
  <c r="I84" i="23"/>
  <c r="I82" i="23"/>
  <c r="I80" i="23"/>
  <c r="I78" i="23"/>
  <c r="J80" i="23"/>
  <c r="AF46" i="25" l="1"/>
  <c r="AF43" i="25"/>
  <c r="AB43" i="25"/>
  <c r="AF38" i="25"/>
  <c r="AF41" i="25"/>
  <c r="AB41" i="25"/>
  <c r="AF35" i="25"/>
  <c r="AF50" i="25"/>
  <c r="AF42" i="25"/>
  <c r="AB42" i="25"/>
  <c r="AF49" i="25"/>
  <c r="AB49" i="25"/>
  <c r="AF45" i="25"/>
  <c r="AF40" i="25"/>
  <c r="AB40" i="25"/>
  <c r="AF37" i="25"/>
  <c r="AF48" i="25"/>
  <c r="AB48" i="25"/>
  <c r="AF44" i="25"/>
  <c r="AB44" i="25"/>
  <c r="AF47" i="25"/>
  <c r="AB47" i="25"/>
  <c r="AF36" i="25"/>
  <c r="AF39" i="25"/>
  <c r="AB39" i="25"/>
  <c r="AN57" i="33"/>
  <c r="AM57" i="33"/>
  <c r="AN64" i="33"/>
  <c r="AM64" i="33"/>
  <c r="AN60" i="33"/>
  <c r="AM60" i="33"/>
  <c r="AN61" i="33"/>
  <c r="AM61" i="33"/>
  <c r="AN63" i="33"/>
  <c r="AM63" i="33"/>
  <c r="AN47" i="33"/>
  <c r="AM47" i="33"/>
  <c r="AN50" i="33"/>
  <c r="AM50" i="33"/>
  <c r="AN58" i="33"/>
  <c r="AM58" i="33"/>
  <c r="AN59" i="33"/>
  <c r="AM59" i="33"/>
  <c r="AN36" i="33"/>
  <c r="AM36" i="33"/>
  <c r="AN65" i="33"/>
  <c r="AM65" i="33"/>
  <c r="AM62" i="33"/>
  <c r="AN62" i="33"/>
  <c r="AM46" i="33"/>
  <c r="AN46" i="33"/>
  <c r="AI46" i="25"/>
  <c r="AI48" i="25"/>
  <c r="AI37" i="25"/>
  <c r="AI41" i="25"/>
  <c r="AI49" i="25"/>
  <c r="AI44" i="25"/>
  <c r="AI47" i="25"/>
  <c r="AI43" i="25"/>
  <c r="AI45" i="25"/>
  <c r="AI36" i="25"/>
  <c r="AI50" i="25"/>
  <c r="AI40" i="25"/>
  <c r="AI42" i="25"/>
  <c r="AI38" i="25"/>
  <c r="AI35" i="25"/>
  <c r="AI39" i="25"/>
  <c r="AA78" i="23"/>
  <c r="AA80" i="23"/>
  <c r="AA82" i="23"/>
  <c r="AA84" i="23"/>
  <c r="AA86" i="23"/>
  <c r="AA88" i="23"/>
  <c r="AA90" i="23"/>
  <c r="AA92" i="23"/>
  <c r="AA94" i="23"/>
  <c r="AA79" i="23"/>
  <c r="AA81" i="23"/>
  <c r="AA83" i="23"/>
  <c r="AA85" i="23"/>
  <c r="AA87" i="23"/>
  <c r="AA89" i="23"/>
  <c r="AA91" i="23"/>
  <c r="AA93" i="23"/>
  <c r="AH73" i="23"/>
  <c r="AH72" i="23"/>
  <c r="AH71" i="23"/>
  <c r="AH70" i="23"/>
  <c r="AH69" i="23"/>
  <c r="AH68" i="23"/>
  <c r="AH67" i="23"/>
  <c r="AH66" i="23"/>
  <c r="AH65" i="23"/>
  <c r="AH64" i="23"/>
  <c r="AH63" i="23"/>
  <c r="AH62" i="23"/>
  <c r="AH61" i="23"/>
  <c r="AH60" i="23"/>
  <c r="AH59" i="23"/>
  <c r="AH57" i="23"/>
  <c r="AH52" i="23"/>
  <c r="AH51" i="23"/>
  <c r="AH50" i="23"/>
  <c r="AH49" i="23"/>
  <c r="AH48" i="23"/>
  <c r="AH47" i="23"/>
  <c r="AH46" i="23"/>
  <c r="AH45" i="23"/>
  <c r="AH44" i="23"/>
  <c r="AH43" i="23"/>
  <c r="AH42" i="23"/>
  <c r="AH41" i="23"/>
  <c r="AH40" i="23"/>
  <c r="AH39" i="23"/>
  <c r="AH37" i="23"/>
  <c r="AH35" i="23"/>
  <c r="AH64" i="15"/>
  <c r="AE64" i="15"/>
  <c r="AH60" i="15"/>
  <c r="AH59" i="15"/>
  <c r="AH56" i="15"/>
  <c r="AE56" i="15"/>
  <c r="N73" i="23"/>
  <c r="I70" i="23"/>
  <c r="J69" i="23"/>
  <c r="L67" i="23"/>
  <c r="N65" i="23"/>
  <c r="I62" i="23"/>
  <c r="J61" i="23"/>
  <c r="L59" i="23"/>
  <c r="N57" i="23"/>
  <c r="I51" i="23"/>
  <c r="J50" i="23"/>
  <c r="L48" i="23"/>
  <c r="N46" i="23"/>
  <c r="I43" i="23"/>
  <c r="J42" i="23"/>
  <c r="L40" i="23"/>
  <c r="N38" i="23"/>
  <c r="I35" i="23"/>
  <c r="I42" i="23"/>
  <c r="J41" i="23"/>
  <c r="N37" i="23"/>
  <c r="I41" i="23"/>
  <c r="I38" i="23"/>
  <c r="L35" i="23"/>
  <c r="L74" i="23"/>
  <c r="N72" i="23"/>
  <c r="I69" i="23"/>
  <c r="J68" i="23"/>
  <c r="L66" i="23"/>
  <c r="N64" i="23"/>
  <c r="I61" i="23"/>
  <c r="J60" i="23"/>
  <c r="L58" i="23"/>
  <c r="N53" i="23"/>
  <c r="I50" i="23"/>
  <c r="J49" i="23"/>
  <c r="L47" i="23"/>
  <c r="N45" i="23"/>
  <c r="L39" i="23"/>
  <c r="L46" i="23"/>
  <c r="J40" i="23"/>
  <c r="L38" i="23"/>
  <c r="N36" i="23"/>
  <c r="L36" i="23"/>
  <c r="L73" i="23"/>
  <c r="N71" i="23"/>
  <c r="I68" i="23"/>
  <c r="J67" i="23"/>
  <c r="L65" i="23"/>
  <c r="N63" i="23"/>
  <c r="I60" i="23"/>
  <c r="J59" i="23"/>
  <c r="L57" i="23"/>
  <c r="N52" i="23"/>
  <c r="I49" i="23"/>
  <c r="J48" i="23"/>
  <c r="N44" i="23"/>
  <c r="J74" i="23"/>
  <c r="L72" i="23"/>
  <c r="N70" i="23"/>
  <c r="I67" i="23"/>
  <c r="J66" i="23"/>
  <c r="L64" i="23"/>
  <c r="N62" i="23"/>
  <c r="I59" i="23"/>
  <c r="J58" i="23"/>
  <c r="L53" i="23"/>
  <c r="N51" i="23"/>
  <c r="I48" i="23"/>
  <c r="J47" i="23"/>
  <c r="L45" i="23"/>
  <c r="N43" i="23"/>
  <c r="I40" i="23"/>
  <c r="J39" i="23"/>
  <c r="L37" i="23"/>
  <c r="N35" i="23"/>
  <c r="N42" i="23"/>
  <c r="I39" i="23"/>
  <c r="J37" i="23"/>
  <c r="I74" i="23"/>
  <c r="J73" i="23"/>
  <c r="L71" i="23"/>
  <c r="N69" i="23"/>
  <c r="I66" i="23"/>
  <c r="J65" i="23"/>
  <c r="L63" i="23"/>
  <c r="N61" i="23"/>
  <c r="I58" i="23"/>
  <c r="J57" i="23"/>
  <c r="L52" i="23"/>
  <c r="N50" i="23"/>
  <c r="I47" i="23"/>
  <c r="J46" i="23"/>
  <c r="L44" i="23"/>
  <c r="J38" i="23"/>
  <c r="J52" i="23"/>
  <c r="I73" i="23"/>
  <c r="J72" i="23"/>
  <c r="L70" i="23"/>
  <c r="N68" i="23"/>
  <c r="I65" i="23"/>
  <c r="J64" i="23"/>
  <c r="L62" i="23"/>
  <c r="N60" i="23"/>
  <c r="I57" i="23"/>
  <c r="J53" i="23"/>
  <c r="L51" i="23"/>
  <c r="N49" i="23"/>
  <c r="I46" i="23"/>
  <c r="J45" i="23"/>
  <c r="L43" i="23"/>
  <c r="N41" i="23"/>
  <c r="I72" i="23"/>
  <c r="J71" i="23"/>
  <c r="L69" i="23"/>
  <c r="N67" i="23"/>
  <c r="I64" i="23"/>
  <c r="J63" i="23"/>
  <c r="L61" i="23"/>
  <c r="N59" i="23"/>
  <c r="I53" i="23"/>
  <c r="L50" i="23"/>
  <c r="N48" i="23"/>
  <c r="N74" i="23"/>
  <c r="I71" i="23"/>
  <c r="J70" i="23"/>
  <c r="L68" i="23"/>
  <c r="N66" i="23"/>
  <c r="I63" i="23"/>
  <c r="J62" i="23"/>
  <c r="L60" i="23"/>
  <c r="N58" i="23"/>
  <c r="I52" i="23"/>
  <c r="J51" i="23"/>
  <c r="L49" i="23"/>
  <c r="N47" i="23"/>
  <c r="I44" i="23"/>
  <c r="J43" i="23"/>
  <c r="L41" i="23"/>
  <c r="N39" i="23"/>
  <c r="I36" i="23"/>
  <c r="J35" i="23"/>
  <c r="J44" i="23"/>
  <c r="I37" i="23"/>
  <c r="N40" i="23"/>
  <c r="I45" i="23"/>
  <c r="L42" i="23"/>
  <c r="J36" i="23"/>
  <c r="L60" i="15"/>
  <c r="N56" i="15"/>
  <c r="L59" i="15"/>
  <c r="J60" i="15"/>
  <c r="L56" i="15"/>
  <c r="J59" i="15"/>
  <c r="N60" i="15"/>
  <c r="J64" i="15"/>
  <c r="J56" i="15"/>
  <c r="I64" i="15"/>
  <c r="I60" i="15"/>
  <c r="I56" i="15"/>
  <c r="I59" i="15"/>
  <c r="N64" i="15"/>
  <c r="N59" i="15"/>
  <c r="L64" i="15"/>
  <c r="AA59" i="15" l="1"/>
  <c r="AA60" i="15"/>
  <c r="AA45" i="23"/>
  <c r="AA37" i="23"/>
  <c r="AA36" i="23"/>
  <c r="AA44" i="23"/>
  <c r="AA52" i="23"/>
  <c r="AA63" i="23"/>
  <c r="AA71" i="23"/>
  <c r="AA53" i="23"/>
  <c r="AA64" i="23"/>
  <c r="AA72" i="23"/>
  <c r="AA46" i="23"/>
  <c r="AA57" i="23"/>
  <c r="AA65" i="23"/>
  <c r="AA73" i="23"/>
  <c r="AA47" i="23"/>
  <c r="AA58" i="23"/>
  <c r="AA66" i="23"/>
  <c r="AA74" i="23"/>
  <c r="AA39" i="23"/>
  <c r="AA40" i="23"/>
  <c r="AA48" i="23"/>
  <c r="AA59" i="23"/>
  <c r="AA67" i="23"/>
  <c r="AA49" i="23"/>
  <c r="AA60" i="23"/>
  <c r="AA68" i="23"/>
  <c r="AA50" i="23"/>
  <c r="AA61" i="23"/>
  <c r="AA69" i="23"/>
  <c r="AA38" i="23"/>
  <c r="AA41" i="23"/>
  <c r="AA42" i="23"/>
  <c r="AA35" i="23"/>
  <c r="AA43" i="23"/>
  <c r="AA51" i="23"/>
  <c r="AA62" i="23"/>
  <c r="AA70" i="23"/>
  <c r="AN48" i="25"/>
  <c r="AM48" i="25"/>
  <c r="AN44" i="25"/>
  <c r="AM44" i="25"/>
  <c r="AN40" i="25"/>
  <c r="AM40" i="25"/>
  <c r="AM43" i="25"/>
  <c r="AN43" i="25"/>
  <c r="AM39" i="25"/>
  <c r="AN39" i="25"/>
  <c r="AM41" i="25"/>
  <c r="AN41" i="25"/>
  <c r="AM42" i="25"/>
  <c r="AN42" i="25"/>
  <c r="AN49" i="25"/>
  <c r="AM49" i="25"/>
  <c r="AM47" i="25"/>
  <c r="AN47" i="25"/>
  <c r="M45" i="23"/>
  <c r="K45" i="23"/>
  <c r="M37" i="23"/>
  <c r="K37" i="23"/>
  <c r="M36" i="23"/>
  <c r="K36" i="23"/>
  <c r="M44" i="23"/>
  <c r="K44" i="23"/>
  <c r="M52" i="23"/>
  <c r="K52" i="23"/>
  <c r="K63" i="23"/>
  <c r="K71" i="23"/>
  <c r="M53" i="23"/>
  <c r="K53" i="23"/>
  <c r="K64" i="23"/>
  <c r="K72" i="23"/>
  <c r="M46" i="23"/>
  <c r="K46" i="23"/>
  <c r="K57" i="23"/>
  <c r="K65" i="23"/>
  <c r="K73" i="23"/>
  <c r="M47" i="23"/>
  <c r="K47" i="23"/>
  <c r="K58" i="23"/>
  <c r="K66" i="23"/>
  <c r="M74" i="23"/>
  <c r="K74" i="23"/>
  <c r="M39" i="23"/>
  <c r="K39" i="23"/>
  <c r="K40" i="23"/>
  <c r="M40" i="23"/>
  <c r="K48" i="23"/>
  <c r="M48" i="23"/>
  <c r="K59" i="23"/>
  <c r="K67" i="23"/>
  <c r="K49" i="23"/>
  <c r="M49" i="23"/>
  <c r="K60" i="23"/>
  <c r="K68" i="23"/>
  <c r="M50" i="23"/>
  <c r="K50" i="23"/>
  <c r="K61" i="23"/>
  <c r="K69" i="23"/>
  <c r="M38" i="23"/>
  <c r="K38" i="23"/>
  <c r="K41" i="23"/>
  <c r="M42" i="23"/>
  <c r="K42" i="23"/>
  <c r="M35" i="23"/>
  <c r="K35" i="23"/>
  <c r="M43" i="23"/>
  <c r="K43" i="23"/>
  <c r="K51" i="23"/>
  <c r="M51" i="23"/>
  <c r="K62" i="23"/>
  <c r="K70" i="23"/>
  <c r="AF91" i="23"/>
  <c r="AI91" i="23"/>
  <c r="AI92" i="23"/>
  <c r="AF92" i="23"/>
  <c r="AB92" i="23"/>
  <c r="AF89" i="23"/>
  <c r="AB89" i="23"/>
  <c r="AI89" i="23"/>
  <c r="AI90" i="23"/>
  <c r="AF90" i="23"/>
  <c r="AB90" i="23"/>
  <c r="AF87" i="23"/>
  <c r="AB87" i="23"/>
  <c r="AI87" i="23"/>
  <c r="AI88" i="23"/>
  <c r="AF88" i="23"/>
  <c r="AB88" i="23"/>
  <c r="AF85" i="23"/>
  <c r="AB85" i="23"/>
  <c r="AI85" i="23"/>
  <c r="AI86" i="23"/>
  <c r="AF86" i="23"/>
  <c r="AB86" i="23"/>
  <c r="AF83" i="23"/>
  <c r="AB83" i="23"/>
  <c r="AI83" i="23"/>
  <c r="AI84" i="23"/>
  <c r="AF84" i="23"/>
  <c r="AB84" i="23"/>
  <c r="AF81" i="23"/>
  <c r="AB81" i="23"/>
  <c r="AI81" i="23"/>
  <c r="AI82" i="23"/>
  <c r="AF82" i="23"/>
  <c r="AB82" i="23"/>
  <c r="AF79" i="23"/>
  <c r="AB79" i="23"/>
  <c r="AI79" i="23"/>
  <c r="AI80" i="23"/>
  <c r="AF80" i="23"/>
  <c r="AB80" i="23"/>
  <c r="AF93" i="23"/>
  <c r="AB93" i="23"/>
  <c r="AI93" i="23"/>
  <c r="AI94" i="23"/>
  <c r="AF94" i="23"/>
  <c r="AB94" i="23"/>
  <c r="AI78" i="23"/>
  <c r="AF78" i="23"/>
  <c r="AB78" i="23"/>
  <c r="M59" i="15"/>
  <c r="K59" i="15"/>
  <c r="M56" i="15"/>
  <c r="K56" i="15"/>
  <c r="AA56" i="15"/>
  <c r="K60" i="15"/>
  <c r="M60" i="15"/>
  <c r="K64" i="15"/>
  <c r="M64" i="15"/>
  <c r="AA64" i="15"/>
  <c r="AH40" i="15"/>
  <c r="AH35" i="32"/>
  <c r="M63" i="23"/>
  <c r="M66" i="23"/>
  <c r="M62" i="23"/>
  <c r="M41" i="23"/>
  <c r="M64" i="23"/>
  <c r="M57" i="23"/>
  <c r="M59" i="23"/>
  <c r="M61" i="23"/>
  <c r="M67" i="23"/>
  <c r="M60" i="23"/>
  <c r="M71" i="23"/>
  <c r="M72" i="23"/>
  <c r="M65" i="23"/>
  <c r="M58" i="23"/>
  <c r="M68" i="23"/>
  <c r="M69" i="23"/>
  <c r="M70" i="23"/>
  <c r="M73" i="23"/>
  <c r="J49" i="15"/>
  <c r="L47" i="15"/>
  <c r="N41" i="15"/>
  <c r="I38" i="15"/>
  <c r="J37" i="15"/>
  <c r="I49" i="15"/>
  <c r="J48" i="15"/>
  <c r="L46" i="15"/>
  <c r="I37" i="15"/>
  <c r="J36" i="15"/>
  <c r="N39" i="15"/>
  <c r="I36" i="15"/>
  <c r="L39" i="15"/>
  <c r="I41" i="15"/>
  <c r="J39" i="15"/>
  <c r="L36" i="15"/>
  <c r="N40" i="15"/>
  <c r="L40" i="15"/>
  <c r="N49" i="15"/>
  <c r="J41" i="15"/>
  <c r="I48" i="15"/>
  <c r="J47" i="15"/>
  <c r="L41" i="15"/>
  <c r="J46" i="15"/>
  <c r="N37" i="15"/>
  <c r="N48" i="15"/>
  <c r="L38" i="15"/>
  <c r="I47" i="15"/>
  <c r="N38" i="15"/>
  <c r="I46" i="15"/>
  <c r="J40" i="15"/>
  <c r="N36" i="15"/>
  <c r="L49" i="15"/>
  <c r="I40" i="15"/>
  <c r="N47" i="15"/>
  <c r="L37" i="15"/>
  <c r="L48" i="15"/>
  <c r="N46" i="15"/>
  <c r="I39" i="15"/>
  <c r="J38" i="15"/>
  <c r="N35" i="32"/>
  <c r="I35" i="32"/>
  <c r="L35" i="32"/>
  <c r="J35" i="32"/>
  <c r="AA35" i="32" l="1"/>
  <c r="AA39" i="15"/>
  <c r="AA40" i="15"/>
  <c r="AA46" i="15"/>
  <c r="AA47" i="15"/>
  <c r="AA48" i="15"/>
  <c r="AA41" i="15"/>
  <c r="AA36" i="15"/>
  <c r="AA37" i="15"/>
  <c r="AA49" i="15"/>
  <c r="AA38" i="15"/>
  <c r="AF38" i="23"/>
  <c r="AF59" i="23"/>
  <c r="AB59" i="23"/>
  <c r="AF73" i="23"/>
  <c r="AB73" i="23"/>
  <c r="AF63" i="23"/>
  <c r="AB63" i="23"/>
  <c r="AF65" i="23"/>
  <c r="AB65" i="23"/>
  <c r="AF62" i="23"/>
  <c r="AB62" i="23"/>
  <c r="AF61" i="23"/>
  <c r="AB61" i="23"/>
  <c r="AF40" i="23"/>
  <c r="AB40" i="23"/>
  <c r="AF57" i="23"/>
  <c r="AB57" i="23"/>
  <c r="AF44" i="23"/>
  <c r="AB44" i="23"/>
  <c r="AF70" i="23"/>
  <c r="AB70" i="23"/>
  <c r="AF51" i="23"/>
  <c r="AB51" i="23"/>
  <c r="AF50" i="23"/>
  <c r="AB50" i="23"/>
  <c r="AF39" i="23"/>
  <c r="AB39" i="23"/>
  <c r="AF46" i="23"/>
  <c r="AB46" i="23"/>
  <c r="AF36" i="23"/>
  <c r="AF48" i="23"/>
  <c r="AF43" i="23"/>
  <c r="AB43" i="23"/>
  <c r="AF68" i="23"/>
  <c r="AB68" i="23"/>
  <c r="AF74" i="23"/>
  <c r="AF72" i="23"/>
  <c r="AB72" i="23"/>
  <c r="AF37" i="23"/>
  <c r="AB37" i="23"/>
  <c r="AF69" i="23"/>
  <c r="AB69" i="23"/>
  <c r="AF35" i="23"/>
  <c r="AB35" i="23"/>
  <c r="AF60" i="23"/>
  <c r="AB60" i="23"/>
  <c r="AF66" i="23"/>
  <c r="AB66" i="23"/>
  <c r="AF64" i="23"/>
  <c r="AB64" i="23"/>
  <c r="AF45" i="23"/>
  <c r="AB45" i="23"/>
  <c r="AF52" i="23"/>
  <c r="AB52" i="23"/>
  <c r="AF42" i="23"/>
  <c r="AB42" i="23"/>
  <c r="AF49" i="23"/>
  <c r="AB49" i="23"/>
  <c r="AF58" i="23"/>
  <c r="AF53" i="23"/>
  <c r="AF60" i="15"/>
  <c r="AB91" i="23"/>
  <c r="AN91" i="23" s="1"/>
  <c r="AF41" i="23"/>
  <c r="AB41" i="23"/>
  <c r="AF67" i="23"/>
  <c r="AB67" i="23"/>
  <c r="AF47" i="23"/>
  <c r="AB47" i="23"/>
  <c r="AF71" i="23"/>
  <c r="AB71" i="23"/>
  <c r="AF59" i="15"/>
  <c r="AI58" i="23"/>
  <c r="AI63" i="23"/>
  <c r="AN80" i="23"/>
  <c r="AM80" i="23"/>
  <c r="AI36" i="23"/>
  <c r="AN92" i="23"/>
  <c r="AM92" i="23"/>
  <c r="AI50" i="23"/>
  <c r="AI42" i="23"/>
  <c r="AI48" i="23"/>
  <c r="AI74" i="23"/>
  <c r="AI53" i="23"/>
  <c r="AI68" i="23"/>
  <c r="AN82" i="23"/>
  <c r="AM82" i="23"/>
  <c r="AN90" i="23"/>
  <c r="AM90" i="23"/>
  <c r="AI51" i="23"/>
  <c r="AI70" i="23"/>
  <c r="AI69" i="23"/>
  <c r="AI43" i="23"/>
  <c r="AI41" i="23"/>
  <c r="AI67" i="23"/>
  <c r="AI57" i="23"/>
  <c r="AI72" i="23"/>
  <c r="AI37" i="23"/>
  <c r="AN86" i="23"/>
  <c r="AM86" i="23"/>
  <c r="AI49" i="23"/>
  <c r="AI65" i="23"/>
  <c r="AI40" i="23"/>
  <c r="AI66" i="23"/>
  <c r="AI71" i="23"/>
  <c r="AN84" i="23"/>
  <c r="AM84" i="23"/>
  <c r="AN78" i="23"/>
  <c r="AM78" i="23"/>
  <c r="AI62" i="23"/>
  <c r="AI38" i="23"/>
  <c r="AI61" i="23"/>
  <c r="AI60" i="23"/>
  <c r="AI73" i="23"/>
  <c r="AI44" i="23"/>
  <c r="AN94" i="23"/>
  <c r="AM94" i="23"/>
  <c r="AN88" i="23"/>
  <c r="AM88" i="23"/>
  <c r="AI47" i="23"/>
  <c r="AI52" i="23"/>
  <c r="AN93" i="23"/>
  <c r="AM93" i="23"/>
  <c r="AN79" i="23"/>
  <c r="AM79" i="23"/>
  <c r="AN81" i="23"/>
  <c r="AM81" i="23"/>
  <c r="AN83" i="23"/>
  <c r="AM83" i="23"/>
  <c r="AN85" i="23"/>
  <c r="AM85" i="23"/>
  <c r="AN87" i="23"/>
  <c r="AM87" i="23"/>
  <c r="AN89" i="23"/>
  <c r="AM89" i="23"/>
  <c r="AI35" i="23"/>
  <c r="AI59" i="23"/>
  <c r="AI39" i="23"/>
  <c r="AI46" i="23"/>
  <c r="AI64" i="23"/>
  <c r="AI45" i="23"/>
  <c r="K39" i="15"/>
  <c r="M39" i="15"/>
  <c r="K40" i="15"/>
  <c r="K46" i="15"/>
  <c r="K47" i="15"/>
  <c r="M47" i="15"/>
  <c r="K48" i="15"/>
  <c r="M41" i="15"/>
  <c r="K41" i="15"/>
  <c r="K36" i="15"/>
  <c r="M36" i="15"/>
  <c r="M37" i="15"/>
  <c r="K37" i="15"/>
  <c r="M49" i="15"/>
  <c r="K49" i="15"/>
  <c r="M38" i="15"/>
  <c r="K38" i="15"/>
  <c r="AI60" i="15"/>
  <c r="AI56" i="15"/>
  <c r="AF56" i="15"/>
  <c r="AB56" i="15"/>
  <c r="AF64" i="15"/>
  <c r="AB64" i="15"/>
  <c r="AI64" i="15"/>
  <c r="AI59" i="15"/>
  <c r="K35" i="32"/>
  <c r="M35" i="32"/>
  <c r="AH57" i="34"/>
  <c r="AE57" i="34"/>
  <c r="M40" i="15"/>
  <c r="M46" i="15"/>
  <c r="M48" i="15"/>
  <c r="J57" i="34"/>
  <c r="I57" i="34"/>
  <c r="N57" i="34"/>
  <c r="AF36" i="15" l="1"/>
  <c r="AF41" i="15"/>
  <c r="AF48" i="15"/>
  <c r="AF47" i="15"/>
  <c r="AF46" i="15"/>
  <c r="AM91" i="23"/>
  <c r="AF38" i="15"/>
  <c r="AF40" i="15"/>
  <c r="AB40" i="15"/>
  <c r="AF49" i="15"/>
  <c r="AF39" i="15"/>
  <c r="AF37" i="15"/>
  <c r="AB37" i="15"/>
  <c r="AF35" i="32"/>
  <c r="AN60" i="23"/>
  <c r="AM60" i="23"/>
  <c r="AM37" i="23"/>
  <c r="AN37" i="23"/>
  <c r="AN57" i="23"/>
  <c r="AM57" i="23"/>
  <c r="AN45" i="23"/>
  <c r="AM45" i="23"/>
  <c r="AN73" i="23"/>
  <c r="AM73" i="23"/>
  <c r="AN41" i="23"/>
  <c r="AM41" i="23"/>
  <c r="AN69" i="23"/>
  <c r="AM69" i="23"/>
  <c r="AN68" i="23"/>
  <c r="AM68" i="23"/>
  <c r="AN42" i="23"/>
  <c r="AM42" i="23"/>
  <c r="AM63" i="23"/>
  <c r="AN63" i="23"/>
  <c r="AN35" i="23"/>
  <c r="AM35" i="23"/>
  <c r="AN61" i="23"/>
  <c r="AM61" i="23"/>
  <c r="AN49" i="23"/>
  <c r="AM49" i="23"/>
  <c r="AN72" i="23"/>
  <c r="AM72" i="23"/>
  <c r="AM44" i="23"/>
  <c r="AN44" i="23"/>
  <c r="AN59" i="23"/>
  <c r="AM59" i="23"/>
  <c r="AN67" i="23"/>
  <c r="AM67" i="23"/>
  <c r="AN40" i="23"/>
  <c r="AM40" i="23"/>
  <c r="AN46" i="23"/>
  <c r="AM46" i="23"/>
  <c r="AM52" i="23"/>
  <c r="AN52" i="23"/>
  <c r="AM71" i="23"/>
  <c r="AN71" i="23"/>
  <c r="AN64" i="23"/>
  <c r="AM64" i="23"/>
  <c r="AN47" i="23"/>
  <c r="AM47" i="23"/>
  <c r="AN66" i="23"/>
  <c r="AM66" i="23"/>
  <c r="AN65" i="23"/>
  <c r="AM65" i="23"/>
  <c r="AN50" i="23"/>
  <c r="AM50" i="23"/>
  <c r="AN51" i="23"/>
  <c r="AM51" i="23"/>
  <c r="AN62" i="23"/>
  <c r="AM62" i="23"/>
  <c r="AN39" i="23"/>
  <c r="AM39" i="23"/>
  <c r="AN43" i="23"/>
  <c r="AM43" i="23"/>
  <c r="AN70" i="23"/>
  <c r="AM70" i="23"/>
  <c r="AI37" i="15"/>
  <c r="AM56" i="15"/>
  <c r="AN56" i="15"/>
  <c r="AN64" i="15"/>
  <c r="AM64" i="15"/>
  <c r="AI38" i="15"/>
  <c r="AI48" i="15"/>
  <c r="AI36" i="15"/>
  <c r="AI40" i="15"/>
  <c r="AI47" i="15"/>
  <c r="AI49" i="15"/>
  <c r="AI41" i="15"/>
  <c r="AI46" i="15"/>
  <c r="AI39" i="15"/>
  <c r="AI35" i="32"/>
  <c r="AA57" i="34"/>
  <c r="AH43" i="34"/>
  <c r="AE43" i="34"/>
  <c r="AH39" i="34"/>
  <c r="AE39" i="34"/>
  <c r="AH36" i="34"/>
  <c r="AE36" i="34"/>
  <c r="AH60" i="28"/>
  <c r="AH57" i="28"/>
  <c r="N43" i="34"/>
  <c r="N39" i="34"/>
  <c r="L43" i="34"/>
  <c r="N36" i="34"/>
  <c r="L39" i="34"/>
  <c r="L36" i="34"/>
  <c r="I43" i="34"/>
  <c r="J39" i="34"/>
  <c r="I39" i="34"/>
  <c r="I36" i="34"/>
  <c r="J43" i="34"/>
  <c r="J36" i="34"/>
  <c r="I60" i="28"/>
  <c r="J59" i="28"/>
  <c r="L57" i="28"/>
  <c r="N51" i="28"/>
  <c r="I48" i="28"/>
  <c r="J57" i="28"/>
  <c r="L51" i="28"/>
  <c r="I59" i="28"/>
  <c r="J58" i="28"/>
  <c r="L52" i="28"/>
  <c r="N50" i="28"/>
  <c r="N48" i="28"/>
  <c r="I52" i="28"/>
  <c r="L49" i="28"/>
  <c r="J50" i="28"/>
  <c r="J49" i="28"/>
  <c r="N61" i="28"/>
  <c r="I58" i="28"/>
  <c r="N49" i="28"/>
  <c r="J51" i="28"/>
  <c r="N60" i="28"/>
  <c r="I57" i="28"/>
  <c r="J52" i="28"/>
  <c r="L50" i="28"/>
  <c r="N57" i="28"/>
  <c r="L61" i="28"/>
  <c r="N59" i="28"/>
  <c r="L60" i="28"/>
  <c r="N58" i="28"/>
  <c r="I51" i="28"/>
  <c r="L48" i="28"/>
  <c r="I50" i="28"/>
  <c r="I49" i="28"/>
  <c r="J61" i="28"/>
  <c r="L59" i="28"/>
  <c r="J48" i="28"/>
  <c r="I61" i="28"/>
  <c r="J60" i="28"/>
  <c r="L58" i="28"/>
  <c r="N52" i="28"/>
  <c r="AA61" i="28" l="1"/>
  <c r="AA49" i="28"/>
  <c r="AA50" i="28"/>
  <c r="AA51" i="28"/>
  <c r="AA57" i="28"/>
  <c r="AA58" i="28"/>
  <c r="AA52" i="28"/>
  <c r="AA59" i="28"/>
  <c r="AA48" i="28"/>
  <c r="AA60" i="28"/>
  <c r="AM37" i="15"/>
  <c r="AN40" i="15"/>
  <c r="AM40" i="15"/>
  <c r="AA36" i="34"/>
  <c r="K36" i="34"/>
  <c r="M36" i="34"/>
  <c r="AA39" i="34"/>
  <c r="M39" i="34"/>
  <c r="K39" i="34"/>
  <c r="M43" i="34"/>
  <c r="AA43" i="34"/>
  <c r="K43" i="34"/>
  <c r="AI57" i="34"/>
  <c r="AB57" i="34"/>
  <c r="AF57" i="34"/>
  <c r="M61" i="28"/>
  <c r="K61" i="28"/>
  <c r="M49" i="28"/>
  <c r="K49" i="28"/>
  <c r="M50" i="28"/>
  <c r="K50" i="28"/>
  <c r="M51" i="28"/>
  <c r="K51" i="28"/>
  <c r="K57" i="28"/>
  <c r="M57" i="28"/>
  <c r="K58" i="28"/>
  <c r="M58" i="28"/>
  <c r="M52" i="28"/>
  <c r="K52" i="28"/>
  <c r="M59" i="28"/>
  <c r="K59" i="28"/>
  <c r="M48" i="28"/>
  <c r="K48" i="28"/>
  <c r="M60" i="28"/>
  <c r="K60" i="28"/>
  <c r="AH42" i="28"/>
  <c r="AH41" i="28"/>
  <c r="AH36" i="28"/>
  <c r="AE36" i="28"/>
  <c r="AH75" i="11"/>
  <c r="AE75" i="11"/>
  <c r="AH71" i="11"/>
  <c r="AE71" i="11"/>
  <c r="AH68" i="11"/>
  <c r="AE68" i="11"/>
  <c r="L42" i="28"/>
  <c r="N40" i="28"/>
  <c r="L41" i="28"/>
  <c r="N36" i="28"/>
  <c r="I43" i="28"/>
  <c r="L40" i="28"/>
  <c r="I36" i="28"/>
  <c r="J43" i="28"/>
  <c r="I42" i="28"/>
  <c r="N43" i="28"/>
  <c r="J36" i="28"/>
  <c r="N42" i="28"/>
  <c r="L43" i="28"/>
  <c r="J42" i="28"/>
  <c r="L36" i="28"/>
  <c r="I41" i="28"/>
  <c r="J41" i="28"/>
  <c r="I40" i="28"/>
  <c r="J40" i="28"/>
  <c r="N41" i="28"/>
  <c r="J75" i="11"/>
  <c r="L68" i="11"/>
  <c r="J71" i="11"/>
  <c r="N71" i="11"/>
  <c r="L75" i="11"/>
  <c r="L71" i="11"/>
  <c r="I75" i="11"/>
  <c r="I71" i="11"/>
  <c r="J68" i="11"/>
  <c r="I68" i="11"/>
  <c r="N75" i="11"/>
  <c r="N68" i="11"/>
  <c r="AA40" i="28" l="1"/>
  <c r="AA41" i="28"/>
  <c r="AA42" i="28"/>
  <c r="AA43" i="28"/>
  <c r="AF59" i="28"/>
  <c r="AF57" i="28"/>
  <c r="AF51" i="28"/>
  <c r="AF52" i="28"/>
  <c r="AF58" i="28"/>
  <c r="AF50" i="28"/>
  <c r="AF60" i="28"/>
  <c r="AF49" i="28"/>
  <c r="AF48" i="28"/>
  <c r="AF61" i="28"/>
  <c r="AI43" i="34"/>
  <c r="AF43" i="34"/>
  <c r="AB43" i="34"/>
  <c r="AM57" i="34"/>
  <c r="AN57" i="34"/>
  <c r="AI39" i="34"/>
  <c r="AF39" i="34"/>
  <c r="AB39" i="34"/>
  <c r="AB36" i="34"/>
  <c r="AF36" i="34"/>
  <c r="AI36" i="34"/>
  <c r="K40" i="28"/>
  <c r="K41" i="28"/>
  <c r="K42" i="28"/>
  <c r="AA36" i="28"/>
  <c r="M36" i="28"/>
  <c r="K36" i="28"/>
  <c r="K43" i="28"/>
  <c r="AI50" i="28"/>
  <c r="AI49" i="28"/>
  <c r="AI59" i="28"/>
  <c r="AI51" i="28"/>
  <c r="AI57" i="28"/>
  <c r="AI48" i="28"/>
  <c r="AI52" i="28"/>
  <c r="AI60" i="28"/>
  <c r="AI58" i="28"/>
  <c r="AI61" i="28"/>
  <c r="K68" i="11"/>
  <c r="AA68" i="11"/>
  <c r="M68" i="11"/>
  <c r="K71" i="11"/>
  <c r="AA71" i="11"/>
  <c r="M71" i="11"/>
  <c r="M75" i="11"/>
  <c r="K75" i="11"/>
  <c r="AA75" i="11"/>
  <c r="AH61" i="11"/>
  <c r="AH60" i="11"/>
  <c r="AH59" i="11"/>
  <c r="AH58" i="11"/>
  <c r="AH57" i="11"/>
  <c r="AH56" i="11"/>
  <c r="AH51" i="11"/>
  <c r="AH50" i="11"/>
  <c r="AH49" i="11"/>
  <c r="AH48" i="11"/>
  <c r="AH47" i="11"/>
  <c r="AH46" i="11"/>
  <c r="AH45" i="11"/>
  <c r="AH44" i="11"/>
  <c r="AH43" i="11"/>
  <c r="AH42" i="11"/>
  <c r="AH41" i="11"/>
  <c r="AH40" i="11"/>
  <c r="AH39" i="11"/>
  <c r="AH38" i="11"/>
  <c r="AH37" i="11"/>
  <c r="AH36" i="11"/>
  <c r="AH41" i="27"/>
  <c r="M40" i="28"/>
  <c r="M43" i="28"/>
  <c r="M42" i="28"/>
  <c r="M41" i="28"/>
  <c r="I59" i="11"/>
  <c r="J58" i="11"/>
  <c r="L56" i="11"/>
  <c r="N50" i="11"/>
  <c r="I47" i="11"/>
  <c r="J46" i="11"/>
  <c r="L44" i="11"/>
  <c r="N42" i="11"/>
  <c r="I39" i="11"/>
  <c r="J38" i="11"/>
  <c r="L36" i="11"/>
  <c r="N41" i="11"/>
  <c r="I38" i="11"/>
  <c r="I37" i="11"/>
  <c r="L41" i="11"/>
  <c r="I36" i="11"/>
  <c r="N38" i="11"/>
  <c r="N37" i="11"/>
  <c r="I41" i="11"/>
  <c r="N61" i="11"/>
  <c r="I58" i="11"/>
  <c r="J57" i="11"/>
  <c r="L51" i="11"/>
  <c r="N49" i="11"/>
  <c r="I46" i="11"/>
  <c r="J45" i="11"/>
  <c r="L43" i="11"/>
  <c r="J37" i="11"/>
  <c r="N46" i="11"/>
  <c r="N60" i="11"/>
  <c r="I57" i="11"/>
  <c r="J56" i="11"/>
  <c r="L50" i="11"/>
  <c r="N48" i="11"/>
  <c r="I45" i="11"/>
  <c r="J44" i="11"/>
  <c r="L42" i="11"/>
  <c r="N40" i="11"/>
  <c r="J36" i="11"/>
  <c r="N39" i="11"/>
  <c r="I42" i="11"/>
  <c r="L61" i="11"/>
  <c r="N59" i="11"/>
  <c r="I56" i="11"/>
  <c r="J51" i="11"/>
  <c r="L49" i="11"/>
  <c r="N47" i="11"/>
  <c r="I44" i="11"/>
  <c r="J43" i="11"/>
  <c r="J42" i="11"/>
  <c r="L60" i="11"/>
  <c r="N58" i="11"/>
  <c r="I51" i="11"/>
  <c r="J50" i="11"/>
  <c r="L48" i="11"/>
  <c r="I43" i="11"/>
  <c r="L40" i="11"/>
  <c r="J41" i="11"/>
  <c r="J40" i="11"/>
  <c r="J61" i="11"/>
  <c r="L59" i="11"/>
  <c r="N57" i="11"/>
  <c r="I50" i="11"/>
  <c r="J49" i="11"/>
  <c r="L47" i="11"/>
  <c r="N45" i="11"/>
  <c r="L39" i="11"/>
  <c r="I61" i="11"/>
  <c r="J60" i="11"/>
  <c r="L58" i="11"/>
  <c r="N56" i="11"/>
  <c r="I49" i="11"/>
  <c r="J48" i="11"/>
  <c r="L46" i="11"/>
  <c r="N44" i="11"/>
  <c r="L38" i="11"/>
  <c r="N36" i="11"/>
  <c r="I60" i="11"/>
  <c r="J59" i="11"/>
  <c r="L57" i="11"/>
  <c r="N51" i="11"/>
  <c r="I48" i="11"/>
  <c r="J47" i="11"/>
  <c r="L45" i="11"/>
  <c r="N43" i="11"/>
  <c r="I40" i="11"/>
  <c r="J39" i="11"/>
  <c r="L37" i="11"/>
  <c r="L44" i="27"/>
  <c r="N42" i="27"/>
  <c r="I39" i="27"/>
  <c r="J38" i="27"/>
  <c r="L36" i="27"/>
  <c r="J37" i="27"/>
  <c r="L35" i="27"/>
  <c r="I37" i="27"/>
  <c r="J35" i="27"/>
  <c r="I35" i="27"/>
  <c r="I41" i="27"/>
  <c r="L43" i="27"/>
  <c r="N41" i="27"/>
  <c r="I38" i="27"/>
  <c r="N38" i="27"/>
  <c r="L38" i="27"/>
  <c r="J44" i="27"/>
  <c r="L42" i="27"/>
  <c r="N40" i="27"/>
  <c r="J36" i="27"/>
  <c r="L39" i="27"/>
  <c r="I44" i="27"/>
  <c r="J43" i="27"/>
  <c r="L41" i="27"/>
  <c r="N39" i="27"/>
  <c r="I36" i="27"/>
  <c r="N36" i="27"/>
  <c r="L37" i="27"/>
  <c r="N35" i="27"/>
  <c r="I43" i="27"/>
  <c r="J42" i="27"/>
  <c r="L40" i="27"/>
  <c r="N37" i="27"/>
  <c r="J40" i="27"/>
  <c r="I42" i="27"/>
  <c r="J41" i="27"/>
  <c r="N44" i="27"/>
  <c r="N43" i="27"/>
  <c r="I40" i="27"/>
  <c r="J39" i="27"/>
  <c r="AA40" i="27" l="1"/>
  <c r="AA42" i="27"/>
  <c r="AA43" i="27"/>
  <c r="AA36" i="27"/>
  <c r="AA44" i="27"/>
  <c r="AA38" i="27"/>
  <c r="AA41" i="27"/>
  <c r="AA35" i="27"/>
  <c r="AA37" i="27"/>
  <c r="AA39" i="27"/>
  <c r="AA40" i="11"/>
  <c r="AA48" i="11"/>
  <c r="AA60" i="11"/>
  <c r="AA49" i="11"/>
  <c r="AA61" i="11"/>
  <c r="AA50" i="11"/>
  <c r="AA43" i="11"/>
  <c r="AA51" i="11"/>
  <c r="AA44" i="11"/>
  <c r="AA56" i="11"/>
  <c r="AA42" i="11"/>
  <c r="AA45" i="11"/>
  <c r="AA57" i="11"/>
  <c r="AA46" i="11"/>
  <c r="AA58" i="11"/>
  <c r="AA41" i="11"/>
  <c r="AA36" i="11"/>
  <c r="AA37" i="11"/>
  <c r="AA38" i="11"/>
  <c r="AA39" i="11"/>
  <c r="AA47" i="11"/>
  <c r="AA59" i="11"/>
  <c r="AF43" i="28"/>
  <c r="AF42" i="28"/>
  <c r="AB42" i="28"/>
  <c r="AF41" i="28"/>
  <c r="AB41" i="28"/>
  <c r="AF40" i="28"/>
  <c r="AM43" i="34"/>
  <c r="AN43" i="34"/>
  <c r="AM36" i="34"/>
  <c r="AN36" i="34"/>
  <c r="AN39" i="34"/>
  <c r="AM39" i="34"/>
  <c r="AI41" i="28"/>
  <c r="AI36" i="28"/>
  <c r="AB36" i="28"/>
  <c r="AF36" i="28"/>
  <c r="AI40" i="28"/>
  <c r="AI43" i="28"/>
  <c r="AI42" i="28"/>
  <c r="M40" i="11"/>
  <c r="K40" i="11"/>
  <c r="K48" i="11"/>
  <c r="M48" i="11"/>
  <c r="M60" i="11"/>
  <c r="K60" i="11"/>
  <c r="K49" i="11"/>
  <c r="M61" i="11"/>
  <c r="K61" i="11"/>
  <c r="M50" i="11"/>
  <c r="K50" i="11"/>
  <c r="M43" i="11"/>
  <c r="K43" i="11"/>
  <c r="M51" i="11"/>
  <c r="K51" i="11"/>
  <c r="K44" i="11"/>
  <c r="M44" i="11"/>
  <c r="K56" i="11"/>
  <c r="M56" i="11"/>
  <c r="M42" i="11"/>
  <c r="K42" i="11"/>
  <c r="K45" i="11"/>
  <c r="M45" i="11"/>
  <c r="K57" i="11"/>
  <c r="M57" i="11"/>
  <c r="M46" i="11"/>
  <c r="K46" i="11"/>
  <c r="M58" i="11"/>
  <c r="K58" i="11"/>
  <c r="K41" i="11"/>
  <c r="M41" i="11"/>
  <c r="K36" i="11"/>
  <c r="M36" i="11"/>
  <c r="K37" i="11"/>
  <c r="M37" i="11"/>
  <c r="M38" i="11"/>
  <c r="K38" i="11"/>
  <c r="K39" i="11"/>
  <c r="M39" i="11"/>
  <c r="M47" i="11"/>
  <c r="K47" i="11"/>
  <c r="M59" i="11"/>
  <c r="K59" i="11"/>
  <c r="AF71" i="11"/>
  <c r="AI71" i="11"/>
  <c r="AB71" i="11"/>
  <c r="AI68" i="11"/>
  <c r="AB68" i="11"/>
  <c r="AF68" i="11"/>
  <c r="AF75" i="11"/>
  <c r="AI75" i="11"/>
  <c r="AB75" i="11"/>
  <c r="K40" i="27"/>
  <c r="K42" i="27"/>
  <c r="K43" i="27"/>
  <c r="K36" i="27"/>
  <c r="K44" i="27"/>
  <c r="M38" i="27"/>
  <c r="K38" i="27"/>
  <c r="K41" i="27"/>
  <c r="M35" i="27"/>
  <c r="K35" i="27"/>
  <c r="K37" i="27"/>
  <c r="M37" i="27"/>
  <c r="K39" i="27"/>
  <c r="M39" i="27"/>
  <c r="AH63" i="19"/>
  <c r="AE63" i="19"/>
  <c r="AH59" i="19"/>
  <c r="AE59" i="19"/>
  <c r="AH56" i="19"/>
  <c r="AE56" i="19"/>
  <c r="M49" i="11"/>
  <c r="M42" i="27"/>
  <c r="M40" i="27"/>
  <c r="M36" i="27"/>
  <c r="M41" i="27"/>
  <c r="M44" i="27"/>
  <c r="M43" i="27"/>
  <c r="N59" i="19"/>
  <c r="N56" i="19"/>
  <c r="L59" i="19"/>
  <c r="J63" i="19"/>
  <c r="L56" i="19"/>
  <c r="I56" i="19"/>
  <c r="L63" i="19"/>
  <c r="I63" i="19"/>
  <c r="I59" i="19"/>
  <c r="N63" i="19"/>
  <c r="J59" i="19"/>
  <c r="J56" i="19"/>
  <c r="AF59" i="11" l="1"/>
  <c r="AB59" i="11"/>
  <c r="AF46" i="11"/>
  <c r="AF50" i="11"/>
  <c r="AB50" i="11"/>
  <c r="AF35" i="27"/>
  <c r="AB47" i="11"/>
  <c r="AF47" i="11"/>
  <c r="AF57" i="11"/>
  <c r="AB57" i="11"/>
  <c r="AF61" i="11"/>
  <c r="AB61" i="11"/>
  <c r="AF41" i="27"/>
  <c r="AF39" i="11"/>
  <c r="AB45" i="11"/>
  <c r="AF45" i="11"/>
  <c r="AB49" i="11"/>
  <c r="AF49" i="11"/>
  <c r="AF38" i="27"/>
  <c r="AF38" i="11"/>
  <c r="AB38" i="11"/>
  <c r="AF42" i="11"/>
  <c r="AB42" i="11"/>
  <c r="AB60" i="11"/>
  <c r="AF60" i="11"/>
  <c r="AF44" i="27"/>
  <c r="AB44" i="27"/>
  <c r="AB37" i="11"/>
  <c r="AF37" i="11"/>
  <c r="AB56" i="11"/>
  <c r="AF56" i="11"/>
  <c r="AF48" i="11"/>
  <c r="AB48" i="11"/>
  <c r="AF36" i="27"/>
  <c r="AB36" i="27"/>
  <c r="AF36" i="11"/>
  <c r="AB36" i="11"/>
  <c r="AF44" i="11"/>
  <c r="AB44" i="11"/>
  <c r="AF40" i="11"/>
  <c r="AB40" i="11"/>
  <c r="AF43" i="27"/>
  <c r="AB41" i="11"/>
  <c r="AF41" i="11"/>
  <c r="AB51" i="11"/>
  <c r="AF51" i="11"/>
  <c r="AF39" i="27"/>
  <c r="AF42" i="27"/>
  <c r="AF58" i="11"/>
  <c r="AB43" i="11"/>
  <c r="AF43" i="11"/>
  <c r="AF37" i="27"/>
  <c r="AF40" i="27"/>
  <c r="AN42" i="28"/>
  <c r="AM42" i="28"/>
  <c r="AN41" i="28"/>
  <c r="AM41" i="28"/>
  <c r="AN36" i="28"/>
  <c r="AM36" i="28"/>
  <c r="AI51" i="11"/>
  <c r="AI38" i="11"/>
  <c r="AI60" i="11"/>
  <c r="AN68" i="11"/>
  <c r="AM68" i="11"/>
  <c r="AI59" i="11"/>
  <c r="AI43" i="11"/>
  <c r="AI61" i="11"/>
  <c r="AI48" i="11"/>
  <c r="AN75" i="11"/>
  <c r="AM75" i="11"/>
  <c r="AI56" i="11"/>
  <c r="AI45" i="11"/>
  <c r="AI41" i="11"/>
  <c r="AI57" i="11"/>
  <c r="AM71" i="11"/>
  <c r="AN71" i="11"/>
  <c r="AI39" i="11"/>
  <c r="AI36" i="11"/>
  <c r="AI44" i="11"/>
  <c r="AI50" i="11"/>
  <c r="AI49" i="11"/>
  <c r="AI37" i="11"/>
  <c r="AI47" i="11"/>
  <c r="AI58" i="11"/>
  <c r="AI46" i="11"/>
  <c r="AI42" i="11"/>
  <c r="AI40" i="11"/>
  <c r="AI41" i="27"/>
  <c r="AI42" i="27"/>
  <c r="AI36" i="27"/>
  <c r="AI35" i="27"/>
  <c r="AI44" i="27"/>
  <c r="AI39" i="27"/>
  <c r="AI37" i="27"/>
  <c r="AI38" i="27"/>
  <c r="AI43" i="27"/>
  <c r="AI40" i="27"/>
  <c r="M59" i="19"/>
  <c r="K59" i="19"/>
  <c r="AA59" i="19"/>
  <c r="M63" i="19"/>
  <c r="K63" i="19"/>
  <c r="AA63" i="19"/>
  <c r="AA56" i="19"/>
  <c r="M56" i="19"/>
  <c r="K56" i="19"/>
  <c r="AH49" i="19"/>
  <c r="AH48" i="19"/>
  <c r="AH44" i="19"/>
  <c r="AH43" i="19"/>
  <c r="AH42" i="19"/>
  <c r="AH41" i="19"/>
  <c r="AH40" i="19"/>
  <c r="AH39" i="19"/>
  <c r="AH38" i="19"/>
  <c r="AH37" i="19"/>
  <c r="AH36" i="19"/>
  <c r="AH35" i="19"/>
  <c r="AH68" i="22"/>
  <c r="AE68" i="22"/>
  <c r="AH64" i="22"/>
  <c r="AE64" i="22"/>
  <c r="AH61" i="22"/>
  <c r="AE61" i="22"/>
  <c r="I44" i="19"/>
  <c r="J43" i="19"/>
  <c r="L41" i="19"/>
  <c r="N39" i="19"/>
  <c r="I36" i="19"/>
  <c r="J35" i="19"/>
  <c r="N38" i="19"/>
  <c r="I35" i="19"/>
  <c r="J40" i="19"/>
  <c r="N43" i="19"/>
  <c r="N42" i="19"/>
  <c r="N49" i="19"/>
  <c r="I43" i="19"/>
  <c r="J42" i="19"/>
  <c r="L40" i="19"/>
  <c r="L38" i="19"/>
  <c r="N36" i="19"/>
  <c r="I40" i="19"/>
  <c r="I39" i="19"/>
  <c r="L36" i="19"/>
  <c r="L35" i="19"/>
  <c r="N48" i="19"/>
  <c r="I42" i="19"/>
  <c r="J41" i="19"/>
  <c r="L39" i="19"/>
  <c r="N37" i="19"/>
  <c r="L37" i="19"/>
  <c r="N35" i="19"/>
  <c r="L44" i="19"/>
  <c r="I38" i="19"/>
  <c r="J36" i="19"/>
  <c r="L49" i="19"/>
  <c r="N44" i="19"/>
  <c r="I41" i="19"/>
  <c r="J37" i="19"/>
  <c r="L48" i="19"/>
  <c r="J39" i="19"/>
  <c r="J38" i="19"/>
  <c r="J49" i="19"/>
  <c r="N41" i="19"/>
  <c r="I49" i="19"/>
  <c r="J48" i="19"/>
  <c r="L43" i="19"/>
  <c r="I48" i="19"/>
  <c r="J44" i="19"/>
  <c r="L42" i="19"/>
  <c r="N40" i="19"/>
  <c r="I37" i="19"/>
  <c r="J68" i="22"/>
  <c r="L61" i="22"/>
  <c r="N68" i="22"/>
  <c r="N64" i="22"/>
  <c r="N61" i="22"/>
  <c r="I68" i="22"/>
  <c r="J64" i="22"/>
  <c r="I64" i="22"/>
  <c r="J61" i="22"/>
  <c r="I61" i="22"/>
  <c r="L68" i="22"/>
  <c r="L64" i="22"/>
  <c r="AA37" i="19" l="1"/>
  <c r="AA48" i="19"/>
  <c r="AA49" i="19"/>
  <c r="AA41" i="19"/>
  <c r="AA38" i="19"/>
  <c r="AA42" i="19"/>
  <c r="AA39" i="19"/>
  <c r="AA40" i="19"/>
  <c r="AA43" i="19"/>
  <c r="AA35" i="19"/>
  <c r="AA36" i="19"/>
  <c r="AA44" i="19"/>
  <c r="AN59" i="11"/>
  <c r="AM59" i="11"/>
  <c r="AN38" i="11"/>
  <c r="AM38" i="11"/>
  <c r="AN37" i="11"/>
  <c r="AM37" i="11"/>
  <c r="AN49" i="11"/>
  <c r="AM49" i="11"/>
  <c r="AN57" i="11"/>
  <c r="AM57" i="11"/>
  <c r="AN51" i="11"/>
  <c r="AM51" i="11"/>
  <c r="AN43" i="11"/>
  <c r="AM43" i="11"/>
  <c r="AN56" i="11"/>
  <c r="AM56" i="11"/>
  <c r="AM48" i="11"/>
  <c r="AN48" i="11"/>
  <c r="AN45" i="11"/>
  <c r="AM45" i="11"/>
  <c r="AN44" i="11"/>
  <c r="AM44" i="11"/>
  <c r="AN42" i="11"/>
  <c r="AM42" i="11"/>
  <c r="AN61" i="11"/>
  <c r="AM61" i="11"/>
  <c r="AM41" i="11"/>
  <c r="AN41" i="11"/>
  <c r="AM40" i="11"/>
  <c r="AN40" i="11"/>
  <c r="AN47" i="11"/>
  <c r="AM47" i="11"/>
  <c r="AN50" i="11"/>
  <c r="AM50" i="11"/>
  <c r="AN36" i="11"/>
  <c r="AM36" i="11"/>
  <c r="AM60" i="11"/>
  <c r="AN60" i="11"/>
  <c r="AM36" i="27"/>
  <c r="AM44" i="27"/>
  <c r="K37" i="19"/>
  <c r="M37" i="19"/>
  <c r="K48" i="19"/>
  <c r="M49" i="19"/>
  <c r="K49" i="19"/>
  <c r="K41" i="19"/>
  <c r="M41" i="19"/>
  <c r="K38" i="19"/>
  <c r="M38" i="19"/>
  <c r="K42" i="19"/>
  <c r="K39" i="19"/>
  <c r="M40" i="19"/>
  <c r="K40" i="19"/>
  <c r="K43" i="19"/>
  <c r="K35" i="19"/>
  <c r="M35" i="19"/>
  <c r="M36" i="19"/>
  <c r="K36" i="19"/>
  <c r="K44" i="19"/>
  <c r="M44" i="19"/>
  <c r="AI56" i="19"/>
  <c r="AF56" i="19"/>
  <c r="AB56" i="19"/>
  <c r="AI63" i="19"/>
  <c r="AB63" i="19"/>
  <c r="AF63" i="19"/>
  <c r="AI59" i="19"/>
  <c r="AB59" i="19"/>
  <c r="AF59" i="19"/>
  <c r="K61" i="22"/>
  <c r="AA61" i="22"/>
  <c r="M61" i="22"/>
  <c r="K64" i="22"/>
  <c r="M64" i="22"/>
  <c r="AA64" i="22"/>
  <c r="K68" i="22"/>
  <c r="AA68" i="22"/>
  <c r="M68" i="22"/>
  <c r="AH54" i="22"/>
  <c r="AH53" i="22"/>
  <c r="AH52" i="22"/>
  <c r="AH51" i="22"/>
  <c r="AH50" i="22"/>
  <c r="AH49" i="22"/>
  <c r="AH48" i="22"/>
  <c r="AH47" i="22"/>
  <c r="AH43" i="22"/>
  <c r="AH42" i="22"/>
  <c r="AH41" i="22"/>
  <c r="AH40" i="22"/>
  <c r="AH39" i="22"/>
  <c r="AH38" i="22"/>
  <c r="AH37" i="22"/>
  <c r="AH36" i="22"/>
  <c r="AH35" i="22"/>
  <c r="AH104" i="16"/>
  <c r="M39" i="19"/>
  <c r="M42" i="19"/>
  <c r="M43" i="19"/>
  <c r="M48" i="19"/>
  <c r="I52" i="22"/>
  <c r="J51" i="22"/>
  <c r="L49" i="22"/>
  <c r="N47" i="22"/>
  <c r="I41" i="22"/>
  <c r="J40" i="22"/>
  <c r="L38" i="22"/>
  <c r="N36" i="22"/>
  <c r="L36" i="22"/>
  <c r="J36" i="22"/>
  <c r="L41" i="22"/>
  <c r="N54" i="22"/>
  <c r="I51" i="22"/>
  <c r="J50" i="22"/>
  <c r="L48" i="22"/>
  <c r="N43" i="22"/>
  <c r="I40" i="22"/>
  <c r="J39" i="22"/>
  <c r="L37" i="22"/>
  <c r="N35" i="22"/>
  <c r="N53" i="22"/>
  <c r="I50" i="22"/>
  <c r="J49" i="22"/>
  <c r="L47" i="22"/>
  <c r="N42" i="22"/>
  <c r="I39" i="22"/>
  <c r="J38" i="22"/>
  <c r="I36" i="22"/>
  <c r="L54" i="22"/>
  <c r="N52" i="22"/>
  <c r="I49" i="22"/>
  <c r="J48" i="22"/>
  <c r="L43" i="22"/>
  <c r="N41" i="22"/>
  <c r="I38" i="22"/>
  <c r="J37" i="22"/>
  <c r="L35" i="22"/>
  <c r="N39" i="22"/>
  <c r="J35" i="22"/>
  <c r="L53" i="22"/>
  <c r="N51" i="22"/>
  <c r="I48" i="22"/>
  <c r="J47" i="22"/>
  <c r="L42" i="22"/>
  <c r="N40" i="22"/>
  <c r="I37" i="22"/>
  <c r="L40" i="22"/>
  <c r="J54" i="22"/>
  <c r="L52" i="22"/>
  <c r="N50" i="22"/>
  <c r="I47" i="22"/>
  <c r="J43" i="22"/>
  <c r="I54" i="22"/>
  <c r="J53" i="22"/>
  <c r="L51" i="22"/>
  <c r="N49" i="22"/>
  <c r="I43" i="22"/>
  <c r="J42" i="22"/>
  <c r="N38" i="22"/>
  <c r="I53" i="22"/>
  <c r="J52" i="22"/>
  <c r="L50" i="22"/>
  <c r="N48" i="22"/>
  <c r="I42" i="22"/>
  <c r="J41" i="22"/>
  <c r="L39" i="22"/>
  <c r="N37" i="22"/>
  <c r="I35" i="22"/>
  <c r="I115" i="16"/>
  <c r="J114" i="16"/>
  <c r="L112" i="16"/>
  <c r="N110" i="16"/>
  <c r="I107" i="16"/>
  <c r="J106" i="16"/>
  <c r="L104" i="16"/>
  <c r="N102" i="16"/>
  <c r="I99" i="16"/>
  <c r="J98" i="16"/>
  <c r="L96" i="16"/>
  <c r="N94" i="16"/>
  <c r="I88" i="16"/>
  <c r="J87" i="16"/>
  <c r="L85" i="16"/>
  <c r="N83" i="16"/>
  <c r="I80" i="16"/>
  <c r="J79" i="16"/>
  <c r="L75" i="16"/>
  <c r="N82" i="16"/>
  <c r="I79" i="16"/>
  <c r="J78" i="16"/>
  <c r="I109" i="16"/>
  <c r="N117" i="16"/>
  <c r="I114" i="16"/>
  <c r="J113" i="16"/>
  <c r="L111" i="16"/>
  <c r="N109" i="16"/>
  <c r="I106" i="16"/>
  <c r="J105" i="16"/>
  <c r="L103" i="16"/>
  <c r="N101" i="16"/>
  <c r="I98" i="16"/>
  <c r="J97" i="16"/>
  <c r="L95" i="16"/>
  <c r="N93" i="16"/>
  <c r="I87" i="16"/>
  <c r="J86" i="16"/>
  <c r="L84" i="16"/>
  <c r="N78" i="16"/>
  <c r="N116" i="16"/>
  <c r="I113" i="16"/>
  <c r="J112" i="16"/>
  <c r="L110" i="16"/>
  <c r="N108" i="16"/>
  <c r="I105" i="16"/>
  <c r="J104" i="16"/>
  <c r="L102" i="16"/>
  <c r="N100" i="16"/>
  <c r="I97" i="16"/>
  <c r="J96" i="16"/>
  <c r="L94" i="16"/>
  <c r="N92" i="16"/>
  <c r="I86" i="16"/>
  <c r="J85" i="16"/>
  <c r="L83" i="16"/>
  <c r="N81" i="16"/>
  <c r="I78" i="16"/>
  <c r="J75" i="16"/>
  <c r="J116" i="16"/>
  <c r="L114" i="16"/>
  <c r="L106" i="16"/>
  <c r="L117" i="16"/>
  <c r="N115" i="16"/>
  <c r="I112" i="16"/>
  <c r="J111" i="16"/>
  <c r="L109" i="16"/>
  <c r="N107" i="16"/>
  <c r="I104" i="16"/>
  <c r="J103" i="16"/>
  <c r="L101" i="16"/>
  <c r="N99" i="16"/>
  <c r="I96" i="16"/>
  <c r="J95" i="16"/>
  <c r="L93" i="16"/>
  <c r="N88" i="16"/>
  <c r="I85" i="16"/>
  <c r="J84" i="16"/>
  <c r="L82" i="16"/>
  <c r="N80" i="16"/>
  <c r="I75" i="16"/>
  <c r="L116" i="16"/>
  <c r="N114" i="16"/>
  <c r="I111" i="16"/>
  <c r="J110" i="16"/>
  <c r="L108" i="16"/>
  <c r="N106" i="16"/>
  <c r="I103" i="16"/>
  <c r="J102" i="16"/>
  <c r="L100" i="16"/>
  <c r="N98" i="16"/>
  <c r="I95" i="16"/>
  <c r="J94" i="16"/>
  <c r="L92" i="16"/>
  <c r="N87" i="16"/>
  <c r="I84" i="16"/>
  <c r="J83" i="16"/>
  <c r="L81" i="16"/>
  <c r="N79" i="16"/>
  <c r="J108" i="16"/>
  <c r="J117" i="16"/>
  <c r="L115" i="16"/>
  <c r="N113" i="16"/>
  <c r="I110" i="16"/>
  <c r="J109" i="16"/>
  <c r="L107" i="16"/>
  <c r="N105" i="16"/>
  <c r="I102" i="16"/>
  <c r="J101" i="16"/>
  <c r="L99" i="16"/>
  <c r="N97" i="16"/>
  <c r="I94" i="16"/>
  <c r="J93" i="16"/>
  <c r="L88" i="16"/>
  <c r="N86" i="16"/>
  <c r="I83" i="16"/>
  <c r="J82" i="16"/>
  <c r="L80" i="16"/>
  <c r="N112" i="16"/>
  <c r="I116" i="16"/>
  <c r="J115" i="16"/>
  <c r="L113" i="16"/>
  <c r="N111" i="16"/>
  <c r="I108" i="16"/>
  <c r="J107" i="16"/>
  <c r="L105" i="16"/>
  <c r="N103" i="16"/>
  <c r="I100" i="16"/>
  <c r="J99" i="16"/>
  <c r="L97" i="16"/>
  <c r="N95" i="16"/>
  <c r="I92" i="16"/>
  <c r="J88" i="16"/>
  <c r="L86" i="16"/>
  <c r="N84" i="16"/>
  <c r="I81" i="16"/>
  <c r="J80" i="16"/>
  <c r="L78" i="16"/>
  <c r="I117" i="16"/>
  <c r="L79" i="16"/>
  <c r="N75" i="16"/>
  <c r="N85" i="16"/>
  <c r="J81" i="16"/>
  <c r="L98" i="16"/>
  <c r="J92" i="16"/>
  <c r="J100" i="16"/>
  <c r="L87" i="16"/>
  <c r="I93" i="16"/>
  <c r="I101" i="16"/>
  <c r="N96" i="16"/>
  <c r="I82" i="16"/>
  <c r="N104" i="16"/>
  <c r="AA82" i="16" l="1"/>
  <c r="AA101" i="16"/>
  <c r="AA93" i="16"/>
  <c r="AA117" i="16"/>
  <c r="AA81" i="16"/>
  <c r="AA92" i="16"/>
  <c r="AA100" i="16"/>
  <c r="AA108" i="16"/>
  <c r="AA116" i="16"/>
  <c r="AA83" i="16"/>
  <c r="AA94" i="16"/>
  <c r="AA102" i="16"/>
  <c r="AA110" i="16"/>
  <c r="AA84" i="16"/>
  <c r="AA95" i="16"/>
  <c r="AA103" i="16"/>
  <c r="AA111" i="16"/>
  <c r="AA75" i="16"/>
  <c r="AA85" i="16"/>
  <c r="AA96" i="16"/>
  <c r="AA104" i="16"/>
  <c r="AA112" i="16"/>
  <c r="AA78" i="16"/>
  <c r="AA86" i="16"/>
  <c r="AA97" i="16"/>
  <c r="AA105" i="16"/>
  <c r="AA113" i="16"/>
  <c r="AA87" i="16"/>
  <c r="AA98" i="16"/>
  <c r="AA106" i="16"/>
  <c r="AA114" i="16"/>
  <c r="AA109" i="16"/>
  <c r="AA79" i="16"/>
  <c r="AA80" i="16"/>
  <c r="AA88" i="16"/>
  <c r="AA99" i="16"/>
  <c r="AA107" i="16"/>
  <c r="AA115" i="16"/>
  <c r="AA35" i="22"/>
  <c r="AA42" i="22"/>
  <c r="AA53" i="22"/>
  <c r="AA43" i="22"/>
  <c r="AA54" i="22"/>
  <c r="AA47" i="22"/>
  <c r="AA37" i="22"/>
  <c r="AA48" i="22"/>
  <c r="AA38" i="22"/>
  <c r="AA49" i="22"/>
  <c r="AA36" i="22"/>
  <c r="AA39" i="22"/>
  <c r="AA50" i="22"/>
  <c r="AA40" i="22"/>
  <c r="AA51" i="22"/>
  <c r="AA41" i="22"/>
  <c r="AA52" i="22"/>
  <c r="AB40" i="19"/>
  <c r="AF40" i="19"/>
  <c r="AF39" i="19"/>
  <c r="AB39" i="19"/>
  <c r="AB42" i="19"/>
  <c r="AF42" i="19"/>
  <c r="AB38" i="19"/>
  <c r="AF38" i="19"/>
  <c r="AB44" i="19"/>
  <c r="AF44" i="19"/>
  <c r="AF41" i="19"/>
  <c r="AB41" i="19"/>
  <c r="AB36" i="19"/>
  <c r="AF36" i="19"/>
  <c r="AF49" i="19"/>
  <c r="AB49" i="19"/>
  <c r="AF35" i="19"/>
  <c r="AB35" i="19"/>
  <c r="AB48" i="19"/>
  <c r="AF48" i="19"/>
  <c r="AF43" i="19"/>
  <c r="AB43" i="19"/>
  <c r="AF37" i="19"/>
  <c r="AB37" i="19"/>
  <c r="AN59" i="19"/>
  <c r="AM59" i="19"/>
  <c r="AI40" i="19"/>
  <c r="AI35" i="19"/>
  <c r="AI48" i="19"/>
  <c r="AI36" i="19"/>
  <c r="AI38" i="19"/>
  <c r="AN56" i="19"/>
  <c r="AM56" i="19"/>
  <c r="AI49" i="19"/>
  <c r="AI39" i="19"/>
  <c r="AN63" i="19"/>
  <c r="AM63" i="19"/>
  <c r="AI44" i="19"/>
  <c r="AI41" i="19"/>
  <c r="AI43" i="19"/>
  <c r="AI42" i="19"/>
  <c r="AI37" i="19"/>
  <c r="M35" i="22"/>
  <c r="K35" i="22"/>
  <c r="K42" i="22"/>
  <c r="K53" i="22"/>
  <c r="M43" i="22"/>
  <c r="K43" i="22"/>
  <c r="M54" i="22"/>
  <c r="K54" i="22"/>
  <c r="K47" i="22"/>
  <c r="M37" i="22"/>
  <c r="K37" i="22"/>
  <c r="K48" i="22"/>
  <c r="K38" i="22"/>
  <c r="M38" i="22"/>
  <c r="K49" i="22"/>
  <c r="M36" i="22"/>
  <c r="K36" i="22"/>
  <c r="K39" i="22"/>
  <c r="M39" i="22"/>
  <c r="K50" i="22"/>
  <c r="M40" i="22"/>
  <c r="K40" i="22"/>
  <c r="K51" i="22"/>
  <c r="K41" i="22"/>
  <c r="M41" i="22"/>
  <c r="K52" i="22"/>
  <c r="AF68" i="22"/>
  <c r="AI68" i="22"/>
  <c r="AB68" i="22"/>
  <c r="AF64" i="22"/>
  <c r="AI64" i="22"/>
  <c r="AB64" i="22"/>
  <c r="AI61" i="22"/>
  <c r="AF61" i="22"/>
  <c r="AB61" i="22"/>
  <c r="M82" i="16"/>
  <c r="K82" i="16"/>
  <c r="K101" i="16"/>
  <c r="K93" i="16"/>
  <c r="M117" i="16"/>
  <c r="K117" i="16"/>
  <c r="M81" i="16"/>
  <c r="K81" i="16"/>
  <c r="K92" i="16"/>
  <c r="K100" i="16"/>
  <c r="K108" i="16"/>
  <c r="K116" i="16"/>
  <c r="M83" i="16"/>
  <c r="K83" i="16"/>
  <c r="M94" i="16"/>
  <c r="K94" i="16"/>
  <c r="M102" i="16"/>
  <c r="K102" i="16"/>
  <c r="K110" i="16"/>
  <c r="M84" i="16"/>
  <c r="K84" i="16"/>
  <c r="K95" i="16"/>
  <c r="M103" i="16"/>
  <c r="K103" i="16"/>
  <c r="K111" i="16"/>
  <c r="K75" i="16"/>
  <c r="M75" i="16"/>
  <c r="K85" i="16"/>
  <c r="M85" i="16"/>
  <c r="K96" i="16"/>
  <c r="K104" i="16"/>
  <c r="M104" i="16"/>
  <c r="K112" i="16"/>
  <c r="K78" i="16"/>
  <c r="M78" i="16"/>
  <c r="K86" i="16"/>
  <c r="M86" i="16"/>
  <c r="K97" i="16"/>
  <c r="K105" i="16"/>
  <c r="M105" i="16"/>
  <c r="K113" i="16"/>
  <c r="M87" i="16"/>
  <c r="K87" i="16"/>
  <c r="K98" i="16"/>
  <c r="K106" i="16"/>
  <c r="K114" i="16"/>
  <c r="K109" i="16"/>
  <c r="M79" i="16"/>
  <c r="K79" i="16"/>
  <c r="M80" i="16"/>
  <c r="K80" i="16"/>
  <c r="M88" i="16"/>
  <c r="K88" i="16"/>
  <c r="K99" i="16"/>
  <c r="K107" i="16"/>
  <c r="K115" i="16"/>
  <c r="AH65" i="16"/>
  <c r="AH64" i="16"/>
  <c r="AH63" i="16"/>
  <c r="AH37" i="31"/>
  <c r="M51" i="22"/>
  <c r="M48" i="22"/>
  <c r="M52" i="22"/>
  <c r="M49" i="22"/>
  <c r="M50" i="22"/>
  <c r="M42" i="22"/>
  <c r="M53" i="22"/>
  <c r="M47" i="22"/>
  <c r="M92" i="16"/>
  <c r="M111" i="16"/>
  <c r="M106" i="16"/>
  <c r="M115" i="16"/>
  <c r="I67" i="16"/>
  <c r="J66" i="16"/>
  <c r="L64" i="16"/>
  <c r="N62" i="16"/>
  <c r="N61" i="16"/>
  <c r="I65" i="16"/>
  <c r="J64" i="16"/>
  <c r="I63" i="16"/>
  <c r="N65" i="16"/>
  <c r="M116" i="16"/>
  <c r="M112" i="16"/>
  <c r="I66" i="16"/>
  <c r="J65" i="16"/>
  <c r="L63" i="16"/>
  <c r="L62" i="16"/>
  <c r="J63" i="16"/>
  <c r="I62" i="16"/>
  <c r="M95" i="16"/>
  <c r="M97" i="16"/>
  <c r="M99" i="16"/>
  <c r="N68" i="16"/>
  <c r="I64" i="16"/>
  <c r="L61" i="16"/>
  <c r="L68" i="16"/>
  <c r="N66" i="16"/>
  <c r="J62" i="16"/>
  <c r="J68" i="16"/>
  <c r="M100" i="16"/>
  <c r="M96" i="16"/>
  <c r="M114" i="16"/>
  <c r="N67" i="16"/>
  <c r="N64" i="16"/>
  <c r="M101" i="16"/>
  <c r="M110" i="16"/>
  <c r="J61" i="16"/>
  <c r="L66" i="16"/>
  <c r="I61" i="16"/>
  <c r="M98" i="16"/>
  <c r="M107" i="16"/>
  <c r="L67" i="16"/>
  <c r="M108" i="16"/>
  <c r="M109" i="16"/>
  <c r="M93" i="16"/>
  <c r="M113" i="16"/>
  <c r="I68" i="16"/>
  <c r="J67" i="16"/>
  <c r="L65" i="16"/>
  <c r="N63" i="16"/>
  <c r="N37" i="31"/>
  <c r="N35" i="31"/>
  <c r="L36" i="31"/>
  <c r="L35" i="31"/>
  <c r="I37" i="31"/>
  <c r="I36" i="31"/>
  <c r="N36" i="31"/>
  <c r="L37" i="31"/>
  <c r="J36" i="31"/>
  <c r="J37" i="31"/>
  <c r="I35" i="31"/>
  <c r="J35" i="31"/>
  <c r="AA35" i="31" l="1"/>
  <c r="AA36" i="31"/>
  <c r="AA37" i="31"/>
  <c r="AA68" i="16"/>
  <c r="AA61" i="16"/>
  <c r="AA64" i="16"/>
  <c r="AA62" i="16"/>
  <c r="AA66" i="16"/>
  <c r="AA63" i="16"/>
  <c r="AA65" i="16"/>
  <c r="AA67" i="16"/>
  <c r="AF49" i="22"/>
  <c r="AB49" i="22"/>
  <c r="AF42" i="22"/>
  <c r="AB42" i="22"/>
  <c r="AF109" i="16"/>
  <c r="AF86" i="16"/>
  <c r="AF103" i="16"/>
  <c r="AF108" i="16"/>
  <c r="AB52" i="22"/>
  <c r="AF52" i="22"/>
  <c r="AF38" i="22"/>
  <c r="AB38" i="22"/>
  <c r="AB35" i="22"/>
  <c r="AF35" i="22"/>
  <c r="AF114" i="16"/>
  <c r="AF78" i="16"/>
  <c r="AF95" i="16"/>
  <c r="AB95" i="16"/>
  <c r="AB100" i="16"/>
  <c r="AF100" i="16"/>
  <c r="AB41" i="22"/>
  <c r="AF41" i="22"/>
  <c r="AB48" i="22"/>
  <c r="AF48" i="22"/>
  <c r="AF115" i="16"/>
  <c r="AB106" i="16"/>
  <c r="AF106" i="16"/>
  <c r="AB112" i="16"/>
  <c r="AF112" i="16"/>
  <c r="AF84" i="16"/>
  <c r="AB92" i="16"/>
  <c r="AF92" i="16"/>
  <c r="AF51" i="22"/>
  <c r="AB51" i="22"/>
  <c r="AB37" i="22"/>
  <c r="AF37" i="22"/>
  <c r="AF107" i="16"/>
  <c r="AB107" i="16"/>
  <c r="AB98" i="16"/>
  <c r="AF98" i="16"/>
  <c r="AF104" i="16"/>
  <c r="AF110" i="16"/>
  <c r="AF81" i="16"/>
  <c r="AF40" i="22"/>
  <c r="AB40" i="22"/>
  <c r="AF47" i="22"/>
  <c r="AB47" i="22"/>
  <c r="AF99" i="16"/>
  <c r="AF87" i="16"/>
  <c r="AB96" i="16"/>
  <c r="AF96" i="16"/>
  <c r="AF102" i="16"/>
  <c r="AF117" i="16"/>
  <c r="AB117" i="16"/>
  <c r="AB50" i="22"/>
  <c r="AF50" i="22"/>
  <c r="AB54" i="22"/>
  <c r="AF54" i="22"/>
  <c r="AF88" i="16"/>
  <c r="AF113" i="16"/>
  <c r="AB113" i="16"/>
  <c r="AF85" i="16"/>
  <c r="AF94" i="16"/>
  <c r="AF93" i="16"/>
  <c r="AB93" i="16"/>
  <c r="AB39" i="22"/>
  <c r="AF39" i="22"/>
  <c r="AB43" i="22"/>
  <c r="AF43" i="22"/>
  <c r="AF80" i="16"/>
  <c r="AF105" i="16"/>
  <c r="AB105" i="16"/>
  <c r="AF75" i="16"/>
  <c r="AB75" i="16"/>
  <c r="AF83" i="16"/>
  <c r="AF101" i="16"/>
  <c r="AF36" i="22"/>
  <c r="AB36" i="22"/>
  <c r="AF53" i="22"/>
  <c r="AB53" i="22"/>
  <c r="AF79" i="16"/>
  <c r="AF97" i="16"/>
  <c r="AB97" i="16"/>
  <c r="AF111" i="16"/>
  <c r="AB111" i="16"/>
  <c r="AB116" i="16"/>
  <c r="AF116" i="16"/>
  <c r="AF82" i="16"/>
  <c r="AB82" i="16"/>
  <c r="AN35" i="19"/>
  <c r="AM35" i="19"/>
  <c r="AM40" i="19"/>
  <c r="AN40" i="19"/>
  <c r="AN42" i="19"/>
  <c r="AM42" i="19"/>
  <c r="AN49" i="19"/>
  <c r="AM49" i="19"/>
  <c r="AN36" i="19"/>
  <c r="AM36" i="19"/>
  <c r="AN38" i="19"/>
  <c r="AM38" i="19"/>
  <c r="AM37" i="19"/>
  <c r="AN37" i="19"/>
  <c r="AM48" i="19"/>
  <c r="AN48" i="19"/>
  <c r="AN41" i="19"/>
  <c r="AM41" i="19"/>
  <c r="AN43" i="19"/>
  <c r="AM43" i="19"/>
  <c r="AM39" i="19"/>
  <c r="AN39" i="19"/>
  <c r="AN44" i="19"/>
  <c r="AM44" i="19"/>
  <c r="AI48" i="22"/>
  <c r="AI53" i="22"/>
  <c r="AI37" i="22"/>
  <c r="AI54" i="22"/>
  <c r="AN68" i="22"/>
  <c r="AM68" i="22"/>
  <c r="AI50" i="22"/>
  <c r="AI42" i="22"/>
  <c r="AM61" i="22"/>
  <c r="AN61" i="22"/>
  <c r="AI41" i="22"/>
  <c r="AI49" i="22"/>
  <c r="AI51" i="22"/>
  <c r="AI39" i="22"/>
  <c r="AI40" i="22"/>
  <c r="AN64" i="22"/>
  <c r="AM64" i="22"/>
  <c r="AI38" i="22"/>
  <c r="AI47" i="22"/>
  <c r="AI43" i="22"/>
  <c r="AI52" i="22"/>
  <c r="AI36" i="22"/>
  <c r="AI35" i="22"/>
  <c r="K68" i="16"/>
  <c r="M68" i="16"/>
  <c r="K61" i="16"/>
  <c r="M61" i="16"/>
  <c r="K64" i="16"/>
  <c r="M62" i="16"/>
  <c r="K62" i="16"/>
  <c r="M66" i="16"/>
  <c r="K66" i="16"/>
  <c r="M63" i="16"/>
  <c r="K63" i="16"/>
  <c r="K65" i="16"/>
  <c r="K67" i="16"/>
  <c r="M67" i="16"/>
  <c r="AI115" i="16"/>
  <c r="AI106" i="16"/>
  <c r="AI85" i="16"/>
  <c r="AI103" i="16"/>
  <c r="AI92" i="16"/>
  <c r="AI88" i="16"/>
  <c r="AI86" i="16"/>
  <c r="AI110" i="16"/>
  <c r="AI93" i="16"/>
  <c r="AI109" i="16"/>
  <c r="AI104" i="16"/>
  <c r="AI83" i="16"/>
  <c r="AI108" i="16"/>
  <c r="AI98" i="16"/>
  <c r="AI95" i="16"/>
  <c r="AI81" i="16"/>
  <c r="AI80" i="16"/>
  <c r="AI78" i="16"/>
  <c r="AI102" i="16"/>
  <c r="AI101" i="16"/>
  <c r="AI114" i="16"/>
  <c r="AI96" i="16"/>
  <c r="AI111" i="16"/>
  <c r="AI100" i="16"/>
  <c r="AI105" i="16"/>
  <c r="AI99" i="16"/>
  <c r="AI79" i="16"/>
  <c r="AI87" i="16"/>
  <c r="AI97" i="16"/>
  <c r="AI84" i="16"/>
  <c r="AI117" i="16"/>
  <c r="AI107" i="16"/>
  <c r="AI75" i="16"/>
  <c r="AI113" i="16"/>
  <c r="AI112" i="16"/>
  <c r="AI94" i="16"/>
  <c r="AI116" i="16"/>
  <c r="AI82" i="16"/>
  <c r="K35" i="31"/>
  <c r="M36" i="31"/>
  <c r="K36" i="31"/>
  <c r="K37" i="31"/>
  <c r="AH56" i="35"/>
  <c r="AE56" i="35"/>
  <c r="M64" i="16"/>
  <c r="M65" i="16"/>
  <c r="M35" i="31"/>
  <c r="M37" i="31"/>
  <c r="J56" i="35"/>
  <c r="N56" i="35"/>
  <c r="I56" i="35"/>
  <c r="AF66" i="16" l="1"/>
  <c r="AF62" i="16"/>
  <c r="AB64" i="16"/>
  <c r="AF64" i="16"/>
  <c r="AF61" i="16"/>
  <c r="AF68" i="16"/>
  <c r="AF67" i="16"/>
  <c r="AF37" i="31"/>
  <c r="AF65" i="16"/>
  <c r="AB65" i="16"/>
  <c r="AF36" i="31"/>
  <c r="AF63" i="16"/>
  <c r="AF35" i="31"/>
  <c r="AN54" i="22"/>
  <c r="AM54" i="22"/>
  <c r="AM42" i="22"/>
  <c r="AN42" i="22"/>
  <c r="AN41" i="22"/>
  <c r="AM41" i="22"/>
  <c r="AM53" i="22"/>
  <c r="AN53" i="22"/>
  <c r="AN52" i="22"/>
  <c r="AM52" i="22"/>
  <c r="AN50" i="22"/>
  <c r="AM50" i="22"/>
  <c r="AN48" i="22"/>
  <c r="AM48" i="22"/>
  <c r="AN40" i="22"/>
  <c r="AM40" i="22"/>
  <c r="AN43" i="22"/>
  <c r="AM43" i="22"/>
  <c r="AN39" i="22"/>
  <c r="AM39" i="22"/>
  <c r="AN49" i="22"/>
  <c r="AM49" i="22"/>
  <c r="AN51" i="22"/>
  <c r="AM51" i="22"/>
  <c r="AN35" i="22"/>
  <c r="AM35" i="22"/>
  <c r="AN47" i="22"/>
  <c r="AM47" i="22"/>
  <c r="AN37" i="22"/>
  <c r="AM37" i="22"/>
  <c r="AM36" i="22"/>
  <c r="AN36" i="22"/>
  <c r="AM38" i="22"/>
  <c r="AN38" i="22"/>
  <c r="AM82" i="16"/>
  <c r="AI64" i="16"/>
  <c r="AM106" i="16"/>
  <c r="AI67" i="16"/>
  <c r="AI66" i="16"/>
  <c r="AM96" i="16"/>
  <c r="AM111" i="16"/>
  <c r="AM95" i="16"/>
  <c r="AM93" i="16"/>
  <c r="AI65" i="16"/>
  <c r="AI61" i="16"/>
  <c r="AM100" i="16"/>
  <c r="AM75" i="16"/>
  <c r="AI62" i="16"/>
  <c r="AM113" i="16"/>
  <c r="AM117" i="16"/>
  <c r="AM97" i="16"/>
  <c r="AI63" i="16"/>
  <c r="AI68" i="16"/>
  <c r="AM98" i="16"/>
  <c r="AM107" i="16"/>
  <c r="AM112" i="16"/>
  <c r="AM105" i="16"/>
  <c r="AM116" i="16"/>
  <c r="AM92" i="16"/>
  <c r="AI36" i="31"/>
  <c r="AI37" i="31"/>
  <c r="AI35" i="31"/>
  <c r="AA56" i="35"/>
  <c r="AH45" i="35"/>
  <c r="AE45" i="35"/>
  <c r="AH41" i="35"/>
  <c r="AE41" i="35"/>
  <c r="AH39" i="35"/>
  <c r="AE39" i="35"/>
  <c r="AH35" i="35"/>
  <c r="AE35" i="35"/>
  <c r="AH54" i="69"/>
  <c r="AH49" i="69"/>
  <c r="AH47" i="69"/>
  <c r="AH43" i="69"/>
  <c r="AH42" i="69"/>
  <c r="AH41" i="69"/>
  <c r="AH38" i="69"/>
  <c r="AH36" i="69"/>
  <c r="N45" i="35"/>
  <c r="I35" i="35"/>
  <c r="N35" i="35"/>
  <c r="I45" i="35"/>
  <c r="L35" i="35"/>
  <c r="I41" i="35"/>
  <c r="I39" i="35"/>
  <c r="N41" i="35"/>
  <c r="N39" i="35"/>
  <c r="J45" i="35"/>
  <c r="L39" i="35"/>
  <c r="L45" i="35"/>
  <c r="J35" i="35"/>
  <c r="L41" i="35"/>
  <c r="J41" i="35"/>
  <c r="J39" i="35"/>
  <c r="I56" i="69"/>
  <c r="J55" i="69"/>
  <c r="L53" i="69"/>
  <c r="N51" i="69"/>
  <c r="I48" i="69"/>
  <c r="J47" i="69"/>
  <c r="L45" i="69"/>
  <c r="N43" i="69"/>
  <c r="I40" i="69"/>
  <c r="J39" i="69"/>
  <c r="L37" i="69"/>
  <c r="I39" i="69"/>
  <c r="I37" i="69"/>
  <c r="J43" i="69"/>
  <c r="L41" i="69"/>
  <c r="N39" i="69"/>
  <c r="I51" i="69"/>
  <c r="J40" i="69"/>
  <c r="I55" i="69"/>
  <c r="J54" i="69"/>
  <c r="L52" i="69"/>
  <c r="N50" i="69"/>
  <c r="I47" i="69"/>
  <c r="J46" i="69"/>
  <c r="L44" i="69"/>
  <c r="N42" i="69"/>
  <c r="J38" i="69"/>
  <c r="L36" i="69"/>
  <c r="I44" i="69"/>
  <c r="I43" i="69"/>
  <c r="J56" i="69"/>
  <c r="I54" i="69"/>
  <c r="J53" i="69"/>
  <c r="L51" i="69"/>
  <c r="N49" i="69"/>
  <c r="I46" i="69"/>
  <c r="J45" i="69"/>
  <c r="L43" i="69"/>
  <c r="N41" i="69"/>
  <c r="I38" i="69"/>
  <c r="J37" i="69"/>
  <c r="J36" i="69"/>
  <c r="N54" i="69"/>
  <c r="L40" i="69"/>
  <c r="N56" i="69"/>
  <c r="I53" i="69"/>
  <c r="J52" i="69"/>
  <c r="L50" i="69"/>
  <c r="N48" i="69"/>
  <c r="I45" i="69"/>
  <c r="J44" i="69"/>
  <c r="L42" i="69"/>
  <c r="N40" i="69"/>
  <c r="J50" i="69"/>
  <c r="N46" i="69"/>
  <c r="J42" i="69"/>
  <c r="N38" i="69"/>
  <c r="I49" i="69"/>
  <c r="N36" i="69"/>
  <c r="N55" i="69"/>
  <c r="I52" i="69"/>
  <c r="J51" i="69"/>
  <c r="L49" i="69"/>
  <c r="N47" i="69"/>
  <c r="I36" i="69"/>
  <c r="L48" i="69"/>
  <c r="L56" i="69"/>
  <c r="L55" i="69"/>
  <c r="N53" i="69"/>
  <c r="I50" i="69"/>
  <c r="J49" i="69"/>
  <c r="L47" i="69"/>
  <c r="N45" i="69"/>
  <c r="I42" i="69"/>
  <c r="J41" i="69"/>
  <c r="L39" i="69"/>
  <c r="N37" i="69"/>
  <c r="L54" i="69"/>
  <c r="N52" i="69"/>
  <c r="J48" i="69"/>
  <c r="L46" i="69"/>
  <c r="N44" i="69"/>
  <c r="I41" i="69"/>
  <c r="L38" i="69"/>
  <c r="AA41" i="69" l="1"/>
  <c r="AA42" i="69"/>
  <c r="AA50" i="69"/>
  <c r="AA36" i="69"/>
  <c r="AA52" i="69"/>
  <c r="AA49" i="69"/>
  <c r="AA45" i="69"/>
  <c r="AA53" i="69"/>
  <c r="AA38" i="69"/>
  <c r="AA46" i="69"/>
  <c r="AA54" i="69"/>
  <c r="AA43" i="69"/>
  <c r="AA44" i="69"/>
  <c r="AA47" i="69"/>
  <c r="AA55" i="69"/>
  <c r="AA51" i="69"/>
  <c r="AA37" i="69"/>
  <c r="AA39" i="69"/>
  <c r="AA40" i="69"/>
  <c r="AA48" i="69"/>
  <c r="AA56" i="69"/>
  <c r="AM64" i="16"/>
  <c r="AN64" i="16"/>
  <c r="AM65" i="16"/>
  <c r="AN65" i="16"/>
  <c r="AA39" i="35"/>
  <c r="M39" i="35"/>
  <c r="K39" i="35"/>
  <c r="AA41" i="35"/>
  <c r="K41" i="35"/>
  <c r="M41" i="35"/>
  <c r="K45" i="35"/>
  <c r="M45" i="35"/>
  <c r="AA45" i="35"/>
  <c r="M35" i="35"/>
  <c r="AA35" i="35"/>
  <c r="K35" i="35"/>
  <c r="AB56" i="35"/>
  <c r="AI56" i="35"/>
  <c r="AF56" i="35"/>
  <c r="K41" i="69"/>
  <c r="M41" i="69"/>
  <c r="M42" i="69"/>
  <c r="K42" i="69"/>
  <c r="M50" i="69"/>
  <c r="K50" i="69"/>
  <c r="M36" i="69"/>
  <c r="K36" i="69"/>
  <c r="M52" i="69"/>
  <c r="K52" i="69"/>
  <c r="K49" i="69"/>
  <c r="M49" i="69"/>
  <c r="K45" i="69"/>
  <c r="M45" i="69"/>
  <c r="K53" i="69"/>
  <c r="M53" i="69"/>
  <c r="K38" i="69"/>
  <c r="K46" i="69"/>
  <c r="M46" i="69"/>
  <c r="K54" i="69"/>
  <c r="M43" i="69"/>
  <c r="K43" i="69"/>
  <c r="M44" i="69"/>
  <c r="K44" i="69"/>
  <c r="M47" i="69"/>
  <c r="K47" i="69"/>
  <c r="M55" i="69"/>
  <c r="K55" i="69"/>
  <c r="M51" i="69"/>
  <c r="K51" i="69"/>
  <c r="K37" i="69"/>
  <c r="M37" i="69"/>
  <c r="K39" i="69"/>
  <c r="M40" i="69"/>
  <c r="K40" i="69"/>
  <c r="M48" i="69"/>
  <c r="K48" i="69"/>
  <c r="M56" i="69"/>
  <c r="K56" i="69"/>
  <c r="AH54" i="67"/>
  <c r="AH49" i="67"/>
  <c r="AH47" i="67"/>
  <c r="AH41" i="67"/>
  <c r="M54" i="69"/>
  <c r="M39" i="69"/>
  <c r="M38" i="69"/>
  <c r="N56" i="67"/>
  <c r="I53" i="67"/>
  <c r="J52" i="67"/>
  <c r="L50" i="67"/>
  <c r="N48" i="67"/>
  <c r="I45" i="67"/>
  <c r="J44" i="67"/>
  <c r="L42" i="67"/>
  <c r="N40" i="67"/>
  <c r="I37" i="67"/>
  <c r="J36" i="67"/>
  <c r="I52" i="67"/>
  <c r="J51" i="67"/>
  <c r="L49" i="67"/>
  <c r="N47" i="67"/>
  <c r="I44" i="67"/>
  <c r="J43" i="67"/>
  <c r="L41" i="67"/>
  <c r="N39" i="67"/>
  <c r="I36" i="67"/>
  <c r="J54" i="67"/>
  <c r="J46" i="67"/>
  <c r="I39" i="67"/>
  <c r="L36" i="67"/>
  <c r="I38" i="67"/>
  <c r="N55" i="67"/>
  <c r="L56" i="67"/>
  <c r="N54" i="67"/>
  <c r="I51" i="67"/>
  <c r="J50" i="67"/>
  <c r="L48" i="67"/>
  <c r="N46" i="67"/>
  <c r="I43" i="67"/>
  <c r="J42" i="67"/>
  <c r="L40" i="67"/>
  <c r="N38" i="67"/>
  <c r="N44" i="67"/>
  <c r="N36" i="67"/>
  <c r="J47" i="67"/>
  <c r="L45" i="67"/>
  <c r="I55" i="67"/>
  <c r="L52" i="67"/>
  <c r="N42" i="67"/>
  <c r="L55" i="67"/>
  <c r="N53" i="67"/>
  <c r="I50" i="67"/>
  <c r="J49" i="67"/>
  <c r="L47" i="67"/>
  <c r="N45" i="67"/>
  <c r="I42" i="67"/>
  <c r="J41" i="67"/>
  <c r="L39" i="67"/>
  <c r="N37" i="67"/>
  <c r="I41" i="67"/>
  <c r="L38" i="67"/>
  <c r="N43" i="67"/>
  <c r="L37" i="67"/>
  <c r="J37" i="67"/>
  <c r="J56" i="67"/>
  <c r="L54" i="67"/>
  <c r="N52" i="67"/>
  <c r="I49" i="67"/>
  <c r="J48" i="67"/>
  <c r="L46" i="67"/>
  <c r="J40" i="67"/>
  <c r="J39" i="67"/>
  <c r="I56" i="67"/>
  <c r="J55" i="67"/>
  <c r="L53" i="67"/>
  <c r="N51" i="67"/>
  <c r="I48" i="67"/>
  <c r="I40" i="67"/>
  <c r="N50" i="67"/>
  <c r="I47" i="67"/>
  <c r="L44" i="67"/>
  <c r="J38" i="67"/>
  <c r="N41" i="67"/>
  <c r="I54" i="67"/>
  <c r="J53" i="67"/>
  <c r="L51" i="67"/>
  <c r="N49" i="67"/>
  <c r="I46" i="67"/>
  <c r="J45" i="67"/>
  <c r="L43" i="67"/>
  <c r="AA46" i="67" l="1"/>
  <c r="AA54" i="67"/>
  <c r="AA47" i="67"/>
  <c r="AA40" i="67"/>
  <c r="AA48" i="67"/>
  <c r="AA56" i="67"/>
  <c r="AA49" i="67"/>
  <c r="AA41" i="67"/>
  <c r="AA42" i="67"/>
  <c r="AA50" i="67"/>
  <c r="AA55" i="67"/>
  <c r="AA43" i="67"/>
  <c r="AA51" i="67"/>
  <c r="AA38" i="67"/>
  <c r="AA39" i="67"/>
  <c r="AA36" i="67"/>
  <c r="AA44" i="67"/>
  <c r="AA52" i="67"/>
  <c r="AA37" i="67"/>
  <c r="AA45" i="67"/>
  <c r="AA53" i="67"/>
  <c r="AB51" i="69"/>
  <c r="AF51" i="69"/>
  <c r="AB53" i="69"/>
  <c r="AF53" i="69"/>
  <c r="AB45" i="69"/>
  <c r="AF45" i="69"/>
  <c r="AB47" i="69"/>
  <c r="AF47" i="69"/>
  <c r="AF49" i="69"/>
  <c r="AB56" i="69"/>
  <c r="AF56" i="69"/>
  <c r="AF44" i="69"/>
  <c r="AB44" i="69"/>
  <c r="AF52" i="69"/>
  <c r="AB52" i="69"/>
  <c r="AF48" i="69"/>
  <c r="AB48" i="69"/>
  <c r="AB43" i="69"/>
  <c r="AF43" i="69"/>
  <c r="AF36" i="69"/>
  <c r="AB36" i="69"/>
  <c r="AF55" i="69"/>
  <c r="AB55" i="69"/>
  <c r="AF40" i="69"/>
  <c r="AB40" i="69"/>
  <c r="AB54" i="69"/>
  <c r="AF54" i="69"/>
  <c r="AF50" i="69"/>
  <c r="AB50" i="69"/>
  <c r="AB39" i="69"/>
  <c r="AF39" i="69"/>
  <c r="AF46" i="69"/>
  <c r="AB46" i="69"/>
  <c r="AF42" i="69"/>
  <c r="AB42" i="69"/>
  <c r="AB37" i="69"/>
  <c r="AF37" i="69"/>
  <c r="AF38" i="69"/>
  <c r="AB38" i="69"/>
  <c r="AF41" i="69"/>
  <c r="AM56" i="35"/>
  <c r="AN56" i="35"/>
  <c r="AF41" i="35"/>
  <c r="AB41" i="35"/>
  <c r="AI41" i="35"/>
  <c r="AB35" i="35"/>
  <c r="AF35" i="35"/>
  <c r="AI35" i="35"/>
  <c r="AI45" i="35"/>
  <c r="AF45" i="35"/>
  <c r="AB45" i="35"/>
  <c r="AB39" i="35"/>
  <c r="AI39" i="35"/>
  <c r="AF39" i="35"/>
  <c r="AI53" i="69"/>
  <c r="AI52" i="69"/>
  <c r="AI50" i="69"/>
  <c r="AI51" i="69"/>
  <c r="AI46" i="69"/>
  <c r="AI39" i="69"/>
  <c r="AI55" i="69"/>
  <c r="AI45" i="69"/>
  <c r="AI36" i="69"/>
  <c r="AI42" i="69"/>
  <c r="AI40" i="69"/>
  <c r="AI54" i="69"/>
  <c r="AI48" i="69"/>
  <c r="AI37" i="69"/>
  <c r="AI47" i="69"/>
  <c r="AI43" i="69"/>
  <c r="AI38" i="69"/>
  <c r="AI41" i="69"/>
  <c r="AI49" i="69"/>
  <c r="AI44" i="69"/>
  <c r="AI56" i="69"/>
  <c r="K46" i="67"/>
  <c r="M46" i="67"/>
  <c r="K54" i="67"/>
  <c r="M47" i="67"/>
  <c r="K47" i="67"/>
  <c r="M40" i="67"/>
  <c r="K40" i="67"/>
  <c r="M48" i="67"/>
  <c r="K48" i="67"/>
  <c r="M56" i="67"/>
  <c r="K56" i="67"/>
  <c r="M49" i="67"/>
  <c r="K49" i="67"/>
  <c r="M41" i="67"/>
  <c r="K41" i="67"/>
  <c r="K42" i="67"/>
  <c r="M42" i="67"/>
  <c r="K50" i="67"/>
  <c r="M50" i="67"/>
  <c r="M55" i="67"/>
  <c r="K55" i="67"/>
  <c r="K43" i="67"/>
  <c r="M43" i="67"/>
  <c r="K51" i="67"/>
  <c r="M51" i="67"/>
  <c r="K38" i="67"/>
  <c r="K39" i="67"/>
  <c r="M36" i="67"/>
  <c r="K36" i="67"/>
  <c r="M44" i="67"/>
  <c r="K44" i="67"/>
  <c r="M52" i="67"/>
  <c r="K52" i="67"/>
  <c r="M37" i="67"/>
  <c r="K37" i="67"/>
  <c r="M45" i="67"/>
  <c r="K45" i="67"/>
  <c r="M53" i="67"/>
  <c r="K53" i="67"/>
  <c r="AH75" i="65"/>
  <c r="AE75" i="65"/>
  <c r="M39" i="67"/>
  <c r="M38" i="67"/>
  <c r="M54" i="67"/>
  <c r="N90" i="65"/>
  <c r="I87" i="65"/>
  <c r="J86" i="65"/>
  <c r="L81" i="65"/>
  <c r="N79" i="65"/>
  <c r="I89" i="65"/>
  <c r="N81" i="65"/>
  <c r="I75" i="65"/>
  <c r="N89" i="65"/>
  <c r="I86" i="65"/>
  <c r="J82" i="65"/>
  <c r="L80" i="65"/>
  <c r="N78" i="65"/>
  <c r="J89" i="65"/>
  <c r="I79" i="65"/>
  <c r="L90" i="65"/>
  <c r="N88" i="65"/>
  <c r="I82" i="65"/>
  <c r="J81" i="65"/>
  <c r="L79" i="65"/>
  <c r="N75" i="65"/>
  <c r="J80" i="65"/>
  <c r="L78" i="65"/>
  <c r="L88" i="65"/>
  <c r="I80" i="65"/>
  <c r="L86" i="65"/>
  <c r="L89" i="65"/>
  <c r="N87" i="65"/>
  <c r="I81" i="65"/>
  <c r="L75" i="65"/>
  <c r="L87" i="65"/>
  <c r="J78" i="65"/>
  <c r="I78" i="65"/>
  <c r="J90" i="65"/>
  <c r="N86" i="65"/>
  <c r="J79" i="65"/>
  <c r="N82" i="65"/>
  <c r="J88" i="65"/>
  <c r="I90" i="65"/>
  <c r="J75" i="65"/>
  <c r="N80" i="65"/>
  <c r="I88" i="65"/>
  <c r="J87" i="65"/>
  <c r="L82" i="65"/>
  <c r="AA88" i="65" l="1"/>
  <c r="AA90" i="65"/>
  <c r="AA78" i="65"/>
  <c r="AA81" i="65"/>
  <c r="AA80" i="65"/>
  <c r="AA82" i="65"/>
  <c r="AA79" i="65"/>
  <c r="AA86" i="65"/>
  <c r="AA89" i="65"/>
  <c r="AA87" i="65"/>
  <c r="AB36" i="67"/>
  <c r="AF36" i="67"/>
  <c r="AF41" i="67"/>
  <c r="AB39" i="67"/>
  <c r="AF39" i="67"/>
  <c r="AF49" i="67"/>
  <c r="AF38" i="67"/>
  <c r="AF56" i="67"/>
  <c r="AB53" i="67"/>
  <c r="AF53" i="67"/>
  <c r="AF51" i="67"/>
  <c r="AF48" i="67"/>
  <c r="AB45" i="67"/>
  <c r="AF45" i="67"/>
  <c r="AB43" i="67"/>
  <c r="AF43" i="67"/>
  <c r="AF40" i="67"/>
  <c r="AB37" i="67"/>
  <c r="AF37" i="67"/>
  <c r="AF55" i="67"/>
  <c r="AB47" i="67"/>
  <c r="AF47" i="67"/>
  <c r="AF52" i="67"/>
  <c r="AF50" i="67"/>
  <c r="AB54" i="67"/>
  <c r="AF54" i="67"/>
  <c r="AB44" i="67"/>
  <c r="AF44" i="67"/>
  <c r="AB42" i="67"/>
  <c r="AF42" i="67"/>
  <c r="AB46" i="67"/>
  <c r="AF46" i="67"/>
  <c r="AM39" i="35"/>
  <c r="AN39" i="35"/>
  <c r="AN35" i="35"/>
  <c r="AM35" i="35"/>
  <c r="AN45" i="35"/>
  <c r="AM45" i="35"/>
  <c r="AM41" i="35"/>
  <c r="AN41" i="35"/>
  <c r="AM51" i="69"/>
  <c r="AN54" i="69"/>
  <c r="AM54" i="69"/>
  <c r="AM52" i="69"/>
  <c r="AM45" i="69"/>
  <c r="AN42" i="69"/>
  <c r="AM42" i="69"/>
  <c r="AM37" i="69"/>
  <c r="AM50" i="69"/>
  <c r="AN43" i="69"/>
  <c r="AM43" i="69"/>
  <c r="AM48" i="69"/>
  <c r="AM53" i="69"/>
  <c r="AM38" i="69"/>
  <c r="AN38" i="69"/>
  <c r="AN36" i="69"/>
  <c r="AM36" i="69"/>
  <c r="AM46" i="69"/>
  <c r="AM44" i="69"/>
  <c r="AM39" i="69"/>
  <c r="AN47" i="69"/>
  <c r="AM47" i="69"/>
  <c r="AM55" i="69"/>
  <c r="AM56" i="69"/>
  <c r="AM40" i="69"/>
  <c r="AI41" i="67"/>
  <c r="AI36" i="67"/>
  <c r="AI37" i="67"/>
  <c r="AI47" i="67"/>
  <c r="AI40" i="67"/>
  <c r="AI54" i="67"/>
  <c r="AI51" i="67"/>
  <c r="AI49" i="67"/>
  <c r="AI38" i="67"/>
  <c r="AI48" i="67"/>
  <c r="AI52" i="67"/>
  <c r="AI42" i="67"/>
  <c r="AI56" i="67"/>
  <c r="AI55" i="67"/>
  <c r="AI53" i="67"/>
  <c r="AI50" i="67"/>
  <c r="AI43" i="67"/>
  <c r="AI39" i="67"/>
  <c r="AI45" i="67"/>
  <c r="AI44" i="67"/>
  <c r="AI46" i="67"/>
  <c r="K88" i="65"/>
  <c r="K90" i="65"/>
  <c r="K78" i="65"/>
  <c r="M78" i="65"/>
  <c r="M81" i="65"/>
  <c r="K81" i="65"/>
  <c r="M80" i="65"/>
  <c r="K80" i="65"/>
  <c r="K82" i="65"/>
  <c r="M82" i="65"/>
  <c r="M79" i="65"/>
  <c r="K79" i="65"/>
  <c r="M86" i="65"/>
  <c r="K86" i="65"/>
  <c r="AA75" i="65"/>
  <c r="M75" i="65"/>
  <c r="K75" i="65"/>
  <c r="K89" i="65"/>
  <c r="K87" i="65"/>
  <c r="AH67" i="65"/>
  <c r="AH66" i="65"/>
  <c r="AH65" i="65"/>
  <c r="AH64" i="65"/>
  <c r="AH63" i="65"/>
  <c r="AH54" i="65"/>
  <c r="AH49" i="65"/>
  <c r="AH47" i="65"/>
  <c r="AH41" i="65"/>
  <c r="AH66" i="26"/>
  <c r="AH62" i="26"/>
  <c r="AH57" i="26"/>
  <c r="AH39" i="26"/>
  <c r="AH36" i="26"/>
  <c r="AE36" i="26"/>
  <c r="M87" i="65"/>
  <c r="I66" i="65"/>
  <c r="J65" i="65"/>
  <c r="L63" i="65"/>
  <c r="N61" i="65"/>
  <c r="I54" i="65"/>
  <c r="J53" i="65"/>
  <c r="L51" i="65"/>
  <c r="N49" i="65"/>
  <c r="I46" i="65"/>
  <c r="J45" i="65"/>
  <c r="L43" i="65"/>
  <c r="N41" i="65"/>
  <c r="I38" i="65"/>
  <c r="J37" i="65"/>
  <c r="N38" i="65"/>
  <c r="J39" i="65"/>
  <c r="M88" i="65"/>
  <c r="N68" i="65"/>
  <c r="I65" i="65"/>
  <c r="J64" i="65"/>
  <c r="L62" i="65"/>
  <c r="N56" i="65"/>
  <c r="I53" i="65"/>
  <c r="J52" i="65"/>
  <c r="L50" i="65"/>
  <c r="N48" i="65"/>
  <c r="I45" i="65"/>
  <c r="J44" i="65"/>
  <c r="L42" i="65"/>
  <c r="N40" i="65"/>
  <c r="I37" i="65"/>
  <c r="J36" i="65"/>
  <c r="I43" i="65"/>
  <c r="N36" i="65"/>
  <c r="N67" i="65"/>
  <c r="I64" i="65"/>
  <c r="J63" i="65"/>
  <c r="L61" i="65"/>
  <c r="N55" i="65"/>
  <c r="I52" i="65"/>
  <c r="J51" i="65"/>
  <c r="L49" i="65"/>
  <c r="N47" i="65"/>
  <c r="I44" i="65"/>
  <c r="J43" i="65"/>
  <c r="L41" i="65"/>
  <c r="N39" i="65"/>
  <c r="I36" i="65"/>
  <c r="L39" i="65"/>
  <c r="I41" i="65"/>
  <c r="L38" i="65"/>
  <c r="I48" i="65"/>
  <c r="N43" i="65"/>
  <c r="M90" i="65"/>
  <c r="L68" i="65"/>
  <c r="N66" i="65"/>
  <c r="I63" i="65"/>
  <c r="J62" i="65"/>
  <c r="L56" i="65"/>
  <c r="N54" i="65"/>
  <c r="I51" i="65"/>
  <c r="J50" i="65"/>
  <c r="L48" i="65"/>
  <c r="N46" i="65"/>
  <c r="J42" i="65"/>
  <c r="L40" i="65"/>
  <c r="J40" i="65"/>
  <c r="N63" i="65"/>
  <c r="M89" i="65"/>
  <c r="L67" i="65"/>
  <c r="N65" i="65"/>
  <c r="I62" i="65"/>
  <c r="J61" i="65"/>
  <c r="L55" i="65"/>
  <c r="N53" i="65"/>
  <c r="I50" i="65"/>
  <c r="J49" i="65"/>
  <c r="L47" i="65"/>
  <c r="N45" i="65"/>
  <c r="I42" i="65"/>
  <c r="J41" i="65"/>
  <c r="N37" i="65"/>
  <c r="L53" i="65"/>
  <c r="J47" i="65"/>
  <c r="J68" i="65"/>
  <c r="L66" i="65"/>
  <c r="N64" i="65"/>
  <c r="I61" i="65"/>
  <c r="J56" i="65"/>
  <c r="L54" i="65"/>
  <c r="N52" i="65"/>
  <c r="I49" i="65"/>
  <c r="J48" i="65"/>
  <c r="L46" i="65"/>
  <c r="N44" i="65"/>
  <c r="L45" i="65"/>
  <c r="L37" i="65"/>
  <c r="I68" i="65"/>
  <c r="J67" i="65"/>
  <c r="L65" i="65"/>
  <c r="I56" i="65"/>
  <c r="J55" i="65"/>
  <c r="N51" i="65"/>
  <c r="I67" i="65"/>
  <c r="J66" i="65"/>
  <c r="L64" i="65"/>
  <c r="N62" i="65"/>
  <c r="I55" i="65"/>
  <c r="J54" i="65"/>
  <c r="L52" i="65"/>
  <c r="N50" i="65"/>
  <c r="I47" i="65"/>
  <c r="J46" i="65"/>
  <c r="L44" i="65"/>
  <c r="N42" i="65"/>
  <c r="I39" i="65"/>
  <c r="J38" i="65"/>
  <c r="L36" i="65"/>
  <c r="I40" i="65"/>
  <c r="L66" i="26"/>
  <c r="N64" i="26"/>
  <c r="I61" i="26"/>
  <c r="J60" i="26"/>
  <c r="L58" i="26"/>
  <c r="N56" i="26"/>
  <c r="I53" i="26"/>
  <c r="J52" i="26"/>
  <c r="L47" i="26"/>
  <c r="N45" i="26"/>
  <c r="I42" i="26"/>
  <c r="J41" i="26"/>
  <c r="L39" i="26"/>
  <c r="J67" i="26"/>
  <c r="L65" i="26"/>
  <c r="N63" i="26"/>
  <c r="I60" i="26"/>
  <c r="J59" i="26"/>
  <c r="L57" i="26"/>
  <c r="N55" i="26"/>
  <c r="I52" i="26"/>
  <c r="J51" i="26"/>
  <c r="L46" i="26"/>
  <c r="N44" i="26"/>
  <c r="I41" i="26"/>
  <c r="J40" i="26"/>
  <c r="L36" i="26"/>
  <c r="I67" i="26"/>
  <c r="J66" i="26"/>
  <c r="L64" i="26"/>
  <c r="N62" i="26"/>
  <c r="I59" i="26"/>
  <c r="J58" i="26"/>
  <c r="L56" i="26"/>
  <c r="N54" i="26"/>
  <c r="I51" i="26"/>
  <c r="J47" i="26"/>
  <c r="L45" i="26"/>
  <c r="N43" i="26"/>
  <c r="I40" i="26"/>
  <c r="J39" i="26"/>
  <c r="I66" i="26"/>
  <c r="J65" i="26"/>
  <c r="L63" i="26"/>
  <c r="N61" i="26"/>
  <c r="I58" i="26"/>
  <c r="J57" i="26"/>
  <c r="L55" i="26"/>
  <c r="N53" i="26"/>
  <c r="I47" i="26"/>
  <c r="J46" i="26"/>
  <c r="L44" i="26"/>
  <c r="N42" i="26"/>
  <c r="I39" i="26"/>
  <c r="J36" i="26"/>
  <c r="I65" i="26"/>
  <c r="J64" i="26"/>
  <c r="L62" i="26"/>
  <c r="N60" i="26"/>
  <c r="I57" i="26"/>
  <c r="J56" i="26"/>
  <c r="L54" i="26"/>
  <c r="N52" i="26"/>
  <c r="I46" i="26"/>
  <c r="J45" i="26"/>
  <c r="L43" i="26"/>
  <c r="N41" i="26"/>
  <c r="I36" i="26"/>
  <c r="N67" i="26"/>
  <c r="I64" i="26"/>
  <c r="J63" i="26"/>
  <c r="L61" i="26"/>
  <c r="N59" i="26"/>
  <c r="I56" i="26"/>
  <c r="J55" i="26"/>
  <c r="L53" i="26"/>
  <c r="N51" i="26"/>
  <c r="I45" i="26"/>
  <c r="J44" i="26"/>
  <c r="L42" i="26"/>
  <c r="N40" i="26"/>
  <c r="N66" i="26"/>
  <c r="I63" i="26"/>
  <c r="J62" i="26"/>
  <c r="L60" i="26"/>
  <c r="N58" i="26"/>
  <c r="I55" i="26"/>
  <c r="J54" i="26"/>
  <c r="L52" i="26"/>
  <c r="N47" i="26"/>
  <c r="I44" i="26"/>
  <c r="J43" i="26"/>
  <c r="L41" i="26"/>
  <c r="N39" i="26"/>
  <c r="L67" i="26"/>
  <c r="N65" i="26"/>
  <c r="I62" i="26"/>
  <c r="J61" i="26"/>
  <c r="L59" i="26"/>
  <c r="N57" i="26"/>
  <c r="I54" i="26"/>
  <c r="J53" i="26"/>
  <c r="L51" i="26"/>
  <c r="N46" i="26"/>
  <c r="I43" i="26"/>
  <c r="J42" i="26"/>
  <c r="L40" i="26"/>
  <c r="N36" i="26"/>
  <c r="AA43" i="26" l="1"/>
  <c r="AA54" i="26"/>
  <c r="AA62" i="26"/>
  <c r="AA44" i="26"/>
  <c r="AA55" i="26"/>
  <c r="AA63" i="26"/>
  <c r="AA45" i="26"/>
  <c r="AA56" i="26"/>
  <c r="AA64" i="26"/>
  <c r="AA46" i="26"/>
  <c r="AA57" i="26"/>
  <c r="AA65" i="26"/>
  <c r="AA39" i="26"/>
  <c r="AA47" i="26"/>
  <c r="AA58" i="26"/>
  <c r="AA66" i="26"/>
  <c r="AA40" i="26"/>
  <c r="AA51" i="26"/>
  <c r="AA59" i="26"/>
  <c r="AA67" i="26"/>
  <c r="AA41" i="26"/>
  <c r="AA52" i="26"/>
  <c r="AA60" i="26"/>
  <c r="AA42" i="26"/>
  <c r="AA53" i="26"/>
  <c r="AA61" i="26"/>
  <c r="AA40" i="65"/>
  <c r="AA39" i="65"/>
  <c r="AA47" i="65"/>
  <c r="AA55" i="65"/>
  <c r="AA67" i="65"/>
  <c r="AA56" i="65"/>
  <c r="AA68" i="65"/>
  <c r="AA49" i="65"/>
  <c r="AA61" i="65"/>
  <c r="AA42" i="65"/>
  <c r="AA50" i="65"/>
  <c r="AA62" i="65"/>
  <c r="AA51" i="65"/>
  <c r="AA63" i="65"/>
  <c r="AA48" i="65"/>
  <c r="AA41" i="65"/>
  <c r="AA36" i="65"/>
  <c r="AA44" i="65"/>
  <c r="AA52" i="65"/>
  <c r="AA64" i="65"/>
  <c r="AA43" i="65"/>
  <c r="AA37" i="65"/>
  <c r="AA45" i="65"/>
  <c r="AA53" i="65"/>
  <c r="AA65" i="65"/>
  <c r="AA38" i="65"/>
  <c r="AA46" i="65"/>
  <c r="AA54" i="65"/>
  <c r="AA66" i="65"/>
  <c r="AF86" i="65"/>
  <c r="AB86" i="65"/>
  <c r="AF79" i="65"/>
  <c r="AF82" i="65"/>
  <c r="AF80" i="65"/>
  <c r="AB80" i="65"/>
  <c r="AF81" i="65"/>
  <c r="AF78" i="65"/>
  <c r="AB87" i="65"/>
  <c r="AF87" i="65"/>
  <c r="AF90" i="65"/>
  <c r="AB89" i="65"/>
  <c r="AF89" i="65"/>
  <c r="AF88" i="65"/>
  <c r="AB88" i="65"/>
  <c r="AN47" i="67"/>
  <c r="AM47" i="67"/>
  <c r="AM54" i="67"/>
  <c r="AN54" i="67"/>
  <c r="AM36" i="67"/>
  <c r="AM43" i="67"/>
  <c r="AM44" i="67"/>
  <c r="AM39" i="67"/>
  <c r="AM42" i="67"/>
  <c r="AM46" i="67"/>
  <c r="AM45" i="67"/>
  <c r="AM53" i="67"/>
  <c r="AM37" i="67"/>
  <c r="M40" i="65"/>
  <c r="K40" i="65"/>
  <c r="K39" i="65"/>
  <c r="M47" i="65"/>
  <c r="K47" i="65"/>
  <c r="M55" i="65"/>
  <c r="K55" i="65"/>
  <c r="M67" i="65"/>
  <c r="K67" i="65"/>
  <c r="M56" i="65"/>
  <c r="K56" i="65"/>
  <c r="M68" i="65"/>
  <c r="K68" i="65"/>
  <c r="M49" i="65"/>
  <c r="K49" i="65"/>
  <c r="M61" i="65"/>
  <c r="K61" i="65"/>
  <c r="M42" i="65"/>
  <c r="K42" i="65"/>
  <c r="M50" i="65"/>
  <c r="K50" i="65"/>
  <c r="M62" i="65"/>
  <c r="K62" i="65"/>
  <c r="K51" i="65"/>
  <c r="M51" i="65"/>
  <c r="K63" i="65"/>
  <c r="M63" i="65"/>
  <c r="M48" i="65"/>
  <c r="K48" i="65"/>
  <c r="K41" i="65"/>
  <c r="M41" i="65"/>
  <c r="K36" i="65"/>
  <c r="M36" i="65"/>
  <c r="K44" i="65"/>
  <c r="M44" i="65"/>
  <c r="K52" i="65"/>
  <c r="M52" i="65"/>
  <c r="K64" i="65"/>
  <c r="K43" i="65"/>
  <c r="M43" i="65"/>
  <c r="M37" i="65"/>
  <c r="K37" i="65"/>
  <c r="M45" i="65"/>
  <c r="K45" i="65"/>
  <c r="M53" i="65"/>
  <c r="K53" i="65"/>
  <c r="K65" i="65"/>
  <c r="K38" i="65"/>
  <c r="M46" i="65"/>
  <c r="K46" i="65"/>
  <c r="K54" i="65"/>
  <c r="M66" i="65"/>
  <c r="K66" i="65"/>
  <c r="AI87" i="65"/>
  <c r="AI86" i="65"/>
  <c r="AI80" i="65"/>
  <c r="AI78" i="65"/>
  <c r="AI90" i="65"/>
  <c r="AI89" i="65"/>
  <c r="AI81" i="65"/>
  <c r="AI79" i="65"/>
  <c r="AB75" i="65"/>
  <c r="AI75" i="65"/>
  <c r="AF75" i="65"/>
  <c r="AI82" i="65"/>
  <c r="AI88" i="65"/>
  <c r="M43" i="26"/>
  <c r="K43" i="26"/>
  <c r="M54" i="26"/>
  <c r="K54" i="26"/>
  <c r="K62" i="26"/>
  <c r="M44" i="26"/>
  <c r="K44" i="26"/>
  <c r="M55" i="26"/>
  <c r="K55" i="26"/>
  <c r="K63" i="26"/>
  <c r="M45" i="26"/>
  <c r="K45" i="26"/>
  <c r="M56" i="26"/>
  <c r="K56" i="26"/>
  <c r="K64" i="26"/>
  <c r="M36" i="26"/>
  <c r="K36" i="26"/>
  <c r="AA36" i="26"/>
  <c r="M46" i="26"/>
  <c r="K46" i="26"/>
  <c r="K57" i="26"/>
  <c r="K65" i="26"/>
  <c r="K39" i="26"/>
  <c r="M39" i="26"/>
  <c r="K47" i="26"/>
  <c r="M47" i="26"/>
  <c r="K58" i="26"/>
  <c r="K66" i="26"/>
  <c r="M66" i="26"/>
  <c r="K40" i="26"/>
  <c r="M40" i="26"/>
  <c r="K51" i="26"/>
  <c r="K59" i="26"/>
  <c r="K67" i="26"/>
  <c r="M67" i="26"/>
  <c r="M41" i="26"/>
  <c r="K41" i="26"/>
  <c r="K52" i="26"/>
  <c r="K60" i="26"/>
  <c r="M42" i="26"/>
  <c r="K42" i="26"/>
  <c r="M53" i="26"/>
  <c r="K53" i="26"/>
  <c r="K61" i="26"/>
  <c r="M65" i="65"/>
  <c r="M64" i="65"/>
  <c r="M38" i="65"/>
  <c r="M54" i="65"/>
  <c r="M39" i="65"/>
  <c r="M63" i="26"/>
  <c r="M64" i="26"/>
  <c r="M51" i="26"/>
  <c r="M57" i="26"/>
  <c r="M65" i="26"/>
  <c r="M60" i="26"/>
  <c r="M52" i="26"/>
  <c r="M59" i="26"/>
  <c r="M58" i="26"/>
  <c r="M61" i="26"/>
  <c r="M62" i="26"/>
  <c r="AF37" i="65" l="1"/>
  <c r="AB37" i="65"/>
  <c r="AF63" i="65"/>
  <c r="AF56" i="65"/>
  <c r="AF42" i="26"/>
  <c r="AF66" i="26"/>
  <c r="AF56" i="26"/>
  <c r="AB66" i="65"/>
  <c r="AF66" i="65"/>
  <c r="AF43" i="65"/>
  <c r="AB43" i="65"/>
  <c r="AF51" i="65"/>
  <c r="AF67" i="65"/>
  <c r="AB67" i="65"/>
  <c r="AF60" i="26"/>
  <c r="AF58" i="26"/>
  <c r="AF45" i="26"/>
  <c r="AB54" i="65"/>
  <c r="AF54" i="65"/>
  <c r="AB64" i="65"/>
  <c r="AF64" i="65"/>
  <c r="AF62" i="65"/>
  <c r="AF55" i="65"/>
  <c r="AF52" i="26"/>
  <c r="AF47" i="26"/>
  <c r="AF63" i="26"/>
  <c r="AB46" i="65"/>
  <c r="AF46" i="65"/>
  <c r="AF52" i="65"/>
  <c r="AF50" i="65"/>
  <c r="AF47" i="65"/>
  <c r="AB47" i="65"/>
  <c r="AF41" i="26"/>
  <c r="AF39" i="26"/>
  <c r="AF55" i="26"/>
  <c r="AF38" i="65"/>
  <c r="AB44" i="65"/>
  <c r="AF44" i="65"/>
  <c r="AB42" i="65"/>
  <c r="AF42" i="65"/>
  <c r="AF39" i="65"/>
  <c r="AB39" i="65"/>
  <c r="AF67" i="26"/>
  <c r="AF65" i="26"/>
  <c r="AF44" i="26"/>
  <c r="AF65" i="65"/>
  <c r="AB65" i="65"/>
  <c r="AB36" i="65"/>
  <c r="AF36" i="65"/>
  <c r="AF61" i="65"/>
  <c r="AB61" i="65"/>
  <c r="AF40" i="65"/>
  <c r="AF59" i="26"/>
  <c r="AF57" i="26"/>
  <c r="AF62" i="26"/>
  <c r="AF53" i="65"/>
  <c r="AB53" i="65"/>
  <c r="AF41" i="65"/>
  <c r="AF49" i="65"/>
  <c r="AF61" i="26"/>
  <c r="AF51" i="26"/>
  <c r="AF46" i="26"/>
  <c r="AF54" i="26"/>
  <c r="AB45" i="65"/>
  <c r="AF45" i="65"/>
  <c r="AF48" i="65"/>
  <c r="AF68" i="65"/>
  <c r="AF53" i="26"/>
  <c r="AF40" i="26"/>
  <c r="AF64" i="26"/>
  <c r="AF43" i="26"/>
  <c r="AI54" i="65"/>
  <c r="AM88" i="65"/>
  <c r="AM75" i="65"/>
  <c r="AN75" i="65"/>
  <c r="AM87" i="65"/>
  <c r="AI37" i="65"/>
  <c r="AI41" i="65"/>
  <c r="AI49" i="65"/>
  <c r="AI56" i="65"/>
  <c r="AI47" i="65"/>
  <c r="AI53" i="65"/>
  <c r="AI43" i="65"/>
  <c r="AI44" i="65"/>
  <c r="AI51" i="65"/>
  <c r="AI66" i="65"/>
  <c r="AI38" i="65"/>
  <c r="AI42" i="65"/>
  <c r="AI67" i="65"/>
  <c r="AM86" i="65"/>
  <c r="AI62" i="65"/>
  <c r="AI39" i="65"/>
  <c r="AM89" i="65"/>
  <c r="AI46" i="65"/>
  <c r="AM80" i="65"/>
  <c r="AI45" i="65"/>
  <c r="AI64" i="65"/>
  <c r="AI48" i="65"/>
  <c r="AI61" i="65"/>
  <c r="AI68" i="65"/>
  <c r="AI36" i="65"/>
  <c r="AI55" i="65"/>
  <c r="AI65" i="65"/>
  <c r="AI52" i="65"/>
  <c r="AI63" i="65"/>
  <c r="AI50" i="65"/>
  <c r="AI40" i="65"/>
  <c r="AI51" i="26"/>
  <c r="AI56" i="26"/>
  <c r="AI63" i="26"/>
  <c r="AI65" i="26"/>
  <c r="AI62" i="26"/>
  <c r="AI61" i="26"/>
  <c r="AI45" i="26"/>
  <c r="AI55" i="26"/>
  <c r="AI40" i="26"/>
  <c r="AI57" i="26"/>
  <c r="AI54" i="26"/>
  <c r="AI58" i="26"/>
  <c r="AI36" i="26"/>
  <c r="AF36" i="26"/>
  <c r="AB36" i="26"/>
  <c r="AI47" i="26"/>
  <c r="AI52" i="26"/>
  <c r="AI59" i="26"/>
  <c r="AI64" i="26"/>
  <c r="AI41" i="26"/>
  <c r="AI60" i="26"/>
  <c r="AI53" i="26"/>
  <c r="AI66" i="26"/>
  <c r="AI44" i="26"/>
  <c r="AI67" i="26"/>
  <c r="AI42" i="26"/>
  <c r="AI39" i="26"/>
  <c r="AI46" i="26"/>
  <c r="AI43" i="26"/>
  <c r="J7" i="5"/>
  <c r="D7" i="5"/>
  <c r="G7" i="5"/>
  <c r="C13" i="5"/>
  <c r="AD16" i="54" l="1"/>
  <c r="AD16" i="63"/>
  <c r="AD16" i="61"/>
  <c r="AD16" i="53"/>
  <c r="AD16" i="52"/>
  <c r="AD16" i="51"/>
  <c r="AD16" i="9"/>
  <c r="AD16" i="18"/>
  <c r="AD16" i="29"/>
  <c r="AD16" i="4"/>
  <c r="AD16" i="21"/>
  <c r="AD16" i="7"/>
  <c r="AD16" i="36"/>
  <c r="AD16" i="30"/>
  <c r="AD16" i="20"/>
  <c r="AC16" i="24"/>
  <c r="AD16" i="33"/>
  <c r="AD16" i="25"/>
  <c r="AD16" i="23"/>
  <c r="AD16" i="15"/>
  <c r="AD16" i="32"/>
  <c r="AD16" i="34"/>
  <c r="AD16" i="28"/>
  <c r="AD16" i="11"/>
  <c r="AD16" i="27"/>
  <c r="AD16" i="19"/>
  <c r="AD16" i="22"/>
  <c r="AD16" i="16"/>
  <c r="AD16" i="31"/>
  <c r="AD16" i="35"/>
  <c r="AD16" i="69"/>
  <c r="AD16" i="67"/>
  <c r="AD16" i="65"/>
  <c r="AD16" i="26"/>
  <c r="AG16" i="54"/>
  <c r="AG16" i="63"/>
  <c r="AG16" i="61"/>
  <c r="AG16" i="53"/>
  <c r="AG16" i="52"/>
  <c r="AG16" i="51"/>
  <c r="AG16" i="9"/>
  <c r="AG16" i="18"/>
  <c r="AG16" i="29"/>
  <c r="AG16" i="4"/>
  <c r="AG16" i="21"/>
  <c r="AG16" i="7"/>
  <c r="AG16" i="36"/>
  <c r="AG16" i="30"/>
  <c r="AG16" i="20"/>
  <c r="AF16" i="24"/>
  <c r="AG16" i="33"/>
  <c r="AG16" i="25"/>
  <c r="AG16" i="23"/>
  <c r="AG16" i="15"/>
  <c r="AG16" i="32"/>
  <c r="AG16" i="34"/>
  <c r="AG16" i="28"/>
  <c r="AG16" i="11"/>
  <c r="AG16" i="27"/>
  <c r="AG16" i="19"/>
  <c r="AG16" i="22"/>
  <c r="AG16" i="16"/>
  <c r="AG16" i="31"/>
  <c r="AG16" i="35"/>
  <c r="AG16" i="69"/>
  <c r="AG16" i="67"/>
  <c r="AG16" i="65"/>
  <c r="AG16" i="26"/>
  <c r="AN65" i="65"/>
  <c r="AM65" i="65"/>
  <c r="AM36" i="65"/>
  <c r="AN64" i="65"/>
  <c r="AM64" i="65"/>
  <c r="AM67" i="65"/>
  <c r="AN67" i="65"/>
  <c r="AM43" i="65"/>
  <c r="AM42" i="65"/>
  <c r="AM37" i="65"/>
  <c r="AM39" i="65"/>
  <c r="AM47" i="65"/>
  <c r="AN47" i="65"/>
  <c r="AM45" i="65"/>
  <c r="AM46" i="65"/>
  <c r="AN66" i="65"/>
  <c r="AM66" i="65"/>
  <c r="AM44" i="65"/>
  <c r="AN54" i="65"/>
  <c r="AM54" i="65"/>
  <c r="AM61" i="65"/>
  <c r="AM53" i="65"/>
  <c r="AN36" i="26"/>
  <c r="AM36" i="26"/>
  <c r="D10" i="5"/>
  <c r="D6" i="5"/>
  <c r="Z175" i="17" l="1"/>
  <c r="Y175" i="17"/>
  <c r="X175" i="17"/>
  <c r="W175" i="17"/>
  <c r="V175" i="17"/>
  <c r="U175" i="17"/>
  <c r="T175" i="17"/>
  <c r="S175" i="17"/>
  <c r="R175" i="17"/>
  <c r="Q175" i="17"/>
  <c r="P175" i="17"/>
  <c r="Z174" i="17"/>
  <c r="Y174" i="17"/>
  <c r="X174" i="17"/>
  <c r="W174" i="17"/>
  <c r="V174" i="17"/>
  <c r="U174" i="17"/>
  <c r="T174" i="17"/>
  <c r="S174" i="17"/>
  <c r="R174" i="17"/>
  <c r="Q174" i="17"/>
  <c r="P174" i="17"/>
  <c r="Z173" i="17"/>
  <c r="Y173" i="17"/>
  <c r="X173" i="17"/>
  <c r="W173" i="17"/>
  <c r="V173" i="17"/>
  <c r="U173" i="17"/>
  <c r="T173" i="17"/>
  <c r="S173" i="17"/>
  <c r="R173" i="17"/>
  <c r="Q173" i="17"/>
  <c r="P173" i="17"/>
  <c r="O174" i="17"/>
  <c r="O173" i="17"/>
  <c r="M146" i="17" l="1"/>
  <c r="M137" i="17"/>
  <c r="AH128" i="17"/>
  <c r="M128" i="17"/>
  <c r="AH119" i="17"/>
  <c r="M119" i="17"/>
  <c r="L128" i="17"/>
  <c r="N119" i="17"/>
  <c r="L119" i="17"/>
  <c r="N137" i="17"/>
  <c r="N128" i="17"/>
  <c r="N146" i="17"/>
  <c r="L137" i="17"/>
  <c r="L146" i="17"/>
  <c r="AA175" i="17" l="1"/>
  <c r="AA174" i="17"/>
  <c r="AA173" i="17"/>
  <c r="AI137" i="17"/>
  <c r="AI128" i="17"/>
  <c r="AI119" i="17"/>
  <c r="AI146" i="17" l="1"/>
  <c r="AH79" i="17" l="1"/>
  <c r="AH88" i="17"/>
  <c r="AH91" i="17"/>
  <c r="AH85" i="17"/>
  <c r="L92" i="17"/>
  <c r="N84" i="17"/>
  <c r="J80" i="17"/>
  <c r="I90" i="17"/>
  <c r="J92" i="17"/>
  <c r="J82" i="17"/>
  <c r="J85" i="17"/>
  <c r="L90" i="17"/>
  <c r="L83" i="17"/>
  <c r="L86" i="17"/>
  <c r="I86" i="17"/>
  <c r="I80" i="17"/>
  <c r="J89" i="17"/>
  <c r="J81" i="17"/>
  <c r="J83" i="17"/>
  <c r="L80" i="17"/>
  <c r="L81" i="17"/>
  <c r="N85" i="17"/>
  <c r="I84" i="17"/>
  <c r="I82" i="17"/>
  <c r="I81" i="17"/>
  <c r="I92" i="17"/>
  <c r="N86" i="17"/>
  <c r="N82" i="17"/>
  <c r="N91" i="17"/>
  <c r="L91" i="17"/>
  <c r="L82" i="17"/>
  <c r="J90" i="17"/>
  <c r="I85" i="17"/>
  <c r="N89" i="17"/>
  <c r="I91" i="17"/>
  <c r="N92" i="17"/>
  <c r="N83" i="17"/>
  <c r="N80" i="17"/>
  <c r="L85" i="17"/>
  <c r="L89" i="17"/>
  <c r="N90" i="17"/>
  <c r="J91" i="17"/>
  <c r="I89" i="17"/>
  <c r="I83" i="17"/>
  <c r="N81" i="17"/>
  <c r="J86" i="17"/>
  <c r="J84" i="17"/>
  <c r="L84" i="17"/>
  <c r="AI84" i="17" l="1"/>
  <c r="AI85" i="17"/>
  <c r="AI91" i="17"/>
  <c r="AI82" i="17"/>
  <c r="AI80" i="17"/>
  <c r="AI90" i="17"/>
  <c r="AI89" i="17"/>
  <c r="AI81" i="17"/>
  <c r="AI83" i="17"/>
  <c r="M84" i="17"/>
  <c r="M90" i="17"/>
  <c r="M92" i="17"/>
  <c r="M86" i="17"/>
  <c r="M80" i="17"/>
  <c r="M85" i="17"/>
  <c r="M91" i="17"/>
  <c r="M81" i="17"/>
  <c r="M83" i="17"/>
  <c r="M82" i="17"/>
  <c r="M89" i="17"/>
  <c r="AI86" i="17" l="1"/>
  <c r="AI92" i="17"/>
  <c r="G87" i="17" l="1"/>
  <c r="G78" i="17"/>
  <c r="Q6" i="5"/>
  <c r="AG118" i="70" l="1"/>
  <c r="AD118" i="70"/>
  <c r="Z118" i="70"/>
  <c r="Y118" i="70"/>
  <c r="X118" i="70"/>
  <c r="W118" i="70"/>
  <c r="V118" i="70"/>
  <c r="U118" i="70"/>
  <c r="T118" i="70"/>
  <c r="S118" i="70"/>
  <c r="R118" i="70"/>
  <c r="Q118" i="70"/>
  <c r="P118" i="70"/>
  <c r="O118" i="70"/>
  <c r="AG117" i="70"/>
  <c r="AD117" i="70"/>
  <c r="Z117" i="70"/>
  <c r="Y117" i="70"/>
  <c r="X117" i="70"/>
  <c r="W117" i="70"/>
  <c r="V117" i="70"/>
  <c r="U117" i="70"/>
  <c r="T117" i="70"/>
  <c r="S117" i="70"/>
  <c r="R117" i="70"/>
  <c r="Q117" i="70"/>
  <c r="P117" i="70"/>
  <c r="O117" i="70"/>
  <c r="AG116" i="70"/>
  <c r="AD116" i="70"/>
  <c r="Z116" i="70"/>
  <c r="Y116" i="70"/>
  <c r="X116" i="70"/>
  <c r="W116" i="70"/>
  <c r="V116" i="70"/>
  <c r="U116" i="70"/>
  <c r="T116" i="70"/>
  <c r="S116" i="70"/>
  <c r="R116" i="70"/>
  <c r="Q116" i="70"/>
  <c r="P116" i="70"/>
  <c r="O116" i="70"/>
  <c r="M112" i="70"/>
  <c r="AG111" i="70"/>
  <c r="AD111" i="70"/>
  <c r="AE111" i="70" s="1"/>
  <c r="Z111" i="70"/>
  <c r="Y111" i="70"/>
  <c r="X111" i="70"/>
  <c r="W111" i="70"/>
  <c r="V111" i="70"/>
  <c r="U111" i="70"/>
  <c r="T111" i="70"/>
  <c r="S111" i="70"/>
  <c r="R111" i="70"/>
  <c r="Q111" i="70"/>
  <c r="P111" i="70"/>
  <c r="O111" i="70"/>
  <c r="M111" i="70"/>
  <c r="AG110" i="70"/>
  <c r="AD110" i="70"/>
  <c r="AE110" i="70" s="1"/>
  <c r="Z110" i="70"/>
  <c r="Y110" i="70"/>
  <c r="X110" i="70"/>
  <c r="W110" i="70"/>
  <c r="V110" i="70"/>
  <c r="U110" i="70"/>
  <c r="T110" i="70"/>
  <c r="S110" i="70"/>
  <c r="R110" i="70"/>
  <c r="Q110" i="70"/>
  <c r="P110" i="70"/>
  <c r="O110" i="70"/>
  <c r="M110" i="70"/>
  <c r="AG109" i="70"/>
  <c r="AD109" i="70"/>
  <c r="AE109" i="70" s="1"/>
  <c r="Z109" i="70"/>
  <c r="Y109" i="70"/>
  <c r="X109" i="70"/>
  <c r="W109" i="70"/>
  <c r="V109" i="70"/>
  <c r="U109" i="70"/>
  <c r="T109" i="70"/>
  <c r="S109" i="70"/>
  <c r="R109" i="70"/>
  <c r="Q109" i="70"/>
  <c r="P109" i="70"/>
  <c r="O109" i="70"/>
  <c r="M109" i="70"/>
  <c r="AG108" i="70"/>
  <c r="AH108" i="70" s="1"/>
  <c r="AD108" i="70"/>
  <c r="AE108" i="70" s="1"/>
  <c r="Z108" i="70"/>
  <c r="Y108" i="70"/>
  <c r="X108" i="70"/>
  <c r="W108" i="70"/>
  <c r="V108" i="70"/>
  <c r="U108" i="70"/>
  <c r="T108" i="70"/>
  <c r="S108" i="70"/>
  <c r="R108" i="70"/>
  <c r="Q108" i="70"/>
  <c r="P108" i="70"/>
  <c r="O108" i="70"/>
  <c r="M108" i="70"/>
  <c r="AI106" i="70"/>
  <c r="M106" i="70"/>
  <c r="AI105" i="70"/>
  <c r="M105" i="70"/>
  <c r="AI104" i="70"/>
  <c r="M104" i="70"/>
  <c r="AI103" i="70"/>
  <c r="M103" i="70"/>
  <c r="AH102" i="70"/>
  <c r="M102" i="70"/>
  <c r="AI99" i="70"/>
  <c r="M99" i="70"/>
  <c r="AI98" i="70"/>
  <c r="M98" i="70"/>
  <c r="M97" i="70"/>
  <c r="AI96" i="70"/>
  <c r="M96" i="70"/>
  <c r="AH95" i="70"/>
  <c r="AI95" i="70"/>
  <c r="M95" i="70"/>
  <c r="AI92" i="70"/>
  <c r="M92" i="70"/>
  <c r="AI91" i="70"/>
  <c r="M91" i="70"/>
  <c r="AI90" i="70"/>
  <c r="M90" i="70"/>
  <c r="AH89" i="70"/>
  <c r="M89" i="70"/>
  <c r="AH88" i="70"/>
  <c r="M88" i="70"/>
  <c r="AI80" i="70"/>
  <c r="AH80" i="70"/>
  <c r="AH79" i="70"/>
  <c r="AI76" i="70"/>
  <c r="AH76" i="70"/>
  <c r="AI74" i="70"/>
  <c r="AH73" i="70"/>
  <c r="AH70" i="70"/>
  <c r="AI68" i="70"/>
  <c r="AI66" i="70"/>
  <c r="AI65" i="70"/>
  <c r="AH64" i="70"/>
  <c r="AH61" i="70"/>
  <c r="AI60" i="70"/>
  <c r="AI56" i="70"/>
  <c r="AH54" i="70"/>
  <c r="AH51" i="70"/>
  <c r="AI49" i="70"/>
  <c r="AH46" i="70"/>
  <c r="AI46" i="70"/>
  <c r="AH44" i="70"/>
  <c r="AH41" i="70"/>
  <c r="AI38" i="70"/>
  <c r="AH38" i="70"/>
  <c r="AH37" i="70"/>
  <c r="AI36" i="70"/>
  <c r="AH36" i="70"/>
  <c r="AA31" i="70"/>
  <c r="G20" i="70"/>
  <c r="G19" i="70"/>
  <c r="AA31" i="69"/>
  <c r="G20" i="69"/>
  <c r="G19" i="69"/>
  <c r="AG120" i="68"/>
  <c r="AD120" i="68"/>
  <c r="Z120" i="68"/>
  <c r="Y120" i="68"/>
  <c r="X120" i="68"/>
  <c r="W120" i="68"/>
  <c r="V120" i="68"/>
  <c r="U120" i="68"/>
  <c r="T120" i="68"/>
  <c r="S120" i="68"/>
  <c r="R120" i="68"/>
  <c r="Q120" i="68"/>
  <c r="P120" i="68"/>
  <c r="O120" i="68"/>
  <c r="AG119" i="68"/>
  <c r="AD119" i="68"/>
  <c r="Z119" i="68"/>
  <c r="Y119" i="68"/>
  <c r="X119" i="68"/>
  <c r="W119" i="68"/>
  <c r="V119" i="68"/>
  <c r="U119" i="68"/>
  <c r="T119" i="68"/>
  <c r="S119" i="68"/>
  <c r="R119" i="68"/>
  <c r="Q119" i="68"/>
  <c r="P119" i="68"/>
  <c r="O119" i="68"/>
  <c r="AG118" i="68"/>
  <c r="AD118" i="68"/>
  <c r="Z118" i="68"/>
  <c r="Y118" i="68"/>
  <c r="X118" i="68"/>
  <c r="W118" i="68"/>
  <c r="V118" i="68"/>
  <c r="U118" i="68"/>
  <c r="T118" i="68"/>
  <c r="S118" i="68"/>
  <c r="R118" i="68"/>
  <c r="Q118" i="68"/>
  <c r="P118" i="68"/>
  <c r="O118" i="68"/>
  <c r="AI115" i="68"/>
  <c r="AF115" i="68"/>
  <c r="M115" i="68"/>
  <c r="M112" i="68"/>
  <c r="AG111" i="68"/>
  <c r="AD111" i="68"/>
  <c r="AE111" i="68" s="1"/>
  <c r="Z111" i="68"/>
  <c r="Y111" i="68"/>
  <c r="X111" i="68"/>
  <c r="W111" i="68"/>
  <c r="V111" i="68"/>
  <c r="U111" i="68"/>
  <c r="T111" i="68"/>
  <c r="S111" i="68"/>
  <c r="R111" i="68"/>
  <c r="Q111" i="68"/>
  <c r="P111" i="68"/>
  <c r="O111" i="68"/>
  <c r="M111" i="68"/>
  <c r="AG110" i="68"/>
  <c r="AD110" i="68"/>
  <c r="AE110" i="68" s="1"/>
  <c r="Z110" i="68"/>
  <c r="Y110" i="68"/>
  <c r="X110" i="68"/>
  <c r="W110" i="68"/>
  <c r="V110" i="68"/>
  <c r="U110" i="68"/>
  <c r="T110" i="68"/>
  <c r="S110" i="68"/>
  <c r="R110" i="68"/>
  <c r="Q110" i="68"/>
  <c r="P110" i="68"/>
  <c r="O110" i="68"/>
  <c r="M110" i="68"/>
  <c r="AG109" i="68"/>
  <c r="AD109" i="68"/>
  <c r="AE109" i="68" s="1"/>
  <c r="Z109" i="68"/>
  <c r="Y109" i="68"/>
  <c r="X109" i="68"/>
  <c r="W109" i="68"/>
  <c r="V109" i="68"/>
  <c r="U109" i="68"/>
  <c r="T109" i="68"/>
  <c r="S109" i="68"/>
  <c r="R109" i="68"/>
  <c r="Q109" i="68"/>
  <c r="P109" i="68"/>
  <c r="O109" i="68"/>
  <c r="M109" i="68"/>
  <c r="AG108" i="68"/>
  <c r="AD108" i="68"/>
  <c r="AE108" i="68" s="1"/>
  <c r="Z108" i="68"/>
  <c r="Y108" i="68"/>
  <c r="X108" i="68"/>
  <c r="W108" i="68"/>
  <c r="V108" i="68"/>
  <c r="U108" i="68"/>
  <c r="T108" i="68"/>
  <c r="S108" i="68"/>
  <c r="R108" i="68"/>
  <c r="Q108" i="68"/>
  <c r="P108" i="68"/>
  <c r="O108" i="68"/>
  <c r="M108" i="68"/>
  <c r="AI106" i="68"/>
  <c r="M106" i="68"/>
  <c r="M105" i="68"/>
  <c r="AI104" i="68"/>
  <c r="M104" i="68"/>
  <c r="M103" i="68"/>
  <c r="AI102" i="68"/>
  <c r="M102" i="68"/>
  <c r="M99" i="68"/>
  <c r="AI98" i="68"/>
  <c r="M98" i="68"/>
  <c r="AI97" i="68"/>
  <c r="M97" i="68"/>
  <c r="AI96" i="68"/>
  <c r="M96" i="68"/>
  <c r="AH95" i="68"/>
  <c r="M95" i="68"/>
  <c r="AI92" i="68"/>
  <c r="M92" i="68"/>
  <c r="M91" i="68"/>
  <c r="AI90" i="68"/>
  <c r="M90" i="68"/>
  <c r="M89" i="68"/>
  <c r="M88" i="68"/>
  <c r="AI80" i="68"/>
  <c r="AH80" i="68"/>
  <c r="AH79" i="68"/>
  <c r="AH76" i="68"/>
  <c r="AH73" i="68"/>
  <c r="AH70" i="68"/>
  <c r="AI68" i="68"/>
  <c r="AI65" i="68"/>
  <c r="AH64" i="68"/>
  <c r="AH61" i="68"/>
  <c r="AI61" i="68"/>
  <c r="AI60" i="68"/>
  <c r="AI58" i="68"/>
  <c r="AI57" i="68"/>
  <c r="AH54" i="68"/>
  <c r="AH51" i="68"/>
  <c r="AI51" i="68"/>
  <c r="AI50" i="68"/>
  <c r="AI46" i="68"/>
  <c r="AH44" i="68"/>
  <c r="AH41" i="68"/>
  <c r="AI40" i="68"/>
  <c r="AA118" i="68"/>
  <c r="AH37" i="68"/>
  <c r="AI35" i="68"/>
  <c r="AA31" i="68"/>
  <c r="G20" i="68"/>
  <c r="G19" i="68"/>
  <c r="AA31" i="67"/>
  <c r="G20" i="67"/>
  <c r="G19" i="67"/>
  <c r="AG142" i="66"/>
  <c r="AD142" i="66"/>
  <c r="Z142" i="66"/>
  <c r="Y142" i="66"/>
  <c r="X142" i="66"/>
  <c r="W142" i="66"/>
  <c r="V142" i="66"/>
  <c r="U142" i="66"/>
  <c r="T142" i="66"/>
  <c r="S142" i="66"/>
  <c r="R142" i="66"/>
  <c r="Q142" i="66"/>
  <c r="P142" i="66"/>
  <c r="O142" i="66"/>
  <c r="AG141" i="66"/>
  <c r="AD141" i="66"/>
  <c r="Z141" i="66"/>
  <c r="Y141" i="66"/>
  <c r="X141" i="66"/>
  <c r="W141" i="66"/>
  <c r="V141" i="66"/>
  <c r="U141" i="66"/>
  <c r="T141" i="66"/>
  <c r="S141" i="66"/>
  <c r="R141" i="66"/>
  <c r="Q141" i="66"/>
  <c r="P141" i="66"/>
  <c r="O141" i="66"/>
  <c r="AG140" i="66"/>
  <c r="AD140" i="66"/>
  <c r="Z140" i="66"/>
  <c r="Y140" i="66"/>
  <c r="X140" i="66"/>
  <c r="W140" i="66"/>
  <c r="V140" i="66"/>
  <c r="U140" i="66"/>
  <c r="T140" i="66"/>
  <c r="S140" i="66"/>
  <c r="R140" i="66"/>
  <c r="Q140" i="66"/>
  <c r="P140" i="66"/>
  <c r="O140" i="66"/>
  <c r="AG139" i="66"/>
  <c r="AD139" i="66"/>
  <c r="Z139" i="66"/>
  <c r="Y139" i="66"/>
  <c r="X139" i="66"/>
  <c r="W139" i="66"/>
  <c r="V139" i="66"/>
  <c r="U139" i="66"/>
  <c r="T139" i="66"/>
  <c r="S139" i="66"/>
  <c r="R139" i="66"/>
  <c r="Q139" i="66"/>
  <c r="P139" i="66"/>
  <c r="O139" i="66"/>
  <c r="AG137" i="66"/>
  <c r="AD137" i="66"/>
  <c r="Z137" i="66"/>
  <c r="Y137" i="66"/>
  <c r="X137" i="66"/>
  <c r="W137" i="66"/>
  <c r="V137" i="66"/>
  <c r="U137" i="66"/>
  <c r="T137" i="66"/>
  <c r="S137" i="66"/>
  <c r="R137" i="66"/>
  <c r="Q137" i="66"/>
  <c r="P137" i="66"/>
  <c r="O137" i="66"/>
  <c r="M136" i="66"/>
  <c r="AI135" i="66"/>
  <c r="M135" i="66"/>
  <c r="AI134" i="66"/>
  <c r="M134" i="66"/>
  <c r="AI133" i="66"/>
  <c r="M133" i="66"/>
  <c r="M132" i="66"/>
  <c r="AI131" i="66"/>
  <c r="M131" i="66"/>
  <c r="M130" i="66"/>
  <c r="AI129" i="66"/>
  <c r="M129" i="66"/>
  <c r="M128" i="66"/>
  <c r="AI127" i="66"/>
  <c r="M127" i="66"/>
  <c r="M126" i="66"/>
  <c r="M122" i="66"/>
  <c r="M121" i="66"/>
  <c r="AI120" i="66"/>
  <c r="M120" i="66"/>
  <c r="M119" i="66"/>
  <c r="M118" i="66"/>
  <c r="M116" i="66"/>
  <c r="AI115" i="66"/>
  <c r="M115" i="66"/>
  <c r="M114" i="66"/>
  <c r="AI113" i="66"/>
  <c r="M113" i="66"/>
  <c r="M112" i="66"/>
  <c r="M109" i="66"/>
  <c r="AI108" i="66"/>
  <c r="M108" i="66"/>
  <c r="M107" i="66"/>
  <c r="AI106" i="66"/>
  <c r="M106" i="66"/>
  <c r="M105" i="66"/>
  <c r="AI102" i="66"/>
  <c r="M102" i="66"/>
  <c r="M101" i="66"/>
  <c r="AI100" i="66"/>
  <c r="M100" i="66"/>
  <c r="M99" i="66"/>
  <c r="AI98" i="66"/>
  <c r="M98" i="66"/>
  <c r="AI90" i="66"/>
  <c r="AI89" i="66"/>
  <c r="AI83" i="66"/>
  <c r="AI82" i="66"/>
  <c r="AI80" i="66"/>
  <c r="AH79" i="66"/>
  <c r="AH76" i="66"/>
  <c r="AI76" i="66"/>
  <c r="AI74" i="66"/>
  <c r="AH73" i="66"/>
  <c r="AH70" i="66"/>
  <c r="AI70" i="66"/>
  <c r="AI68" i="66"/>
  <c r="AI67" i="66"/>
  <c r="AI66" i="66"/>
  <c r="AH64" i="66"/>
  <c r="G64" i="66" s="1"/>
  <c r="AI62" i="66"/>
  <c r="AI61" i="66"/>
  <c r="AH61" i="66"/>
  <c r="AI60" i="66"/>
  <c r="AI59" i="66"/>
  <c r="AI57" i="66"/>
  <c r="AI55" i="66"/>
  <c r="AH54" i="66"/>
  <c r="AI51" i="66"/>
  <c r="AH51" i="66"/>
  <c r="AI50" i="66"/>
  <c r="AI49" i="66"/>
  <c r="AI48" i="66"/>
  <c r="AI47" i="66"/>
  <c r="AI46" i="66"/>
  <c r="AH44" i="66"/>
  <c r="AH41" i="66"/>
  <c r="AI35" i="66"/>
  <c r="AA31" i="66"/>
  <c r="G20" i="66"/>
  <c r="G19" i="66"/>
  <c r="I35" i="69"/>
  <c r="N35" i="69"/>
  <c r="B120" i="69"/>
  <c r="C7" i="69"/>
  <c r="J33" i="69"/>
  <c r="B55" i="69"/>
  <c r="N34" i="69"/>
  <c r="B52" i="69"/>
  <c r="B23" i="69"/>
  <c r="N20" i="69"/>
  <c r="C5" i="69"/>
  <c r="I34" i="69"/>
  <c r="B3" i="69"/>
  <c r="B56" i="69"/>
  <c r="E6" i="69"/>
  <c r="J34" i="69"/>
  <c r="C3" i="69"/>
  <c r="L35" i="69"/>
  <c r="C2" i="69"/>
  <c r="N19" i="69"/>
  <c r="B85" i="69"/>
  <c r="B19" i="69"/>
  <c r="C8" i="69"/>
  <c r="B89" i="69"/>
  <c r="I33" i="69"/>
  <c r="C6" i="69"/>
  <c r="N33" i="69"/>
  <c r="B22" i="69"/>
  <c r="C1" i="69"/>
  <c r="B116" i="69"/>
  <c r="J35" i="69"/>
  <c r="B88" i="69"/>
  <c r="N27" i="69"/>
  <c r="J75" i="70"/>
  <c r="B23" i="70"/>
  <c r="I50" i="70"/>
  <c r="N111" i="70"/>
  <c r="L40" i="70"/>
  <c r="I68" i="70"/>
  <c r="N112" i="70"/>
  <c r="N77" i="70"/>
  <c r="N61" i="70"/>
  <c r="N49" i="70"/>
  <c r="J69" i="70"/>
  <c r="N104" i="70"/>
  <c r="J65" i="70"/>
  <c r="I77" i="70"/>
  <c r="J68" i="70"/>
  <c r="I65" i="70"/>
  <c r="N74" i="70"/>
  <c r="N88" i="70"/>
  <c r="L112" i="70"/>
  <c r="L67" i="70"/>
  <c r="N95" i="70"/>
  <c r="C8" i="70"/>
  <c r="N27" i="70"/>
  <c r="N103" i="70"/>
  <c r="L37" i="70"/>
  <c r="I48" i="70"/>
  <c r="I60" i="70"/>
  <c r="J57" i="70"/>
  <c r="N89" i="70"/>
  <c r="I83" i="70"/>
  <c r="L105" i="70"/>
  <c r="I55" i="70"/>
  <c r="C7" i="70"/>
  <c r="N46" i="70"/>
  <c r="N76" i="70"/>
  <c r="I69" i="70"/>
  <c r="J55" i="70"/>
  <c r="L75" i="70"/>
  <c r="L109" i="70"/>
  <c r="N84" i="70"/>
  <c r="I56" i="70"/>
  <c r="J50" i="70"/>
  <c r="L38" i="70"/>
  <c r="I36" i="70"/>
  <c r="L98" i="70"/>
  <c r="I61" i="70"/>
  <c r="N80" i="70"/>
  <c r="N110" i="70"/>
  <c r="L65" i="70"/>
  <c r="N35" i="70"/>
  <c r="I59" i="70"/>
  <c r="L62" i="70"/>
  <c r="J74" i="70"/>
  <c r="J62" i="70"/>
  <c r="J82" i="70"/>
  <c r="L48" i="70"/>
  <c r="B19" i="70"/>
  <c r="I49" i="70"/>
  <c r="L61" i="70"/>
  <c r="N75" i="70"/>
  <c r="N57" i="70"/>
  <c r="N52" i="70"/>
  <c r="L108" i="70"/>
  <c r="I46" i="70"/>
  <c r="L88" i="70"/>
  <c r="N105" i="70"/>
  <c r="J46" i="70"/>
  <c r="I84" i="70"/>
  <c r="I52" i="70"/>
  <c r="J51" i="70"/>
  <c r="J66" i="70"/>
  <c r="N56" i="70"/>
  <c r="L68" i="70"/>
  <c r="L69" i="70"/>
  <c r="J49" i="70"/>
  <c r="I39" i="70"/>
  <c r="I70" i="70"/>
  <c r="L35" i="70"/>
  <c r="J47" i="70"/>
  <c r="L103" i="70"/>
  <c r="L91" i="70"/>
  <c r="N19" i="70"/>
  <c r="N92" i="70"/>
  <c r="N40" i="70"/>
  <c r="N106" i="70"/>
  <c r="L66" i="70"/>
  <c r="N109" i="70"/>
  <c r="I42" i="70"/>
  <c r="L97" i="70"/>
  <c r="L58" i="70"/>
  <c r="L70" i="70"/>
  <c r="N37" i="70"/>
  <c r="I76" i="70"/>
  <c r="E6" i="70"/>
  <c r="N20" i="70"/>
  <c r="N67" i="70"/>
  <c r="J56" i="70"/>
  <c r="I38" i="70"/>
  <c r="J71" i="70"/>
  <c r="N82" i="70"/>
  <c r="L52" i="70"/>
  <c r="I62" i="70"/>
  <c r="L82" i="70"/>
  <c r="I80" i="70"/>
  <c r="L95" i="70"/>
  <c r="J41" i="70"/>
  <c r="C1" i="70"/>
  <c r="N99" i="70"/>
  <c r="N71" i="70"/>
  <c r="N68" i="70"/>
  <c r="L111" i="70"/>
  <c r="L42" i="70"/>
  <c r="J36" i="70"/>
  <c r="J52" i="70"/>
  <c r="L39" i="70"/>
  <c r="N47" i="70"/>
  <c r="I47" i="70"/>
  <c r="N97" i="70"/>
  <c r="I66" i="70"/>
  <c r="J77" i="70"/>
  <c r="N62" i="70"/>
  <c r="N38" i="70"/>
  <c r="L57" i="70"/>
  <c r="I35" i="70"/>
  <c r="J76" i="70"/>
  <c r="I51" i="70"/>
  <c r="N108" i="70"/>
  <c r="N45" i="70"/>
  <c r="N102" i="70"/>
  <c r="J61" i="70"/>
  <c r="I37" i="70"/>
  <c r="J80" i="70"/>
  <c r="L46" i="70"/>
  <c r="L96" i="70"/>
  <c r="L106" i="70"/>
  <c r="L89" i="70"/>
  <c r="L76" i="70"/>
  <c r="N41" i="70"/>
  <c r="N59" i="70"/>
  <c r="J60" i="70"/>
  <c r="N39" i="70"/>
  <c r="L59" i="70"/>
  <c r="N42" i="70"/>
  <c r="L80" i="70"/>
  <c r="J59" i="70"/>
  <c r="J84" i="70"/>
  <c r="J67" i="70"/>
  <c r="N65" i="70"/>
  <c r="L99" i="70"/>
  <c r="L60" i="70"/>
  <c r="N70" i="70"/>
  <c r="L41" i="70"/>
  <c r="L47" i="70"/>
  <c r="N96" i="70"/>
  <c r="C5" i="70"/>
  <c r="L55" i="70"/>
  <c r="L92" i="70"/>
  <c r="J48" i="70"/>
  <c r="J42" i="70"/>
  <c r="N98" i="70"/>
  <c r="N69" i="70"/>
  <c r="J40" i="70"/>
  <c r="L50" i="70"/>
  <c r="N51" i="70"/>
  <c r="I45" i="70"/>
  <c r="L49" i="70"/>
  <c r="J45" i="70"/>
  <c r="J37" i="70"/>
  <c r="L56" i="70"/>
  <c r="J38" i="70"/>
  <c r="I58" i="70"/>
  <c r="I82" i="70"/>
  <c r="J35" i="70"/>
  <c r="J70" i="70"/>
  <c r="N91" i="70"/>
  <c r="B3" i="70"/>
  <c r="L74" i="70"/>
  <c r="N66" i="70"/>
  <c r="L51" i="70"/>
  <c r="N36" i="70"/>
  <c r="C2" i="70"/>
  <c r="I40" i="70"/>
  <c r="L104" i="70"/>
  <c r="I75" i="70"/>
  <c r="I67" i="70"/>
  <c r="J58" i="70"/>
  <c r="L90" i="70"/>
  <c r="I74" i="70"/>
  <c r="C6" i="70"/>
  <c r="L83" i="70"/>
  <c r="L110" i="70"/>
  <c r="L77" i="70"/>
  <c r="I41" i="70"/>
  <c r="L45" i="70"/>
  <c r="I57" i="70"/>
  <c r="N48" i="70"/>
  <c r="L102" i="70"/>
  <c r="J39" i="70"/>
  <c r="N83" i="70"/>
  <c r="N55" i="70"/>
  <c r="N58" i="70"/>
  <c r="L71" i="70"/>
  <c r="N90" i="70"/>
  <c r="I71" i="70"/>
  <c r="J83" i="70"/>
  <c r="N60" i="70"/>
  <c r="N50" i="70"/>
  <c r="L36" i="70"/>
  <c r="N57" i="68"/>
  <c r="J75" i="68"/>
  <c r="J38" i="68"/>
  <c r="I83" i="68"/>
  <c r="L77" i="68"/>
  <c r="J65" i="68"/>
  <c r="I74" i="68"/>
  <c r="C1" i="68"/>
  <c r="L60" i="68"/>
  <c r="L68" i="68"/>
  <c r="L95" i="68"/>
  <c r="N36" i="68"/>
  <c r="I80" i="68"/>
  <c r="J70" i="68"/>
  <c r="L65" i="68"/>
  <c r="L98" i="68"/>
  <c r="N59" i="68"/>
  <c r="L48" i="68"/>
  <c r="N61" i="68"/>
  <c r="L47" i="68"/>
  <c r="N112" i="68"/>
  <c r="N106" i="68"/>
  <c r="N42" i="68"/>
  <c r="L50" i="68"/>
  <c r="N110" i="68"/>
  <c r="N37" i="68"/>
  <c r="L35" i="68"/>
  <c r="L75" i="68"/>
  <c r="I49" i="68"/>
  <c r="L99" i="68"/>
  <c r="N48" i="68"/>
  <c r="I40" i="68"/>
  <c r="N80" i="68"/>
  <c r="L80" i="68"/>
  <c r="L39" i="68"/>
  <c r="N65" i="68"/>
  <c r="I68" i="68"/>
  <c r="I84" i="68"/>
  <c r="L110" i="68"/>
  <c r="J74" i="68"/>
  <c r="L74" i="68"/>
  <c r="I48" i="68"/>
  <c r="L57" i="68"/>
  <c r="I45" i="68"/>
  <c r="N88" i="68"/>
  <c r="I35" i="68"/>
  <c r="L76" i="68"/>
  <c r="N50" i="68"/>
  <c r="I67" i="68"/>
  <c r="I61" i="68"/>
  <c r="L45" i="68"/>
  <c r="I70" i="68"/>
  <c r="J60" i="68"/>
  <c r="N45" i="68"/>
  <c r="L55" i="68"/>
  <c r="I47" i="68"/>
  <c r="N46" i="68"/>
  <c r="L103" i="68"/>
  <c r="L46" i="68"/>
  <c r="L56" i="68"/>
  <c r="N77" i="68"/>
  <c r="J41" i="68"/>
  <c r="N84" i="68"/>
  <c r="I75" i="68"/>
  <c r="J47" i="68"/>
  <c r="N40" i="68"/>
  <c r="J51" i="68"/>
  <c r="L67" i="68"/>
  <c r="C7" i="68"/>
  <c r="N92" i="68"/>
  <c r="L71" i="68"/>
  <c r="N41" i="68"/>
  <c r="N76" i="68"/>
  <c r="L115" i="68"/>
  <c r="E6" i="68"/>
  <c r="N52" i="68"/>
  <c r="J55" i="68"/>
  <c r="L70" i="68"/>
  <c r="J50" i="68"/>
  <c r="N20" i="68"/>
  <c r="I60" i="68"/>
  <c r="L40" i="68"/>
  <c r="L38" i="68"/>
  <c r="J71" i="68"/>
  <c r="C6" i="68"/>
  <c r="N49" i="68"/>
  <c r="B23" i="68"/>
  <c r="J76" i="68"/>
  <c r="N102" i="68"/>
  <c r="L37" i="68"/>
  <c r="J82" i="68"/>
  <c r="L62" i="68"/>
  <c r="I41" i="68"/>
  <c r="N74" i="68"/>
  <c r="N38" i="68"/>
  <c r="N105" i="68"/>
  <c r="N47" i="68"/>
  <c r="N21" i="68"/>
  <c r="I51" i="68"/>
  <c r="I37" i="68"/>
  <c r="J83" i="68"/>
  <c r="I38" i="68"/>
  <c r="I56" i="68"/>
  <c r="N82" i="68"/>
  <c r="J69" i="68"/>
  <c r="J58" i="68"/>
  <c r="N66" i="68"/>
  <c r="C5" i="68"/>
  <c r="N109" i="68"/>
  <c r="L96" i="68"/>
  <c r="L111" i="68"/>
  <c r="N95" i="68"/>
  <c r="I76" i="68"/>
  <c r="N70" i="68"/>
  <c r="L52" i="68"/>
  <c r="L108" i="68"/>
  <c r="I62" i="68"/>
  <c r="L36" i="68"/>
  <c r="L69" i="68"/>
  <c r="L97" i="68"/>
  <c r="N35" i="68"/>
  <c r="N56" i="68"/>
  <c r="N51" i="68"/>
  <c r="L61" i="68"/>
  <c r="N97" i="68"/>
  <c r="B3" i="68"/>
  <c r="L109" i="68"/>
  <c r="J39" i="68"/>
  <c r="J66" i="68"/>
  <c r="L83" i="68"/>
  <c r="L89" i="68"/>
  <c r="L105" i="68"/>
  <c r="N68" i="68"/>
  <c r="I71" i="68"/>
  <c r="L59" i="68"/>
  <c r="I52" i="68"/>
  <c r="J40" i="68"/>
  <c r="I59" i="68"/>
  <c r="L51" i="68"/>
  <c r="L91" i="68"/>
  <c r="J67" i="68"/>
  <c r="L90" i="68"/>
  <c r="N111" i="68"/>
  <c r="J46" i="68"/>
  <c r="L82" i="68"/>
  <c r="J45" i="68"/>
  <c r="J36" i="68"/>
  <c r="C8" i="68"/>
  <c r="I69" i="68"/>
  <c r="N89" i="68"/>
  <c r="L92" i="68"/>
  <c r="N71" i="68"/>
  <c r="I39" i="68"/>
  <c r="J59" i="68"/>
  <c r="J35" i="68"/>
  <c r="N19" i="68"/>
  <c r="I50" i="68"/>
  <c r="L49" i="68"/>
  <c r="N27" i="68"/>
  <c r="N104" i="68"/>
  <c r="I65" i="68"/>
  <c r="J52" i="68"/>
  <c r="J77" i="68"/>
  <c r="B19" i="68"/>
  <c r="I58" i="68"/>
  <c r="I42" i="68"/>
  <c r="N58" i="68"/>
  <c r="N98" i="68"/>
  <c r="N103" i="68"/>
  <c r="J57" i="68"/>
  <c r="L66" i="68"/>
  <c r="L42" i="68"/>
  <c r="N75" i="68"/>
  <c r="I57" i="68"/>
  <c r="N69" i="68"/>
  <c r="L58" i="68"/>
  <c r="N108" i="68"/>
  <c r="I46" i="68"/>
  <c r="L106" i="68"/>
  <c r="L41" i="68"/>
  <c r="N39" i="68"/>
  <c r="L102" i="68"/>
  <c r="I77" i="68"/>
  <c r="N55" i="68"/>
  <c r="I36" i="68"/>
  <c r="N62" i="68"/>
  <c r="L88" i="68"/>
  <c r="J48" i="68"/>
  <c r="J42" i="68"/>
  <c r="I55" i="68"/>
  <c r="I82" i="68"/>
  <c r="J37" i="68"/>
  <c r="L112" i="68"/>
  <c r="J84" i="68"/>
  <c r="N96" i="68"/>
  <c r="J49" i="68"/>
  <c r="J68" i="68"/>
  <c r="N67" i="68"/>
  <c r="N83" i="68"/>
  <c r="J80" i="68"/>
  <c r="J62" i="68"/>
  <c r="C2" i="68"/>
  <c r="N91" i="68"/>
  <c r="N90" i="68"/>
  <c r="N99" i="68"/>
  <c r="I66" i="68"/>
  <c r="J56" i="68"/>
  <c r="J61" i="68"/>
  <c r="N60" i="68"/>
  <c r="L104" i="68"/>
  <c r="J35" i="67"/>
  <c r="C8" i="67"/>
  <c r="B56" i="67"/>
  <c r="I35" i="67"/>
  <c r="N19" i="67"/>
  <c r="B22" i="67"/>
  <c r="B88" i="67"/>
  <c r="L35" i="67"/>
  <c r="E6" i="67"/>
  <c r="B120" i="67"/>
  <c r="B23" i="67"/>
  <c r="N33" i="67"/>
  <c r="B116" i="67"/>
  <c r="B3" i="67"/>
  <c r="B19" i="67"/>
  <c r="N27" i="67"/>
  <c r="I34" i="67"/>
  <c r="C5" i="67"/>
  <c r="I33" i="67"/>
  <c r="C7" i="67"/>
  <c r="B89" i="67"/>
  <c r="B55" i="67"/>
  <c r="B85" i="67"/>
  <c r="C6" i="67"/>
  <c r="J34" i="67"/>
  <c r="B52" i="67"/>
  <c r="N34" i="67"/>
  <c r="N20" i="67"/>
  <c r="J33" i="67"/>
  <c r="C1" i="67"/>
  <c r="C2" i="67"/>
  <c r="N35" i="67"/>
  <c r="N115" i="66"/>
  <c r="I38" i="66"/>
  <c r="J36" i="66"/>
  <c r="N131" i="66"/>
  <c r="J66" i="66"/>
  <c r="N135" i="66"/>
  <c r="J55" i="66"/>
  <c r="N98" i="66"/>
  <c r="L61" i="66"/>
  <c r="L112" i="66"/>
  <c r="N47" i="66"/>
  <c r="N80" i="66"/>
  <c r="L114" i="66"/>
  <c r="N89" i="66"/>
  <c r="N127" i="66"/>
  <c r="L102" i="66"/>
  <c r="L67" i="66"/>
  <c r="I48" i="66"/>
  <c r="I47" i="66"/>
  <c r="N45" i="66"/>
  <c r="J82" i="66"/>
  <c r="N40" i="66"/>
  <c r="J62" i="66"/>
  <c r="J68" i="66"/>
  <c r="L128" i="66"/>
  <c r="C6" i="66"/>
  <c r="J49" i="66"/>
  <c r="J75" i="66"/>
  <c r="N128" i="66"/>
  <c r="N102" i="66"/>
  <c r="I36" i="66"/>
  <c r="I82" i="66"/>
  <c r="N56" i="66"/>
  <c r="I68" i="66"/>
  <c r="I70" i="66"/>
  <c r="N69" i="66"/>
  <c r="L39" i="66"/>
  <c r="I76" i="66"/>
  <c r="I86" i="66"/>
  <c r="I85" i="66"/>
  <c r="L127" i="66"/>
  <c r="N52" i="66"/>
  <c r="J90" i="66"/>
  <c r="L58" i="66"/>
  <c r="I51" i="66"/>
  <c r="N118" i="66"/>
  <c r="N107" i="66"/>
  <c r="N60" i="66"/>
  <c r="J52" i="66"/>
  <c r="L121" i="66"/>
  <c r="N74" i="66"/>
  <c r="L129" i="66"/>
  <c r="L126" i="66"/>
  <c r="I37" i="66"/>
  <c r="N86" i="66"/>
  <c r="J80" i="66"/>
  <c r="N82" i="66"/>
  <c r="N84" i="66"/>
  <c r="I91" i="66"/>
  <c r="L70" i="66"/>
  <c r="I41" i="66"/>
  <c r="L99" i="66"/>
  <c r="B19" i="66"/>
  <c r="N134" i="66"/>
  <c r="L83" i="66"/>
  <c r="L76" i="66"/>
  <c r="N42" i="66"/>
  <c r="N108" i="66"/>
  <c r="I40" i="66"/>
  <c r="I61" i="66"/>
  <c r="J39" i="66"/>
  <c r="N112" i="66"/>
  <c r="N130" i="66"/>
  <c r="L115" i="66"/>
  <c r="N20" i="66"/>
  <c r="J84" i="66"/>
  <c r="N99" i="66"/>
  <c r="L80" i="66"/>
  <c r="J65" i="66"/>
  <c r="L116" i="66"/>
  <c r="L68" i="66"/>
  <c r="N106" i="66"/>
  <c r="N132" i="66"/>
  <c r="N90" i="66"/>
  <c r="J58" i="66"/>
  <c r="J40" i="66"/>
  <c r="L98" i="66"/>
  <c r="L48" i="66"/>
  <c r="L71" i="66"/>
  <c r="N46" i="66"/>
  <c r="I50" i="66"/>
  <c r="L52" i="66"/>
  <c r="L132" i="66"/>
  <c r="L36" i="66"/>
  <c r="N70" i="66"/>
  <c r="I69" i="66"/>
  <c r="J41" i="66"/>
  <c r="I67" i="66"/>
  <c r="J83" i="66"/>
  <c r="I90" i="66"/>
  <c r="I75" i="66"/>
  <c r="C7" i="66"/>
  <c r="L50" i="66"/>
  <c r="J50" i="66"/>
  <c r="N61" i="66"/>
  <c r="L42" i="66"/>
  <c r="J45" i="66"/>
  <c r="N125" i="66"/>
  <c r="N71" i="66"/>
  <c r="I83" i="66"/>
  <c r="J86" i="66"/>
  <c r="L136" i="66"/>
  <c r="J51" i="66"/>
  <c r="L51" i="66"/>
  <c r="J74" i="66"/>
  <c r="I58" i="66"/>
  <c r="I59" i="66"/>
  <c r="J60" i="66"/>
  <c r="L57" i="66"/>
  <c r="N66" i="66"/>
  <c r="L109" i="66"/>
  <c r="B3" i="66"/>
  <c r="J59" i="66"/>
  <c r="L49" i="66"/>
  <c r="L75" i="66"/>
  <c r="N57" i="66"/>
  <c r="C5" i="66"/>
  <c r="L55" i="66"/>
  <c r="N19" i="66"/>
  <c r="J77" i="66"/>
  <c r="L56" i="66"/>
  <c r="N41" i="66"/>
  <c r="N129" i="66"/>
  <c r="L107" i="66"/>
  <c r="I62" i="66"/>
  <c r="I42" i="66"/>
  <c r="I77" i="66"/>
  <c r="J56" i="66"/>
  <c r="N67" i="66"/>
  <c r="N58" i="66"/>
  <c r="L74" i="66"/>
  <c r="L131" i="66"/>
  <c r="L101" i="66"/>
  <c r="N35" i="66"/>
  <c r="N120" i="66"/>
  <c r="L37" i="66"/>
  <c r="L62" i="66"/>
  <c r="N116" i="66"/>
  <c r="J46" i="66"/>
  <c r="J70" i="66"/>
  <c r="L130" i="66"/>
  <c r="I84" i="66"/>
  <c r="L133" i="66"/>
  <c r="J67" i="66"/>
  <c r="N38" i="66"/>
  <c r="L119" i="66"/>
  <c r="L38" i="66"/>
  <c r="N122" i="66"/>
  <c r="N114" i="66"/>
  <c r="J47" i="66"/>
  <c r="I56" i="66"/>
  <c r="N77" i="66"/>
  <c r="J37" i="66"/>
  <c r="I39" i="66"/>
  <c r="L40" i="66"/>
  <c r="J89" i="66"/>
  <c r="L118" i="66"/>
  <c r="J85" i="66"/>
  <c r="I45" i="66"/>
  <c r="N109" i="66"/>
  <c r="N27" i="66"/>
  <c r="I60" i="66"/>
  <c r="N126" i="66"/>
  <c r="J61" i="66"/>
  <c r="L106" i="66"/>
  <c r="L66" i="66"/>
  <c r="L100" i="66"/>
  <c r="L60" i="66"/>
  <c r="N85" i="66"/>
  <c r="N37" i="66"/>
  <c r="I35" i="66"/>
  <c r="N121" i="66"/>
  <c r="J42" i="66"/>
  <c r="L46" i="66"/>
  <c r="N39" i="66"/>
  <c r="L113" i="66"/>
  <c r="N119" i="66"/>
  <c r="N75" i="66"/>
  <c r="N55" i="66"/>
  <c r="J76" i="66"/>
  <c r="L84" i="66"/>
  <c r="J38" i="66"/>
  <c r="L59" i="66"/>
  <c r="I80" i="66"/>
  <c r="N51" i="66"/>
  <c r="I89" i="66"/>
  <c r="J57" i="66"/>
  <c r="I57" i="66"/>
  <c r="L47" i="66"/>
  <c r="N50" i="66"/>
  <c r="I52" i="66"/>
  <c r="I71" i="66"/>
  <c r="L41" i="66"/>
  <c r="J91" i="66"/>
  <c r="N76" i="66"/>
  <c r="I66" i="66"/>
  <c r="N113" i="66"/>
  <c r="J48" i="66"/>
  <c r="C1" i="66"/>
  <c r="L105" i="66"/>
  <c r="I65" i="66"/>
  <c r="L35" i="66"/>
  <c r="N49" i="66"/>
  <c r="N65" i="66"/>
  <c r="L65" i="66"/>
  <c r="L122" i="66"/>
  <c r="L69" i="66"/>
  <c r="N100" i="66"/>
  <c r="N91" i="66"/>
  <c r="N133" i="66"/>
  <c r="L77" i="66"/>
  <c r="J71" i="66"/>
  <c r="I46" i="66"/>
  <c r="L108" i="66"/>
  <c r="L82" i="66"/>
  <c r="J69" i="66"/>
  <c r="E6" i="66"/>
  <c r="C2" i="66"/>
  <c r="N136" i="66"/>
  <c r="I49" i="66"/>
  <c r="B23" i="66"/>
  <c r="L135" i="66"/>
  <c r="N59" i="66"/>
  <c r="I55" i="66"/>
  <c r="I74" i="66"/>
  <c r="N62" i="66"/>
  <c r="N83" i="66"/>
  <c r="L134" i="66"/>
  <c r="L45" i="66"/>
  <c r="N101" i="66"/>
  <c r="N36" i="66"/>
  <c r="N105" i="66"/>
  <c r="N68" i="66"/>
  <c r="L120" i="66"/>
  <c r="N48" i="66"/>
  <c r="J35" i="66"/>
  <c r="C8" i="66"/>
  <c r="B83" i="69"/>
  <c r="B50" i="69"/>
  <c r="B115" i="69"/>
  <c r="B18" i="69"/>
  <c r="B83" i="67"/>
  <c r="F4" i="66"/>
  <c r="B115" i="67"/>
  <c r="F4" i="67"/>
  <c r="B18" i="68"/>
  <c r="F4" i="68"/>
  <c r="B51" i="69"/>
  <c r="B18" i="70"/>
  <c r="F4" i="70"/>
  <c r="B17" i="70"/>
  <c r="B18" i="66"/>
  <c r="B51" i="67"/>
  <c r="B114" i="67"/>
  <c r="B17" i="69"/>
  <c r="B17" i="67"/>
  <c r="B50" i="67"/>
  <c r="B84" i="69"/>
  <c r="F4" i="69"/>
  <c r="B17" i="68"/>
  <c r="B17" i="66"/>
  <c r="B18" i="67"/>
  <c r="B84" i="67"/>
  <c r="B114" i="69"/>
  <c r="C3" i="70"/>
  <c r="N26" i="70"/>
  <c r="C3" i="66"/>
  <c r="AA35" i="67" l="1"/>
  <c r="AA35" i="69"/>
  <c r="U112" i="70"/>
  <c r="U113" i="70" s="1"/>
  <c r="AA110" i="70"/>
  <c r="AF110" i="70" s="1"/>
  <c r="S112" i="70"/>
  <c r="S113" i="70" s="1"/>
  <c r="P112" i="68"/>
  <c r="P113" i="68" s="1"/>
  <c r="T112" i="68"/>
  <c r="T113" i="68" s="1"/>
  <c r="AA111" i="68"/>
  <c r="AF111" i="68" s="1"/>
  <c r="U112" i="68"/>
  <c r="U113" i="68" s="1"/>
  <c r="Q112" i="70"/>
  <c r="Q113" i="70" s="1"/>
  <c r="Y112" i="70"/>
  <c r="Y113" i="70" s="1"/>
  <c r="AA109" i="70"/>
  <c r="AI109" i="70" s="1"/>
  <c r="AD112" i="70"/>
  <c r="AD113" i="70" s="1"/>
  <c r="AI58" i="70"/>
  <c r="AI67" i="70"/>
  <c r="AA116" i="70"/>
  <c r="AI45" i="70"/>
  <c r="AI102" i="70"/>
  <c r="AI61" i="70"/>
  <c r="V112" i="70"/>
  <c r="V113" i="70" s="1"/>
  <c r="AI88" i="70"/>
  <c r="R112" i="68"/>
  <c r="R113" i="68" s="1"/>
  <c r="Z112" i="68"/>
  <c r="Z113" i="68" s="1"/>
  <c r="AD112" i="68"/>
  <c r="AE112" i="68" s="1"/>
  <c r="AG112" i="68"/>
  <c r="AI37" i="68"/>
  <c r="AI41" i="68"/>
  <c r="AI67" i="68"/>
  <c r="AI75" i="68"/>
  <c r="AA110" i="68"/>
  <c r="AI110" i="68" s="1"/>
  <c r="AI39" i="68"/>
  <c r="AI69" i="68"/>
  <c r="AI82" i="68"/>
  <c r="AI47" i="68"/>
  <c r="AI88" i="68"/>
  <c r="V112" i="68"/>
  <c r="V113" i="68" s="1"/>
  <c r="AI91" i="68"/>
  <c r="Y112" i="68"/>
  <c r="Y113" i="68" s="1"/>
  <c r="X112" i="68"/>
  <c r="X113" i="68" s="1"/>
  <c r="AI38" i="66"/>
  <c r="AI45" i="66"/>
  <c r="AI37" i="66"/>
  <c r="AI41" i="66"/>
  <c r="AI93" i="66"/>
  <c r="AI75" i="66"/>
  <c r="AI118" i="66"/>
  <c r="AI40" i="66"/>
  <c r="AI56" i="66"/>
  <c r="AI105" i="66"/>
  <c r="AI112" i="66"/>
  <c r="AI126" i="66"/>
  <c r="AI99" i="66"/>
  <c r="AI130" i="66"/>
  <c r="AI69" i="66"/>
  <c r="AI101" i="66"/>
  <c r="AI109" i="66"/>
  <c r="M57" i="66"/>
  <c r="M35" i="66"/>
  <c r="M38" i="66"/>
  <c r="M42" i="66"/>
  <c r="M48" i="66"/>
  <c r="M55" i="66"/>
  <c r="M84" i="66"/>
  <c r="M36" i="68"/>
  <c r="M52" i="66"/>
  <c r="B62" i="67"/>
  <c r="B29" i="67"/>
  <c r="M39" i="66"/>
  <c r="M46" i="66"/>
  <c r="M62" i="66"/>
  <c r="M80" i="66"/>
  <c r="M45" i="66"/>
  <c r="M36" i="66"/>
  <c r="M58" i="66"/>
  <c r="N139" i="66"/>
  <c r="M52" i="68"/>
  <c r="M49" i="66"/>
  <c r="M56" i="66"/>
  <c r="M71" i="66"/>
  <c r="M77" i="66"/>
  <c r="N141" i="66"/>
  <c r="M37" i="66"/>
  <c r="M59" i="66"/>
  <c r="N140" i="66"/>
  <c r="M47" i="66"/>
  <c r="M69" i="66"/>
  <c r="M75" i="66"/>
  <c r="M82" i="66"/>
  <c r="M42" i="68"/>
  <c r="M47" i="68"/>
  <c r="M48" i="68"/>
  <c r="K35" i="67"/>
  <c r="M35" i="67"/>
  <c r="M75" i="70"/>
  <c r="M35" i="68"/>
  <c r="M37" i="68"/>
  <c r="M38" i="68"/>
  <c r="M45" i="68"/>
  <c r="M69" i="68"/>
  <c r="M82" i="68"/>
  <c r="M39" i="68"/>
  <c r="M46" i="68"/>
  <c r="M83" i="68"/>
  <c r="N120" i="68"/>
  <c r="M49" i="68"/>
  <c r="M55" i="68"/>
  <c r="M58" i="68"/>
  <c r="M59" i="68"/>
  <c r="M75" i="68"/>
  <c r="N118" i="68"/>
  <c r="N119" i="68"/>
  <c r="M57" i="68"/>
  <c r="M71" i="70"/>
  <c r="M62" i="68"/>
  <c r="M80" i="68"/>
  <c r="K35" i="69"/>
  <c r="M35" i="69"/>
  <c r="M56" i="68"/>
  <c r="M71" i="68"/>
  <c r="M77" i="68"/>
  <c r="M80" i="70"/>
  <c r="M36" i="70"/>
  <c r="M39" i="70"/>
  <c r="N118" i="70"/>
  <c r="M49" i="70"/>
  <c r="M58" i="70"/>
  <c r="M69" i="70"/>
  <c r="M77" i="70"/>
  <c r="M82" i="70"/>
  <c r="B29" i="69"/>
  <c r="B62" i="69"/>
  <c r="M52" i="70"/>
  <c r="M46" i="70"/>
  <c r="M47" i="70"/>
  <c r="M56" i="70"/>
  <c r="M62" i="70"/>
  <c r="M37" i="70"/>
  <c r="M59" i="70"/>
  <c r="N117" i="70"/>
  <c r="M35" i="70"/>
  <c r="M57" i="70"/>
  <c r="M38" i="70"/>
  <c r="M45" i="70"/>
  <c r="M42" i="70"/>
  <c r="M48" i="70"/>
  <c r="M55" i="70"/>
  <c r="M83" i="70"/>
  <c r="N116" i="70"/>
  <c r="AI107" i="66"/>
  <c r="AI92" i="66"/>
  <c r="AI85" i="66"/>
  <c r="AI91" i="66"/>
  <c r="AI42" i="66"/>
  <c r="AI65" i="66"/>
  <c r="AI58" i="66"/>
  <c r="AI36" i="66"/>
  <c r="AI121" i="66"/>
  <c r="G54" i="66"/>
  <c r="AI52" i="66"/>
  <c r="AA137" i="66"/>
  <c r="AI136" i="66"/>
  <c r="AA142" i="66"/>
  <c r="AA139" i="66"/>
  <c r="AA140" i="66"/>
  <c r="AI36" i="68"/>
  <c r="AI48" i="68"/>
  <c r="AI132" i="66"/>
  <c r="AI84" i="66"/>
  <c r="AI114" i="66"/>
  <c r="AI128" i="66"/>
  <c r="AI48" i="70"/>
  <c r="AI59" i="68"/>
  <c r="AI116" i="66"/>
  <c r="AI39" i="66"/>
  <c r="G44" i="66"/>
  <c r="AA141" i="66"/>
  <c r="AI51" i="70"/>
  <c r="AI38" i="68"/>
  <c r="AI49" i="68"/>
  <c r="AI99" i="68"/>
  <c r="AI56" i="68"/>
  <c r="AI83" i="68"/>
  <c r="AA108" i="68"/>
  <c r="Q112" i="68"/>
  <c r="Q113" i="68" s="1"/>
  <c r="AI45" i="68"/>
  <c r="AI71" i="68"/>
  <c r="AI76" i="68"/>
  <c r="AI55" i="68"/>
  <c r="AI89" i="68"/>
  <c r="AI40" i="70"/>
  <c r="AA119" i="68"/>
  <c r="AI105" i="68"/>
  <c r="S112" i="68"/>
  <c r="S113" i="68" s="1"/>
  <c r="AA109" i="68"/>
  <c r="AI110" i="70"/>
  <c r="AI66" i="68"/>
  <c r="AI70" i="68"/>
  <c r="AI74" i="68"/>
  <c r="AI95" i="68"/>
  <c r="O112" i="68"/>
  <c r="W112" i="68"/>
  <c r="W113" i="68" s="1"/>
  <c r="AI47" i="70"/>
  <c r="AI97" i="70"/>
  <c r="G73" i="68"/>
  <c r="AI103" i="68"/>
  <c r="Z112" i="70"/>
  <c r="Z113" i="70" s="1"/>
  <c r="AI89" i="70"/>
  <c r="R112" i="70"/>
  <c r="R113" i="70" s="1"/>
  <c r="T112" i="70"/>
  <c r="T113" i="70" s="1"/>
  <c r="AI55" i="70"/>
  <c r="AI57" i="70"/>
  <c r="AI75" i="70"/>
  <c r="AI37" i="70"/>
  <c r="AI69" i="70"/>
  <c r="AI82" i="70"/>
  <c r="AA118" i="70"/>
  <c r="AG112" i="70"/>
  <c r="AI35" i="70"/>
  <c r="AI59" i="70"/>
  <c r="O112" i="70"/>
  <c r="AA108" i="70"/>
  <c r="W112" i="70"/>
  <c r="W113" i="70" s="1"/>
  <c r="AA111" i="70"/>
  <c r="AA117" i="70"/>
  <c r="AI41" i="70"/>
  <c r="AI50" i="70"/>
  <c r="AI70" i="70"/>
  <c r="AI83" i="70"/>
  <c r="P112" i="70"/>
  <c r="P113" i="70" s="1"/>
  <c r="X112" i="70"/>
  <c r="X113" i="70" s="1"/>
  <c r="AI39" i="70"/>
  <c r="AG96" i="65"/>
  <c r="AD96" i="65"/>
  <c r="Z96" i="65"/>
  <c r="Y96" i="65"/>
  <c r="X96" i="65"/>
  <c r="W96" i="65"/>
  <c r="V96" i="65"/>
  <c r="U96" i="65"/>
  <c r="T96" i="65"/>
  <c r="S96" i="65"/>
  <c r="R96" i="65"/>
  <c r="Q96" i="65"/>
  <c r="P96" i="65"/>
  <c r="O96" i="65"/>
  <c r="AH76" i="65"/>
  <c r="AE76" i="65"/>
  <c r="AG70" i="65"/>
  <c r="AG97" i="65" s="1"/>
  <c r="AD70" i="65"/>
  <c r="AD97" i="65" s="1"/>
  <c r="Z70" i="65"/>
  <c r="Z97" i="65" s="1"/>
  <c r="Y70" i="65"/>
  <c r="Y97" i="65" s="1"/>
  <c r="X70" i="65"/>
  <c r="X97" i="65" s="1"/>
  <c r="W70" i="65"/>
  <c r="W97" i="65" s="1"/>
  <c r="V70" i="65"/>
  <c r="V97" i="65" s="1"/>
  <c r="U70" i="65"/>
  <c r="U97" i="65" s="1"/>
  <c r="T70" i="65"/>
  <c r="T97" i="65" s="1"/>
  <c r="S70" i="65"/>
  <c r="S97" i="65" s="1"/>
  <c r="R70" i="65"/>
  <c r="R97" i="65" s="1"/>
  <c r="Q70" i="65"/>
  <c r="Q97" i="65" s="1"/>
  <c r="P70" i="65"/>
  <c r="P97" i="65" s="1"/>
  <c r="O70" i="65"/>
  <c r="AI69" i="65"/>
  <c r="AH69" i="65"/>
  <c r="AF69" i="65"/>
  <c r="AE69" i="65"/>
  <c r="AB69" i="65"/>
  <c r="AA31" i="65"/>
  <c r="G20" i="65"/>
  <c r="G19" i="65"/>
  <c r="N26" i="69"/>
  <c r="M51" i="70"/>
  <c r="M68" i="70"/>
  <c r="M76" i="70"/>
  <c r="M41" i="70"/>
  <c r="M40" i="70"/>
  <c r="M61" i="70"/>
  <c r="M65" i="70"/>
  <c r="M67" i="70"/>
  <c r="M50" i="70"/>
  <c r="M74" i="70"/>
  <c r="M60" i="70"/>
  <c r="M70" i="70"/>
  <c r="M66" i="70"/>
  <c r="M66" i="68"/>
  <c r="M61" i="68"/>
  <c r="M65" i="68"/>
  <c r="M51" i="68"/>
  <c r="M50" i="68"/>
  <c r="C3" i="68"/>
  <c r="M68" i="68"/>
  <c r="M41" i="68"/>
  <c r="M67" i="68"/>
  <c r="M76" i="68"/>
  <c r="M74" i="68"/>
  <c r="M70" i="68"/>
  <c r="M60" i="68"/>
  <c r="N26" i="68"/>
  <c r="M40" i="68"/>
  <c r="N26" i="67"/>
  <c r="C3" i="67"/>
  <c r="M51" i="66"/>
  <c r="M50" i="66"/>
  <c r="M60" i="66"/>
  <c r="M68" i="66"/>
  <c r="N26" i="66"/>
  <c r="M65" i="66"/>
  <c r="M74" i="66"/>
  <c r="M41" i="66"/>
  <c r="M61" i="66"/>
  <c r="M70" i="66"/>
  <c r="M67" i="66"/>
  <c r="M83" i="66"/>
  <c r="M40" i="66"/>
  <c r="M76" i="66"/>
  <c r="M66" i="66"/>
  <c r="J93" i="65"/>
  <c r="B120" i="65"/>
  <c r="L74" i="65"/>
  <c r="B22" i="65"/>
  <c r="N33" i="65"/>
  <c r="J74" i="65"/>
  <c r="J69" i="65"/>
  <c r="J109" i="65"/>
  <c r="J103" i="65"/>
  <c r="I70" i="65"/>
  <c r="J104" i="65"/>
  <c r="I59" i="65"/>
  <c r="N94" i="65"/>
  <c r="N101" i="65"/>
  <c r="N35" i="65"/>
  <c r="N77" i="65"/>
  <c r="I34" i="65"/>
  <c r="I102" i="65"/>
  <c r="J34" i="65"/>
  <c r="N72" i="65"/>
  <c r="L77" i="65"/>
  <c r="I106" i="65"/>
  <c r="N93" i="65"/>
  <c r="J35" i="65"/>
  <c r="C7" i="65"/>
  <c r="I72" i="65"/>
  <c r="N59" i="65"/>
  <c r="J59" i="65"/>
  <c r="I105" i="65"/>
  <c r="I84" i="65"/>
  <c r="I69" i="65"/>
  <c r="I77" i="65"/>
  <c r="J76" i="65"/>
  <c r="J58" i="65"/>
  <c r="I94" i="65"/>
  <c r="B89" i="65"/>
  <c r="J108" i="65"/>
  <c r="L76" i="65"/>
  <c r="N70" i="65"/>
  <c r="B85" i="65"/>
  <c r="N104" i="65"/>
  <c r="I93" i="65"/>
  <c r="B52" i="65"/>
  <c r="J85" i="65"/>
  <c r="N74" i="65"/>
  <c r="I73" i="65"/>
  <c r="C6" i="65"/>
  <c r="J102" i="65"/>
  <c r="L35" i="65"/>
  <c r="J70" i="65"/>
  <c r="I109" i="65"/>
  <c r="I104" i="65"/>
  <c r="J60" i="65"/>
  <c r="I33" i="65"/>
  <c r="B55" i="65"/>
  <c r="J91" i="65"/>
  <c r="J73" i="65"/>
  <c r="J84" i="65"/>
  <c r="N69" i="65"/>
  <c r="C1" i="65"/>
  <c r="N20" i="65"/>
  <c r="C2" i="65"/>
  <c r="B88" i="65"/>
  <c r="I58" i="65"/>
  <c r="J94" i="65"/>
  <c r="N84" i="65"/>
  <c r="N85" i="65"/>
  <c r="B3" i="65"/>
  <c r="N60" i="65"/>
  <c r="I74" i="65"/>
  <c r="I35" i="65"/>
  <c r="J106" i="65"/>
  <c r="C8" i="65"/>
  <c r="C5" i="65"/>
  <c r="J101" i="65"/>
  <c r="B23" i="65"/>
  <c r="N27" i="65"/>
  <c r="N73" i="65"/>
  <c r="I107" i="65"/>
  <c r="L85" i="65"/>
  <c r="B56" i="65"/>
  <c r="J33" i="65"/>
  <c r="N19" i="65"/>
  <c r="J105" i="65"/>
  <c r="I108" i="65"/>
  <c r="J107" i="65"/>
  <c r="I60" i="65"/>
  <c r="I91" i="65"/>
  <c r="N76" i="65"/>
  <c r="I76" i="65"/>
  <c r="N34" i="65"/>
  <c r="N91" i="65"/>
  <c r="I103" i="65"/>
  <c r="I85" i="65"/>
  <c r="N107" i="65"/>
  <c r="C3" i="65"/>
  <c r="I101" i="65"/>
  <c r="J72" i="65"/>
  <c r="B19" i="65"/>
  <c r="N58" i="65"/>
  <c r="B116" i="65"/>
  <c r="E6" i="65"/>
  <c r="L60" i="65"/>
  <c r="J77" i="65"/>
  <c r="B83" i="65"/>
  <c r="F4" i="65"/>
  <c r="B114" i="65"/>
  <c r="B18" i="65"/>
  <c r="B50" i="65"/>
  <c r="B17" i="65"/>
  <c r="B84" i="65"/>
  <c r="B115" i="65"/>
  <c r="B51" i="65"/>
  <c r="N26" i="65"/>
  <c r="AA85" i="65" l="1"/>
  <c r="AA91" i="65"/>
  <c r="AA60" i="65"/>
  <c r="AA35" i="65"/>
  <c r="AA93" i="65"/>
  <c r="AA94" i="65"/>
  <c r="AA77" i="65"/>
  <c r="AB35" i="69"/>
  <c r="AF35" i="69"/>
  <c r="AF35" i="67"/>
  <c r="AF110" i="68"/>
  <c r="AA74" i="65"/>
  <c r="AD113" i="68"/>
  <c r="AF109" i="70"/>
  <c r="AE112" i="70"/>
  <c r="AG113" i="68"/>
  <c r="AI111" i="68"/>
  <c r="AB109" i="70"/>
  <c r="AI42" i="68"/>
  <c r="G44" i="68"/>
  <c r="AN69" i="65"/>
  <c r="AG113" i="70"/>
  <c r="AF109" i="68"/>
  <c r="AI109" i="68"/>
  <c r="AI42" i="70"/>
  <c r="G44" i="70"/>
  <c r="AI84" i="68"/>
  <c r="AA120" i="68"/>
  <c r="G79" i="66"/>
  <c r="AI77" i="66"/>
  <c r="AI35" i="69"/>
  <c r="G64" i="70"/>
  <c r="AI62" i="70"/>
  <c r="G79" i="70"/>
  <c r="AI77" i="70"/>
  <c r="G54" i="68"/>
  <c r="AI52" i="68"/>
  <c r="AF111" i="70"/>
  <c r="AI111" i="70"/>
  <c r="O113" i="68"/>
  <c r="AA112" i="68"/>
  <c r="AI71" i="66"/>
  <c r="G73" i="66"/>
  <c r="AI94" i="66"/>
  <c r="AI77" i="68"/>
  <c r="G79" i="68"/>
  <c r="AI119" i="66"/>
  <c r="AI52" i="70"/>
  <c r="G54" i="70"/>
  <c r="AI86" i="66"/>
  <c r="G64" i="68"/>
  <c r="AI62" i="68"/>
  <c r="AI108" i="70"/>
  <c r="AF108" i="70"/>
  <c r="AF108" i="68"/>
  <c r="AI108" i="68"/>
  <c r="AI84" i="70"/>
  <c r="O113" i="70"/>
  <c r="AA112" i="70"/>
  <c r="G73" i="70"/>
  <c r="AI71" i="70"/>
  <c r="AI137" i="66"/>
  <c r="AF137" i="66"/>
  <c r="AI35" i="67"/>
  <c r="K69" i="65"/>
  <c r="M77" i="65"/>
  <c r="K77" i="65"/>
  <c r="M60" i="65"/>
  <c r="K60" i="65"/>
  <c r="B62" i="65"/>
  <c r="B29" i="65"/>
  <c r="M35" i="65"/>
  <c r="K35" i="65"/>
  <c r="K85" i="65"/>
  <c r="N97" i="65"/>
  <c r="AA70" i="65"/>
  <c r="K70" i="65"/>
  <c r="N96" i="65"/>
  <c r="K74" i="65"/>
  <c r="M74" i="65"/>
  <c r="AA76" i="65"/>
  <c r="M76" i="65"/>
  <c r="K76" i="65"/>
  <c r="O97" i="65"/>
  <c r="AM69" i="65"/>
  <c r="M85" i="65"/>
  <c r="AF77" i="65" l="1"/>
  <c r="AF93" i="65"/>
  <c r="AF35" i="65"/>
  <c r="AF60" i="65"/>
  <c r="AF91" i="65"/>
  <c r="AF94" i="65"/>
  <c r="AB85" i="65"/>
  <c r="AF85" i="65"/>
  <c r="AF74" i="65"/>
  <c r="AI122" i="66"/>
  <c r="AI112" i="68"/>
  <c r="AF112" i="68"/>
  <c r="AA113" i="68"/>
  <c r="AF112" i="70"/>
  <c r="AI112" i="70"/>
  <c r="AA113" i="70"/>
  <c r="AI74" i="65"/>
  <c r="AI85" i="65"/>
  <c r="AI35" i="65"/>
  <c r="AI60" i="65"/>
  <c r="AI76" i="65"/>
  <c r="AF76" i="65"/>
  <c r="AA97" i="65"/>
  <c r="AI70" i="65"/>
  <c r="AF70" i="65"/>
  <c r="AI94" i="65"/>
  <c r="AI93" i="65"/>
  <c r="AA96" i="65"/>
  <c r="AI91" i="65"/>
  <c r="AI77" i="65"/>
  <c r="AE40" i="35" l="1"/>
  <c r="F4" i="63"/>
  <c r="F4" i="19"/>
  <c r="F4" i="6"/>
  <c r="F4" i="58"/>
  <c r="F4" i="35"/>
  <c r="F4" i="33"/>
  <c r="F4" i="27"/>
  <c r="F4" i="37"/>
  <c r="F4" i="59"/>
  <c r="F4" i="4"/>
  <c r="F4" i="9"/>
  <c r="F4" i="21"/>
  <c r="F4" i="56"/>
  <c r="F4" i="52"/>
  <c r="F4" i="11"/>
  <c r="F4" i="51"/>
  <c r="F4" i="61"/>
  <c r="F4" i="34"/>
  <c r="F4" i="22"/>
  <c r="F4" i="7"/>
  <c r="F4" i="36"/>
  <c r="F4" i="53"/>
  <c r="F4" i="26"/>
  <c r="F4" i="28"/>
  <c r="F4" i="55"/>
  <c r="F4" i="25"/>
  <c r="F4" i="62"/>
  <c r="F4" i="30"/>
  <c r="F4" i="39"/>
  <c r="F4" i="64"/>
  <c r="F4" i="18"/>
  <c r="F4" i="31"/>
  <c r="F4" i="24"/>
  <c r="F4" i="32"/>
  <c r="F4" i="23"/>
  <c r="F4" i="16"/>
  <c r="F4" i="54"/>
  <c r="F4" i="20"/>
  <c r="F4" i="57"/>
  <c r="F4" i="15"/>
  <c r="F4" i="29"/>
  <c r="F4" i="17"/>
  <c r="M11" i="68" l="1"/>
  <c r="M11" i="69"/>
  <c r="M11" i="70"/>
  <c r="M11" i="66"/>
  <c r="B4" i="69"/>
  <c r="B4" i="67"/>
  <c r="B4" i="70"/>
  <c r="B4" i="68"/>
  <c r="B4" i="66"/>
  <c r="M11" i="67"/>
  <c r="M11" i="65"/>
  <c r="B4" i="65"/>
  <c r="M11" i="29"/>
  <c r="M11" i="25"/>
  <c r="M11" i="15"/>
  <c r="M11" i="52"/>
  <c r="M11" i="32"/>
  <c r="M11" i="23"/>
  <c r="M11" i="62"/>
  <c r="L11" i="37"/>
  <c r="M11" i="35"/>
  <c r="M11" i="22"/>
  <c r="M11" i="53"/>
  <c r="M11" i="17"/>
  <c r="M11" i="56"/>
  <c r="M11" i="16"/>
  <c r="M11" i="27"/>
  <c r="M11" i="54"/>
  <c r="M11" i="9"/>
  <c r="M11" i="26"/>
  <c r="M11" i="4"/>
  <c r="M11" i="30"/>
  <c r="M11" i="21"/>
  <c r="M11" i="59"/>
  <c r="M11" i="55"/>
  <c r="M11" i="64"/>
  <c r="M11" i="33"/>
  <c r="M11" i="20"/>
  <c r="M11" i="11"/>
  <c r="M11" i="61"/>
  <c r="M11" i="51"/>
  <c r="M11" i="58"/>
  <c r="M11" i="39"/>
  <c r="M11" i="31"/>
  <c r="M11" i="18"/>
  <c r="M11" i="63"/>
  <c r="M11" i="34"/>
  <c r="M11" i="57"/>
  <c r="M11" i="36"/>
  <c r="M11" i="28"/>
  <c r="M11" i="19"/>
  <c r="M11" i="7"/>
  <c r="L11" i="24"/>
  <c r="M11" i="6"/>
  <c r="AG146" i="64"/>
  <c r="AD146" i="64"/>
  <c r="Z146" i="64"/>
  <c r="Y146" i="64"/>
  <c r="X146" i="64"/>
  <c r="W146" i="64"/>
  <c r="V146" i="64"/>
  <c r="U146" i="64"/>
  <c r="T146" i="64"/>
  <c r="S146" i="64"/>
  <c r="R146" i="64"/>
  <c r="Q146" i="64"/>
  <c r="P146" i="64"/>
  <c r="O146" i="64"/>
  <c r="AG145" i="64"/>
  <c r="AD145" i="64"/>
  <c r="Z145" i="64"/>
  <c r="Y145" i="64"/>
  <c r="X145" i="64"/>
  <c r="W145" i="64"/>
  <c r="V145" i="64"/>
  <c r="U145" i="64"/>
  <c r="T145" i="64"/>
  <c r="S145" i="64"/>
  <c r="R145" i="64"/>
  <c r="Q145" i="64"/>
  <c r="P145" i="64"/>
  <c r="O145" i="64"/>
  <c r="AG144" i="64"/>
  <c r="AD144" i="64"/>
  <c r="Z144" i="64"/>
  <c r="Y144" i="64"/>
  <c r="X144" i="64"/>
  <c r="W144" i="64"/>
  <c r="V144" i="64"/>
  <c r="U144" i="64"/>
  <c r="T144" i="64"/>
  <c r="S144" i="64"/>
  <c r="R144" i="64"/>
  <c r="Q144" i="64"/>
  <c r="P144" i="64"/>
  <c r="O144" i="64"/>
  <c r="AG143" i="64"/>
  <c r="AD143" i="64"/>
  <c r="Z143" i="64"/>
  <c r="Y143" i="64"/>
  <c r="X143" i="64"/>
  <c r="W143" i="64"/>
  <c r="V143" i="64"/>
  <c r="U143" i="64"/>
  <c r="T143" i="64"/>
  <c r="S143" i="64"/>
  <c r="R143" i="64"/>
  <c r="Q143" i="64"/>
  <c r="P143" i="64"/>
  <c r="O143" i="64"/>
  <c r="AG141" i="64"/>
  <c r="AD141" i="64"/>
  <c r="Z141" i="64"/>
  <c r="Y141" i="64"/>
  <c r="X141" i="64"/>
  <c r="W141" i="64"/>
  <c r="V141" i="64"/>
  <c r="U141" i="64"/>
  <c r="T141" i="64"/>
  <c r="S141" i="64"/>
  <c r="R141" i="64"/>
  <c r="Q141" i="64"/>
  <c r="P141" i="64"/>
  <c r="O141" i="64"/>
  <c r="AH140" i="64"/>
  <c r="M140" i="64"/>
  <c r="AI139" i="64"/>
  <c r="M139" i="64"/>
  <c r="AH138" i="64"/>
  <c r="M138" i="64"/>
  <c r="AI137" i="64"/>
  <c r="M137" i="64"/>
  <c r="AH136" i="64"/>
  <c r="AI136" i="64"/>
  <c r="M136" i="64"/>
  <c r="AI135" i="64"/>
  <c r="M135" i="64"/>
  <c r="AH134" i="64"/>
  <c r="M134" i="64"/>
  <c r="AI133" i="64"/>
  <c r="M133" i="64"/>
  <c r="AH132" i="64"/>
  <c r="M132" i="64"/>
  <c r="AI131" i="64"/>
  <c r="M131" i="64"/>
  <c r="AH130" i="64"/>
  <c r="M130" i="64"/>
  <c r="M126" i="64"/>
  <c r="AH125" i="64"/>
  <c r="M125" i="64"/>
  <c r="AH124" i="64"/>
  <c r="M124" i="64"/>
  <c r="AH123" i="64"/>
  <c r="M123" i="64"/>
  <c r="AH122" i="64"/>
  <c r="M122" i="64"/>
  <c r="AH121" i="64"/>
  <c r="M121" i="64"/>
  <c r="AI119" i="64"/>
  <c r="AH119" i="64"/>
  <c r="M119" i="64"/>
  <c r="AH118" i="64"/>
  <c r="M118" i="64"/>
  <c r="AH117" i="64"/>
  <c r="AI117" i="64"/>
  <c r="M117" i="64"/>
  <c r="AH116" i="64"/>
  <c r="M116" i="64"/>
  <c r="AI115" i="64"/>
  <c r="AH115" i="64"/>
  <c r="M115" i="64"/>
  <c r="AH114" i="64"/>
  <c r="M114" i="64"/>
  <c r="AI111" i="64"/>
  <c r="AH111" i="64"/>
  <c r="M111" i="64"/>
  <c r="AH110" i="64"/>
  <c r="M110" i="64"/>
  <c r="AH109" i="64"/>
  <c r="AI109" i="64"/>
  <c r="M109" i="64"/>
  <c r="AH108" i="64"/>
  <c r="M108" i="64"/>
  <c r="AI107" i="64"/>
  <c r="AH107" i="64"/>
  <c r="M107" i="64"/>
  <c r="AH106" i="64"/>
  <c r="M106" i="64"/>
  <c r="AH103" i="64"/>
  <c r="AI103" i="64"/>
  <c r="M103" i="64"/>
  <c r="AH102" i="64"/>
  <c r="M102" i="64"/>
  <c r="AI101" i="64"/>
  <c r="AH101" i="64"/>
  <c r="M101" i="64"/>
  <c r="AH100" i="64"/>
  <c r="M100" i="64"/>
  <c r="AI99" i="64"/>
  <c r="AH99" i="64"/>
  <c r="M99" i="64"/>
  <c r="AH98" i="64"/>
  <c r="M98" i="64"/>
  <c r="AH87" i="64"/>
  <c r="AI86" i="64"/>
  <c r="AH85" i="64"/>
  <c r="AH83" i="64"/>
  <c r="AH84" i="64"/>
  <c r="AH80" i="64"/>
  <c r="AI80" i="64"/>
  <c r="AH79" i="64"/>
  <c r="AI78" i="64"/>
  <c r="AH78" i="64"/>
  <c r="AH77" i="64"/>
  <c r="AI76" i="64"/>
  <c r="AH76" i="64"/>
  <c r="AH75" i="64"/>
  <c r="AH74" i="64"/>
  <c r="AH71" i="64"/>
  <c r="AI69" i="64"/>
  <c r="AH69" i="64"/>
  <c r="AH68" i="64"/>
  <c r="AI67" i="64"/>
  <c r="AH67" i="64"/>
  <c r="AH66" i="64"/>
  <c r="AH65" i="64"/>
  <c r="AI65" i="64"/>
  <c r="AH64" i="64"/>
  <c r="AI61" i="64"/>
  <c r="AH61" i="64"/>
  <c r="AI60" i="64"/>
  <c r="AH59" i="64"/>
  <c r="AH58" i="64"/>
  <c r="AI58" i="64"/>
  <c r="AH57" i="64"/>
  <c r="AH56" i="64"/>
  <c r="AI56" i="64"/>
  <c r="AH55" i="64"/>
  <c r="AH54" i="64"/>
  <c r="AH51" i="64"/>
  <c r="AI49" i="64"/>
  <c r="AH49" i="64"/>
  <c r="AH48" i="64"/>
  <c r="AI47" i="64"/>
  <c r="AH47" i="64"/>
  <c r="AH46" i="64"/>
  <c r="AI45" i="64"/>
  <c r="AH45" i="64"/>
  <c r="AH44" i="64"/>
  <c r="AH41" i="64"/>
  <c r="AI41" i="64"/>
  <c r="AI40" i="64"/>
  <c r="AH39" i="64"/>
  <c r="AI38" i="64"/>
  <c r="AH38" i="64"/>
  <c r="AH37" i="64"/>
  <c r="AI36" i="64"/>
  <c r="AH36" i="64"/>
  <c r="AH35" i="64"/>
  <c r="AA31" i="64"/>
  <c r="G20" i="64"/>
  <c r="G19" i="64"/>
  <c r="AG90" i="63"/>
  <c r="AD90" i="63"/>
  <c r="Z90" i="63"/>
  <c r="Y90" i="63"/>
  <c r="X90" i="63"/>
  <c r="W90" i="63"/>
  <c r="V90" i="63"/>
  <c r="U90" i="63"/>
  <c r="T90" i="63"/>
  <c r="S90" i="63"/>
  <c r="R90" i="63"/>
  <c r="Q90" i="63"/>
  <c r="P90" i="63"/>
  <c r="O90" i="63"/>
  <c r="AH88" i="63"/>
  <c r="AH87" i="63"/>
  <c r="AH85" i="63"/>
  <c r="AH83" i="63"/>
  <c r="AE83" i="63"/>
  <c r="AH79" i="63"/>
  <c r="AE79" i="63"/>
  <c r="AH78" i="63"/>
  <c r="AE78" i="63"/>
  <c r="AH76" i="63"/>
  <c r="AE76" i="63"/>
  <c r="AG72" i="63"/>
  <c r="AD72" i="63"/>
  <c r="AD91" i="63" s="1"/>
  <c r="Z72" i="63"/>
  <c r="Z91" i="63" s="1"/>
  <c r="Y72" i="63"/>
  <c r="Y91" i="63" s="1"/>
  <c r="X72" i="63"/>
  <c r="X91" i="63" s="1"/>
  <c r="W72" i="63"/>
  <c r="W91" i="63" s="1"/>
  <c r="V72" i="63"/>
  <c r="V91" i="63" s="1"/>
  <c r="U72" i="63"/>
  <c r="U91" i="63" s="1"/>
  <c r="T72" i="63"/>
  <c r="T91" i="63" s="1"/>
  <c r="S72" i="63"/>
  <c r="S91" i="63" s="1"/>
  <c r="R72" i="63"/>
  <c r="R91" i="63" s="1"/>
  <c r="Q72" i="63"/>
  <c r="Q91" i="63" s="1"/>
  <c r="P72" i="63"/>
  <c r="P91" i="63" s="1"/>
  <c r="O72" i="63"/>
  <c r="O91" i="63" s="1"/>
  <c r="AI71" i="63"/>
  <c r="AH71" i="63"/>
  <c r="AF71" i="63"/>
  <c r="AE71" i="63"/>
  <c r="AB71" i="63"/>
  <c r="AH62" i="63"/>
  <c r="AH35" i="63"/>
  <c r="AA31" i="63"/>
  <c r="G20" i="63"/>
  <c r="G19" i="63"/>
  <c r="AG146" i="62"/>
  <c r="AD146" i="62"/>
  <c r="Z146" i="62"/>
  <c r="Y146" i="62"/>
  <c r="X146" i="62"/>
  <c r="W146" i="62"/>
  <c r="V146" i="62"/>
  <c r="U146" i="62"/>
  <c r="T146" i="62"/>
  <c r="S146" i="62"/>
  <c r="R146" i="62"/>
  <c r="Q146" i="62"/>
  <c r="P146" i="62"/>
  <c r="O146" i="62"/>
  <c r="AG145" i="62"/>
  <c r="AD145" i="62"/>
  <c r="Z145" i="62"/>
  <c r="Y145" i="62"/>
  <c r="X145" i="62"/>
  <c r="W145" i="62"/>
  <c r="V145" i="62"/>
  <c r="U145" i="62"/>
  <c r="T145" i="62"/>
  <c r="S145" i="62"/>
  <c r="R145" i="62"/>
  <c r="Q145" i="62"/>
  <c r="P145" i="62"/>
  <c r="O145" i="62"/>
  <c r="AG144" i="62"/>
  <c r="AD144" i="62"/>
  <c r="Z144" i="62"/>
  <c r="Y144" i="62"/>
  <c r="X144" i="62"/>
  <c r="W144" i="62"/>
  <c r="V144" i="62"/>
  <c r="U144" i="62"/>
  <c r="T144" i="62"/>
  <c r="S144" i="62"/>
  <c r="R144" i="62"/>
  <c r="Q144" i="62"/>
  <c r="P144" i="62"/>
  <c r="O144" i="62"/>
  <c r="AG143" i="62"/>
  <c r="AD143" i="62"/>
  <c r="Z143" i="62"/>
  <c r="Y143" i="62"/>
  <c r="X143" i="62"/>
  <c r="W143" i="62"/>
  <c r="V143" i="62"/>
  <c r="U143" i="62"/>
  <c r="T143" i="62"/>
  <c r="S143" i="62"/>
  <c r="R143" i="62"/>
  <c r="Q143" i="62"/>
  <c r="P143" i="62"/>
  <c r="O143" i="62"/>
  <c r="AG141" i="62"/>
  <c r="AD141" i="62"/>
  <c r="Z141" i="62"/>
  <c r="Y141" i="62"/>
  <c r="X141" i="62"/>
  <c r="W141" i="62"/>
  <c r="V141" i="62"/>
  <c r="U141" i="62"/>
  <c r="T141" i="62"/>
  <c r="S141" i="62"/>
  <c r="R141" i="62"/>
  <c r="Q141" i="62"/>
  <c r="P141" i="62"/>
  <c r="O141" i="62"/>
  <c r="AH140" i="62"/>
  <c r="M140" i="62"/>
  <c r="AI139" i="62"/>
  <c r="M139" i="62"/>
  <c r="AH138" i="62"/>
  <c r="M138" i="62"/>
  <c r="AI137" i="62"/>
  <c r="M137" i="62"/>
  <c r="AH136" i="62"/>
  <c r="AI136" i="62"/>
  <c r="M136" i="62"/>
  <c r="AI135" i="62"/>
  <c r="M135" i="62"/>
  <c r="AH134" i="62"/>
  <c r="M134" i="62"/>
  <c r="AI133" i="62"/>
  <c r="M133" i="62"/>
  <c r="AH132" i="62"/>
  <c r="M132" i="62"/>
  <c r="AI131" i="62"/>
  <c r="M131" i="62"/>
  <c r="AH130" i="62"/>
  <c r="M130" i="62"/>
  <c r="M126" i="62"/>
  <c r="AH125" i="62"/>
  <c r="M125" i="62"/>
  <c r="AH124" i="62"/>
  <c r="M124" i="62"/>
  <c r="AH123" i="62"/>
  <c r="M123" i="62"/>
  <c r="AH122" i="62"/>
  <c r="M122" i="62"/>
  <c r="M121" i="62"/>
  <c r="AH119" i="62"/>
  <c r="AI119" i="62"/>
  <c r="M119" i="62"/>
  <c r="AH118" i="62"/>
  <c r="M118" i="62"/>
  <c r="AH117" i="62"/>
  <c r="AI117" i="62"/>
  <c r="M117" i="62"/>
  <c r="AI116" i="62"/>
  <c r="AH116" i="62"/>
  <c r="M116" i="62"/>
  <c r="AI115" i="62"/>
  <c r="AH115" i="62"/>
  <c r="M115" i="62"/>
  <c r="AH114" i="62"/>
  <c r="AI114" i="62"/>
  <c r="M114" i="62"/>
  <c r="AH111" i="62"/>
  <c r="M111" i="62"/>
  <c r="AH110" i="62"/>
  <c r="M110" i="62"/>
  <c r="AH109" i="62"/>
  <c r="AI109" i="62"/>
  <c r="M109" i="62"/>
  <c r="AH108" i="62"/>
  <c r="M108" i="62"/>
  <c r="AH107" i="62"/>
  <c r="AI107" i="62"/>
  <c r="M107" i="62"/>
  <c r="AH106" i="62"/>
  <c r="M106" i="62"/>
  <c r="AI103" i="62"/>
  <c r="AH103" i="62"/>
  <c r="M103" i="62"/>
  <c r="AH102" i="62"/>
  <c r="AI102" i="62"/>
  <c r="M102" i="62"/>
  <c r="AH101" i="62"/>
  <c r="M101" i="62"/>
  <c r="AH100" i="62"/>
  <c r="M100" i="62"/>
  <c r="AH99" i="62"/>
  <c r="AI99" i="62"/>
  <c r="M99" i="62"/>
  <c r="AH98" i="62"/>
  <c r="M98" i="62"/>
  <c r="AI92" i="62"/>
  <c r="AH87" i="62"/>
  <c r="AI87" i="62"/>
  <c r="AH85" i="62"/>
  <c r="AH83" i="62"/>
  <c r="AH84" i="62"/>
  <c r="AH80" i="62"/>
  <c r="AH79" i="62"/>
  <c r="AH78" i="62"/>
  <c r="AH77" i="62"/>
  <c r="AH76" i="62"/>
  <c r="AI76" i="62"/>
  <c r="AH75" i="62"/>
  <c r="AI75" i="62"/>
  <c r="AH74" i="62"/>
  <c r="AH71" i="62"/>
  <c r="AH69" i="62"/>
  <c r="AI69" i="62"/>
  <c r="AI68" i="62"/>
  <c r="AH68" i="62"/>
  <c r="AH67" i="62"/>
  <c r="AI67" i="62"/>
  <c r="AI66" i="62"/>
  <c r="AH66" i="62"/>
  <c r="AI65" i="62"/>
  <c r="AH65" i="62"/>
  <c r="AH64" i="62"/>
  <c r="AH61" i="62"/>
  <c r="AI61" i="62"/>
  <c r="AI60" i="62"/>
  <c r="AI59" i="62"/>
  <c r="AH59" i="62"/>
  <c r="AH58" i="62"/>
  <c r="AH57" i="62"/>
  <c r="AH56" i="62"/>
  <c r="AH55" i="62"/>
  <c r="AH54" i="62"/>
  <c r="AH51" i="62"/>
  <c r="AH49" i="62"/>
  <c r="AH48" i="62"/>
  <c r="AH47" i="62"/>
  <c r="AI47" i="62"/>
  <c r="AH46" i="62"/>
  <c r="AI46" i="62"/>
  <c r="AI45" i="62"/>
  <c r="AH45" i="62"/>
  <c r="AH44" i="62"/>
  <c r="AH41" i="62"/>
  <c r="AI40" i="62"/>
  <c r="AH39" i="62"/>
  <c r="AH38" i="62"/>
  <c r="AI37" i="62"/>
  <c r="AH37" i="62"/>
  <c r="AH36" i="62"/>
  <c r="AI35" i="62"/>
  <c r="AH35" i="62"/>
  <c r="AA31" i="62"/>
  <c r="G20" i="62"/>
  <c r="G19" i="62"/>
  <c r="AG90" i="61"/>
  <c r="AD90" i="61"/>
  <c r="Z90" i="61"/>
  <c r="Y90" i="61"/>
  <c r="X90" i="61"/>
  <c r="W90" i="61"/>
  <c r="V90" i="61"/>
  <c r="U90" i="61"/>
  <c r="T90" i="61"/>
  <c r="S90" i="61"/>
  <c r="R90" i="61"/>
  <c r="Q90" i="61"/>
  <c r="P90" i="61"/>
  <c r="O90" i="61"/>
  <c r="AH88" i="61"/>
  <c r="AH87" i="61"/>
  <c r="AH85" i="61"/>
  <c r="AH83" i="61"/>
  <c r="AE83" i="61"/>
  <c r="AH79" i="61"/>
  <c r="AE79" i="61"/>
  <c r="AH78" i="61"/>
  <c r="AE78" i="61"/>
  <c r="AH76" i="61"/>
  <c r="AE76" i="61"/>
  <c r="AG72" i="61"/>
  <c r="AG91" i="61" s="1"/>
  <c r="AD72" i="61"/>
  <c r="AD91" i="61" s="1"/>
  <c r="Z72" i="61"/>
  <c r="Z91" i="61" s="1"/>
  <c r="Y72" i="61"/>
  <c r="Y91" i="61" s="1"/>
  <c r="X72" i="61"/>
  <c r="X91" i="61" s="1"/>
  <c r="W72" i="61"/>
  <c r="W91" i="61" s="1"/>
  <c r="V72" i="61"/>
  <c r="V91" i="61" s="1"/>
  <c r="U72" i="61"/>
  <c r="U91" i="61" s="1"/>
  <c r="T72" i="61"/>
  <c r="T91" i="61" s="1"/>
  <c r="S72" i="61"/>
  <c r="S91" i="61" s="1"/>
  <c r="R72" i="61"/>
  <c r="R91" i="61" s="1"/>
  <c r="Q72" i="61"/>
  <c r="Q91" i="61" s="1"/>
  <c r="P72" i="61"/>
  <c r="P91" i="61" s="1"/>
  <c r="O72" i="61"/>
  <c r="O91" i="61" s="1"/>
  <c r="AI71" i="61"/>
  <c r="AH71" i="61"/>
  <c r="AF71" i="61"/>
  <c r="AE71" i="61"/>
  <c r="AB71" i="61"/>
  <c r="AH62" i="61"/>
  <c r="AH35" i="61"/>
  <c r="AA31" i="61"/>
  <c r="G20" i="61"/>
  <c r="G19" i="61"/>
  <c r="T40" i="5"/>
  <c r="T50" i="5"/>
  <c r="T41" i="5"/>
  <c r="T46" i="5"/>
  <c r="T44" i="5"/>
  <c r="T39" i="5"/>
  <c r="T42" i="5"/>
  <c r="T48" i="5"/>
  <c r="T47" i="5"/>
  <c r="T36" i="5"/>
  <c r="T37" i="5"/>
  <c r="T38" i="5"/>
  <c r="T49" i="5"/>
  <c r="T35" i="5"/>
  <c r="T43" i="5"/>
  <c r="T34" i="5"/>
  <c r="T45" i="5"/>
  <c r="N124" i="64"/>
  <c r="L49" i="64"/>
  <c r="J57" i="64"/>
  <c r="I79" i="64"/>
  <c r="J62" i="64"/>
  <c r="I50" i="64"/>
  <c r="N62" i="64"/>
  <c r="J67" i="64"/>
  <c r="N131" i="64"/>
  <c r="L62" i="64"/>
  <c r="N58" i="64"/>
  <c r="N86" i="64"/>
  <c r="L111" i="64"/>
  <c r="N116" i="64"/>
  <c r="J80" i="64"/>
  <c r="I47" i="64"/>
  <c r="N38" i="64"/>
  <c r="L134" i="64"/>
  <c r="L124" i="64"/>
  <c r="N129" i="64"/>
  <c r="N47" i="64"/>
  <c r="L122" i="64"/>
  <c r="J68" i="64"/>
  <c r="C5" i="64"/>
  <c r="N48" i="64"/>
  <c r="J46" i="64"/>
  <c r="N119" i="64"/>
  <c r="J52" i="64"/>
  <c r="I87" i="64"/>
  <c r="N81" i="64"/>
  <c r="L99" i="64"/>
  <c r="J81" i="64"/>
  <c r="I77" i="64"/>
  <c r="N35" i="64"/>
  <c r="N50" i="64"/>
  <c r="N80" i="64"/>
  <c r="J61" i="64"/>
  <c r="L117" i="64"/>
  <c r="J35" i="64"/>
  <c r="I83" i="64"/>
  <c r="L118" i="64"/>
  <c r="J72" i="64"/>
  <c r="J92" i="64"/>
  <c r="L47" i="64"/>
  <c r="N19" i="64"/>
  <c r="N107" i="64"/>
  <c r="N79" i="64"/>
  <c r="B19" i="64"/>
  <c r="N123" i="64"/>
  <c r="N40" i="64"/>
  <c r="L108" i="64"/>
  <c r="N39" i="64"/>
  <c r="N109" i="64"/>
  <c r="I46" i="64"/>
  <c r="L115" i="64"/>
  <c r="L101" i="64"/>
  <c r="L83" i="64"/>
  <c r="I59" i="64"/>
  <c r="L41" i="64"/>
  <c r="I45" i="64"/>
  <c r="I85" i="64"/>
  <c r="J71" i="64"/>
  <c r="E6" i="64"/>
  <c r="N138" i="64"/>
  <c r="N140" i="64"/>
  <c r="J78" i="64"/>
  <c r="I37" i="64"/>
  <c r="J47" i="64"/>
  <c r="I69" i="64"/>
  <c r="J41" i="64"/>
  <c r="J66" i="64"/>
  <c r="N51" i="64"/>
  <c r="N136" i="64"/>
  <c r="L76" i="64"/>
  <c r="I67" i="64"/>
  <c r="N118" i="64"/>
  <c r="L50" i="64"/>
  <c r="N70" i="64"/>
  <c r="N91" i="64"/>
  <c r="N115" i="64"/>
  <c r="N57" i="64"/>
  <c r="I49" i="64"/>
  <c r="I56" i="64"/>
  <c r="N66" i="64"/>
  <c r="N132" i="64"/>
  <c r="C6" i="64"/>
  <c r="L100" i="64"/>
  <c r="L126" i="64"/>
  <c r="J40" i="64"/>
  <c r="N87" i="64"/>
  <c r="N85" i="64"/>
  <c r="L85" i="64"/>
  <c r="L70" i="64"/>
  <c r="I36" i="64"/>
  <c r="L69" i="64"/>
  <c r="L35" i="64"/>
  <c r="L131" i="64"/>
  <c r="L80" i="64"/>
  <c r="I42" i="64"/>
  <c r="I65" i="64"/>
  <c r="N88" i="64"/>
  <c r="N75" i="64"/>
  <c r="C7" i="64"/>
  <c r="L78" i="64"/>
  <c r="I39" i="64"/>
  <c r="I75" i="64"/>
  <c r="I88" i="64"/>
  <c r="L40" i="64"/>
  <c r="L68" i="64"/>
  <c r="J45" i="64"/>
  <c r="N42" i="64"/>
  <c r="L136" i="64"/>
  <c r="N106" i="64"/>
  <c r="L38" i="64"/>
  <c r="N49" i="64"/>
  <c r="L135" i="64"/>
  <c r="L52" i="64"/>
  <c r="L36" i="64"/>
  <c r="L110" i="64"/>
  <c r="N59" i="64"/>
  <c r="J88" i="64"/>
  <c r="L67" i="64"/>
  <c r="N125" i="64"/>
  <c r="L51" i="64"/>
  <c r="I52" i="64"/>
  <c r="N76" i="64"/>
  <c r="N114" i="64"/>
  <c r="L125" i="64"/>
  <c r="I71" i="64"/>
  <c r="N134" i="64"/>
  <c r="N68" i="64"/>
  <c r="N65" i="64"/>
  <c r="L98" i="64"/>
  <c r="I58" i="64"/>
  <c r="N55" i="64"/>
  <c r="J48" i="64"/>
  <c r="J70" i="64"/>
  <c r="L71" i="64"/>
  <c r="N37" i="64"/>
  <c r="I40" i="64"/>
  <c r="N52" i="64"/>
  <c r="N98" i="64"/>
  <c r="I38" i="64"/>
  <c r="N130" i="64"/>
  <c r="L60" i="64"/>
  <c r="N111" i="64"/>
  <c r="N46" i="64"/>
  <c r="N117" i="64"/>
  <c r="L132" i="64"/>
  <c r="I61" i="64"/>
  <c r="I57" i="64"/>
  <c r="L123" i="64"/>
  <c r="L116" i="64"/>
  <c r="L119" i="64"/>
  <c r="I66" i="64"/>
  <c r="I86" i="64"/>
  <c r="N122" i="64"/>
  <c r="N133" i="64"/>
  <c r="L79" i="64"/>
  <c r="J59" i="64"/>
  <c r="L57" i="64"/>
  <c r="N126" i="64"/>
  <c r="B3" i="64"/>
  <c r="J55" i="64"/>
  <c r="N45" i="64"/>
  <c r="J76" i="64"/>
  <c r="J91" i="64"/>
  <c r="J79" i="64"/>
  <c r="I68" i="64"/>
  <c r="L61" i="64"/>
  <c r="J49" i="64"/>
  <c r="I76" i="64"/>
  <c r="J87" i="64"/>
  <c r="I81" i="64"/>
  <c r="J60" i="64"/>
  <c r="N92" i="64"/>
  <c r="I92" i="64"/>
  <c r="L42" i="64"/>
  <c r="N99" i="64"/>
  <c r="J38" i="64"/>
  <c r="N100" i="64"/>
  <c r="L130" i="64"/>
  <c r="J50" i="64"/>
  <c r="J69" i="64"/>
  <c r="N71" i="64"/>
  <c r="J86" i="64"/>
  <c r="C1" i="64"/>
  <c r="N69" i="64"/>
  <c r="L75" i="64"/>
  <c r="L65" i="64"/>
  <c r="L138" i="64"/>
  <c r="I80" i="64"/>
  <c r="L46" i="64"/>
  <c r="I72" i="64"/>
  <c r="N108" i="64"/>
  <c r="B23" i="64"/>
  <c r="C8" i="64"/>
  <c r="N135" i="64"/>
  <c r="J56" i="64"/>
  <c r="L55" i="64"/>
  <c r="L103" i="64"/>
  <c r="L39" i="64"/>
  <c r="N83" i="64"/>
  <c r="N101" i="64"/>
  <c r="L121" i="64"/>
  <c r="N78" i="64"/>
  <c r="J37" i="64"/>
  <c r="L107" i="64"/>
  <c r="J39" i="64"/>
  <c r="I60" i="64"/>
  <c r="L56" i="64"/>
  <c r="N56" i="64"/>
  <c r="L45" i="64"/>
  <c r="N41" i="64"/>
  <c r="N67" i="64"/>
  <c r="L72" i="64"/>
  <c r="L139" i="64"/>
  <c r="J51" i="64"/>
  <c r="J83" i="64"/>
  <c r="L59" i="64"/>
  <c r="I55" i="64"/>
  <c r="I62" i="64"/>
  <c r="J42" i="64"/>
  <c r="N137" i="64"/>
  <c r="I35" i="64"/>
  <c r="I48" i="64"/>
  <c r="L87" i="64"/>
  <c r="N20" i="64"/>
  <c r="L114" i="64"/>
  <c r="N77" i="64"/>
  <c r="N61" i="64"/>
  <c r="L109" i="64"/>
  <c r="L102" i="64"/>
  <c r="J85" i="64"/>
  <c r="N121" i="64"/>
  <c r="L58" i="64"/>
  <c r="N102" i="64"/>
  <c r="I41" i="64"/>
  <c r="L77" i="64"/>
  <c r="L81" i="64"/>
  <c r="J77" i="64"/>
  <c r="L140" i="64"/>
  <c r="L133" i="64"/>
  <c r="N36" i="64"/>
  <c r="L37" i="64"/>
  <c r="J36" i="64"/>
  <c r="J75" i="64"/>
  <c r="C2" i="64"/>
  <c r="N139" i="64"/>
  <c r="I78" i="64"/>
  <c r="L66" i="64"/>
  <c r="N103" i="64"/>
  <c r="I70" i="64"/>
  <c r="J58" i="64"/>
  <c r="I91" i="64"/>
  <c r="L48" i="64"/>
  <c r="N110" i="64"/>
  <c r="N60" i="64"/>
  <c r="L106" i="64"/>
  <c r="N72" i="64"/>
  <c r="L137" i="64"/>
  <c r="I51" i="64"/>
  <c r="J65" i="64"/>
  <c r="L86" i="64"/>
  <c r="N87" i="63"/>
  <c r="N88" i="63"/>
  <c r="J61" i="63"/>
  <c r="C7" i="63"/>
  <c r="I71" i="63"/>
  <c r="L78" i="63"/>
  <c r="J78" i="63"/>
  <c r="N79" i="63"/>
  <c r="N20" i="63"/>
  <c r="L76" i="63"/>
  <c r="B22" i="63"/>
  <c r="L79" i="63"/>
  <c r="N78" i="63"/>
  <c r="B89" i="63"/>
  <c r="N33" i="63"/>
  <c r="B116" i="63"/>
  <c r="C1" i="63"/>
  <c r="I72" i="63"/>
  <c r="J74" i="63"/>
  <c r="B23" i="63"/>
  <c r="I75" i="63"/>
  <c r="J88" i="63"/>
  <c r="N76" i="63"/>
  <c r="J85" i="63"/>
  <c r="J82" i="63"/>
  <c r="C5" i="63"/>
  <c r="J71" i="63"/>
  <c r="B88" i="63"/>
  <c r="J79" i="63"/>
  <c r="C2" i="63"/>
  <c r="J62" i="63"/>
  <c r="N60" i="63"/>
  <c r="B85" i="63"/>
  <c r="J72" i="63"/>
  <c r="I88" i="63"/>
  <c r="I82" i="63"/>
  <c r="B56" i="63"/>
  <c r="E6" i="63"/>
  <c r="J75" i="63"/>
  <c r="I78" i="63"/>
  <c r="N19" i="63"/>
  <c r="B3" i="63"/>
  <c r="I83" i="63"/>
  <c r="N74" i="63"/>
  <c r="N71" i="63"/>
  <c r="B55" i="63"/>
  <c r="N72" i="63"/>
  <c r="I79" i="63"/>
  <c r="I74" i="63"/>
  <c r="N35" i="63"/>
  <c r="L35" i="63"/>
  <c r="I35" i="63"/>
  <c r="N82" i="63"/>
  <c r="J87" i="63"/>
  <c r="B19" i="63"/>
  <c r="J60" i="63"/>
  <c r="C8" i="63"/>
  <c r="J83" i="63"/>
  <c r="N75" i="63"/>
  <c r="B120" i="63"/>
  <c r="N85" i="63"/>
  <c r="J34" i="63"/>
  <c r="C6" i="63"/>
  <c r="J33" i="63"/>
  <c r="I87" i="63"/>
  <c r="N62" i="63"/>
  <c r="I62" i="63"/>
  <c r="I61" i="63"/>
  <c r="I33" i="63"/>
  <c r="J76" i="63"/>
  <c r="J35" i="63"/>
  <c r="I76" i="63"/>
  <c r="B52" i="63"/>
  <c r="I85" i="63"/>
  <c r="L83" i="63"/>
  <c r="N34" i="63"/>
  <c r="L62" i="63"/>
  <c r="I34" i="63"/>
  <c r="I60" i="63"/>
  <c r="N83" i="63"/>
  <c r="N61" i="63"/>
  <c r="I69" i="62"/>
  <c r="L139" i="62"/>
  <c r="N98" i="62"/>
  <c r="L57" i="62"/>
  <c r="I78" i="62"/>
  <c r="L126" i="62"/>
  <c r="L46" i="62"/>
  <c r="J37" i="62"/>
  <c r="J87" i="62"/>
  <c r="J79" i="62"/>
  <c r="J51" i="62"/>
  <c r="L109" i="62"/>
  <c r="N56" i="62"/>
  <c r="I37" i="62"/>
  <c r="N116" i="62"/>
  <c r="N100" i="62"/>
  <c r="L138" i="62"/>
  <c r="N124" i="62"/>
  <c r="L87" i="62"/>
  <c r="J88" i="62"/>
  <c r="J48" i="62"/>
  <c r="L122" i="62"/>
  <c r="L35" i="62"/>
  <c r="B19" i="62"/>
  <c r="I91" i="62"/>
  <c r="L55" i="62"/>
  <c r="I38" i="62"/>
  <c r="I62" i="62"/>
  <c r="N46" i="62"/>
  <c r="N106" i="62"/>
  <c r="L99" i="62"/>
  <c r="J57" i="62"/>
  <c r="B23" i="62"/>
  <c r="N83" i="62"/>
  <c r="N61" i="62"/>
  <c r="L62" i="62"/>
  <c r="J91" i="62"/>
  <c r="J76" i="62"/>
  <c r="N126" i="62"/>
  <c r="I88" i="62"/>
  <c r="N42" i="62"/>
  <c r="L133" i="62"/>
  <c r="L36" i="62"/>
  <c r="N122" i="62"/>
  <c r="N57" i="62"/>
  <c r="L85" i="62"/>
  <c r="L110" i="62"/>
  <c r="N108" i="62"/>
  <c r="L79" i="62"/>
  <c r="I35" i="62"/>
  <c r="I52" i="62"/>
  <c r="N41" i="62"/>
  <c r="N117" i="62"/>
  <c r="I49" i="62"/>
  <c r="I71" i="62"/>
  <c r="B3" i="62"/>
  <c r="L136" i="62"/>
  <c r="L125" i="62"/>
  <c r="L75" i="62"/>
  <c r="I55" i="62"/>
  <c r="I59" i="62"/>
  <c r="L107" i="62"/>
  <c r="N75" i="62"/>
  <c r="N60" i="62"/>
  <c r="N65" i="62"/>
  <c r="L67" i="62"/>
  <c r="J72" i="62"/>
  <c r="L65" i="62"/>
  <c r="C1" i="62"/>
  <c r="I80" i="62"/>
  <c r="N47" i="62"/>
  <c r="L70" i="62"/>
  <c r="N79" i="62"/>
  <c r="L83" i="62"/>
  <c r="L108" i="62"/>
  <c r="L60" i="62"/>
  <c r="N62" i="62"/>
  <c r="N130" i="62"/>
  <c r="J45" i="62"/>
  <c r="N58" i="62"/>
  <c r="J52" i="62"/>
  <c r="J85" i="62"/>
  <c r="N71" i="62"/>
  <c r="C6" i="62"/>
  <c r="L131" i="62"/>
  <c r="I39" i="62"/>
  <c r="I70" i="62"/>
  <c r="C7" i="62"/>
  <c r="N121" i="62"/>
  <c r="N135" i="62"/>
  <c r="L102" i="62"/>
  <c r="N140" i="62"/>
  <c r="L76" i="62"/>
  <c r="N123" i="62"/>
  <c r="N114" i="62"/>
  <c r="L51" i="62"/>
  <c r="N51" i="62"/>
  <c r="N136" i="62"/>
  <c r="J83" i="62"/>
  <c r="N132" i="62"/>
  <c r="I65" i="62"/>
  <c r="I51" i="62"/>
  <c r="N67" i="62"/>
  <c r="I47" i="62"/>
  <c r="I36" i="62"/>
  <c r="N81" i="62"/>
  <c r="L132" i="62"/>
  <c r="I79" i="62"/>
  <c r="N101" i="62"/>
  <c r="L42" i="62"/>
  <c r="L56" i="62"/>
  <c r="J50" i="62"/>
  <c r="L77" i="62"/>
  <c r="N55" i="62"/>
  <c r="N70" i="62"/>
  <c r="J62" i="62"/>
  <c r="J65" i="62"/>
  <c r="J49" i="62"/>
  <c r="N111" i="62"/>
  <c r="L123" i="62"/>
  <c r="N125" i="62"/>
  <c r="L101" i="62"/>
  <c r="L117" i="62"/>
  <c r="L45" i="62"/>
  <c r="J80" i="62"/>
  <c r="J61" i="62"/>
  <c r="L81" i="62"/>
  <c r="N138" i="62"/>
  <c r="J68" i="62"/>
  <c r="N118" i="62"/>
  <c r="J67" i="62"/>
  <c r="L80" i="62"/>
  <c r="I92" i="62"/>
  <c r="L71" i="62"/>
  <c r="J78" i="62"/>
  <c r="N69" i="62"/>
  <c r="J81" i="62"/>
  <c r="N119" i="62"/>
  <c r="L69" i="62"/>
  <c r="L140" i="62"/>
  <c r="I57" i="62"/>
  <c r="I67" i="62"/>
  <c r="I86" i="62"/>
  <c r="L115" i="62"/>
  <c r="N72" i="62"/>
  <c r="C8" i="62"/>
  <c r="J75" i="62"/>
  <c r="N19" i="62"/>
  <c r="I77" i="62"/>
  <c r="N45" i="62"/>
  <c r="N129" i="62"/>
  <c r="J42" i="62"/>
  <c r="N40" i="62"/>
  <c r="L52" i="62"/>
  <c r="J39" i="62"/>
  <c r="L114" i="62"/>
  <c r="I48" i="62"/>
  <c r="J56" i="62"/>
  <c r="I81" i="62"/>
  <c r="L116" i="62"/>
  <c r="I87" i="62"/>
  <c r="J71" i="62"/>
  <c r="J38" i="62"/>
  <c r="J55" i="62"/>
  <c r="I83" i="62"/>
  <c r="L40" i="62"/>
  <c r="L50" i="62"/>
  <c r="L38" i="62"/>
  <c r="L130" i="62"/>
  <c r="I41" i="62"/>
  <c r="J46" i="62"/>
  <c r="N103" i="62"/>
  <c r="N78" i="62"/>
  <c r="L61" i="62"/>
  <c r="L100" i="62"/>
  <c r="N87" i="62"/>
  <c r="L86" i="62"/>
  <c r="N80" i="62"/>
  <c r="N20" i="62"/>
  <c r="N50" i="62"/>
  <c r="L121" i="62"/>
  <c r="I46" i="62"/>
  <c r="L39" i="62"/>
  <c r="J35" i="62"/>
  <c r="L124" i="62"/>
  <c r="J77" i="62"/>
  <c r="I66" i="62"/>
  <c r="N59" i="62"/>
  <c r="L137" i="62"/>
  <c r="I45" i="62"/>
  <c r="N38" i="62"/>
  <c r="L59" i="62"/>
  <c r="I58" i="62"/>
  <c r="J58" i="62"/>
  <c r="J70" i="62"/>
  <c r="N107" i="62"/>
  <c r="L72" i="62"/>
  <c r="J40" i="62"/>
  <c r="C2" i="62"/>
  <c r="I61" i="62"/>
  <c r="I60" i="62"/>
  <c r="L78" i="62"/>
  <c r="L118" i="62"/>
  <c r="N39" i="62"/>
  <c r="I85" i="62"/>
  <c r="L134" i="62"/>
  <c r="N91" i="62"/>
  <c r="N115" i="62"/>
  <c r="L47" i="62"/>
  <c r="N77" i="62"/>
  <c r="L48" i="62"/>
  <c r="N134" i="62"/>
  <c r="N52" i="62"/>
  <c r="C5" i="62"/>
  <c r="N133" i="62"/>
  <c r="N99" i="62"/>
  <c r="N88" i="62"/>
  <c r="I75" i="62"/>
  <c r="I42" i="62"/>
  <c r="L68" i="62"/>
  <c r="N35" i="62"/>
  <c r="L49" i="62"/>
  <c r="N139" i="62"/>
  <c r="L135" i="62"/>
  <c r="J36" i="62"/>
  <c r="L111" i="62"/>
  <c r="N102" i="62"/>
  <c r="N92" i="62"/>
  <c r="I40" i="62"/>
  <c r="L106" i="62"/>
  <c r="J92" i="62"/>
  <c r="J59" i="62"/>
  <c r="L66" i="62"/>
  <c r="N110" i="62"/>
  <c r="J66" i="62"/>
  <c r="N36" i="62"/>
  <c r="N68" i="62"/>
  <c r="L37" i="62"/>
  <c r="J41" i="62"/>
  <c r="N85" i="62"/>
  <c r="N131" i="62"/>
  <c r="I50" i="62"/>
  <c r="I76" i="62"/>
  <c r="J69" i="62"/>
  <c r="J86" i="62"/>
  <c r="N48" i="62"/>
  <c r="L103" i="62"/>
  <c r="N109" i="62"/>
  <c r="I68" i="62"/>
  <c r="N49" i="62"/>
  <c r="L58" i="62"/>
  <c r="I56" i="62"/>
  <c r="L119" i="62"/>
  <c r="N37" i="62"/>
  <c r="N137" i="62"/>
  <c r="J47" i="62"/>
  <c r="N66" i="62"/>
  <c r="L98" i="62"/>
  <c r="I72" i="62"/>
  <c r="L41" i="62"/>
  <c r="J60" i="62"/>
  <c r="N86" i="62"/>
  <c r="N76" i="62"/>
  <c r="E6" i="62"/>
  <c r="N71" i="61"/>
  <c r="I83" i="61"/>
  <c r="B88" i="61"/>
  <c r="J88" i="61"/>
  <c r="I60" i="61"/>
  <c r="N88" i="61"/>
  <c r="J60" i="61"/>
  <c r="N35" i="61"/>
  <c r="B3" i="61"/>
  <c r="I62" i="61"/>
  <c r="L78" i="61"/>
  <c r="C2" i="61"/>
  <c r="N76" i="61"/>
  <c r="J35" i="61"/>
  <c r="J62" i="61"/>
  <c r="I85" i="61"/>
  <c r="L76" i="61"/>
  <c r="I34" i="61"/>
  <c r="N85" i="61"/>
  <c r="J33" i="61"/>
  <c r="E6" i="61"/>
  <c r="N82" i="61"/>
  <c r="N34" i="61"/>
  <c r="J87" i="61"/>
  <c r="I74" i="61"/>
  <c r="J71" i="61"/>
  <c r="J74" i="61"/>
  <c r="I35" i="61"/>
  <c r="N79" i="61"/>
  <c r="C6" i="61"/>
  <c r="J61" i="61"/>
  <c r="N87" i="61"/>
  <c r="C7" i="61"/>
  <c r="B52" i="61"/>
  <c r="I78" i="61"/>
  <c r="J78" i="61"/>
  <c r="J72" i="61"/>
  <c r="N61" i="61"/>
  <c r="N72" i="61"/>
  <c r="B89" i="61"/>
  <c r="I76" i="61"/>
  <c r="B19" i="61"/>
  <c r="B22" i="61"/>
  <c r="J79" i="61"/>
  <c r="N74" i="61"/>
  <c r="N33" i="61"/>
  <c r="N60" i="61"/>
  <c r="B23" i="61"/>
  <c r="C5" i="61"/>
  <c r="N20" i="61"/>
  <c r="L62" i="61"/>
  <c r="B116" i="61"/>
  <c r="N62" i="61"/>
  <c r="I82" i="61"/>
  <c r="L35" i="61"/>
  <c r="J75" i="61"/>
  <c r="N78" i="61"/>
  <c r="L83" i="61"/>
  <c r="I33" i="61"/>
  <c r="I88" i="61"/>
  <c r="B55" i="61"/>
  <c r="B85" i="61"/>
  <c r="I71" i="61"/>
  <c r="B120" i="61"/>
  <c r="N75" i="61"/>
  <c r="J82" i="61"/>
  <c r="J34" i="61"/>
  <c r="C3" i="61"/>
  <c r="C8" i="61"/>
  <c r="B56" i="61"/>
  <c r="N83" i="61"/>
  <c r="I87" i="61"/>
  <c r="N19" i="61"/>
  <c r="J85" i="61"/>
  <c r="I75" i="61"/>
  <c r="I61" i="61"/>
  <c r="I79" i="61"/>
  <c r="J83" i="61"/>
  <c r="L79" i="61"/>
  <c r="I72" i="61"/>
  <c r="N26" i="61"/>
  <c r="J76" i="61"/>
  <c r="C1" i="61"/>
  <c r="B17" i="61"/>
  <c r="B114" i="61"/>
  <c r="C4" i="69"/>
  <c r="B50" i="63"/>
  <c r="E4" i="68"/>
  <c r="B18" i="63"/>
  <c r="C4" i="67"/>
  <c r="E4" i="65"/>
  <c r="E4" i="70"/>
  <c r="B84" i="63"/>
  <c r="E4" i="67"/>
  <c r="E4" i="66"/>
  <c r="B17" i="64"/>
  <c r="C4" i="66"/>
  <c r="B83" i="61"/>
  <c r="C4" i="70"/>
  <c r="B18" i="64"/>
  <c r="B84" i="61"/>
  <c r="B114" i="63"/>
  <c r="C4" i="68"/>
  <c r="B83" i="63"/>
  <c r="B51" i="63"/>
  <c r="B17" i="62"/>
  <c r="B115" i="63"/>
  <c r="B51" i="61"/>
  <c r="B50" i="61"/>
  <c r="B17" i="63"/>
  <c r="B18" i="62"/>
  <c r="E4" i="69"/>
  <c r="B115" i="61"/>
  <c r="B18" i="61"/>
  <c r="C4" i="65"/>
  <c r="C3" i="63"/>
  <c r="N26" i="63"/>
  <c r="C3" i="64"/>
  <c r="N26" i="64"/>
  <c r="AA87" i="61" l="1"/>
  <c r="AA88" i="61"/>
  <c r="AA35" i="61"/>
  <c r="AA85" i="61"/>
  <c r="AA62" i="61"/>
  <c r="AA85" i="63"/>
  <c r="AA62" i="63"/>
  <c r="AA87" i="63"/>
  <c r="AA35" i="63"/>
  <c r="AA88" i="63"/>
  <c r="I48" i="5"/>
  <c r="I43" i="5"/>
  <c r="I40" i="5"/>
  <c r="I35" i="5"/>
  <c r="I49" i="5"/>
  <c r="I39" i="5"/>
  <c r="I45" i="5"/>
  <c r="I47" i="5"/>
  <c r="I36" i="5"/>
  <c r="I44" i="5"/>
  <c r="I37" i="5"/>
  <c r="I41" i="5"/>
  <c r="I34" i="5"/>
  <c r="I38" i="5"/>
  <c r="I42" i="5"/>
  <c r="I46" i="5"/>
  <c r="I50" i="5"/>
  <c r="G43" i="62"/>
  <c r="AI87" i="64"/>
  <c r="AI80" i="62"/>
  <c r="AI49" i="62"/>
  <c r="AI58" i="62"/>
  <c r="AI78" i="62"/>
  <c r="AI101" i="62"/>
  <c r="AI36" i="62"/>
  <c r="AI56" i="62"/>
  <c r="AI38" i="62"/>
  <c r="AI50" i="62"/>
  <c r="AI83" i="62"/>
  <c r="AI106" i="62"/>
  <c r="AI111" i="62"/>
  <c r="AA143" i="62"/>
  <c r="AI86" i="62"/>
  <c r="AI138" i="62"/>
  <c r="AE72" i="63"/>
  <c r="M47" i="64"/>
  <c r="B29" i="63"/>
  <c r="B62" i="63"/>
  <c r="H2" i="63"/>
  <c r="K62" i="63"/>
  <c r="M62" i="63"/>
  <c r="AA76" i="63"/>
  <c r="M76" i="63"/>
  <c r="K76" i="63"/>
  <c r="M67" i="64"/>
  <c r="M76" i="64"/>
  <c r="M78" i="63"/>
  <c r="K78" i="63"/>
  <c r="AA78" i="63"/>
  <c r="M83" i="63"/>
  <c r="AA83" i="63"/>
  <c r="K83" i="63"/>
  <c r="M35" i="63"/>
  <c r="K35" i="63"/>
  <c r="K71" i="63"/>
  <c r="M79" i="63"/>
  <c r="K79" i="63"/>
  <c r="AA79" i="63"/>
  <c r="N144" i="64"/>
  <c r="K72" i="63"/>
  <c r="AA72" i="63"/>
  <c r="N91" i="63"/>
  <c r="M38" i="64"/>
  <c r="M56" i="64"/>
  <c r="M72" i="64"/>
  <c r="N90" i="63"/>
  <c r="M69" i="64"/>
  <c r="M45" i="64"/>
  <c r="M49" i="64"/>
  <c r="M78" i="64"/>
  <c r="M37" i="64"/>
  <c r="M59" i="64"/>
  <c r="M66" i="64"/>
  <c r="M81" i="64"/>
  <c r="M83" i="64"/>
  <c r="M35" i="64"/>
  <c r="M57" i="64"/>
  <c r="M79" i="64"/>
  <c r="M85" i="64"/>
  <c r="N145" i="64"/>
  <c r="M42" i="64"/>
  <c r="M48" i="64"/>
  <c r="M55" i="64"/>
  <c r="M77" i="64"/>
  <c r="M36" i="64"/>
  <c r="M52" i="64"/>
  <c r="M58" i="64"/>
  <c r="M65" i="64"/>
  <c r="M87" i="64"/>
  <c r="M39" i="64"/>
  <c r="M46" i="64"/>
  <c r="M62" i="64"/>
  <c r="M68" i="64"/>
  <c r="M75" i="64"/>
  <c r="N143" i="64"/>
  <c r="AI134" i="64"/>
  <c r="AI79" i="64"/>
  <c r="AI125" i="64"/>
  <c r="AI55" i="64"/>
  <c r="AI123" i="64"/>
  <c r="AI71" i="64"/>
  <c r="AI75" i="64"/>
  <c r="AA146" i="64"/>
  <c r="AI130" i="64"/>
  <c r="AH72" i="63"/>
  <c r="AI50" i="64"/>
  <c r="AG91" i="63"/>
  <c r="AI46" i="64"/>
  <c r="AI114" i="64"/>
  <c r="AI93" i="64"/>
  <c r="AI102" i="64"/>
  <c r="AI85" i="64"/>
  <c r="AA141" i="64"/>
  <c r="AI98" i="64"/>
  <c r="AI68" i="64"/>
  <c r="AI108" i="64"/>
  <c r="AI132" i="64"/>
  <c r="AI35" i="64"/>
  <c r="AI48" i="64"/>
  <c r="AI51" i="64"/>
  <c r="AI77" i="64"/>
  <c r="AI100" i="64"/>
  <c r="AI118" i="64"/>
  <c r="AI138" i="64"/>
  <c r="AI91" i="64"/>
  <c r="AI140" i="64"/>
  <c r="AA143" i="64"/>
  <c r="AI39" i="64"/>
  <c r="AI57" i="64"/>
  <c r="AI110" i="64"/>
  <c r="AA144" i="64"/>
  <c r="AI70" i="64"/>
  <c r="AI92" i="64"/>
  <c r="AI37" i="64"/>
  <c r="AI59" i="64"/>
  <c r="AI66" i="64"/>
  <c r="AI83" i="64"/>
  <c r="AI106" i="64"/>
  <c r="AI116" i="64"/>
  <c r="AE72" i="61"/>
  <c r="AH72" i="61"/>
  <c r="M62" i="61"/>
  <c r="K62" i="61"/>
  <c r="B62" i="61"/>
  <c r="B29" i="61"/>
  <c r="H2" i="61"/>
  <c r="K72" i="61"/>
  <c r="AA72" i="61"/>
  <c r="K35" i="61"/>
  <c r="M35" i="61"/>
  <c r="M76" i="61"/>
  <c r="K76" i="61"/>
  <c r="AA76" i="61"/>
  <c r="M49" i="62"/>
  <c r="N90" i="61"/>
  <c r="N91" i="61"/>
  <c r="M69" i="62"/>
  <c r="N144" i="62"/>
  <c r="M35" i="62"/>
  <c r="M36" i="62"/>
  <c r="M47" i="62"/>
  <c r="M72" i="62"/>
  <c r="K78" i="61"/>
  <c r="AA78" i="61"/>
  <c r="M78" i="61"/>
  <c r="K83" i="61"/>
  <c r="AA83" i="61"/>
  <c r="M83" i="61"/>
  <c r="M76" i="62"/>
  <c r="M79" i="61"/>
  <c r="AA79" i="61"/>
  <c r="K79" i="61"/>
  <c r="K71" i="61"/>
  <c r="M42" i="62"/>
  <c r="M56" i="62"/>
  <c r="M78" i="62"/>
  <c r="M37" i="62"/>
  <c r="M59" i="62"/>
  <c r="M66" i="62"/>
  <c r="M81" i="62"/>
  <c r="M83" i="62"/>
  <c r="M57" i="62"/>
  <c r="M79" i="62"/>
  <c r="M85" i="62"/>
  <c r="N145" i="62"/>
  <c r="M38" i="62"/>
  <c r="M45" i="62"/>
  <c r="M67" i="62"/>
  <c r="M48" i="62"/>
  <c r="M55" i="62"/>
  <c r="M77" i="62"/>
  <c r="M52" i="62"/>
  <c r="M58" i="62"/>
  <c r="M65" i="62"/>
  <c r="M87" i="62"/>
  <c r="M39" i="62"/>
  <c r="M46" i="62"/>
  <c r="M62" i="62"/>
  <c r="M68" i="62"/>
  <c r="M75" i="62"/>
  <c r="N143" i="62"/>
  <c r="AI91" i="62"/>
  <c r="AI125" i="62"/>
  <c r="AI108" i="62"/>
  <c r="AI51" i="62"/>
  <c r="AI132" i="62"/>
  <c r="AI124" i="62"/>
  <c r="AI71" i="62"/>
  <c r="AA144" i="62"/>
  <c r="AI42" i="62"/>
  <c r="AI85" i="62"/>
  <c r="AA145" i="62"/>
  <c r="AI134" i="62"/>
  <c r="AI98" i="62"/>
  <c r="AI110" i="62"/>
  <c r="AI55" i="62"/>
  <c r="AI77" i="62"/>
  <c r="AI48" i="62"/>
  <c r="AI100" i="62"/>
  <c r="AI57" i="62"/>
  <c r="AI79" i="62"/>
  <c r="AI140" i="62"/>
  <c r="AA141" i="62"/>
  <c r="AI70" i="62"/>
  <c r="AI118" i="62"/>
  <c r="AI39" i="62"/>
  <c r="AI130" i="62"/>
  <c r="AI41" i="62"/>
  <c r="AH121" i="62"/>
  <c r="AA146" i="62"/>
  <c r="J6" i="5"/>
  <c r="M50" i="64"/>
  <c r="M51" i="64"/>
  <c r="M40" i="64"/>
  <c r="M86" i="64"/>
  <c r="M61" i="64"/>
  <c r="M80" i="64"/>
  <c r="M41" i="64"/>
  <c r="M70" i="64"/>
  <c r="M71" i="64"/>
  <c r="M60" i="64"/>
  <c r="N1" i="63"/>
  <c r="M86" i="62"/>
  <c r="M80" i="62"/>
  <c r="M61" i="62"/>
  <c r="M60" i="62"/>
  <c r="M70" i="62"/>
  <c r="M40" i="62"/>
  <c r="C3" i="62"/>
  <c r="M71" i="62"/>
  <c r="N26" i="62"/>
  <c r="M41" i="62"/>
  <c r="M50" i="62"/>
  <c r="M51" i="62"/>
  <c r="N1" i="61"/>
  <c r="AG17" i="54" l="1"/>
  <c r="AG18" i="54" s="1"/>
  <c r="AG17" i="63"/>
  <c r="AG18" i="63" s="1"/>
  <c r="AG17" i="61"/>
  <c r="AG18" i="61" s="1"/>
  <c r="AG17" i="53"/>
  <c r="AG18" i="53" s="1"/>
  <c r="AG17" i="52"/>
  <c r="AG18" i="52" s="1"/>
  <c r="AG17" i="51"/>
  <c r="AG18" i="51" s="1"/>
  <c r="AG17" i="9"/>
  <c r="AG18" i="9" s="1"/>
  <c r="AG17" i="18"/>
  <c r="AG18" i="18" s="1"/>
  <c r="AG17" i="29"/>
  <c r="AG18" i="29" s="1"/>
  <c r="AG17" i="4"/>
  <c r="AG18" i="4" s="1"/>
  <c r="AG17" i="21"/>
  <c r="AG18" i="21" s="1"/>
  <c r="AG17" i="7"/>
  <c r="AG18" i="7" s="1"/>
  <c r="AG17" i="36"/>
  <c r="AG18" i="36" s="1"/>
  <c r="AG17" i="30"/>
  <c r="AG18" i="30" s="1"/>
  <c r="AG17" i="20"/>
  <c r="AG18" i="20" s="1"/>
  <c r="AF17" i="24"/>
  <c r="AF18" i="24" s="1"/>
  <c r="AG17" i="33"/>
  <c r="AG18" i="33" s="1"/>
  <c r="AG17" i="25"/>
  <c r="AG18" i="25" s="1"/>
  <c r="AG17" i="23"/>
  <c r="AG18" i="23" s="1"/>
  <c r="AG17" i="15"/>
  <c r="AG18" i="15" s="1"/>
  <c r="AG17" i="32"/>
  <c r="AG18" i="32" s="1"/>
  <c r="AG17" i="34"/>
  <c r="AG18" i="34" s="1"/>
  <c r="AG17" i="28"/>
  <c r="AG18" i="28" s="1"/>
  <c r="AG17" i="11"/>
  <c r="AG18" i="11" s="1"/>
  <c r="AG17" i="27"/>
  <c r="AG18" i="27" s="1"/>
  <c r="AG17" i="19"/>
  <c r="AG18" i="19" s="1"/>
  <c r="AG17" i="22"/>
  <c r="AG18" i="22" s="1"/>
  <c r="AG17" i="16"/>
  <c r="AG18" i="16" s="1"/>
  <c r="AG17" i="31"/>
  <c r="AG18" i="31" s="1"/>
  <c r="AG17" i="35"/>
  <c r="AG18" i="35" s="1"/>
  <c r="AG17" i="69"/>
  <c r="AG18" i="69" s="1"/>
  <c r="AG17" i="67"/>
  <c r="AG18" i="67" s="1"/>
  <c r="AG17" i="65"/>
  <c r="AG18" i="65" s="1"/>
  <c r="AG17" i="26"/>
  <c r="AG18" i="26" s="1"/>
  <c r="AB87" i="63"/>
  <c r="AF87" i="63"/>
  <c r="AB62" i="63"/>
  <c r="AF62" i="63"/>
  <c r="AF85" i="63"/>
  <c r="AB85" i="63"/>
  <c r="AB62" i="61"/>
  <c r="AF62" i="61"/>
  <c r="AF85" i="61"/>
  <c r="AB85" i="61"/>
  <c r="AF35" i="61"/>
  <c r="AB35" i="61"/>
  <c r="AF88" i="63"/>
  <c r="AB88" i="63"/>
  <c r="AF88" i="61"/>
  <c r="AB88" i="61"/>
  <c r="AF35" i="63"/>
  <c r="AB35" i="63"/>
  <c r="AB87" i="61"/>
  <c r="AF87" i="61"/>
  <c r="B10" i="69"/>
  <c r="B10" i="67"/>
  <c r="B10" i="70"/>
  <c r="B10" i="68"/>
  <c r="B10" i="66"/>
  <c r="B10" i="65"/>
  <c r="AG17" i="66"/>
  <c r="AG17" i="70"/>
  <c r="AG17" i="68"/>
  <c r="AD16" i="70"/>
  <c r="AD16" i="68"/>
  <c r="AD16" i="66"/>
  <c r="AG16" i="66"/>
  <c r="AG16" i="70"/>
  <c r="AG16" i="68"/>
  <c r="AI62" i="64"/>
  <c r="AD16" i="64"/>
  <c r="AD16" i="62"/>
  <c r="AG16" i="64"/>
  <c r="AG16" i="62"/>
  <c r="B10" i="62"/>
  <c r="B10" i="61"/>
  <c r="B10" i="63"/>
  <c r="B10" i="64"/>
  <c r="AG17" i="64"/>
  <c r="AG17" i="62"/>
  <c r="G63" i="64"/>
  <c r="AI94" i="64"/>
  <c r="N1" i="64"/>
  <c r="N27" i="64" s="1"/>
  <c r="AI52" i="64"/>
  <c r="G53" i="64"/>
  <c r="AI88" i="64"/>
  <c r="AI35" i="63"/>
  <c r="AI62" i="63"/>
  <c r="AF141" i="64"/>
  <c r="AI141" i="64"/>
  <c r="AI87" i="63"/>
  <c r="G82" i="64"/>
  <c r="AI81" i="64"/>
  <c r="AI72" i="64"/>
  <c r="G73" i="64"/>
  <c r="AI121" i="64"/>
  <c r="AA90" i="63"/>
  <c r="AI85" i="63"/>
  <c r="AB76" i="63"/>
  <c r="AI76" i="63"/>
  <c r="AF76" i="63"/>
  <c r="AI83" i="63"/>
  <c r="AF83" i="63"/>
  <c r="AB83" i="63"/>
  <c r="AI124" i="64"/>
  <c r="G43" i="64"/>
  <c r="AI42" i="64"/>
  <c r="AA145" i="64"/>
  <c r="AI88" i="63"/>
  <c r="AH126" i="64"/>
  <c r="AI122" i="64"/>
  <c r="AA91" i="63"/>
  <c r="AB72" i="63"/>
  <c r="AI72" i="63"/>
  <c r="AF72" i="63"/>
  <c r="AI79" i="63"/>
  <c r="AF79" i="63"/>
  <c r="AB79" i="63"/>
  <c r="AI78" i="63"/>
  <c r="AF78" i="63"/>
  <c r="N1" i="62"/>
  <c r="N27" i="62" s="1"/>
  <c r="AF83" i="61"/>
  <c r="AI83" i="61"/>
  <c r="AB83" i="61"/>
  <c r="AI72" i="61"/>
  <c r="AA91" i="61"/>
  <c r="AF72" i="61"/>
  <c r="AB72" i="61"/>
  <c r="AI123" i="62"/>
  <c r="AF79" i="61"/>
  <c r="AB79" i="61"/>
  <c r="AI79" i="61"/>
  <c r="AI62" i="61"/>
  <c r="AI94" i="62"/>
  <c r="AI52" i="62"/>
  <c r="G53" i="62"/>
  <c r="AF78" i="61"/>
  <c r="AI78" i="61"/>
  <c r="AI76" i="61"/>
  <c r="AB76" i="61"/>
  <c r="AF76" i="61"/>
  <c r="AI122" i="62"/>
  <c r="AI87" i="61"/>
  <c r="AI35" i="61"/>
  <c r="AI93" i="62"/>
  <c r="AI62" i="62"/>
  <c r="G63" i="62"/>
  <c r="AH126" i="62"/>
  <c r="AI81" i="62"/>
  <c r="G82" i="62"/>
  <c r="AI88" i="62"/>
  <c r="AI121" i="62"/>
  <c r="AF141" i="62"/>
  <c r="AI141" i="62"/>
  <c r="AI72" i="62"/>
  <c r="G73" i="62"/>
  <c r="AI88" i="61"/>
  <c r="AA90" i="61"/>
  <c r="AI85" i="61"/>
  <c r="N27" i="63"/>
  <c r="N27" i="61"/>
  <c r="C10" i="67"/>
  <c r="AD12" i="70"/>
  <c r="AG32" i="64"/>
  <c r="AL31" i="65"/>
  <c r="AG31" i="61"/>
  <c r="N28" i="66"/>
  <c r="B12" i="62"/>
  <c r="AG31" i="65"/>
  <c r="AD31" i="70"/>
  <c r="D10" i="70"/>
  <c r="AD31" i="67"/>
  <c r="B12" i="67"/>
  <c r="AG31" i="70"/>
  <c r="C10" i="65"/>
  <c r="AK31" i="65"/>
  <c r="C10" i="63"/>
  <c r="C10" i="68"/>
  <c r="N28" i="70"/>
  <c r="N28" i="64"/>
  <c r="D10" i="61"/>
  <c r="AD31" i="62"/>
  <c r="AD12" i="61"/>
  <c r="B12" i="68"/>
  <c r="AD13" i="68"/>
  <c r="B12" i="63"/>
  <c r="N28" i="68"/>
  <c r="AD13" i="61"/>
  <c r="AD13" i="69"/>
  <c r="AG13" i="63"/>
  <c r="AD12" i="66"/>
  <c r="B12" i="70"/>
  <c r="AG32" i="65"/>
  <c r="AG31" i="67"/>
  <c r="AD12" i="65"/>
  <c r="AL31" i="63"/>
  <c r="AD13" i="67"/>
  <c r="D10" i="64"/>
  <c r="C10" i="70"/>
  <c r="AD12" i="63"/>
  <c r="AD12" i="62"/>
  <c r="AD13" i="64"/>
  <c r="AG32" i="61"/>
  <c r="N28" i="65"/>
  <c r="AG13" i="65"/>
  <c r="AG31" i="63"/>
  <c r="AG12" i="63"/>
  <c r="N28" i="67"/>
  <c r="AG31" i="64"/>
  <c r="AG32" i="67"/>
  <c r="AK31" i="63"/>
  <c r="AD13" i="63"/>
  <c r="N28" i="61"/>
  <c r="AG13" i="68"/>
  <c r="AG12" i="67"/>
  <c r="AG13" i="70"/>
  <c r="C10" i="62"/>
  <c r="AG12" i="64"/>
  <c r="AD12" i="68"/>
  <c r="AG31" i="62"/>
  <c r="AG12" i="65"/>
  <c r="AD31" i="65"/>
  <c r="AD31" i="68"/>
  <c r="AD12" i="67"/>
  <c r="AK31" i="61"/>
  <c r="AG13" i="67"/>
  <c r="B12" i="61"/>
  <c r="AK31" i="69"/>
  <c r="D10" i="69"/>
  <c r="AD12" i="69"/>
  <c r="C10" i="61"/>
  <c r="B12" i="64"/>
  <c r="N28" i="69"/>
  <c r="AL31" i="61"/>
  <c r="D10" i="66"/>
  <c r="AD12" i="64"/>
  <c r="AL31" i="67"/>
  <c r="B12" i="65"/>
  <c r="N28" i="62"/>
  <c r="B12" i="69"/>
  <c r="AG32" i="70"/>
  <c r="AK31" i="67"/>
  <c r="AG32" i="69"/>
  <c r="AD13" i="65"/>
  <c r="AG13" i="61"/>
  <c r="AD31" i="61"/>
  <c r="AG13" i="64"/>
  <c r="AD31" i="66"/>
  <c r="AG31" i="69"/>
  <c r="B12" i="66"/>
  <c r="N28" i="63"/>
  <c r="D10" i="62"/>
  <c r="AG32" i="62"/>
  <c r="C10" i="69"/>
  <c r="C10" i="64"/>
  <c r="AG13" i="69"/>
  <c r="AD13" i="66"/>
  <c r="AD31" i="69"/>
  <c r="AG13" i="62"/>
  <c r="AD13" i="62"/>
  <c r="AL31" i="69"/>
  <c r="AG12" i="66"/>
  <c r="AD31" i="64"/>
  <c r="C10" i="66"/>
  <c r="D10" i="63"/>
  <c r="AG31" i="66"/>
  <c r="AD13" i="70"/>
  <c r="AG12" i="68"/>
  <c r="AG12" i="62"/>
  <c r="AG32" i="68"/>
  <c r="D10" i="65"/>
  <c r="D10" i="67"/>
  <c r="AD31" i="63"/>
  <c r="AG12" i="61"/>
  <c r="AG12" i="70"/>
  <c r="AG12" i="69"/>
  <c r="AG13" i="66"/>
  <c r="AG32" i="66"/>
  <c r="AG32" i="63"/>
  <c r="AG31" i="68"/>
  <c r="D10" i="68"/>
  <c r="P16" i="63" l="1"/>
  <c r="X16" i="63"/>
  <c r="Q16" i="63"/>
  <c r="Y16" i="63"/>
  <c r="R16" i="63"/>
  <c r="AA16" i="63"/>
  <c r="Z16" i="63"/>
  <c r="S16" i="63"/>
  <c r="U16" i="63"/>
  <c r="V16" i="63"/>
  <c r="T16" i="63"/>
  <c r="W16" i="63"/>
  <c r="O16" i="63"/>
  <c r="P16" i="61"/>
  <c r="X16" i="61"/>
  <c r="Q16" i="61"/>
  <c r="Y16" i="61"/>
  <c r="R16" i="61"/>
  <c r="Z16" i="61"/>
  <c r="O16" i="61"/>
  <c r="S16" i="61"/>
  <c r="W16" i="61"/>
  <c r="U16" i="61"/>
  <c r="AA16" i="61"/>
  <c r="T16" i="61"/>
  <c r="V16" i="61"/>
  <c r="R16" i="69"/>
  <c r="Z16" i="69"/>
  <c r="S16" i="69"/>
  <c r="U16" i="69"/>
  <c r="AA16" i="69"/>
  <c r="V16" i="69"/>
  <c r="O16" i="69"/>
  <c r="T16" i="69"/>
  <c r="W16" i="69"/>
  <c r="Y16" i="69"/>
  <c r="P16" i="69"/>
  <c r="X16" i="69"/>
  <c r="Q16" i="69"/>
  <c r="U16" i="67"/>
  <c r="V16" i="67"/>
  <c r="T16" i="67"/>
  <c r="O16" i="67"/>
  <c r="W16" i="67"/>
  <c r="X16" i="67"/>
  <c r="S16" i="67"/>
  <c r="P16" i="67"/>
  <c r="Q16" i="67"/>
  <c r="Y16" i="67"/>
  <c r="R16" i="67"/>
  <c r="Z16" i="67"/>
  <c r="AA16" i="67"/>
  <c r="O16" i="65"/>
  <c r="W16" i="65"/>
  <c r="Y16" i="65"/>
  <c r="Z16" i="65"/>
  <c r="AA16" i="65"/>
  <c r="P16" i="65"/>
  <c r="X16" i="65"/>
  <c r="Q16" i="65"/>
  <c r="R16" i="65"/>
  <c r="S16" i="65"/>
  <c r="T16" i="65"/>
  <c r="V16" i="65"/>
  <c r="U16" i="65"/>
  <c r="AL32" i="67"/>
  <c r="AM31" i="65"/>
  <c r="AL32" i="69"/>
  <c r="AM31" i="67"/>
  <c r="AN31" i="65"/>
  <c r="AM31" i="69"/>
  <c r="S16" i="66"/>
  <c r="O16" i="66"/>
  <c r="X16" i="66"/>
  <c r="Z16" i="66"/>
  <c r="AA16" i="66"/>
  <c r="V16" i="66"/>
  <c r="R16" i="66"/>
  <c r="Y16" i="66"/>
  <c r="U16" i="66"/>
  <c r="Q16" i="66"/>
  <c r="P16" i="66"/>
  <c r="T16" i="66"/>
  <c r="W16" i="66"/>
  <c r="AN31" i="67"/>
  <c r="Z16" i="68"/>
  <c r="V16" i="68"/>
  <c r="W16" i="68"/>
  <c r="R16" i="68"/>
  <c r="U16" i="68"/>
  <c r="Q16" i="68"/>
  <c r="Y16" i="68"/>
  <c r="T16" i="68"/>
  <c r="AA16" i="68"/>
  <c r="X16" i="68"/>
  <c r="P16" i="68"/>
  <c r="S16" i="68"/>
  <c r="O16" i="68"/>
  <c r="AN31" i="69"/>
  <c r="X16" i="70"/>
  <c r="U16" i="70"/>
  <c r="P16" i="70"/>
  <c r="S16" i="70"/>
  <c r="T16" i="70"/>
  <c r="W16" i="70"/>
  <c r="O16" i="70"/>
  <c r="Z16" i="70"/>
  <c r="V16" i="70"/>
  <c r="Y16" i="70"/>
  <c r="AA16" i="70"/>
  <c r="R16" i="70"/>
  <c r="Q16" i="70"/>
  <c r="AL32" i="65"/>
  <c r="AG18" i="68"/>
  <c r="AG18" i="70"/>
  <c r="AG18" i="66"/>
  <c r="Z16" i="64"/>
  <c r="R16" i="64"/>
  <c r="Y16" i="64"/>
  <c r="Q16" i="64"/>
  <c r="X16" i="64"/>
  <c r="P16" i="64"/>
  <c r="W16" i="64"/>
  <c r="O16" i="64"/>
  <c r="U16" i="64"/>
  <c r="T16" i="64"/>
  <c r="S16" i="64"/>
  <c r="V16" i="64"/>
  <c r="Z16" i="62"/>
  <c r="R16" i="62"/>
  <c r="Y16" i="62"/>
  <c r="Q16" i="62"/>
  <c r="X16" i="62"/>
  <c r="P16" i="62"/>
  <c r="W16" i="62"/>
  <c r="O16" i="62"/>
  <c r="V16" i="62"/>
  <c r="U16" i="62"/>
  <c r="T16" i="62"/>
  <c r="S16" i="62"/>
  <c r="AL32" i="63"/>
  <c r="AN31" i="61"/>
  <c r="AL32" i="61"/>
  <c r="AN31" i="63"/>
  <c r="AA16" i="64"/>
  <c r="AM31" i="61"/>
  <c r="AA16" i="62"/>
  <c r="AM31" i="63"/>
  <c r="AG18" i="62"/>
  <c r="AG18" i="64"/>
  <c r="AI126" i="64"/>
  <c r="AM62" i="63"/>
  <c r="AN62" i="63"/>
  <c r="AN79" i="63"/>
  <c r="AM79" i="63"/>
  <c r="AM87" i="63"/>
  <c r="AN87" i="63"/>
  <c r="AN83" i="63"/>
  <c r="AM83" i="63"/>
  <c r="AN35" i="63"/>
  <c r="AM35" i="63"/>
  <c r="AM76" i="63"/>
  <c r="AN76" i="63"/>
  <c r="AM88" i="63"/>
  <c r="AN88" i="63"/>
  <c r="AM72" i="63"/>
  <c r="AN72" i="63"/>
  <c r="AN85" i="63"/>
  <c r="AM85" i="63"/>
  <c r="AM62" i="61"/>
  <c r="AN62" i="61"/>
  <c r="AM35" i="61"/>
  <c r="AN35" i="61"/>
  <c r="AN83" i="61"/>
  <c r="AM83" i="61"/>
  <c r="AM88" i="61"/>
  <c r="AN88" i="61"/>
  <c r="AI126" i="62"/>
  <c r="AN72" i="61"/>
  <c r="AM72" i="61"/>
  <c r="AN85" i="61"/>
  <c r="AM85" i="61"/>
  <c r="AN79" i="61"/>
  <c r="AM79" i="61"/>
  <c r="AM76" i="61"/>
  <c r="AN76" i="61"/>
  <c r="AN87" i="61"/>
  <c r="AM87" i="61"/>
  <c r="S31" i="64"/>
  <c r="R12" i="67"/>
  <c r="V13" i="63"/>
  <c r="R31" i="69"/>
  <c r="O13" i="70"/>
  <c r="V12" i="62"/>
  <c r="R31" i="65"/>
  <c r="W12" i="62"/>
  <c r="P12" i="61"/>
  <c r="AA13" i="65"/>
  <c r="S12" i="68"/>
  <c r="V12" i="61"/>
  <c r="W31" i="68"/>
  <c r="S31" i="63"/>
  <c r="W13" i="63"/>
  <c r="U13" i="62"/>
  <c r="S31" i="68"/>
  <c r="W13" i="65"/>
  <c r="W17" i="65" s="1"/>
  <c r="Y12" i="70"/>
  <c r="Z12" i="61"/>
  <c r="AA12" i="63"/>
  <c r="U31" i="64"/>
  <c r="Y31" i="61"/>
  <c r="O12" i="63"/>
  <c r="X12" i="69"/>
  <c r="Z12" i="68"/>
  <c r="Q31" i="68"/>
  <c r="R13" i="66"/>
  <c r="AA13" i="63"/>
  <c r="Y13" i="68"/>
  <c r="Y13" i="66"/>
  <c r="T31" i="69"/>
  <c r="T13" i="66"/>
  <c r="U12" i="68"/>
  <c r="O31" i="69"/>
  <c r="W31" i="62"/>
  <c r="X12" i="62"/>
  <c r="AJ31" i="63"/>
  <c r="V31" i="67"/>
  <c r="O31" i="65"/>
  <c r="W31" i="69"/>
  <c r="S12" i="63"/>
  <c r="X13" i="62"/>
  <c r="X31" i="69"/>
  <c r="R13" i="70"/>
  <c r="X12" i="67"/>
  <c r="S13" i="63"/>
  <c r="R13" i="65"/>
  <c r="R17" i="65" s="1"/>
  <c r="O31" i="62"/>
  <c r="T12" i="62"/>
  <c r="O12" i="61"/>
  <c r="Q31" i="63"/>
  <c r="AA12" i="66"/>
  <c r="Y31" i="64"/>
  <c r="S31" i="66"/>
  <c r="O31" i="68"/>
  <c r="U13" i="65"/>
  <c r="U17" i="65" s="1"/>
  <c r="B13" i="70"/>
  <c r="Y12" i="68"/>
  <c r="Q12" i="70"/>
  <c r="T12" i="64"/>
  <c r="V31" i="69"/>
  <c r="U31" i="65"/>
  <c r="Y12" i="67"/>
  <c r="Y13" i="65"/>
  <c r="Y17" i="65" s="1"/>
  <c r="V31" i="65"/>
  <c r="Z31" i="64"/>
  <c r="P12" i="64"/>
  <c r="P31" i="66"/>
  <c r="R12" i="66"/>
  <c r="T13" i="61"/>
  <c r="Q12" i="69"/>
  <c r="V12" i="66"/>
  <c r="T12" i="63"/>
  <c r="Q13" i="67"/>
  <c r="Q17" i="67" s="1"/>
  <c r="U12" i="61"/>
  <c r="R31" i="64"/>
  <c r="Y13" i="64"/>
  <c r="U12" i="63"/>
  <c r="Z13" i="69"/>
  <c r="Z17" i="69" s="1"/>
  <c r="V13" i="61"/>
  <c r="S12" i="62"/>
  <c r="S13" i="69"/>
  <c r="S17" i="69" s="1"/>
  <c r="Z13" i="66"/>
  <c r="V13" i="67"/>
  <c r="V17" i="67" s="1"/>
  <c r="P31" i="68"/>
  <c r="Q13" i="64"/>
  <c r="T31" i="63"/>
  <c r="X13" i="68"/>
  <c r="Y13" i="63"/>
  <c r="P13" i="66"/>
  <c r="P31" i="63"/>
  <c r="V13" i="70"/>
  <c r="V31" i="62"/>
  <c r="S12" i="69"/>
  <c r="Y31" i="62"/>
  <c r="W13" i="70"/>
  <c r="B13" i="69"/>
  <c r="Q13" i="66"/>
  <c r="X13" i="66"/>
  <c r="S12" i="65"/>
  <c r="O31" i="67"/>
  <c r="U31" i="62"/>
  <c r="Q13" i="63"/>
  <c r="Y13" i="67"/>
  <c r="Y17" i="67" s="1"/>
  <c r="S13" i="61"/>
  <c r="T13" i="64"/>
  <c r="Y31" i="65"/>
  <c r="Z31" i="61"/>
  <c r="S13" i="70"/>
  <c r="T12" i="68"/>
  <c r="Z13" i="67"/>
  <c r="Z17" i="67" s="1"/>
  <c r="O13" i="66"/>
  <c r="V31" i="70"/>
  <c r="B13" i="63"/>
  <c r="P31" i="70"/>
  <c r="V12" i="68"/>
  <c r="U13" i="63"/>
  <c r="O31" i="61"/>
  <c r="W13" i="61"/>
  <c r="O12" i="67"/>
  <c r="T13" i="68"/>
  <c r="R12" i="69"/>
  <c r="U13" i="67"/>
  <c r="U17" i="67" s="1"/>
  <c r="O31" i="70"/>
  <c r="X31" i="64"/>
  <c r="W13" i="64"/>
  <c r="T31" i="64"/>
  <c r="T12" i="70"/>
  <c r="P12" i="63"/>
  <c r="S13" i="64"/>
  <c r="T31" i="68"/>
  <c r="Q12" i="61"/>
  <c r="V31" i="61"/>
  <c r="Y12" i="62"/>
  <c r="AA12" i="67"/>
  <c r="U13" i="70"/>
  <c r="U13" i="64"/>
  <c r="Q31" i="62"/>
  <c r="W12" i="69"/>
  <c r="AA13" i="62"/>
  <c r="U31" i="70"/>
  <c r="X31" i="70"/>
  <c r="U31" i="67"/>
  <c r="P13" i="64"/>
  <c r="S13" i="67"/>
  <c r="S17" i="67" s="1"/>
  <c r="Y31" i="67"/>
  <c r="P31" i="64"/>
  <c r="O12" i="68"/>
  <c r="AA13" i="66"/>
  <c r="R13" i="64"/>
  <c r="T12" i="61"/>
  <c r="Y31" i="69"/>
  <c r="U13" i="66"/>
  <c r="T13" i="70"/>
  <c r="O12" i="62"/>
  <c r="W31" i="61"/>
  <c r="V13" i="62"/>
  <c r="Z13" i="70"/>
  <c r="Q13" i="69"/>
  <c r="Q17" i="69" s="1"/>
  <c r="O12" i="64"/>
  <c r="Q31" i="66"/>
  <c r="O13" i="64"/>
  <c r="Q12" i="66"/>
  <c r="Z12" i="66"/>
  <c r="Y12" i="64"/>
  <c r="X13" i="69"/>
  <c r="X17" i="69" s="1"/>
  <c r="AA12" i="61"/>
  <c r="T12" i="67"/>
  <c r="U12" i="66"/>
  <c r="P12" i="66"/>
  <c r="V31" i="66"/>
  <c r="V31" i="64"/>
  <c r="P12" i="62"/>
  <c r="T12" i="65"/>
  <c r="P13" i="68"/>
  <c r="X31" i="67"/>
  <c r="T31" i="65"/>
  <c r="W12" i="66"/>
  <c r="R31" i="67"/>
  <c r="X12" i="68"/>
  <c r="R31" i="68"/>
  <c r="Q12" i="65"/>
  <c r="O31" i="66"/>
  <c r="S13" i="65"/>
  <c r="S17" i="65" s="1"/>
  <c r="P13" i="69"/>
  <c r="P17" i="69" s="1"/>
  <c r="W12" i="63"/>
  <c r="T31" i="62"/>
  <c r="P13" i="65"/>
  <c r="P17" i="65" s="1"/>
  <c r="U12" i="67"/>
  <c r="O13" i="65"/>
  <c r="O17" i="65" s="1"/>
  <c r="AA12" i="65"/>
  <c r="R12" i="70"/>
  <c r="R13" i="69"/>
  <c r="R17" i="69" s="1"/>
  <c r="Y12" i="66"/>
  <c r="R31" i="66"/>
  <c r="Z12" i="70"/>
  <c r="T31" i="66"/>
  <c r="S31" i="61"/>
  <c r="W12" i="68"/>
  <c r="O12" i="66"/>
  <c r="S31" i="69"/>
  <c r="Y12" i="61"/>
  <c r="R12" i="68"/>
  <c r="R31" i="61"/>
  <c r="Z12" i="69"/>
  <c r="S12" i="64"/>
  <c r="X31" i="63"/>
  <c r="Y12" i="69"/>
  <c r="Q12" i="67"/>
  <c r="W31" i="65"/>
  <c r="S13" i="62"/>
  <c r="R13" i="61"/>
  <c r="R13" i="63"/>
  <c r="O13" i="62"/>
  <c r="V13" i="66"/>
  <c r="Y13" i="69"/>
  <c r="Y17" i="69" s="1"/>
  <c r="P31" i="69"/>
  <c r="U12" i="65"/>
  <c r="U31" i="63"/>
  <c r="V13" i="68"/>
  <c r="V13" i="69"/>
  <c r="V17" i="69" s="1"/>
  <c r="Q31" i="65"/>
  <c r="W13" i="66"/>
  <c r="R13" i="67"/>
  <c r="R17" i="67" s="1"/>
  <c r="P12" i="69"/>
  <c r="P12" i="67"/>
  <c r="V31" i="68"/>
  <c r="AJ31" i="61"/>
  <c r="U31" i="68"/>
  <c r="T31" i="61"/>
  <c r="X31" i="61"/>
  <c r="Z31" i="62"/>
  <c r="X12" i="70"/>
  <c r="S12" i="67"/>
  <c r="P13" i="62"/>
  <c r="X12" i="63"/>
  <c r="X13" i="61"/>
  <c r="Z31" i="63"/>
  <c r="Y31" i="66"/>
  <c r="P13" i="61"/>
  <c r="R31" i="70"/>
  <c r="S31" i="70"/>
  <c r="W12" i="67"/>
  <c r="O31" i="63"/>
  <c r="AA13" i="69"/>
  <c r="X31" i="66"/>
  <c r="AJ31" i="65"/>
  <c r="U13" i="61"/>
  <c r="AJ31" i="69"/>
  <c r="AA12" i="64"/>
  <c r="AA12" i="68"/>
  <c r="P31" i="61"/>
  <c r="X31" i="62"/>
  <c r="U31" i="66"/>
  <c r="S12" i="61"/>
  <c r="T13" i="69"/>
  <c r="T17" i="69" s="1"/>
  <c r="Q12" i="62"/>
  <c r="S31" i="62"/>
  <c r="V12" i="64"/>
  <c r="AJ31" i="67"/>
  <c r="Z13" i="65"/>
  <c r="Z17" i="65" s="1"/>
  <c r="X13" i="63"/>
  <c r="V12" i="69"/>
  <c r="Z12" i="67"/>
  <c r="Q13" i="65"/>
  <c r="Q17" i="65" s="1"/>
  <c r="Y12" i="63"/>
  <c r="P31" i="67"/>
  <c r="R13" i="68"/>
  <c r="O13" i="61"/>
  <c r="X31" i="68"/>
  <c r="R12" i="62"/>
  <c r="V13" i="65"/>
  <c r="V17" i="65" s="1"/>
  <c r="P31" i="65"/>
  <c r="X12" i="64"/>
  <c r="Q31" i="64"/>
  <c r="W31" i="63"/>
  <c r="T12" i="66"/>
  <c r="Z13" i="64"/>
  <c r="X13" i="70"/>
  <c r="Z12" i="62"/>
  <c r="R12" i="64"/>
  <c r="R31" i="63"/>
  <c r="Z13" i="63"/>
  <c r="P31" i="62"/>
  <c r="AA13" i="61"/>
  <c r="Z12" i="65"/>
  <c r="Z13" i="62"/>
  <c r="W12" i="64"/>
  <c r="S12" i="70"/>
  <c r="O12" i="70"/>
  <c r="B13" i="62"/>
  <c r="Z31" i="68"/>
  <c r="B13" i="67"/>
  <c r="Q31" i="67"/>
  <c r="W12" i="61"/>
  <c r="S13" i="68"/>
  <c r="W31" i="70"/>
  <c r="Q13" i="61"/>
  <c r="Z12" i="64"/>
  <c r="T13" i="65"/>
  <c r="T17" i="65" s="1"/>
  <c r="AA13" i="67"/>
  <c r="Q13" i="70"/>
  <c r="O13" i="68"/>
  <c r="U12" i="69"/>
  <c r="Y13" i="62"/>
  <c r="Y12" i="65"/>
  <c r="Y31" i="68"/>
  <c r="AA13" i="70"/>
  <c r="Z31" i="70"/>
  <c r="R13" i="62"/>
  <c r="Q13" i="62"/>
  <c r="Q13" i="68"/>
  <c r="T12" i="69"/>
  <c r="Y13" i="70"/>
  <c r="Z13" i="61"/>
  <c r="Z31" i="67"/>
  <c r="U12" i="62"/>
  <c r="W13" i="62"/>
  <c r="AA13" i="64"/>
  <c r="Z31" i="69"/>
  <c r="B13" i="61"/>
  <c r="AA13" i="68"/>
  <c r="R12" i="61"/>
  <c r="U12" i="64"/>
  <c r="V12" i="65"/>
  <c r="T13" i="63"/>
  <c r="Q31" i="70"/>
  <c r="U12" i="70"/>
  <c r="Q12" i="68"/>
  <c r="O13" i="63"/>
  <c r="X13" i="65"/>
  <c r="X17" i="65" s="1"/>
  <c r="AA12" i="62"/>
  <c r="Z13" i="68"/>
  <c r="X12" i="65"/>
  <c r="Q12" i="64"/>
  <c r="Y31" i="70"/>
  <c r="Z12" i="63"/>
  <c r="Z31" i="66"/>
  <c r="W12" i="70"/>
  <c r="V31" i="63"/>
  <c r="U31" i="69"/>
  <c r="B13" i="65"/>
  <c r="P13" i="67"/>
  <c r="P17" i="67" s="1"/>
  <c r="V12" i="67"/>
  <c r="P13" i="63"/>
  <c r="B13" i="68"/>
  <c r="W13" i="67"/>
  <c r="W17" i="67" s="1"/>
  <c r="R12" i="65"/>
  <c r="S31" i="65"/>
  <c r="P13" i="70"/>
  <c r="X13" i="64"/>
  <c r="W13" i="68"/>
  <c r="B13" i="64"/>
  <c r="R31" i="62"/>
  <c r="S12" i="66"/>
  <c r="O12" i="65"/>
  <c r="Z31" i="65"/>
  <c r="V13" i="64"/>
  <c r="O13" i="69"/>
  <c r="O17" i="69" s="1"/>
  <c r="U31" i="61"/>
  <c r="P12" i="65"/>
  <c r="X13" i="67"/>
  <c r="X17" i="67" s="1"/>
  <c r="W31" i="64"/>
  <c r="T31" i="67"/>
  <c r="W31" i="67"/>
  <c r="Q31" i="69"/>
  <c r="W12" i="65"/>
  <c r="X12" i="61"/>
  <c r="X12" i="66"/>
  <c r="V12" i="70"/>
  <c r="U13" i="68"/>
  <c r="Q31" i="61"/>
  <c r="P12" i="68"/>
  <c r="P12" i="70"/>
  <c r="Y13" i="61"/>
  <c r="X31" i="65"/>
  <c r="AA12" i="70"/>
  <c r="R12" i="63"/>
  <c r="O31" i="64"/>
  <c r="S31" i="67"/>
  <c r="Q12" i="63"/>
  <c r="U13" i="69"/>
  <c r="U17" i="69" s="1"/>
  <c r="O13" i="67"/>
  <c r="O17" i="67" s="1"/>
  <c r="W13" i="69"/>
  <c r="W17" i="69" s="1"/>
  <c r="V12" i="63"/>
  <c r="B13" i="66"/>
  <c r="O12" i="69"/>
  <c r="AA12" i="69"/>
  <c r="T13" i="67"/>
  <c r="T17" i="67" s="1"/>
  <c r="S13" i="66"/>
  <c r="T13" i="62"/>
  <c r="W31" i="66"/>
  <c r="Y31" i="63"/>
  <c r="T31" i="70"/>
  <c r="AA17" i="69" l="1"/>
  <c r="AA17" i="67"/>
  <c r="AA17" i="65"/>
  <c r="AH54" i="58"/>
  <c r="G53" i="58" s="1"/>
  <c r="AH74" i="58"/>
  <c r="AG44" i="37"/>
  <c r="AG60" i="37"/>
  <c r="AH64" i="59"/>
  <c r="AH84" i="59"/>
  <c r="B10" i="36"/>
  <c r="B10" i="35"/>
  <c r="B10" i="34"/>
  <c r="B10" i="33"/>
  <c r="B10" i="32"/>
  <c r="B10" i="31"/>
  <c r="B10" i="30"/>
  <c r="B10" i="29"/>
  <c r="B10" i="28"/>
  <c r="B10" i="27"/>
  <c r="B10" i="26"/>
  <c r="B10" i="25"/>
  <c r="B10" i="23"/>
  <c r="B10" i="22"/>
  <c r="B10" i="21"/>
  <c r="B10" i="20"/>
  <c r="B10" i="19"/>
  <c r="B10" i="18"/>
  <c r="B10" i="24"/>
  <c r="B10" i="15"/>
  <c r="AG17" i="59"/>
  <c r="AG18" i="59" s="1"/>
  <c r="AG16" i="59"/>
  <c r="AD16" i="59"/>
  <c r="B10" i="59"/>
  <c r="B10" i="11"/>
  <c r="AG17" i="58"/>
  <c r="AG18" i="58" s="1"/>
  <c r="AG16" i="58"/>
  <c r="AD16" i="58"/>
  <c r="B10" i="58"/>
  <c r="B10" i="54"/>
  <c r="AG17" i="57"/>
  <c r="AG18" i="57" s="1"/>
  <c r="AG16" i="57"/>
  <c r="AD16" i="57"/>
  <c r="B10" i="57"/>
  <c r="B10" i="53"/>
  <c r="AG17" i="56"/>
  <c r="AG18" i="56" s="1"/>
  <c r="AG16" i="56"/>
  <c r="AD16" i="56"/>
  <c r="B10" i="56"/>
  <c r="B10" i="52"/>
  <c r="AG17" i="55"/>
  <c r="AG18" i="55" s="1"/>
  <c r="AG16" i="55"/>
  <c r="AD16" i="55"/>
  <c r="B10" i="55"/>
  <c r="B10" i="51"/>
  <c r="AG17" i="39"/>
  <c r="AG18" i="39" s="1"/>
  <c r="AG16" i="39"/>
  <c r="AD16" i="39"/>
  <c r="B10" i="39"/>
  <c r="B10" i="9"/>
  <c r="AG17" i="17"/>
  <c r="AG18" i="17" s="1"/>
  <c r="AG16" i="17"/>
  <c r="AD16" i="17"/>
  <c r="B10" i="17"/>
  <c r="B10" i="16"/>
  <c r="B10" i="7"/>
  <c r="AG17" i="6"/>
  <c r="AG18" i="6" s="1"/>
  <c r="AG16" i="6"/>
  <c r="AD16" i="6"/>
  <c r="B10" i="6"/>
  <c r="B10" i="4"/>
  <c r="AF17" i="37"/>
  <c r="AF18" i="37" s="1"/>
  <c r="AF16" i="37"/>
  <c r="AC16" i="37"/>
  <c r="B10" i="37"/>
  <c r="M140" i="59"/>
  <c r="M139" i="59"/>
  <c r="M138" i="59"/>
  <c r="M137" i="59"/>
  <c r="M136" i="59"/>
  <c r="M135" i="59"/>
  <c r="M134" i="59"/>
  <c r="M133" i="59"/>
  <c r="M132" i="59"/>
  <c r="M131" i="59"/>
  <c r="M130" i="59"/>
  <c r="M126" i="59"/>
  <c r="M125" i="59"/>
  <c r="M124" i="59"/>
  <c r="M123" i="59"/>
  <c r="M122" i="59"/>
  <c r="M121" i="59"/>
  <c r="M119" i="59"/>
  <c r="M118" i="59"/>
  <c r="M117" i="59"/>
  <c r="M116" i="59"/>
  <c r="M115" i="59"/>
  <c r="M114" i="59"/>
  <c r="M111" i="59"/>
  <c r="M110" i="59"/>
  <c r="M109" i="59"/>
  <c r="M108" i="59"/>
  <c r="M107" i="59"/>
  <c r="M106" i="59"/>
  <c r="M103" i="59"/>
  <c r="M102" i="59"/>
  <c r="M101" i="59"/>
  <c r="M100" i="59"/>
  <c r="M99" i="59"/>
  <c r="M98" i="59"/>
  <c r="M140" i="58"/>
  <c r="M139" i="58"/>
  <c r="M138" i="58"/>
  <c r="M137" i="58"/>
  <c r="M136" i="58"/>
  <c r="M135" i="58"/>
  <c r="M134" i="58"/>
  <c r="M133" i="58"/>
  <c r="M132" i="58"/>
  <c r="M131" i="58"/>
  <c r="M130" i="58"/>
  <c r="M126" i="58"/>
  <c r="M125" i="58"/>
  <c r="M124" i="58"/>
  <c r="M123" i="58"/>
  <c r="M122" i="58"/>
  <c r="M121" i="58"/>
  <c r="M119" i="58"/>
  <c r="M118" i="58"/>
  <c r="M117" i="58"/>
  <c r="M116" i="58"/>
  <c r="M115" i="58"/>
  <c r="M114" i="58"/>
  <c r="M111" i="58"/>
  <c r="M110" i="58"/>
  <c r="M109" i="58"/>
  <c r="M108" i="58"/>
  <c r="M107" i="58"/>
  <c r="M106" i="58"/>
  <c r="M103" i="58"/>
  <c r="M102" i="58"/>
  <c r="M101" i="58"/>
  <c r="M100" i="58"/>
  <c r="M99" i="58"/>
  <c r="M98" i="58"/>
  <c r="M140" i="57"/>
  <c r="M139" i="57"/>
  <c r="M138" i="57"/>
  <c r="M137" i="57"/>
  <c r="M136" i="57"/>
  <c r="M135" i="57"/>
  <c r="M134" i="57"/>
  <c r="M133" i="57"/>
  <c r="M132" i="57"/>
  <c r="M131" i="57"/>
  <c r="M130" i="57"/>
  <c r="M126" i="57"/>
  <c r="M125" i="57"/>
  <c r="M124" i="57"/>
  <c r="M123" i="57"/>
  <c r="M122" i="57"/>
  <c r="M121" i="57"/>
  <c r="M119" i="57"/>
  <c r="M118" i="57"/>
  <c r="M117" i="57"/>
  <c r="M116" i="57"/>
  <c r="M115" i="57"/>
  <c r="M114" i="57"/>
  <c r="M111" i="57"/>
  <c r="M110" i="57"/>
  <c r="M109" i="57"/>
  <c r="M108" i="57"/>
  <c r="M107" i="57"/>
  <c r="M106" i="57"/>
  <c r="M103" i="57"/>
  <c r="M102" i="57"/>
  <c r="M101" i="57"/>
  <c r="M100" i="57"/>
  <c r="M99" i="57"/>
  <c r="M98" i="57"/>
  <c r="M140" i="56"/>
  <c r="M139" i="56"/>
  <c r="M138" i="56"/>
  <c r="M137" i="56"/>
  <c r="M136" i="56"/>
  <c r="M135" i="56"/>
  <c r="M134" i="56"/>
  <c r="M133" i="56"/>
  <c r="M132" i="56"/>
  <c r="M131" i="56"/>
  <c r="M130" i="56"/>
  <c r="M126" i="56"/>
  <c r="M125" i="56"/>
  <c r="M124" i="56"/>
  <c r="M123" i="56"/>
  <c r="M122" i="56"/>
  <c r="M121" i="56"/>
  <c r="M119" i="56"/>
  <c r="M118" i="56"/>
  <c r="M117" i="56"/>
  <c r="M116" i="56"/>
  <c r="M115" i="56"/>
  <c r="M114" i="56"/>
  <c r="M111" i="56"/>
  <c r="M110" i="56"/>
  <c r="M109" i="56"/>
  <c r="M108" i="56"/>
  <c r="M107" i="56"/>
  <c r="M106" i="56"/>
  <c r="M103" i="56"/>
  <c r="M102" i="56"/>
  <c r="M101" i="56"/>
  <c r="M100" i="56"/>
  <c r="M99" i="56"/>
  <c r="M98" i="56"/>
  <c r="M140" i="55"/>
  <c r="M139" i="55"/>
  <c r="M138" i="55"/>
  <c r="M137" i="55"/>
  <c r="M136" i="55"/>
  <c r="M135" i="55"/>
  <c r="M134" i="55"/>
  <c r="M133" i="55"/>
  <c r="M132" i="55"/>
  <c r="M131" i="55"/>
  <c r="M130" i="55"/>
  <c r="M126" i="55"/>
  <c r="M125" i="55"/>
  <c r="M124" i="55"/>
  <c r="M123" i="55"/>
  <c r="M122" i="55"/>
  <c r="M121" i="55"/>
  <c r="M119" i="55"/>
  <c r="M118" i="55"/>
  <c r="M117" i="55"/>
  <c r="M116" i="55"/>
  <c r="M115" i="55"/>
  <c r="M114" i="55"/>
  <c r="M111" i="55"/>
  <c r="M110" i="55"/>
  <c r="M109" i="55"/>
  <c r="M108" i="55"/>
  <c r="M107" i="55"/>
  <c r="M106" i="55"/>
  <c r="M103" i="55"/>
  <c r="M102" i="55"/>
  <c r="M101" i="55"/>
  <c r="M100" i="55"/>
  <c r="M99" i="55"/>
  <c r="M98" i="55"/>
  <c r="M140" i="39"/>
  <c r="M139" i="39"/>
  <c r="M138" i="39"/>
  <c r="M137" i="39"/>
  <c r="M136" i="39"/>
  <c r="M135" i="39"/>
  <c r="M134" i="39"/>
  <c r="M133" i="39"/>
  <c r="M132" i="39"/>
  <c r="M131" i="39"/>
  <c r="M130" i="39"/>
  <c r="M126" i="39"/>
  <c r="M125" i="39"/>
  <c r="M124" i="39"/>
  <c r="M123" i="39"/>
  <c r="M122" i="39"/>
  <c r="M121" i="39"/>
  <c r="M119" i="39"/>
  <c r="M118" i="39"/>
  <c r="M117" i="39"/>
  <c r="M116" i="39"/>
  <c r="M115" i="39"/>
  <c r="M114" i="39"/>
  <c r="M111" i="39"/>
  <c r="M110" i="39"/>
  <c r="M109" i="39"/>
  <c r="M108" i="39"/>
  <c r="M107" i="39"/>
  <c r="M106" i="39"/>
  <c r="M103" i="39"/>
  <c r="M102" i="39"/>
  <c r="M101" i="39"/>
  <c r="M100" i="39"/>
  <c r="M99" i="39"/>
  <c r="M98" i="39"/>
  <c r="M170" i="17"/>
  <c r="M167" i="17"/>
  <c r="M166" i="17"/>
  <c r="M165" i="17"/>
  <c r="M164" i="17"/>
  <c r="M163" i="17"/>
  <c r="M162" i="17"/>
  <c r="M161" i="17"/>
  <c r="M160" i="17"/>
  <c r="M159" i="17"/>
  <c r="M157" i="17"/>
  <c r="M156" i="17"/>
  <c r="M155" i="17"/>
  <c r="M154" i="17"/>
  <c r="M153" i="17"/>
  <c r="M152" i="17"/>
  <c r="M148" i="17"/>
  <c r="M147" i="17"/>
  <c r="M145" i="17"/>
  <c r="M144" i="17"/>
  <c r="M143" i="17"/>
  <c r="M142" i="17"/>
  <c r="M141" i="17"/>
  <c r="M139" i="17"/>
  <c r="M138" i="17"/>
  <c r="M136" i="17"/>
  <c r="M135" i="17"/>
  <c r="M134" i="17"/>
  <c r="M133" i="17"/>
  <c r="M130" i="17"/>
  <c r="M129" i="17"/>
  <c r="M127" i="17"/>
  <c r="M126" i="17"/>
  <c r="M125" i="17"/>
  <c r="M124" i="17"/>
  <c r="M121" i="17"/>
  <c r="M120" i="17"/>
  <c r="M118" i="17"/>
  <c r="M117" i="17"/>
  <c r="M116" i="17"/>
  <c r="M115" i="17"/>
  <c r="AI157" i="17"/>
  <c r="AI155" i="17"/>
  <c r="AI154" i="17"/>
  <c r="AG146" i="59"/>
  <c r="AD146" i="59"/>
  <c r="Z146" i="59"/>
  <c r="Y146" i="59"/>
  <c r="X146" i="59"/>
  <c r="W146" i="59"/>
  <c r="V146" i="59"/>
  <c r="U146" i="59"/>
  <c r="T146" i="59"/>
  <c r="S146" i="59"/>
  <c r="R146" i="59"/>
  <c r="Q146" i="59"/>
  <c r="P146" i="59"/>
  <c r="O146" i="59"/>
  <c r="AG145" i="59"/>
  <c r="AD145" i="59"/>
  <c r="Z145" i="59"/>
  <c r="Y145" i="59"/>
  <c r="X145" i="59"/>
  <c r="W145" i="59"/>
  <c r="V145" i="59"/>
  <c r="U145" i="59"/>
  <c r="T145" i="59"/>
  <c r="S145" i="59"/>
  <c r="R145" i="59"/>
  <c r="Q145" i="59"/>
  <c r="P145" i="59"/>
  <c r="O145" i="59"/>
  <c r="AG144" i="59"/>
  <c r="AD144" i="59"/>
  <c r="Z144" i="59"/>
  <c r="Y144" i="59"/>
  <c r="X144" i="59"/>
  <c r="W144" i="59"/>
  <c r="V144" i="59"/>
  <c r="U144" i="59"/>
  <c r="T144" i="59"/>
  <c r="S144" i="59"/>
  <c r="R144" i="59"/>
  <c r="Q144" i="59"/>
  <c r="P144" i="59"/>
  <c r="O144" i="59"/>
  <c r="AG143" i="59"/>
  <c r="AD143" i="59"/>
  <c r="Z143" i="59"/>
  <c r="Y143" i="59"/>
  <c r="X143" i="59"/>
  <c r="W143" i="59"/>
  <c r="V143" i="59"/>
  <c r="U143" i="59"/>
  <c r="T143" i="59"/>
  <c r="S143" i="59"/>
  <c r="R143" i="59"/>
  <c r="Q143" i="59"/>
  <c r="P143" i="59"/>
  <c r="O143" i="59"/>
  <c r="AG141" i="59"/>
  <c r="AD141" i="59"/>
  <c r="Z141" i="59"/>
  <c r="Y141" i="59"/>
  <c r="X141" i="59"/>
  <c r="W141" i="59"/>
  <c r="V141" i="59"/>
  <c r="U141" i="59"/>
  <c r="T141" i="59"/>
  <c r="S141" i="59"/>
  <c r="R141" i="59"/>
  <c r="Q141" i="59"/>
  <c r="P141" i="59"/>
  <c r="O141" i="59"/>
  <c r="AI140" i="59"/>
  <c r="AI139" i="59"/>
  <c r="AI138" i="59"/>
  <c r="AI137" i="59"/>
  <c r="AI136" i="59"/>
  <c r="AI135" i="59"/>
  <c r="AI134" i="59"/>
  <c r="AI133" i="59"/>
  <c r="AI132" i="59"/>
  <c r="AI131" i="59"/>
  <c r="AA146" i="59"/>
  <c r="AI119" i="59"/>
  <c r="AI118" i="59"/>
  <c r="AI117" i="59"/>
  <c r="AI116" i="59"/>
  <c r="AI115" i="59"/>
  <c r="AI114" i="59"/>
  <c r="AI111" i="59"/>
  <c r="AI110" i="59"/>
  <c r="AI109" i="59"/>
  <c r="AI108" i="59"/>
  <c r="AI107" i="59"/>
  <c r="AI106" i="59"/>
  <c r="AI103" i="59"/>
  <c r="AI102" i="59"/>
  <c r="AI101" i="59"/>
  <c r="AI100" i="59"/>
  <c r="AI99" i="59"/>
  <c r="AI98" i="59"/>
  <c r="AI92" i="59"/>
  <c r="AI91" i="59"/>
  <c r="AI87" i="59"/>
  <c r="AI86" i="59"/>
  <c r="AA141" i="59"/>
  <c r="AI85" i="59"/>
  <c r="AI83" i="59"/>
  <c r="AI88" i="59"/>
  <c r="AA145" i="59"/>
  <c r="AH80" i="59"/>
  <c r="AI79" i="59"/>
  <c r="AI76" i="59"/>
  <c r="AH74" i="59"/>
  <c r="AH71" i="59"/>
  <c r="AI71" i="59"/>
  <c r="AI70" i="59"/>
  <c r="AI69" i="59"/>
  <c r="AI68" i="59"/>
  <c r="AI72" i="59"/>
  <c r="AI67" i="59"/>
  <c r="AI66" i="59"/>
  <c r="AI65" i="59"/>
  <c r="AH61" i="59"/>
  <c r="AI60" i="59"/>
  <c r="AI58" i="59"/>
  <c r="AI57" i="59"/>
  <c r="AI55" i="59"/>
  <c r="AH54" i="59"/>
  <c r="AH51" i="59"/>
  <c r="AI51" i="59"/>
  <c r="AI50" i="59"/>
  <c r="AI49" i="59"/>
  <c r="AI48" i="59"/>
  <c r="AI47" i="59"/>
  <c r="AI46" i="59"/>
  <c r="AI45" i="59"/>
  <c r="AH44" i="59"/>
  <c r="AH41" i="59"/>
  <c r="AA144" i="59"/>
  <c r="AI40" i="59"/>
  <c r="AI39" i="59"/>
  <c r="AI36" i="59"/>
  <c r="AA31" i="59"/>
  <c r="G20" i="59"/>
  <c r="G19" i="59"/>
  <c r="AG146" i="58"/>
  <c r="AD146" i="58"/>
  <c r="Z146" i="58"/>
  <c r="Y146" i="58"/>
  <c r="X146" i="58"/>
  <c r="W146" i="58"/>
  <c r="V146" i="58"/>
  <c r="U146" i="58"/>
  <c r="T146" i="58"/>
  <c r="S146" i="58"/>
  <c r="R146" i="58"/>
  <c r="Q146" i="58"/>
  <c r="P146" i="58"/>
  <c r="O146" i="58"/>
  <c r="AG145" i="58"/>
  <c r="AD145" i="58"/>
  <c r="Z145" i="58"/>
  <c r="Y145" i="58"/>
  <c r="X145" i="58"/>
  <c r="W145" i="58"/>
  <c r="V145" i="58"/>
  <c r="U145" i="58"/>
  <c r="T145" i="58"/>
  <c r="S145" i="58"/>
  <c r="R145" i="58"/>
  <c r="Q145" i="58"/>
  <c r="P145" i="58"/>
  <c r="O145" i="58"/>
  <c r="AG144" i="58"/>
  <c r="AD144" i="58"/>
  <c r="Z144" i="58"/>
  <c r="Y144" i="58"/>
  <c r="X144" i="58"/>
  <c r="W144" i="58"/>
  <c r="V144" i="58"/>
  <c r="U144" i="58"/>
  <c r="T144" i="58"/>
  <c r="S144" i="58"/>
  <c r="R144" i="58"/>
  <c r="Q144" i="58"/>
  <c r="P144" i="58"/>
  <c r="O144" i="58"/>
  <c r="AG143" i="58"/>
  <c r="AD143" i="58"/>
  <c r="Z143" i="58"/>
  <c r="Y143" i="58"/>
  <c r="X143" i="58"/>
  <c r="W143" i="58"/>
  <c r="V143" i="58"/>
  <c r="U143" i="58"/>
  <c r="T143" i="58"/>
  <c r="S143" i="58"/>
  <c r="R143" i="58"/>
  <c r="Q143" i="58"/>
  <c r="P143" i="58"/>
  <c r="O143" i="58"/>
  <c r="AG141" i="58"/>
  <c r="AD141" i="58"/>
  <c r="AA141" i="58"/>
  <c r="Z141" i="58"/>
  <c r="Y141" i="58"/>
  <c r="X141" i="58"/>
  <c r="W141" i="58"/>
  <c r="V141" i="58"/>
  <c r="U141" i="58"/>
  <c r="T141" i="58"/>
  <c r="S141" i="58"/>
  <c r="R141" i="58"/>
  <c r="Q141" i="58"/>
  <c r="P141" i="58"/>
  <c r="O141" i="58"/>
  <c r="AI140" i="58"/>
  <c r="AI139" i="58"/>
  <c r="AI138" i="58"/>
  <c r="AI137" i="58"/>
  <c r="AI136" i="58"/>
  <c r="AI135" i="58"/>
  <c r="AI134" i="58"/>
  <c r="AI133" i="58"/>
  <c r="AI132" i="58"/>
  <c r="AI131" i="58"/>
  <c r="AA146" i="58"/>
  <c r="AI130" i="58"/>
  <c r="AI119" i="58"/>
  <c r="AI118" i="58"/>
  <c r="AI117" i="58"/>
  <c r="AI116" i="58"/>
  <c r="AI115" i="58"/>
  <c r="AI114" i="58"/>
  <c r="AI111" i="58"/>
  <c r="AI110" i="58"/>
  <c r="AI109" i="58"/>
  <c r="AI108" i="58"/>
  <c r="AI107" i="58"/>
  <c r="AI106" i="58"/>
  <c r="AI103" i="58"/>
  <c r="AI102" i="58"/>
  <c r="AI101" i="58"/>
  <c r="AI100" i="58"/>
  <c r="AI99" i="58"/>
  <c r="AI98" i="58"/>
  <c r="AI92" i="58"/>
  <c r="AI91" i="58"/>
  <c r="AI87" i="58"/>
  <c r="AI86" i="58"/>
  <c r="AI85" i="58"/>
  <c r="AI83" i="58"/>
  <c r="AH84" i="58"/>
  <c r="AH80" i="58"/>
  <c r="AI80" i="58"/>
  <c r="AI79" i="58"/>
  <c r="AI78" i="58"/>
  <c r="AI81" i="58"/>
  <c r="AI77" i="58"/>
  <c r="AI76" i="58"/>
  <c r="AI75" i="58"/>
  <c r="AH71" i="58"/>
  <c r="AI71" i="58"/>
  <c r="AI70" i="58"/>
  <c r="AI69" i="58"/>
  <c r="AI68" i="58"/>
  <c r="AI67" i="58"/>
  <c r="AI66" i="58"/>
  <c r="AI65" i="58"/>
  <c r="AH64" i="58"/>
  <c r="AH61" i="58"/>
  <c r="AI61" i="58"/>
  <c r="AI60" i="58"/>
  <c r="AI59" i="58"/>
  <c r="AI58" i="58"/>
  <c r="AI57" i="58"/>
  <c r="AI56" i="58"/>
  <c r="AI55" i="58"/>
  <c r="AH51" i="58"/>
  <c r="AI51" i="58"/>
  <c r="AI50" i="58"/>
  <c r="AI49" i="58"/>
  <c r="AI48" i="58"/>
  <c r="AI52" i="58"/>
  <c r="AI47" i="58"/>
  <c r="AI46" i="58"/>
  <c r="AI45" i="58"/>
  <c r="AH44" i="58"/>
  <c r="AH41" i="58"/>
  <c r="AA144" i="58"/>
  <c r="AI41" i="58"/>
  <c r="AI40" i="58"/>
  <c r="AA143" i="58"/>
  <c r="AI39" i="58"/>
  <c r="AI38" i="58"/>
  <c r="AI42" i="58"/>
  <c r="AI37" i="58"/>
  <c r="AI36" i="58"/>
  <c r="AI35" i="58"/>
  <c r="AA31" i="58"/>
  <c r="G20" i="58"/>
  <c r="G19" i="58"/>
  <c r="AG146" i="57"/>
  <c r="AD146" i="57"/>
  <c r="Z146" i="57"/>
  <c r="Y146" i="57"/>
  <c r="X146" i="57"/>
  <c r="W146" i="57"/>
  <c r="V146" i="57"/>
  <c r="U146" i="57"/>
  <c r="T146" i="57"/>
  <c r="S146" i="57"/>
  <c r="R146" i="57"/>
  <c r="Q146" i="57"/>
  <c r="P146" i="57"/>
  <c r="O146" i="57"/>
  <c r="AG145" i="57"/>
  <c r="AD145" i="57"/>
  <c r="Z145" i="57"/>
  <c r="Y145" i="57"/>
  <c r="X145" i="57"/>
  <c r="W145" i="57"/>
  <c r="V145" i="57"/>
  <c r="U145" i="57"/>
  <c r="T145" i="57"/>
  <c r="S145" i="57"/>
  <c r="R145" i="57"/>
  <c r="Q145" i="57"/>
  <c r="P145" i="57"/>
  <c r="O145" i="57"/>
  <c r="AG144" i="57"/>
  <c r="AD144" i="57"/>
  <c r="Z144" i="57"/>
  <c r="Y144" i="57"/>
  <c r="X144" i="57"/>
  <c r="W144" i="57"/>
  <c r="V144" i="57"/>
  <c r="U144" i="57"/>
  <c r="T144" i="57"/>
  <c r="S144" i="57"/>
  <c r="R144" i="57"/>
  <c r="Q144" i="57"/>
  <c r="P144" i="57"/>
  <c r="O144" i="57"/>
  <c r="AG143" i="57"/>
  <c r="AD143" i="57"/>
  <c r="Z143" i="57"/>
  <c r="Y143" i="57"/>
  <c r="X143" i="57"/>
  <c r="W143" i="57"/>
  <c r="V143" i="57"/>
  <c r="U143" i="57"/>
  <c r="T143" i="57"/>
  <c r="S143" i="57"/>
  <c r="R143" i="57"/>
  <c r="Q143" i="57"/>
  <c r="P143" i="57"/>
  <c r="O143" i="57"/>
  <c r="AG141" i="57"/>
  <c r="AD141" i="57"/>
  <c r="Z141" i="57"/>
  <c r="Y141" i="57"/>
  <c r="X141" i="57"/>
  <c r="W141" i="57"/>
  <c r="V141" i="57"/>
  <c r="U141" i="57"/>
  <c r="T141" i="57"/>
  <c r="S141" i="57"/>
  <c r="R141" i="57"/>
  <c r="Q141" i="57"/>
  <c r="P141" i="57"/>
  <c r="O141" i="57"/>
  <c r="AI140" i="57"/>
  <c r="AI139" i="57"/>
  <c r="AI137" i="57"/>
  <c r="AI136" i="57"/>
  <c r="AI135" i="57"/>
  <c r="AI133" i="57"/>
  <c r="AI132" i="57"/>
  <c r="AI131" i="57"/>
  <c r="AI130" i="57"/>
  <c r="AI119" i="57"/>
  <c r="AI118" i="57"/>
  <c r="AI117" i="57"/>
  <c r="AI116" i="57"/>
  <c r="AI115" i="57"/>
  <c r="AI114" i="57"/>
  <c r="AI111" i="57"/>
  <c r="AI110" i="57"/>
  <c r="AI109" i="57"/>
  <c r="AI108" i="57"/>
  <c r="AI107" i="57"/>
  <c r="AI106" i="57"/>
  <c r="AI103" i="57"/>
  <c r="AI102" i="57"/>
  <c r="AI101" i="57"/>
  <c r="AI100" i="57"/>
  <c r="AI99" i="57"/>
  <c r="AI98" i="57"/>
  <c r="AI92" i="57"/>
  <c r="AI91" i="57"/>
  <c r="AI87" i="57"/>
  <c r="AI86" i="57"/>
  <c r="AI93" i="57"/>
  <c r="AI94" i="57"/>
  <c r="AA141" i="57"/>
  <c r="AI85" i="57"/>
  <c r="AI83" i="57"/>
  <c r="AI88" i="57"/>
  <c r="AA145" i="57"/>
  <c r="AH84" i="57"/>
  <c r="AH80" i="57"/>
  <c r="AI80" i="57"/>
  <c r="AI79" i="57"/>
  <c r="AI78" i="57"/>
  <c r="AI77" i="57"/>
  <c r="AI76" i="57"/>
  <c r="AI75" i="57"/>
  <c r="AH74" i="57"/>
  <c r="AH71" i="57"/>
  <c r="AI71" i="57"/>
  <c r="AI70" i="57"/>
  <c r="AI69" i="57"/>
  <c r="AI68" i="57"/>
  <c r="AI72" i="57"/>
  <c r="AI67" i="57"/>
  <c r="AI66" i="57"/>
  <c r="AI65" i="57"/>
  <c r="AH64" i="57"/>
  <c r="AH61" i="57"/>
  <c r="AI61" i="57"/>
  <c r="AI60" i="57"/>
  <c r="AI59" i="57"/>
  <c r="AI58" i="57"/>
  <c r="AI62" i="57"/>
  <c r="AI57" i="57"/>
  <c r="AI56" i="57"/>
  <c r="AI55" i="57"/>
  <c r="AH54" i="57"/>
  <c r="G53" i="57" s="1"/>
  <c r="AH51" i="57"/>
  <c r="AI51" i="57"/>
  <c r="AI50" i="57"/>
  <c r="AI48" i="57"/>
  <c r="AI46" i="57"/>
  <c r="AH44" i="57"/>
  <c r="AH41" i="57"/>
  <c r="AA144" i="57"/>
  <c r="AI41" i="57"/>
  <c r="AI40" i="57"/>
  <c r="AI39" i="57"/>
  <c r="AI38" i="57"/>
  <c r="AI42" i="57"/>
  <c r="AI37" i="57"/>
  <c r="AI36" i="57"/>
  <c r="AI35" i="57"/>
  <c r="AA31" i="57"/>
  <c r="G20" i="57"/>
  <c r="G19" i="57"/>
  <c r="AG146" i="56"/>
  <c r="AD146" i="56"/>
  <c r="Z146" i="56"/>
  <c r="Y146" i="56"/>
  <c r="X146" i="56"/>
  <c r="W146" i="56"/>
  <c r="V146" i="56"/>
  <c r="U146" i="56"/>
  <c r="T146" i="56"/>
  <c r="S146" i="56"/>
  <c r="R146" i="56"/>
  <c r="Q146" i="56"/>
  <c r="P146" i="56"/>
  <c r="O146" i="56"/>
  <c r="AG145" i="56"/>
  <c r="AD145" i="56"/>
  <c r="Z145" i="56"/>
  <c r="Y145" i="56"/>
  <c r="X145" i="56"/>
  <c r="W145" i="56"/>
  <c r="V145" i="56"/>
  <c r="U145" i="56"/>
  <c r="T145" i="56"/>
  <c r="S145" i="56"/>
  <c r="R145" i="56"/>
  <c r="Q145" i="56"/>
  <c r="P145" i="56"/>
  <c r="O145" i="56"/>
  <c r="AG144" i="56"/>
  <c r="AD144" i="56"/>
  <c r="Z144" i="56"/>
  <c r="Y144" i="56"/>
  <c r="X144" i="56"/>
  <c r="W144" i="56"/>
  <c r="V144" i="56"/>
  <c r="U144" i="56"/>
  <c r="T144" i="56"/>
  <c r="S144" i="56"/>
  <c r="R144" i="56"/>
  <c r="Q144" i="56"/>
  <c r="P144" i="56"/>
  <c r="O144" i="56"/>
  <c r="AG143" i="56"/>
  <c r="AD143" i="56"/>
  <c r="Z143" i="56"/>
  <c r="Y143" i="56"/>
  <c r="X143" i="56"/>
  <c r="W143" i="56"/>
  <c r="V143" i="56"/>
  <c r="U143" i="56"/>
  <c r="T143" i="56"/>
  <c r="S143" i="56"/>
  <c r="R143" i="56"/>
  <c r="Q143" i="56"/>
  <c r="P143" i="56"/>
  <c r="O143" i="56"/>
  <c r="AG141" i="56"/>
  <c r="AD141" i="56"/>
  <c r="AA141" i="56"/>
  <c r="Z141" i="56"/>
  <c r="Y141" i="56"/>
  <c r="X141" i="56"/>
  <c r="W141" i="56"/>
  <c r="V141" i="56"/>
  <c r="U141" i="56"/>
  <c r="T141" i="56"/>
  <c r="S141" i="56"/>
  <c r="R141" i="56"/>
  <c r="Q141" i="56"/>
  <c r="P141" i="56"/>
  <c r="O141" i="56"/>
  <c r="AI140" i="56"/>
  <c r="AI139" i="56"/>
  <c r="AI138" i="56"/>
  <c r="AI137" i="56"/>
  <c r="AI136" i="56"/>
  <c r="AI135" i="56"/>
  <c r="AI134" i="56"/>
  <c r="AI133" i="56"/>
  <c r="AI132" i="56"/>
  <c r="AI131" i="56"/>
  <c r="AA146" i="56"/>
  <c r="AI130" i="56"/>
  <c r="AH124" i="56"/>
  <c r="AI119" i="56"/>
  <c r="AI118" i="56"/>
  <c r="AH117" i="56"/>
  <c r="AI117" i="56"/>
  <c r="AI116" i="56"/>
  <c r="AI115" i="56"/>
  <c r="AI114" i="56"/>
  <c r="AI111" i="56"/>
  <c r="AI110" i="56"/>
  <c r="AH109" i="56"/>
  <c r="AI109" i="56"/>
  <c r="AI108" i="56"/>
  <c r="AI107" i="56"/>
  <c r="AI106" i="56"/>
  <c r="AI103" i="56"/>
  <c r="AI102" i="56"/>
  <c r="AH101" i="56"/>
  <c r="AI101" i="56"/>
  <c r="AI100" i="56"/>
  <c r="AI99" i="56"/>
  <c r="AI98" i="56"/>
  <c r="AI92" i="56"/>
  <c r="AI91" i="56"/>
  <c r="AI87" i="56"/>
  <c r="AI86" i="56"/>
  <c r="AI94" i="56"/>
  <c r="AI93" i="56"/>
  <c r="AI85" i="56"/>
  <c r="AI83" i="56"/>
  <c r="AH84" i="56"/>
  <c r="AH80" i="56"/>
  <c r="AI80" i="56"/>
  <c r="AI79" i="56"/>
  <c r="AI78" i="56"/>
  <c r="AI77" i="56"/>
  <c r="AI76" i="56"/>
  <c r="AI75" i="56"/>
  <c r="AH74" i="56"/>
  <c r="AH71" i="56"/>
  <c r="AI71" i="56"/>
  <c r="AI70" i="56"/>
  <c r="AI69" i="56"/>
  <c r="AH68" i="56"/>
  <c r="AI68" i="56"/>
  <c r="AI72" i="56"/>
  <c r="AH67" i="56"/>
  <c r="AI67" i="56"/>
  <c r="AH66" i="56"/>
  <c r="AI66" i="56"/>
  <c r="AI65" i="56"/>
  <c r="AH64" i="56"/>
  <c r="AH61" i="56"/>
  <c r="AI61" i="56"/>
  <c r="AI60" i="56"/>
  <c r="AI59" i="56"/>
  <c r="AI58" i="56"/>
  <c r="AI62" i="56"/>
  <c r="AI57" i="56"/>
  <c r="AI56" i="56"/>
  <c r="AI55" i="56"/>
  <c r="AH54" i="56"/>
  <c r="AH51" i="56"/>
  <c r="AI50" i="56"/>
  <c r="AI49" i="56"/>
  <c r="AI48" i="56"/>
  <c r="AI47" i="56"/>
  <c r="AI46" i="56"/>
  <c r="AI45" i="56"/>
  <c r="AH44" i="56"/>
  <c r="AH41" i="56"/>
  <c r="AA144" i="56"/>
  <c r="AI41" i="56"/>
  <c r="AI40" i="56"/>
  <c r="AI39" i="56"/>
  <c r="AA143" i="56"/>
  <c r="AI38" i="56"/>
  <c r="AI42" i="56"/>
  <c r="AI37" i="56"/>
  <c r="AI36" i="56"/>
  <c r="AI35" i="56"/>
  <c r="AA31" i="56"/>
  <c r="G20" i="56"/>
  <c r="G19" i="56"/>
  <c r="AG146" i="55"/>
  <c r="AD146" i="55"/>
  <c r="Z146" i="55"/>
  <c r="Y146" i="55"/>
  <c r="X146" i="55"/>
  <c r="W146" i="55"/>
  <c r="V146" i="55"/>
  <c r="U146" i="55"/>
  <c r="T146" i="55"/>
  <c r="S146" i="55"/>
  <c r="R146" i="55"/>
  <c r="Q146" i="55"/>
  <c r="P146" i="55"/>
  <c r="O146" i="55"/>
  <c r="AG145" i="55"/>
  <c r="AD145" i="55"/>
  <c r="Z145" i="55"/>
  <c r="Y145" i="55"/>
  <c r="X145" i="55"/>
  <c r="W145" i="55"/>
  <c r="V145" i="55"/>
  <c r="U145" i="55"/>
  <c r="T145" i="55"/>
  <c r="S145" i="55"/>
  <c r="R145" i="55"/>
  <c r="Q145" i="55"/>
  <c r="P145" i="55"/>
  <c r="O145" i="55"/>
  <c r="AG144" i="55"/>
  <c r="AD144" i="55"/>
  <c r="Z144" i="55"/>
  <c r="Y144" i="55"/>
  <c r="X144" i="55"/>
  <c r="W144" i="55"/>
  <c r="V144" i="55"/>
  <c r="U144" i="55"/>
  <c r="T144" i="55"/>
  <c r="S144" i="55"/>
  <c r="R144" i="55"/>
  <c r="Q144" i="55"/>
  <c r="P144" i="55"/>
  <c r="O144" i="55"/>
  <c r="AG143" i="55"/>
  <c r="AD143" i="55"/>
  <c r="Z143" i="55"/>
  <c r="Y143" i="55"/>
  <c r="X143" i="55"/>
  <c r="W143" i="55"/>
  <c r="V143" i="55"/>
  <c r="U143" i="55"/>
  <c r="T143" i="55"/>
  <c r="S143" i="55"/>
  <c r="R143" i="55"/>
  <c r="Q143" i="55"/>
  <c r="P143" i="55"/>
  <c r="O143" i="55"/>
  <c r="AG141" i="55"/>
  <c r="AD141" i="55"/>
  <c r="AA141" i="55"/>
  <c r="Z141" i="55"/>
  <c r="Y141" i="55"/>
  <c r="X141" i="55"/>
  <c r="W141" i="55"/>
  <c r="V141" i="55"/>
  <c r="U141" i="55"/>
  <c r="T141" i="55"/>
  <c r="S141" i="55"/>
  <c r="R141" i="55"/>
  <c r="Q141" i="55"/>
  <c r="P141" i="55"/>
  <c r="O141" i="55"/>
  <c r="AI140" i="55"/>
  <c r="AI139" i="55"/>
  <c r="AI138" i="55"/>
  <c r="AI137" i="55"/>
  <c r="AI136" i="55"/>
  <c r="AI135" i="55"/>
  <c r="AI134" i="55"/>
  <c r="AI133" i="55"/>
  <c r="AI132" i="55"/>
  <c r="AI131" i="55"/>
  <c r="AA146" i="55"/>
  <c r="AI130" i="55"/>
  <c r="AI119" i="55"/>
  <c r="AI118" i="55"/>
  <c r="AI117" i="55"/>
  <c r="AI116" i="55"/>
  <c r="AI115" i="55"/>
  <c r="AI114" i="55"/>
  <c r="AI111" i="55"/>
  <c r="AI110" i="55"/>
  <c r="AI109" i="55"/>
  <c r="AI108" i="55"/>
  <c r="AI107" i="55"/>
  <c r="AI106" i="55"/>
  <c r="AI103" i="55"/>
  <c r="AI102" i="55"/>
  <c r="AI101" i="55"/>
  <c r="AI100" i="55"/>
  <c r="AI99" i="55"/>
  <c r="AI98" i="55"/>
  <c r="AI92" i="55"/>
  <c r="AI91" i="55"/>
  <c r="AI87" i="55"/>
  <c r="AI86" i="55"/>
  <c r="AI85" i="55"/>
  <c r="AI83" i="55"/>
  <c r="AH84" i="55"/>
  <c r="AH80" i="55"/>
  <c r="AI80" i="55"/>
  <c r="AI79" i="55"/>
  <c r="AI78" i="55"/>
  <c r="AI77" i="55"/>
  <c r="AI76" i="55"/>
  <c r="AI75" i="55"/>
  <c r="AH74" i="55"/>
  <c r="AH71" i="55"/>
  <c r="AI71" i="55"/>
  <c r="AI70" i="55"/>
  <c r="AI69" i="55"/>
  <c r="AI68" i="55"/>
  <c r="AI72" i="55"/>
  <c r="AI67" i="55"/>
  <c r="AI66" i="55"/>
  <c r="AI65" i="55"/>
  <c r="AH64" i="55"/>
  <c r="AH61" i="55"/>
  <c r="AI61" i="55"/>
  <c r="AI60" i="55"/>
  <c r="AI59" i="55"/>
  <c r="AI58" i="55"/>
  <c r="AI57" i="55"/>
  <c r="AI56" i="55"/>
  <c r="AI55" i="55"/>
  <c r="AH54" i="55"/>
  <c r="AH51" i="55"/>
  <c r="AI51" i="55"/>
  <c r="AI50" i="55"/>
  <c r="AI49" i="55"/>
  <c r="AI48" i="55"/>
  <c r="AI47" i="55"/>
  <c r="AI46" i="55"/>
  <c r="AI45" i="55"/>
  <c r="AH44" i="55"/>
  <c r="AH41" i="55"/>
  <c r="AI41" i="55"/>
  <c r="AI40" i="55"/>
  <c r="AA143" i="55"/>
  <c r="AI39" i="55"/>
  <c r="AI38" i="55"/>
  <c r="AI42" i="55"/>
  <c r="AI37" i="55"/>
  <c r="AI36" i="55"/>
  <c r="AI35" i="55"/>
  <c r="AA31" i="55"/>
  <c r="G20" i="55"/>
  <c r="G19" i="55"/>
  <c r="R144" i="39"/>
  <c r="AG146" i="39"/>
  <c r="AD146" i="39"/>
  <c r="Z146" i="39"/>
  <c r="Y146" i="39"/>
  <c r="X146" i="39"/>
  <c r="W146" i="39"/>
  <c r="V146" i="39"/>
  <c r="U146" i="39"/>
  <c r="T146" i="39"/>
  <c r="S146" i="39"/>
  <c r="R146" i="39"/>
  <c r="Q146" i="39"/>
  <c r="P146" i="39"/>
  <c r="O146" i="39"/>
  <c r="AI86" i="39"/>
  <c r="AI70" i="39"/>
  <c r="AI60" i="39"/>
  <c r="AI50" i="39"/>
  <c r="AI40" i="39"/>
  <c r="AG141" i="39"/>
  <c r="AD141" i="39"/>
  <c r="Z141" i="39"/>
  <c r="Y141" i="39"/>
  <c r="X141" i="39"/>
  <c r="W141" i="39"/>
  <c r="V141" i="39"/>
  <c r="U141" i="39"/>
  <c r="T141" i="39"/>
  <c r="S141" i="39"/>
  <c r="R141" i="39"/>
  <c r="Q141" i="39"/>
  <c r="P141" i="39"/>
  <c r="O141" i="39"/>
  <c r="AI140" i="39"/>
  <c r="AI139" i="39"/>
  <c r="AI138" i="39"/>
  <c r="AI137" i="39"/>
  <c r="AI136" i="39"/>
  <c r="AI135" i="39"/>
  <c r="AI134" i="39"/>
  <c r="AI133" i="39"/>
  <c r="AI132" i="39"/>
  <c r="AI131" i="39"/>
  <c r="AA146" i="39"/>
  <c r="AI130" i="39"/>
  <c r="AG175" i="17"/>
  <c r="AD175" i="17"/>
  <c r="O175" i="17"/>
  <c r="AI103" i="17"/>
  <c r="AG171" i="17"/>
  <c r="AD171" i="17"/>
  <c r="Z171" i="17"/>
  <c r="Y171" i="17"/>
  <c r="X171" i="17"/>
  <c r="W171" i="17"/>
  <c r="V171" i="17"/>
  <c r="U171" i="17"/>
  <c r="T171" i="17"/>
  <c r="S171" i="17"/>
  <c r="R171" i="17"/>
  <c r="Q171" i="17"/>
  <c r="P171" i="17"/>
  <c r="O171" i="17"/>
  <c r="AI170" i="17"/>
  <c r="AI166" i="17"/>
  <c r="AI164" i="17"/>
  <c r="AI162" i="17"/>
  <c r="AI160" i="17"/>
  <c r="AI153" i="17"/>
  <c r="AI167" i="17"/>
  <c r="AI165" i="17"/>
  <c r="AI163" i="17"/>
  <c r="AI161" i="17"/>
  <c r="AI159" i="17"/>
  <c r="AN37" i="26"/>
  <c r="AM37" i="26"/>
  <c r="AN95" i="23"/>
  <c r="AM95" i="23"/>
  <c r="G20" i="11"/>
  <c r="G20" i="54"/>
  <c r="G20" i="53"/>
  <c r="G20" i="52"/>
  <c r="G20" i="51"/>
  <c r="G20" i="9"/>
  <c r="AN48" i="16"/>
  <c r="AM48" i="16"/>
  <c r="AN40" i="16"/>
  <c r="AM40" i="16"/>
  <c r="G20" i="16"/>
  <c r="AG143" i="39"/>
  <c r="AD143" i="39"/>
  <c r="Z143" i="39"/>
  <c r="Y143" i="39"/>
  <c r="X143" i="39"/>
  <c r="W143" i="39"/>
  <c r="V143" i="39"/>
  <c r="U143" i="39"/>
  <c r="T143" i="39"/>
  <c r="S143" i="39"/>
  <c r="R143" i="39"/>
  <c r="Q143" i="39"/>
  <c r="P143" i="39"/>
  <c r="O143" i="39"/>
  <c r="AI83" i="39"/>
  <c r="AG173" i="17"/>
  <c r="AD173" i="17"/>
  <c r="AI99" i="17"/>
  <c r="R100" i="4"/>
  <c r="AG102" i="54"/>
  <c r="AD102" i="54"/>
  <c r="Z102" i="54"/>
  <c r="Y102" i="54"/>
  <c r="X102" i="54"/>
  <c r="W102" i="54"/>
  <c r="V102" i="54"/>
  <c r="U102" i="54"/>
  <c r="T102" i="54"/>
  <c r="S102" i="54"/>
  <c r="R102" i="54"/>
  <c r="Q102" i="54"/>
  <c r="P102" i="54"/>
  <c r="O102" i="54"/>
  <c r="AH78" i="54"/>
  <c r="AE78" i="54"/>
  <c r="AG72" i="54"/>
  <c r="AD72" i="54"/>
  <c r="AD103" i="54" s="1"/>
  <c r="Z72" i="54"/>
  <c r="Z103" i="54" s="1"/>
  <c r="Y72" i="54"/>
  <c r="Y103" i="54" s="1"/>
  <c r="X72" i="54"/>
  <c r="X103" i="54" s="1"/>
  <c r="W72" i="54"/>
  <c r="W103" i="54" s="1"/>
  <c r="V72" i="54"/>
  <c r="V103" i="54" s="1"/>
  <c r="U72" i="54"/>
  <c r="U103" i="54" s="1"/>
  <c r="T72" i="54"/>
  <c r="T103" i="54" s="1"/>
  <c r="S72" i="54"/>
  <c r="S103" i="54" s="1"/>
  <c r="R72" i="54"/>
  <c r="R103" i="54" s="1"/>
  <c r="Q72" i="54"/>
  <c r="Q103" i="54" s="1"/>
  <c r="P72" i="54"/>
  <c r="P103" i="54" s="1"/>
  <c r="O72" i="54"/>
  <c r="O103" i="54" s="1"/>
  <c r="AI71" i="54"/>
  <c r="AH71" i="54"/>
  <c r="AF71" i="54"/>
  <c r="AE71" i="54"/>
  <c r="AB71" i="54"/>
  <c r="AA31" i="54"/>
  <c r="G19" i="54"/>
  <c r="AG90" i="53"/>
  <c r="AD90" i="53"/>
  <c r="Z90" i="53"/>
  <c r="Y90" i="53"/>
  <c r="X90" i="53"/>
  <c r="W90" i="53"/>
  <c r="V90" i="53"/>
  <c r="U90" i="53"/>
  <c r="T90" i="53"/>
  <c r="S90" i="53"/>
  <c r="R90" i="53"/>
  <c r="Q90" i="53"/>
  <c r="P90" i="53"/>
  <c r="O90" i="53"/>
  <c r="AH78" i="53"/>
  <c r="AE78" i="53"/>
  <c r="AG72" i="53"/>
  <c r="AG91" i="53" s="1"/>
  <c r="AD72" i="53"/>
  <c r="AD91" i="53" s="1"/>
  <c r="Z72" i="53"/>
  <c r="Z91" i="53" s="1"/>
  <c r="Y72" i="53"/>
  <c r="Y91" i="53" s="1"/>
  <c r="X72" i="53"/>
  <c r="X91" i="53" s="1"/>
  <c r="W72" i="53"/>
  <c r="W91" i="53" s="1"/>
  <c r="V72" i="53"/>
  <c r="V91" i="53" s="1"/>
  <c r="U72" i="53"/>
  <c r="U91" i="53" s="1"/>
  <c r="T72" i="53"/>
  <c r="T91" i="53" s="1"/>
  <c r="S72" i="53"/>
  <c r="S91" i="53" s="1"/>
  <c r="R72" i="53"/>
  <c r="R91" i="53" s="1"/>
  <c r="Q72" i="53"/>
  <c r="Q91" i="53" s="1"/>
  <c r="P72" i="53"/>
  <c r="P91" i="53" s="1"/>
  <c r="O72" i="53"/>
  <c r="O91" i="53" s="1"/>
  <c r="AI71" i="53"/>
  <c r="AH71" i="53"/>
  <c r="AF71" i="53"/>
  <c r="AE71" i="53"/>
  <c r="AB71" i="53"/>
  <c r="AA31" i="53"/>
  <c r="G19" i="53"/>
  <c r="AG90" i="52"/>
  <c r="AD90" i="52"/>
  <c r="Z90" i="52"/>
  <c r="Y90" i="52"/>
  <c r="X90" i="52"/>
  <c r="W90" i="52"/>
  <c r="V90" i="52"/>
  <c r="U90" i="52"/>
  <c r="T90" i="52"/>
  <c r="S90" i="52"/>
  <c r="R90" i="52"/>
  <c r="Q90" i="52"/>
  <c r="P90" i="52"/>
  <c r="O90" i="52"/>
  <c r="AH78" i="52"/>
  <c r="AE78" i="52"/>
  <c r="AG72" i="52"/>
  <c r="AD72" i="52"/>
  <c r="Z72" i="52"/>
  <c r="Z91" i="52" s="1"/>
  <c r="Y72" i="52"/>
  <c r="Y91" i="52" s="1"/>
  <c r="X72" i="52"/>
  <c r="X91" i="52" s="1"/>
  <c r="W72" i="52"/>
  <c r="W91" i="52" s="1"/>
  <c r="V72" i="52"/>
  <c r="V91" i="52" s="1"/>
  <c r="U72" i="52"/>
  <c r="U91" i="52" s="1"/>
  <c r="T72" i="52"/>
  <c r="T91" i="52" s="1"/>
  <c r="S72" i="52"/>
  <c r="S91" i="52" s="1"/>
  <c r="R72" i="52"/>
  <c r="R91" i="52" s="1"/>
  <c r="Q72" i="52"/>
  <c r="Q91" i="52" s="1"/>
  <c r="P72" i="52"/>
  <c r="P91" i="52" s="1"/>
  <c r="O72" i="52"/>
  <c r="O91" i="52" s="1"/>
  <c r="AI71" i="52"/>
  <c r="AH71" i="52"/>
  <c r="AF71" i="52"/>
  <c r="AE71" i="52"/>
  <c r="AB71" i="52"/>
  <c r="AA31" i="52"/>
  <c r="G19" i="52"/>
  <c r="AG99" i="51"/>
  <c r="AD99" i="51"/>
  <c r="Z99" i="51"/>
  <c r="Y99" i="51"/>
  <c r="X99" i="51"/>
  <c r="W99" i="51"/>
  <c r="V99" i="51"/>
  <c r="U99" i="51"/>
  <c r="T99" i="51"/>
  <c r="S99" i="51"/>
  <c r="R99" i="51"/>
  <c r="Q99" i="51"/>
  <c r="P99" i="51"/>
  <c r="O99" i="51"/>
  <c r="AH78" i="51"/>
  <c r="AE78" i="51"/>
  <c r="AG72" i="51"/>
  <c r="AG100" i="51" s="1"/>
  <c r="AD72" i="51"/>
  <c r="Z72" i="51"/>
  <c r="Z100" i="51" s="1"/>
  <c r="Y72" i="51"/>
  <c r="Y100" i="51" s="1"/>
  <c r="X72" i="51"/>
  <c r="X100" i="51" s="1"/>
  <c r="W72" i="51"/>
  <c r="W100" i="51" s="1"/>
  <c r="V72" i="51"/>
  <c r="V100" i="51" s="1"/>
  <c r="U72" i="51"/>
  <c r="U100" i="51" s="1"/>
  <c r="T72" i="51"/>
  <c r="T100" i="51" s="1"/>
  <c r="S72" i="51"/>
  <c r="S100" i="51" s="1"/>
  <c r="R72" i="51"/>
  <c r="R100" i="51" s="1"/>
  <c r="Q72" i="51"/>
  <c r="Q100" i="51" s="1"/>
  <c r="P72" i="51"/>
  <c r="P100" i="51" s="1"/>
  <c r="O72" i="51"/>
  <c r="O100" i="51" s="1"/>
  <c r="AI71" i="51"/>
  <c r="AH71" i="51"/>
  <c r="AF71" i="51"/>
  <c r="AE71" i="51"/>
  <c r="AB71" i="51"/>
  <c r="AA31" i="51"/>
  <c r="G19" i="51"/>
  <c r="AG145" i="39"/>
  <c r="AD145" i="39"/>
  <c r="Z145" i="39"/>
  <c r="Y145" i="39"/>
  <c r="X145" i="39"/>
  <c r="W145" i="39"/>
  <c r="V145" i="39"/>
  <c r="U145" i="39"/>
  <c r="T145" i="39"/>
  <c r="S145" i="39"/>
  <c r="R145" i="39"/>
  <c r="Q145" i="39"/>
  <c r="P145" i="39"/>
  <c r="O145" i="39"/>
  <c r="AG144" i="39"/>
  <c r="AD144" i="39"/>
  <c r="Z144" i="39"/>
  <c r="Y144" i="39"/>
  <c r="X144" i="39"/>
  <c r="W144" i="39"/>
  <c r="V144" i="39"/>
  <c r="U144" i="39"/>
  <c r="T144" i="39"/>
  <c r="S144" i="39"/>
  <c r="Q144" i="39"/>
  <c r="P144" i="39"/>
  <c r="O144" i="39"/>
  <c r="AI119" i="39"/>
  <c r="AI118" i="39"/>
  <c r="AI117" i="39"/>
  <c r="AI116" i="39"/>
  <c r="AI115" i="39"/>
  <c r="AI114" i="39"/>
  <c r="AI111" i="39"/>
  <c r="AI110" i="39"/>
  <c r="AI109" i="39"/>
  <c r="AI108" i="39"/>
  <c r="AI107" i="39"/>
  <c r="AI106" i="39"/>
  <c r="AI103" i="39"/>
  <c r="AI102" i="39"/>
  <c r="AI101" i="39"/>
  <c r="AI100" i="39"/>
  <c r="AI99" i="39"/>
  <c r="AI98" i="39"/>
  <c r="AI92" i="39"/>
  <c r="AI91" i="39"/>
  <c r="AI87" i="39"/>
  <c r="AI85" i="39"/>
  <c r="AA141" i="39"/>
  <c r="AI93" i="39"/>
  <c r="AA145" i="39"/>
  <c r="AI94" i="39"/>
  <c r="AH84" i="39"/>
  <c r="AI88" i="39"/>
  <c r="AH80" i="39"/>
  <c r="AI80" i="39"/>
  <c r="AI79" i="39"/>
  <c r="AI78" i="39"/>
  <c r="AI77" i="39"/>
  <c r="AI76" i="39"/>
  <c r="AI75" i="39"/>
  <c r="AH74" i="39"/>
  <c r="AH71" i="39"/>
  <c r="AI71" i="39"/>
  <c r="AI69" i="39"/>
  <c r="AI68" i="39"/>
  <c r="AI72" i="39"/>
  <c r="AI67" i="39"/>
  <c r="AI66" i="39"/>
  <c r="AI65" i="39"/>
  <c r="AH64" i="39"/>
  <c r="AH61" i="39"/>
  <c r="AI61" i="39"/>
  <c r="AI59" i="39"/>
  <c r="AI58" i="39"/>
  <c r="AI57" i="39"/>
  <c r="AI56" i="39"/>
  <c r="AI55" i="39"/>
  <c r="AH54" i="39"/>
  <c r="AH51" i="39"/>
  <c r="AI51" i="39"/>
  <c r="AI49" i="39"/>
  <c r="AI48" i="39"/>
  <c r="AI52" i="39"/>
  <c r="AI47" i="39"/>
  <c r="AI46" i="39"/>
  <c r="AI45" i="39"/>
  <c r="AH44" i="39"/>
  <c r="AH41" i="39"/>
  <c r="AA144" i="39"/>
  <c r="AI41" i="39"/>
  <c r="AI39" i="39"/>
  <c r="AA143" i="39"/>
  <c r="AI38" i="39"/>
  <c r="AI42" i="39"/>
  <c r="AI37" i="39"/>
  <c r="AI36" i="39"/>
  <c r="AI35" i="39"/>
  <c r="AA31" i="39"/>
  <c r="G20" i="39"/>
  <c r="G19" i="39"/>
  <c r="AG124" i="9"/>
  <c r="AD124" i="9"/>
  <c r="Z124" i="9"/>
  <c r="Y124" i="9"/>
  <c r="X124" i="9"/>
  <c r="W124" i="9"/>
  <c r="V124" i="9"/>
  <c r="U124" i="9"/>
  <c r="T124" i="9"/>
  <c r="S124" i="9"/>
  <c r="R124" i="9"/>
  <c r="Q124" i="9"/>
  <c r="P124" i="9"/>
  <c r="O124" i="9"/>
  <c r="AH78" i="9"/>
  <c r="AE78" i="9"/>
  <c r="AG72" i="9"/>
  <c r="AG125" i="9" s="1"/>
  <c r="AD72" i="9"/>
  <c r="AD125" i="9" s="1"/>
  <c r="Z72" i="9"/>
  <c r="Z125" i="9" s="1"/>
  <c r="Y72" i="9"/>
  <c r="Y125" i="9" s="1"/>
  <c r="X72" i="9"/>
  <c r="X125" i="9" s="1"/>
  <c r="W72" i="9"/>
  <c r="W125" i="9" s="1"/>
  <c r="V72" i="9"/>
  <c r="V125" i="9" s="1"/>
  <c r="U72" i="9"/>
  <c r="U125" i="9" s="1"/>
  <c r="T72" i="9"/>
  <c r="T125" i="9" s="1"/>
  <c r="S72" i="9"/>
  <c r="S125" i="9" s="1"/>
  <c r="R72" i="9"/>
  <c r="R125" i="9" s="1"/>
  <c r="Q72" i="9"/>
  <c r="Q125" i="9" s="1"/>
  <c r="P72" i="9"/>
  <c r="P125" i="9" s="1"/>
  <c r="O72" i="9"/>
  <c r="O125" i="9" s="1"/>
  <c r="AI71" i="9"/>
  <c r="AH71" i="9"/>
  <c r="AF71" i="9"/>
  <c r="AE71" i="9"/>
  <c r="AB71" i="9"/>
  <c r="AA31" i="9"/>
  <c r="G19" i="9"/>
  <c r="AG66" i="18"/>
  <c r="AD66" i="18"/>
  <c r="Z66" i="18"/>
  <c r="Y66" i="18"/>
  <c r="X66" i="18"/>
  <c r="W66" i="18"/>
  <c r="V66" i="18"/>
  <c r="U66" i="18"/>
  <c r="T66" i="18"/>
  <c r="S66" i="18"/>
  <c r="R66" i="18"/>
  <c r="Q66" i="18"/>
  <c r="P66" i="18"/>
  <c r="O66" i="18"/>
  <c r="AB55" i="18"/>
  <c r="AH54" i="18"/>
  <c r="AE54" i="18"/>
  <c r="AB54" i="18"/>
  <c r="AH52" i="18"/>
  <c r="AE52" i="18"/>
  <c r="AB52" i="18"/>
  <c r="AG48" i="18"/>
  <c r="AG67" i="18" s="1"/>
  <c r="AD48" i="18"/>
  <c r="AD67" i="18" s="1"/>
  <c r="Z48" i="18"/>
  <c r="Z67" i="18" s="1"/>
  <c r="Y48" i="18"/>
  <c r="Y67" i="18" s="1"/>
  <c r="X48" i="18"/>
  <c r="X67" i="18" s="1"/>
  <c r="W48" i="18"/>
  <c r="W67" i="18" s="1"/>
  <c r="V48" i="18"/>
  <c r="V67" i="18" s="1"/>
  <c r="U48" i="18"/>
  <c r="U67" i="18" s="1"/>
  <c r="T48" i="18"/>
  <c r="T67" i="18" s="1"/>
  <c r="S48" i="18"/>
  <c r="S67" i="18" s="1"/>
  <c r="R48" i="18"/>
  <c r="R67" i="18" s="1"/>
  <c r="Q48" i="18"/>
  <c r="Q67" i="18" s="1"/>
  <c r="P48" i="18"/>
  <c r="P67" i="18" s="1"/>
  <c r="O48" i="18"/>
  <c r="O67" i="18" s="1"/>
  <c r="AI47" i="18"/>
  <c r="AH47" i="18"/>
  <c r="AF47" i="18"/>
  <c r="AE47" i="18"/>
  <c r="AB47" i="18"/>
  <c r="AA31" i="18"/>
  <c r="G19" i="18"/>
  <c r="AH105" i="37"/>
  <c r="AH104" i="37"/>
  <c r="AH103" i="37"/>
  <c r="AH102" i="37"/>
  <c r="AH101" i="37"/>
  <c r="AH100" i="37"/>
  <c r="AH99" i="37"/>
  <c r="AH98" i="37"/>
  <c r="AH97" i="37"/>
  <c r="AH93" i="37"/>
  <c r="AH87" i="37"/>
  <c r="AG83" i="37"/>
  <c r="AK83" i="37" s="1"/>
  <c r="AH83" i="37"/>
  <c r="AG79" i="37"/>
  <c r="AK79" i="37" s="1"/>
  <c r="AH79" i="37"/>
  <c r="AI83" i="37"/>
  <c r="AH78" i="37"/>
  <c r="AI79" i="37"/>
  <c r="AH77" i="37"/>
  <c r="AH70" i="37"/>
  <c r="AH69" i="37"/>
  <c r="AH68" i="37"/>
  <c r="AH67" i="37"/>
  <c r="AH63" i="37"/>
  <c r="AH58" i="37"/>
  <c r="AH57" i="37"/>
  <c r="AH56" i="37"/>
  <c r="AH55" i="37"/>
  <c r="AH54" i="37"/>
  <c r="AG50" i="37"/>
  <c r="AG48" i="37"/>
  <c r="AK48" i="37" s="1"/>
  <c r="AH48" i="37"/>
  <c r="AG47" i="37"/>
  <c r="AH47" i="37"/>
  <c r="AG46" i="37"/>
  <c r="AK46" i="37" s="1"/>
  <c r="AH46" i="37"/>
  <c r="AG67" i="37"/>
  <c r="AK67" i="37" s="1"/>
  <c r="AH42" i="37"/>
  <c r="AI42" i="37"/>
  <c r="AK42" i="37"/>
  <c r="AG87" i="37"/>
  <c r="AG78" i="37"/>
  <c r="AK78" i="37" s="1"/>
  <c r="AG80" i="37"/>
  <c r="AK80" i="37" s="1"/>
  <c r="AG77" i="37"/>
  <c r="AK77" i="37" s="1"/>
  <c r="AG105" i="37"/>
  <c r="AG104" i="37"/>
  <c r="AG103" i="37"/>
  <c r="AG102" i="37"/>
  <c r="AG101" i="37"/>
  <c r="AG100" i="37"/>
  <c r="AG99" i="37"/>
  <c r="AG98" i="37"/>
  <c r="AG97" i="37"/>
  <c r="AG70" i="37"/>
  <c r="AK70" i="37" s="1"/>
  <c r="AG69" i="37"/>
  <c r="AK69" i="37" s="1"/>
  <c r="AG68" i="37"/>
  <c r="AK68" i="37" s="1"/>
  <c r="AG63" i="37"/>
  <c r="AG58" i="37"/>
  <c r="AK58" i="37" s="1"/>
  <c r="AG59" i="37"/>
  <c r="AG57" i="37"/>
  <c r="AK57" i="37" s="1"/>
  <c r="AG56" i="37"/>
  <c r="AK56" i="37" s="1"/>
  <c r="AG55" i="37"/>
  <c r="AK55" i="37" s="1"/>
  <c r="AG54" i="37"/>
  <c r="AK54" i="37" s="1"/>
  <c r="AG49" i="37"/>
  <c r="AK41" i="37"/>
  <c r="AI41" i="37"/>
  <c r="AH41" i="37"/>
  <c r="AI40" i="37"/>
  <c r="AK40" i="37"/>
  <c r="AI77" i="37"/>
  <c r="AI78" i="37"/>
  <c r="AH40" i="37"/>
  <c r="AK39" i="37"/>
  <c r="AI39" i="37"/>
  <c r="AH39" i="37"/>
  <c r="AK34" i="37"/>
  <c r="AI34" i="37"/>
  <c r="AH34" i="37"/>
  <c r="AH33" i="37"/>
  <c r="Z31" i="37"/>
  <c r="AK35" i="37"/>
  <c r="AI35" i="37"/>
  <c r="AH35" i="37"/>
  <c r="AG79" i="29"/>
  <c r="AD79" i="29"/>
  <c r="Z79" i="29"/>
  <c r="Y79" i="29"/>
  <c r="X79" i="29"/>
  <c r="W79" i="29"/>
  <c r="V79" i="29"/>
  <c r="U79" i="29"/>
  <c r="T79" i="29"/>
  <c r="S79" i="29"/>
  <c r="R79" i="29"/>
  <c r="Q79" i="29"/>
  <c r="P79" i="29"/>
  <c r="O79" i="29"/>
  <c r="AG78" i="29"/>
  <c r="AD78" i="29"/>
  <c r="Z78" i="29"/>
  <c r="Y78" i="29"/>
  <c r="X78" i="29"/>
  <c r="W78" i="29"/>
  <c r="V78" i="29"/>
  <c r="U78" i="29"/>
  <c r="T78" i="29"/>
  <c r="S78" i="29"/>
  <c r="R78" i="29"/>
  <c r="Q78" i="29"/>
  <c r="P78" i="29"/>
  <c r="O78" i="29"/>
  <c r="AH37" i="29"/>
  <c r="AE37" i="29"/>
  <c r="AA31" i="29"/>
  <c r="K24" i="5"/>
  <c r="I24" i="5"/>
  <c r="E24" i="5"/>
  <c r="AG101" i="4"/>
  <c r="AD101" i="4"/>
  <c r="Z101" i="4"/>
  <c r="Y101" i="4"/>
  <c r="X101" i="4"/>
  <c r="W101" i="4"/>
  <c r="V101" i="4"/>
  <c r="U101" i="4"/>
  <c r="T101" i="4"/>
  <c r="S101" i="4"/>
  <c r="R101" i="4"/>
  <c r="Q101" i="4"/>
  <c r="P101" i="4"/>
  <c r="O101" i="4"/>
  <c r="AG100" i="4"/>
  <c r="AD100" i="4"/>
  <c r="Z100" i="4"/>
  <c r="Y100" i="4"/>
  <c r="X100" i="4"/>
  <c r="W100" i="4"/>
  <c r="V100" i="4"/>
  <c r="U100" i="4"/>
  <c r="T100" i="4"/>
  <c r="S100" i="4"/>
  <c r="Q100" i="4"/>
  <c r="P100" i="4"/>
  <c r="O100" i="4"/>
  <c r="AE76" i="53"/>
  <c r="AE59" i="18"/>
  <c r="AE55" i="18"/>
  <c r="AH42" i="18"/>
  <c r="AH124" i="59"/>
  <c r="AH117" i="59"/>
  <c r="AH110" i="59"/>
  <c r="AH101" i="59"/>
  <c r="AH78" i="59"/>
  <c r="AH76" i="59"/>
  <c r="AH69" i="59"/>
  <c r="AH67" i="59"/>
  <c r="AH65" i="59"/>
  <c r="AH125" i="59"/>
  <c r="AH118" i="59"/>
  <c r="AH109" i="59"/>
  <c r="AH102" i="59"/>
  <c r="AH79" i="59"/>
  <c r="AH77" i="59"/>
  <c r="AH75" i="59"/>
  <c r="AH68" i="59"/>
  <c r="AH66" i="59"/>
  <c r="AH122" i="57"/>
  <c r="AH116" i="57"/>
  <c r="AH114" i="57"/>
  <c r="AH108" i="57"/>
  <c r="AH106" i="57"/>
  <c r="AH100" i="57"/>
  <c r="AH98" i="57"/>
  <c r="AH58" i="57"/>
  <c r="AH56" i="57"/>
  <c r="AH47" i="57"/>
  <c r="AH38" i="57"/>
  <c r="AH36" i="57"/>
  <c r="AH123" i="57"/>
  <c r="AH121" i="57"/>
  <c r="AH115" i="57"/>
  <c r="AH107" i="57"/>
  <c r="AH99" i="57"/>
  <c r="AH59" i="57"/>
  <c r="AH57" i="57"/>
  <c r="AH55" i="57"/>
  <c r="AH48" i="57"/>
  <c r="AH46" i="57"/>
  <c r="AH37" i="57"/>
  <c r="AH76" i="53"/>
  <c r="AH63" i="18"/>
  <c r="AH61" i="18"/>
  <c r="AH59" i="18"/>
  <c r="AH55" i="18"/>
  <c r="AH64" i="18"/>
  <c r="AH34" i="18"/>
  <c r="AA31" i="4"/>
  <c r="G19" i="4"/>
  <c r="AG76" i="21"/>
  <c r="AD76" i="21"/>
  <c r="Z76" i="21"/>
  <c r="Y76" i="21"/>
  <c r="X76" i="21"/>
  <c r="W76" i="21"/>
  <c r="V76" i="21"/>
  <c r="U76" i="21"/>
  <c r="T76" i="21"/>
  <c r="S76" i="21"/>
  <c r="R76" i="21"/>
  <c r="Q76" i="21"/>
  <c r="P76" i="21"/>
  <c r="O76" i="21"/>
  <c r="AH64" i="21"/>
  <c r="AE64" i="21"/>
  <c r="AG58" i="21"/>
  <c r="AD58" i="21"/>
  <c r="Z58" i="21"/>
  <c r="Z77" i="21" s="1"/>
  <c r="Y58" i="21"/>
  <c r="Y77" i="21" s="1"/>
  <c r="X58" i="21"/>
  <c r="X77" i="21" s="1"/>
  <c r="W58" i="21"/>
  <c r="W77" i="21" s="1"/>
  <c r="V58" i="21"/>
  <c r="V77" i="21" s="1"/>
  <c r="U58" i="21"/>
  <c r="U77" i="21" s="1"/>
  <c r="T58" i="21"/>
  <c r="T77" i="21" s="1"/>
  <c r="S58" i="21"/>
  <c r="S77" i="21" s="1"/>
  <c r="R58" i="21"/>
  <c r="R77" i="21" s="1"/>
  <c r="Q58" i="21"/>
  <c r="Q77" i="21" s="1"/>
  <c r="P58" i="21"/>
  <c r="P77" i="21" s="1"/>
  <c r="O58" i="21"/>
  <c r="O77" i="21" s="1"/>
  <c r="AI57" i="21"/>
  <c r="AH57" i="21"/>
  <c r="AF57" i="21"/>
  <c r="AE57" i="21"/>
  <c r="AB57" i="21"/>
  <c r="AA31" i="21"/>
  <c r="G19" i="21"/>
  <c r="AH47" i="21"/>
  <c r="AG76" i="7"/>
  <c r="AD76" i="7"/>
  <c r="Z76" i="7"/>
  <c r="Y76" i="7"/>
  <c r="X76" i="7"/>
  <c r="W76" i="7"/>
  <c r="V76" i="7"/>
  <c r="U76" i="7"/>
  <c r="T76" i="7"/>
  <c r="S76" i="7"/>
  <c r="R76" i="7"/>
  <c r="Q76" i="7"/>
  <c r="P76" i="7"/>
  <c r="O76" i="7"/>
  <c r="AG74" i="7"/>
  <c r="AD74" i="7"/>
  <c r="Z74" i="7"/>
  <c r="Y74" i="7"/>
  <c r="X74" i="7"/>
  <c r="W74" i="7"/>
  <c r="V74" i="7"/>
  <c r="U74" i="7"/>
  <c r="T74" i="7"/>
  <c r="S74" i="7"/>
  <c r="R74" i="7"/>
  <c r="Q74" i="7"/>
  <c r="P74" i="7"/>
  <c r="O74" i="7"/>
  <c r="AG73" i="7"/>
  <c r="AD73" i="7"/>
  <c r="Z73" i="7"/>
  <c r="Y73" i="7"/>
  <c r="X73" i="7"/>
  <c r="W73" i="7"/>
  <c r="V73" i="7"/>
  <c r="U73" i="7"/>
  <c r="T73" i="7"/>
  <c r="S73" i="7"/>
  <c r="R73" i="7"/>
  <c r="Q73" i="7"/>
  <c r="P73" i="7"/>
  <c r="O73" i="7"/>
  <c r="AG72" i="7"/>
  <c r="AD72" i="7"/>
  <c r="Z72" i="7"/>
  <c r="Y72" i="7"/>
  <c r="X72" i="7"/>
  <c r="W72" i="7"/>
  <c r="V72" i="7"/>
  <c r="U72" i="7"/>
  <c r="T72" i="7"/>
  <c r="S72" i="7"/>
  <c r="R72" i="7"/>
  <c r="Q72" i="7"/>
  <c r="P72" i="7"/>
  <c r="O72" i="7"/>
  <c r="AI71" i="7"/>
  <c r="AF71" i="7"/>
  <c r="AG70" i="7"/>
  <c r="AD70" i="7"/>
  <c r="Z70" i="7"/>
  <c r="Y70" i="7"/>
  <c r="X70" i="7"/>
  <c r="W70" i="7"/>
  <c r="V70" i="7"/>
  <c r="U70" i="7"/>
  <c r="T70" i="7"/>
  <c r="S70" i="7"/>
  <c r="R70" i="7"/>
  <c r="Q70" i="7"/>
  <c r="P70" i="7"/>
  <c r="O70" i="7"/>
  <c r="AG69" i="7"/>
  <c r="AD69" i="7"/>
  <c r="Z69" i="7"/>
  <c r="Y69" i="7"/>
  <c r="X69" i="7"/>
  <c r="W69" i="7"/>
  <c r="V69" i="7"/>
  <c r="U69" i="7"/>
  <c r="T69" i="7"/>
  <c r="S69" i="7"/>
  <c r="R69" i="7"/>
  <c r="Q69" i="7"/>
  <c r="P69" i="7"/>
  <c r="O69" i="7"/>
  <c r="AG68" i="7"/>
  <c r="AD68" i="7"/>
  <c r="Z68" i="7"/>
  <c r="Y68" i="7"/>
  <c r="X68" i="7"/>
  <c r="W68" i="7"/>
  <c r="V68" i="7"/>
  <c r="U68" i="7"/>
  <c r="T68" i="7"/>
  <c r="S68" i="7"/>
  <c r="R68" i="7"/>
  <c r="Q68" i="7"/>
  <c r="P68" i="7"/>
  <c r="O68" i="7"/>
  <c r="AG66" i="7"/>
  <c r="AD66" i="7"/>
  <c r="Z66" i="7"/>
  <c r="Y66" i="7"/>
  <c r="X66" i="7"/>
  <c r="W66" i="7"/>
  <c r="V66" i="7"/>
  <c r="U66" i="7"/>
  <c r="T66" i="7"/>
  <c r="S66" i="7"/>
  <c r="R66" i="7"/>
  <c r="Q66" i="7"/>
  <c r="P66" i="7"/>
  <c r="O66" i="7"/>
  <c r="AG65" i="7"/>
  <c r="AD65" i="7"/>
  <c r="Z65" i="7"/>
  <c r="Y65" i="7"/>
  <c r="X65" i="7"/>
  <c r="W65" i="7"/>
  <c r="V65" i="7"/>
  <c r="U65" i="7"/>
  <c r="T65" i="7"/>
  <c r="S65" i="7"/>
  <c r="R65" i="7"/>
  <c r="Q65" i="7"/>
  <c r="P65" i="7"/>
  <c r="O65" i="7"/>
  <c r="AG47" i="7"/>
  <c r="AD47" i="7"/>
  <c r="Z47" i="7"/>
  <c r="Y47" i="7"/>
  <c r="X47" i="7"/>
  <c r="W47" i="7"/>
  <c r="V47" i="7"/>
  <c r="U47" i="7"/>
  <c r="T47" i="7"/>
  <c r="S47" i="7"/>
  <c r="R47" i="7"/>
  <c r="Q47" i="7"/>
  <c r="P47" i="7"/>
  <c r="O47" i="7"/>
  <c r="AA31" i="7"/>
  <c r="G20" i="7"/>
  <c r="G19" i="7"/>
  <c r="AG67" i="36"/>
  <c r="AD67" i="36"/>
  <c r="Z67" i="36"/>
  <c r="Y67" i="36"/>
  <c r="X67" i="36"/>
  <c r="W67" i="36"/>
  <c r="V67" i="36"/>
  <c r="U67" i="36"/>
  <c r="T67" i="36"/>
  <c r="S67" i="36"/>
  <c r="R67" i="36"/>
  <c r="Q67" i="36"/>
  <c r="P67" i="36"/>
  <c r="O67" i="36"/>
  <c r="AA31" i="36"/>
  <c r="AG77" i="30"/>
  <c r="AD77" i="30"/>
  <c r="Z77" i="30"/>
  <c r="Y77" i="30"/>
  <c r="X77" i="30"/>
  <c r="W77" i="30"/>
  <c r="V77" i="30"/>
  <c r="U77" i="30"/>
  <c r="T77" i="30"/>
  <c r="S77" i="30"/>
  <c r="R77" i="30"/>
  <c r="Q77" i="30"/>
  <c r="P77" i="30"/>
  <c r="O77" i="30"/>
  <c r="AG76" i="30"/>
  <c r="AD76" i="30"/>
  <c r="Z76" i="30"/>
  <c r="Y76" i="30"/>
  <c r="X76" i="30"/>
  <c r="W76" i="30"/>
  <c r="V76" i="30"/>
  <c r="U76" i="30"/>
  <c r="T76" i="30"/>
  <c r="S76" i="30"/>
  <c r="R76" i="30"/>
  <c r="Q76" i="30"/>
  <c r="P76" i="30"/>
  <c r="O76" i="30"/>
  <c r="AH37" i="30"/>
  <c r="AE37" i="30"/>
  <c r="AA31" i="30"/>
  <c r="AG62" i="20"/>
  <c r="AD62" i="20"/>
  <c r="Z62" i="20"/>
  <c r="Y62" i="20"/>
  <c r="X62" i="20"/>
  <c r="W62" i="20"/>
  <c r="V62" i="20"/>
  <c r="U62" i="20"/>
  <c r="T62" i="20"/>
  <c r="S62" i="20"/>
  <c r="R62" i="20"/>
  <c r="Q62" i="20"/>
  <c r="P62" i="20"/>
  <c r="O62" i="20"/>
  <c r="AH50" i="20"/>
  <c r="AE50" i="20"/>
  <c r="AG44" i="20"/>
  <c r="AD44" i="20"/>
  <c r="AD63" i="20" s="1"/>
  <c r="Z44" i="20"/>
  <c r="Z63" i="20" s="1"/>
  <c r="Y44" i="20"/>
  <c r="Y63" i="20" s="1"/>
  <c r="X44" i="20"/>
  <c r="X63" i="20" s="1"/>
  <c r="W44" i="20"/>
  <c r="W63" i="20" s="1"/>
  <c r="V44" i="20"/>
  <c r="V63" i="20" s="1"/>
  <c r="U44" i="20"/>
  <c r="U63" i="20" s="1"/>
  <c r="T44" i="20"/>
  <c r="T63" i="20" s="1"/>
  <c r="S44" i="20"/>
  <c r="S63" i="20" s="1"/>
  <c r="R44" i="20"/>
  <c r="R63" i="20" s="1"/>
  <c r="Q44" i="20"/>
  <c r="Q63" i="20" s="1"/>
  <c r="P44" i="20"/>
  <c r="P63" i="20" s="1"/>
  <c r="O44" i="20"/>
  <c r="O63" i="20" s="1"/>
  <c r="AI43" i="20"/>
  <c r="AH43" i="20"/>
  <c r="AN43" i="20" s="1"/>
  <c r="AF43" i="20"/>
  <c r="AE43" i="20"/>
  <c r="AM43" i="20" s="1"/>
  <c r="AA31" i="20"/>
  <c r="G19" i="20"/>
  <c r="AF52" i="24"/>
  <c r="AF58" i="24" s="1"/>
  <c r="AC52" i="24"/>
  <c r="AC58" i="24" s="1"/>
  <c r="Y52" i="24"/>
  <c r="Y58" i="24" s="1"/>
  <c r="X52" i="24"/>
  <c r="X58" i="24" s="1"/>
  <c r="W52" i="24"/>
  <c r="W58" i="24" s="1"/>
  <c r="V52" i="24"/>
  <c r="V58" i="24" s="1"/>
  <c r="U52" i="24"/>
  <c r="U58" i="24" s="1"/>
  <c r="T52" i="24"/>
  <c r="T58" i="24" s="1"/>
  <c r="S52" i="24"/>
  <c r="S58" i="24" s="1"/>
  <c r="R52" i="24"/>
  <c r="R58" i="24" s="1"/>
  <c r="Q52" i="24"/>
  <c r="Q58" i="24" s="1"/>
  <c r="P52" i="24"/>
  <c r="P58" i="24" s="1"/>
  <c r="O52" i="24"/>
  <c r="O58" i="24" s="1"/>
  <c r="N52" i="24"/>
  <c r="N58" i="24" s="1"/>
  <c r="AF49" i="24"/>
  <c r="AC49" i="24"/>
  <c r="Y49" i="24"/>
  <c r="X49" i="24"/>
  <c r="W49" i="24"/>
  <c r="V49" i="24"/>
  <c r="U49" i="24"/>
  <c r="T49" i="24"/>
  <c r="S49" i="24"/>
  <c r="R49" i="24"/>
  <c r="Q49" i="24"/>
  <c r="P49" i="24"/>
  <c r="O49" i="24"/>
  <c r="N49" i="24"/>
  <c r="AG43" i="24"/>
  <c r="AF40" i="24"/>
  <c r="AC40" i="24"/>
  <c r="Y40" i="24"/>
  <c r="X40" i="24"/>
  <c r="W40" i="24"/>
  <c r="V40" i="24"/>
  <c r="U40" i="24"/>
  <c r="T40" i="24"/>
  <c r="S40" i="24"/>
  <c r="R40" i="24"/>
  <c r="Q40" i="24"/>
  <c r="P40" i="24"/>
  <c r="O40" i="24"/>
  <c r="N40" i="24"/>
  <c r="Z31" i="24"/>
  <c r="G19" i="24"/>
  <c r="AG34" i="24"/>
  <c r="AA31" i="33"/>
  <c r="AH154" i="6"/>
  <c r="AG154" i="6"/>
  <c r="AE154" i="6"/>
  <c r="AD154" i="6"/>
  <c r="Z154" i="6"/>
  <c r="Y154" i="6"/>
  <c r="X154" i="6"/>
  <c r="W154" i="6"/>
  <c r="V154" i="6"/>
  <c r="U154" i="6"/>
  <c r="T154" i="6"/>
  <c r="S154" i="6"/>
  <c r="R154" i="6"/>
  <c r="Q154" i="6"/>
  <c r="P154" i="6"/>
  <c r="O154" i="6"/>
  <c r="N154" i="6"/>
  <c r="AI151" i="6"/>
  <c r="G151" i="6"/>
  <c r="G150" i="6"/>
  <c r="G149" i="6"/>
  <c r="G148" i="6"/>
  <c r="G147" i="6"/>
  <c r="G146" i="6"/>
  <c r="G145" i="6"/>
  <c r="G144" i="6"/>
  <c r="G143" i="6"/>
  <c r="G142" i="6"/>
  <c r="G141" i="6"/>
  <c r="G140" i="6"/>
  <c r="G139" i="6"/>
  <c r="G138" i="6"/>
  <c r="G137" i="6"/>
  <c r="G136" i="6"/>
  <c r="G135" i="6"/>
  <c r="G134" i="6"/>
  <c r="G133" i="6"/>
  <c r="G132" i="6"/>
  <c r="G131" i="6"/>
  <c r="G130" i="6"/>
  <c r="G129" i="6"/>
  <c r="G128" i="6"/>
  <c r="G127" i="6"/>
  <c r="G126" i="6"/>
  <c r="G125" i="6"/>
  <c r="G124" i="6"/>
  <c r="G123" i="6"/>
  <c r="G122" i="6"/>
  <c r="G121" i="6"/>
  <c r="G120" i="6"/>
  <c r="G119" i="6"/>
  <c r="AI116" i="6"/>
  <c r="AI115" i="6"/>
  <c r="AI114" i="6"/>
  <c r="AI113" i="6"/>
  <c r="AH112" i="6"/>
  <c r="AI112" i="6"/>
  <c r="AI111" i="6"/>
  <c r="AH110" i="6"/>
  <c r="AI110" i="6"/>
  <c r="AI109" i="6"/>
  <c r="AH108" i="6"/>
  <c r="AI108" i="6"/>
  <c r="AI107" i="6"/>
  <c r="AI106" i="6"/>
  <c r="AB154" i="6"/>
  <c r="AI105" i="6"/>
  <c r="AI104" i="6"/>
  <c r="AI103" i="6"/>
  <c r="AI102" i="6"/>
  <c r="AI101" i="6"/>
  <c r="AI100" i="6"/>
  <c r="AI99" i="6"/>
  <c r="AI98" i="6"/>
  <c r="AI97" i="6"/>
  <c r="AI96" i="6"/>
  <c r="AI95" i="6"/>
  <c r="AI94" i="6"/>
  <c r="AI93" i="6"/>
  <c r="AI92" i="6"/>
  <c r="AH91" i="6"/>
  <c r="AI138" i="6"/>
  <c r="AI91" i="6"/>
  <c r="AI90" i="6"/>
  <c r="AI89" i="6"/>
  <c r="AI88" i="6"/>
  <c r="AI87" i="6"/>
  <c r="AI86" i="6"/>
  <c r="AI85" i="6"/>
  <c r="AI84" i="6"/>
  <c r="AI83" i="6"/>
  <c r="AI82" i="6"/>
  <c r="AI81" i="6"/>
  <c r="AI80" i="6"/>
  <c r="AI79" i="6"/>
  <c r="AI78" i="6"/>
  <c r="AI77" i="6"/>
  <c r="AI76" i="6"/>
  <c r="AI75" i="6"/>
  <c r="AI74" i="6"/>
  <c r="AI73" i="6"/>
  <c r="AI72" i="6"/>
  <c r="AA154" i="6"/>
  <c r="AI69" i="6"/>
  <c r="AI68" i="6"/>
  <c r="AI67" i="6"/>
  <c r="AI66" i="6"/>
  <c r="AI65" i="6"/>
  <c r="AI64" i="6"/>
  <c r="AI63" i="6"/>
  <c r="AI62" i="6"/>
  <c r="AI61" i="6"/>
  <c r="AI60" i="6"/>
  <c r="AI59" i="6"/>
  <c r="AI58" i="6"/>
  <c r="AI57" i="6"/>
  <c r="AI56" i="6"/>
  <c r="AI55" i="6"/>
  <c r="AI54" i="6"/>
  <c r="AI53" i="6"/>
  <c r="AH53" i="6"/>
  <c r="AI137" i="6"/>
  <c r="AI52" i="6"/>
  <c r="AI51" i="6"/>
  <c r="AI50" i="6"/>
  <c r="AI49" i="6"/>
  <c r="AI133" i="6"/>
  <c r="AI48" i="6"/>
  <c r="AI47" i="6"/>
  <c r="AI46" i="6"/>
  <c r="AI45" i="6"/>
  <c r="AI129" i="6"/>
  <c r="AI44" i="6"/>
  <c r="AI43" i="6"/>
  <c r="AI42" i="6"/>
  <c r="AI41" i="6"/>
  <c r="AI40" i="6"/>
  <c r="AI125" i="6"/>
  <c r="AI39" i="6"/>
  <c r="AI38" i="6"/>
  <c r="AI123" i="6"/>
  <c r="AI37" i="6"/>
  <c r="AI121" i="6"/>
  <c r="AI36" i="6"/>
  <c r="AI35" i="6"/>
  <c r="AI119" i="6"/>
  <c r="AI34" i="6"/>
  <c r="AA31" i="6"/>
  <c r="G20" i="6"/>
  <c r="G19" i="6"/>
  <c r="AH81" i="6"/>
  <c r="AH43" i="6"/>
  <c r="AA31" i="25"/>
  <c r="G19" i="25"/>
  <c r="AG77" i="23"/>
  <c r="AG96" i="23" s="1"/>
  <c r="AD77" i="23"/>
  <c r="AD96" i="23" s="1"/>
  <c r="Z77" i="23"/>
  <c r="Z96" i="23" s="1"/>
  <c r="Y77" i="23"/>
  <c r="Y96" i="23" s="1"/>
  <c r="X77" i="23"/>
  <c r="X96" i="23" s="1"/>
  <c r="W77" i="23"/>
  <c r="W96" i="23" s="1"/>
  <c r="V77" i="23"/>
  <c r="V96" i="23" s="1"/>
  <c r="U77" i="23"/>
  <c r="U96" i="23" s="1"/>
  <c r="T77" i="23"/>
  <c r="T96" i="23" s="1"/>
  <c r="S77" i="23"/>
  <c r="S96" i="23" s="1"/>
  <c r="R77" i="23"/>
  <c r="R96" i="23" s="1"/>
  <c r="Q77" i="23"/>
  <c r="Q96" i="23" s="1"/>
  <c r="P77" i="23"/>
  <c r="P96" i="23" s="1"/>
  <c r="O77" i="23"/>
  <c r="O96" i="23" s="1"/>
  <c r="N77" i="23"/>
  <c r="AA31" i="23"/>
  <c r="G19" i="23"/>
  <c r="AG36" i="32"/>
  <c r="AD36" i="32"/>
  <c r="Z36" i="32"/>
  <c r="Y36" i="32"/>
  <c r="X36" i="32"/>
  <c r="W36" i="32"/>
  <c r="V36" i="32"/>
  <c r="U36" i="32"/>
  <c r="T36" i="32"/>
  <c r="S36" i="32"/>
  <c r="R36" i="32"/>
  <c r="Q36" i="32"/>
  <c r="P36" i="32"/>
  <c r="O36" i="32"/>
  <c r="AA31" i="32"/>
  <c r="AG58" i="34"/>
  <c r="AD58" i="34"/>
  <c r="Z58" i="34"/>
  <c r="Y58" i="34"/>
  <c r="X58" i="34"/>
  <c r="W58" i="34"/>
  <c r="V58" i="34"/>
  <c r="U58" i="34"/>
  <c r="T58" i="34"/>
  <c r="S58" i="34"/>
  <c r="R58" i="34"/>
  <c r="Q58" i="34"/>
  <c r="P58" i="34"/>
  <c r="O58" i="34"/>
  <c r="AG51" i="34"/>
  <c r="AD51" i="34"/>
  <c r="AE51" i="34" s="1"/>
  <c r="Z51" i="34"/>
  <c r="Y51" i="34"/>
  <c r="X51" i="34"/>
  <c r="W51" i="34"/>
  <c r="V51" i="34"/>
  <c r="U51" i="34"/>
  <c r="T51" i="34"/>
  <c r="S51" i="34"/>
  <c r="R51" i="34"/>
  <c r="Q51" i="34"/>
  <c r="P51" i="34"/>
  <c r="O51" i="34"/>
  <c r="AH50" i="34"/>
  <c r="AG44" i="34"/>
  <c r="AG46" i="34" s="1"/>
  <c r="AD44" i="34"/>
  <c r="AD46" i="34" s="1"/>
  <c r="Z44" i="34"/>
  <c r="Z46" i="34" s="1"/>
  <c r="Y44" i="34"/>
  <c r="Y46" i="34" s="1"/>
  <c r="X44" i="34"/>
  <c r="X46" i="34" s="1"/>
  <c r="W44" i="34"/>
  <c r="W46" i="34" s="1"/>
  <c r="V44" i="34"/>
  <c r="V46" i="34" s="1"/>
  <c r="U44" i="34"/>
  <c r="U46" i="34" s="1"/>
  <c r="T44" i="34"/>
  <c r="T46" i="34" s="1"/>
  <c r="S44" i="34"/>
  <c r="S46" i="34" s="1"/>
  <c r="R44" i="34"/>
  <c r="R46" i="34" s="1"/>
  <c r="Q44" i="34"/>
  <c r="Q46" i="34" s="1"/>
  <c r="P44" i="34"/>
  <c r="P46" i="34" s="1"/>
  <c r="O44" i="34"/>
  <c r="O46" i="34" s="1"/>
  <c r="AH37" i="34"/>
  <c r="AE37" i="34"/>
  <c r="AA31" i="34"/>
  <c r="AH56" i="34"/>
  <c r="AG68" i="28"/>
  <c r="AD68" i="28"/>
  <c r="Z68" i="28"/>
  <c r="Y68" i="28"/>
  <c r="X68" i="28"/>
  <c r="W68" i="28"/>
  <c r="V68" i="28"/>
  <c r="U68" i="28"/>
  <c r="T68" i="28"/>
  <c r="S68" i="28"/>
  <c r="R68" i="28"/>
  <c r="Q68" i="28"/>
  <c r="P68" i="28"/>
  <c r="O68" i="28"/>
  <c r="AG62" i="28"/>
  <c r="AD62" i="28"/>
  <c r="Z62" i="28"/>
  <c r="Y62" i="28"/>
  <c r="X62" i="28"/>
  <c r="W62" i="28"/>
  <c r="V62" i="28"/>
  <c r="U62" i="28"/>
  <c r="T62" i="28"/>
  <c r="S62" i="28"/>
  <c r="R62" i="28"/>
  <c r="Q62" i="28"/>
  <c r="P62" i="28"/>
  <c r="O62" i="28"/>
  <c r="AG53" i="28"/>
  <c r="AD53" i="28"/>
  <c r="Z53" i="28"/>
  <c r="Y53" i="28"/>
  <c r="X53" i="28"/>
  <c r="W53" i="28"/>
  <c r="V53" i="28"/>
  <c r="U53" i="28"/>
  <c r="T53" i="28"/>
  <c r="S53" i="28"/>
  <c r="R53" i="28"/>
  <c r="Q53" i="28"/>
  <c r="P53" i="28"/>
  <c r="O53" i="28"/>
  <c r="AG44" i="28"/>
  <c r="AD44" i="28"/>
  <c r="Z44" i="28"/>
  <c r="Y44" i="28"/>
  <c r="X44" i="28"/>
  <c r="W44" i="28"/>
  <c r="V44" i="28"/>
  <c r="U44" i="28"/>
  <c r="T44" i="28"/>
  <c r="S44" i="28"/>
  <c r="R44" i="28"/>
  <c r="Q44" i="28"/>
  <c r="P44" i="28"/>
  <c r="O44" i="28"/>
  <c r="AA31" i="28"/>
  <c r="AG81" i="11"/>
  <c r="AD81" i="11"/>
  <c r="Z81" i="11"/>
  <c r="Y81" i="11"/>
  <c r="X81" i="11"/>
  <c r="W81" i="11"/>
  <c r="V81" i="11"/>
  <c r="U81" i="11"/>
  <c r="T81" i="11"/>
  <c r="S81" i="11"/>
  <c r="R81" i="11"/>
  <c r="Q81" i="11"/>
  <c r="P81" i="11"/>
  <c r="O81" i="11"/>
  <c r="AH69" i="11"/>
  <c r="AE69" i="11"/>
  <c r="AG63" i="11"/>
  <c r="AG82" i="11" s="1"/>
  <c r="AD63" i="11"/>
  <c r="AD82" i="11" s="1"/>
  <c r="Z63" i="11"/>
  <c r="Z82" i="11" s="1"/>
  <c r="Y63" i="11"/>
  <c r="Y82" i="11" s="1"/>
  <c r="X63" i="11"/>
  <c r="X82" i="11" s="1"/>
  <c r="W63" i="11"/>
  <c r="W82" i="11" s="1"/>
  <c r="V63" i="11"/>
  <c r="V82" i="11" s="1"/>
  <c r="U63" i="11"/>
  <c r="U82" i="11" s="1"/>
  <c r="T63" i="11"/>
  <c r="T82" i="11" s="1"/>
  <c r="S63" i="11"/>
  <c r="S82" i="11" s="1"/>
  <c r="R63" i="11"/>
  <c r="R82" i="11" s="1"/>
  <c r="Q63" i="11"/>
  <c r="Q82" i="11" s="1"/>
  <c r="P63" i="11"/>
  <c r="P82" i="11" s="1"/>
  <c r="O63" i="11"/>
  <c r="O82" i="11" s="1"/>
  <c r="AI62" i="11"/>
  <c r="AH62" i="11"/>
  <c r="AF62" i="11"/>
  <c r="AE62" i="11"/>
  <c r="AB62" i="11"/>
  <c r="AA31" i="11"/>
  <c r="G19" i="11"/>
  <c r="AG45" i="27"/>
  <c r="AG47" i="27" s="1"/>
  <c r="AD45" i="27"/>
  <c r="AD47" i="27" s="1"/>
  <c r="Z45" i="27"/>
  <c r="Z47" i="27" s="1"/>
  <c r="Y45" i="27"/>
  <c r="Y47" i="27" s="1"/>
  <c r="X45" i="27"/>
  <c r="X47" i="27" s="1"/>
  <c r="W45" i="27"/>
  <c r="W47" i="27" s="1"/>
  <c r="V45" i="27"/>
  <c r="V47" i="27" s="1"/>
  <c r="U45" i="27"/>
  <c r="U47" i="27" s="1"/>
  <c r="T45" i="27"/>
  <c r="T47" i="27" s="1"/>
  <c r="S45" i="27"/>
  <c r="S47" i="27" s="1"/>
  <c r="R45" i="27"/>
  <c r="R47" i="27" s="1"/>
  <c r="Q45" i="27"/>
  <c r="Q47" i="27" s="1"/>
  <c r="P45" i="27"/>
  <c r="P47" i="27" s="1"/>
  <c r="O45" i="27"/>
  <c r="O47" i="27" s="1"/>
  <c r="AA31" i="27"/>
  <c r="AG70" i="15"/>
  <c r="AD70" i="15"/>
  <c r="Z70" i="15"/>
  <c r="Y70" i="15"/>
  <c r="X70" i="15"/>
  <c r="W70" i="15"/>
  <c r="V70" i="15"/>
  <c r="U70" i="15"/>
  <c r="T70" i="15"/>
  <c r="S70" i="15"/>
  <c r="R70" i="15"/>
  <c r="Q70" i="15"/>
  <c r="P70" i="15"/>
  <c r="O70" i="15"/>
  <c r="AH57" i="15"/>
  <c r="AE57" i="15"/>
  <c r="AH55" i="15"/>
  <c r="AE55" i="15"/>
  <c r="AG51" i="15"/>
  <c r="AG71" i="15" s="1"/>
  <c r="AD51" i="15"/>
  <c r="AD71" i="15" s="1"/>
  <c r="Z51" i="15"/>
  <c r="Z71" i="15" s="1"/>
  <c r="Y51" i="15"/>
  <c r="Y71" i="15" s="1"/>
  <c r="X51" i="15"/>
  <c r="X71" i="15" s="1"/>
  <c r="W51" i="15"/>
  <c r="W71" i="15" s="1"/>
  <c r="V51" i="15"/>
  <c r="V71" i="15" s="1"/>
  <c r="U51" i="15"/>
  <c r="U71" i="15" s="1"/>
  <c r="T51" i="15"/>
  <c r="T71" i="15" s="1"/>
  <c r="S51" i="15"/>
  <c r="S71" i="15" s="1"/>
  <c r="R51" i="15"/>
  <c r="R71" i="15" s="1"/>
  <c r="Q51" i="15"/>
  <c r="Q71" i="15" s="1"/>
  <c r="P51" i="15"/>
  <c r="P71" i="15" s="1"/>
  <c r="O51" i="15"/>
  <c r="O71" i="15" s="1"/>
  <c r="AI50" i="15"/>
  <c r="AH50" i="15"/>
  <c r="AF50" i="15"/>
  <c r="AE50" i="15"/>
  <c r="AB50" i="15"/>
  <c r="AA31" i="15"/>
  <c r="G19" i="15"/>
  <c r="AG69" i="19"/>
  <c r="AD69" i="19"/>
  <c r="Z69" i="19"/>
  <c r="Y69" i="19"/>
  <c r="X69" i="19"/>
  <c r="W69" i="19"/>
  <c r="V69" i="19"/>
  <c r="U69" i="19"/>
  <c r="T69" i="19"/>
  <c r="S69" i="19"/>
  <c r="R69" i="19"/>
  <c r="Q69" i="19"/>
  <c r="P69" i="19"/>
  <c r="O69" i="19"/>
  <c r="AH57" i="19"/>
  <c r="AE57" i="19"/>
  <c r="AG51" i="19"/>
  <c r="AG70" i="19" s="1"/>
  <c r="AD51" i="19"/>
  <c r="AD70" i="19" s="1"/>
  <c r="Z51" i="19"/>
  <c r="Z70" i="19" s="1"/>
  <c r="Y51" i="19"/>
  <c r="Y70" i="19" s="1"/>
  <c r="X51" i="19"/>
  <c r="X70" i="19" s="1"/>
  <c r="W51" i="19"/>
  <c r="W70" i="19" s="1"/>
  <c r="V51" i="19"/>
  <c r="V70" i="19" s="1"/>
  <c r="U51" i="19"/>
  <c r="U70" i="19" s="1"/>
  <c r="T51" i="19"/>
  <c r="T70" i="19" s="1"/>
  <c r="S51" i="19"/>
  <c r="S70" i="19" s="1"/>
  <c r="R51" i="19"/>
  <c r="R70" i="19" s="1"/>
  <c r="Q51" i="19"/>
  <c r="Q70" i="19" s="1"/>
  <c r="P51" i="19"/>
  <c r="P70" i="19" s="1"/>
  <c r="O51" i="19"/>
  <c r="O70" i="19" s="1"/>
  <c r="AH50" i="19"/>
  <c r="AE50" i="19"/>
  <c r="AB50" i="19"/>
  <c r="AA31" i="19"/>
  <c r="G19" i="19"/>
  <c r="AH58" i="19"/>
  <c r="AG74" i="22"/>
  <c r="AD74" i="22"/>
  <c r="Z74" i="22"/>
  <c r="Y74" i="22"/>
  <c r="X74" i="22"/>
  <c r="W74" i="22"/>
  <c r="V74" i="22"/>
  <c r="U74" i="22"/>
  <c r="T74" i="22"/>
  <c r="S74" i="22"/>
  <c r="R74" i="22"/>
  <c r="Q74" i="22"/>
  <c r="P74" i="22"/>
  <c r="O74" i="22"/>
  <c r="AH67" i="22"/>
  <c r="AH62" i="22"/>
  <c r="AE62" i="22"/>
  <c r="AG56" i="22"/>
  <c r="AG75" i="22" s="1"/>
  <c r="AD56" i="22"/>
  <c r="AD75" i="22" s="1"/>
  <c r="Z56" i="22"/>
  <c r="Z75" i="22" s="1"/>
  <c r="Y56" i="22"/>
  <c r="Y75" i="22" s="1"/>
  <c r="X56" i="22"/>
  <c r="X75" i="22" s="1"/>
  <c r="W56" i="22"/>
  <c r="W75" i="22" s="1"/>
  <c r="V56" i="22"/>
  <c r="V75" i="22" s="1"/>
  <c r="U56" i="22"/>
  <c r="U75" i="22" s="1"/>
  <c r="T56" i="22"/>
  <c r="T75" i="22" s="1"/>
  <c r="S56" i="22"/>
  <c r="S75" i="22" s="1"/>
  <c r="R56" i="22"/>
  <c r="R75" i="22" s="1"/>
  <c r="Q56" i="22"/>
  <c r="Q75" i="22" s="1"/>
  <c r="P56" i="22"/>
  <c r="P75" i="22" s="1"/>
  <c r="O56" i="22"/>
  <c r="O75" i="22" s="1"/>
  <c r="AI55" i="22"/>
  <c r="AH55" i="22"/>
  <c r="AF55" i="22"/>
  <c r="AE55" i="22"/>
  <c r="AB55" i="22"/>
  <c r="AH34" i="22"/>
  <c r="AA31" i="22"/>
  <c r="G19" i="22"/>
  <c r="AH46" i="22"/>
  <c r="AE67" i="22"/>
  <c r="AE63" i="22"/>
  <c r="AE60" i="22"/>
  <c r="AH72" i="22"/>
  <c r="AH71" i="22"/>
  <c r="AH69" i="22"/>
  <c r="AH63" i="22"/>
  <c r="AH60" i="22"/>
  <c r="AG174" i="17"/>
  <c r="AD174" i="17"/>
  <c r="AI144" i="17"/>
  <c r="AI139" i="17"/>
  <c r="AI138" i="17"/>
  <c r="AI136" i="17"/>
  <c r="AI135" i="17"/>
  <c r="AI134" i="17"/>
  <c r="AI133" i="17"/>
  <c r="AI130" i="17"/>
  <c r="AI129" i="17"/>
  <c r="AI127" i="17"/>
  <c r="AI126" i="17"/>
  <c r="AI125" i="17"/>
  <c r="AI124" i="17"/>
  <c r="AI121" i="17"/>
  <c r="AI120" i="17"/>
  <c r="AI118" i="17"/>
  <c r="AI117" i="17"/>
  <c r="AI116" i="17"/>
  <c r="AI115" i="17"/>
  <c r="AI109" i="17"/>
  <c r="AI108" i="17"/>
  <c r="AI104" i="17"/>
  <c r="AI102" i="17"/>
  <c r="AA171" i="17"/>
  <c r="AI110" i="17"/>
  <c r="AI97" i="17"/>
  <c r="AI96" i="17"/>
  <c r="AI95" i="17"/>
  <c r="AH94" i="17"/>
  <c r="G93" i="17" s="1"/>
  <c r="AH76" i="17"/>
  <c r="AI76" i="17"/>
  <c r="AI75" i="17"/>
  <c r="AI74" i="17"/>
  <c r="AI77" i="17"/>
  <c r="AI73" i="17"/>
  <c r="AI72" i="17"/>
  <c r="AI71" i="17"/>
  <c r="AH70" i="17"/>
  <c r="G69" i="17" s="1"/>
  <c r="AH67" i="17"/>
  <c r="AI67" i="17"/>
  <c r="AI66" i="17"/>
  <c r="AI65" i="17"/>
  <c r="AI64" i="17"/>
  <c r="AI63" i="17"/>
  <c r="AI62" i="17"/>
  <c r="AH61" i="17"/>
  <c r="AH58" i="17"/>
  <c r="AI58" i="17"/>
  <c r="AI57" i="17"/>
  <c r="AI56" i="17"/>
  <c r="AI59" i="17"/>
  <c r="AI55" i="17"/>
  <c r="AI54" i="17"/>
  <c r="AI53" i="17"/>
  <c r="AH52" i="17"/>
  <c r="AH49" i="17"/>
  <c r="AI49" i="17"/>
  <c r="AI48" i="17"/>
  <c r="AI47" i="17"/>
  <c r="AI46" i="17"/>
  <c r="AI45" i="17"/>
  <c r="AI44" i="17"/>
  <c r="AH43" i="17"/>
  <c r="AH40" i="17"/>
  <c r="AI40" i="17"/>
  <c r="AI39" i="17"/>
  <c r="AI38" i="17"/>
  <c r="AI41" i="17"/>
  <c r="AI37" i="17"/>
  <c r="AI36" i="17"/>
  <c r="AI35" i="17"/>
  <c r="AA31" i="17"/>
  <c r="G20" i="17"/>
  <c r="G19" i="17"/>
  <c r="AG123" i="16"/>
  <c r="AD123" i="16"/>
  <c r="Z123" i="16"/>
  <c r="Y123" i="16"/>
  <c r="X123" i="16"/>
  <c r="W123" i="16"/>
  <c r="V123" i="16"/>
  <c r="U123" i="16"/>
  <c r="T123" i="16"/>
  <c r="S123" i="16"/>
  <c r="R123" i="16"/>
  <c r="Q123" i="16"/>
  <c r="P123" i="16"/>
  <c r="O123" i="16"/>
  <c r="AH76" i="16"/>
  <c r="AE76" i="16"/>
  <c r="AG70" i="16"/>
  <c r="AG124" i="16" s="1"/>
  <c r="AD70" i="16"/>
  <c r="AD124" i="16" s="1"/>
  <c r="Z70" i="16"/>
  <c r="Z124" i="16" s="1"/>
  <c r="Y70" i="16"/>
  <c r="Y124" i="16" s="1"/>
  <c r="X70" i="16"/>
  <c r="X124" i="16" s="1"/>
  <c r="W70" i="16"/>
  <c r="W124" i="16" s="1"/>
  <c r="V70" i="16"/>
  <c r="V124" i="16" s="1"/>
  <c r="U70" i="16"/>
  <c r="U124" i="16" s="1"/>
  <c r="T70" i="16"/>
  <c r="T124" i="16" s="1"/>
  <c r="S70" i="16"/>
  <c r="S124" i="16" s="1"/>
  <c r="R70" i="16"/>
  <c r="R124" i="16" s="1"/>
  <c r="Q70" i="16"/>
  <c r="Q124" i="16" s="1"/>
  <c r="P70" i="16"/>
  <c r="P124" i="16" s="1"/>
  <c r="O70" i="16"/>
  <c r="O124" i="16" s="1"/>
  <c r="AI69" i="16"/>
  <c r="AH69" i="16"/>
  <c r="AF69" i="16"/>
  <c r="AE69" i="16"/>
  <c r="AB69" i="16"/>
  <c r="AI55" i="16"/>
  <c r="AI46" i="16"/>
  <c r="AA31" i="16"/>
  <c r="G19" i="16"/>
  <c r="AH55" i="16"/>
  <c r="AG38" i="31"/>
  <c r="AD38" i="31"/>
  <c r="Z38" i="31"/>
  <c r="Y38" i="31"/>
  <c r="X38" i="31"/>
  <c r="W38" i="31"/>
  <c r="V38" i="31"/>
  <c r="U38" i="31"/>
  <c r="T38" i="31"/>
  <c r="S38" i="31"/>
  <c r="R38" i="31"/>
  <c r="Q38" i="31"/>
  <c r="P38" i="31"/>
  <c r="O38" i="31"/>
  <c r="AA31" i="31"/>
  <c r="AG57" i="35"/>
  <c r="AD57" i="35"/>
  <c r="Z57" i="35"/>
  <c r="Y57" i="35"/>
  <c r="X57" i="35"/>
  <c r="W57" i="35"/>
  <c r="V57" i="35"/>
  <c r="U57" i="35"/>
  <c r="T57" i="35"/>
  <c r="S57" i="35"/>
  <c r="R57" i="35"/>
  <c r="Q57" i="35"/>
  <c r="P57" i="35"/>
  <c r="O57" i="35"/>
  <c r="AG46" i="35"/>
  <c r="AG48" i="35" s="1"/>
  <c r="AD46" i="35"/>
  <c r="Z46" i="35"/>
  <c r="Z48" i="35" s="1"/>
  <c r="Y46" i="35"/>
  <c r="Y48" i="35" s="1"/>
  <c r="X46" i="35"/>
  <c r="X48" i="35" s="1"/>
  <c r="W46" i="35"/>
  <c r="W48" i="35" s="1"/>
  <c r="V46" i="35"/>
  <c r="V48" i="35" s="1"/>
  <c r="U46" i="35"/>
  <c r="U48" i="35" s="1"/>
  <c r="T46" i="35"/>
  <c r="T48" i="35" s="1"/>
  <c r="S46" i="35"/>
  <c r="S48" i="35" s="1"/>
  <c r="R46" i="35"/>
  <c r="R48" i="35" s="1"/>
  <c r="Q46" i="35"/>
  <c r="Q48" i="35" s="1"/>
  <c r="P46" i="35"/>
  <c r="P48" i="35" s="1"/>
  <c r="O46" i="35"/>
  <c r="O48" i="35" s="1"/>
  <c r="AH38" i="35"/>
  <c r="AE38" i="35"/>
  <c r="AA31" i="35"/>
  <c r="AG75" i="26"/>
  <c r="AD75" i="26"/>
  <c r="Z75" i="26"/>
  <c r="Y75" i="26"/>
  <c r="X75" i="26"/>
  <c r="W75" i="26"/>
  <c r="V75" i="26"/>
  <c r="U75" i="26"/>
  <c r="T75" i="26"/>
  <c r="S75" i="26"/>
  <c r="R75" i="26"/>
  <c r="Q75" i="26"/>
  <c r="P75" i="26"/>
  <c r="O75" i="26"/>
  <c r="AG74" i="26"/>
  <c r="AD74" i="26"/>
  <c r="Z74" i="26"/>
  <c r="Y74" i="26"/>
  <c r="X74" i="26"/>
  <c r="W74" i="26"/>
  <c r="V74" i="26"/>
  <c r="U74" i="26"/>
  <c r="T74" i="26"/>
  <c r="S74" i="26"/>
  <c r="R74" i="26"/>
  <c r="Q74" i="26"/>
  <c r="P74" i="26"/>
  <c r="O74" i="26"/>
  <c r="AA31" i="26"/>
  <c r="AI156" i="17"/>
  <c r="AI152" i="17"/>
  <c r="AI61" i="59"/>
  <c r="AI41" i="59"/>
  <c r="AI130" i="59"/>
  <c r="AI80" i="59"/>
  <c r="AI78" i="59"/>
  <c r="AI77" i="59"/>
  <c r="AI75" i="59"/>
  <c r="AI59" i="59"/>
  <c r="AI56" i="59"/>
  <c r="AA143" i="59"/>
  <c r="AI38" i="59"/>
  <c r="AI37" i="59"/>
  <c r="AI35" i="59"/>
  <c r="AA144" i="55"/>
  <c r="AI51" i="56"/>
  <c r="AA143" i="57"/>
  <c r="AI45" i="57"/>
  <c r="AI47" i="57"/>
  <c r="AI49" i="57"/>
  <c r="AA146" i="57"/>
  <c r="AI134" i="57"/>
  <c r="AI138" i="57"/>
  <c r="AI123" i="39"/>
  <c r="AI121" i="39"/>
  <c r="AI125" i="56"/>
  <c r="AI124" i="58"/>
  <c r="AK37" i="37"/>
  <c r="AI37" i="37"/>
  <c r="AH37" i="37"/>
  <c r="AI123" i="56"/>
  <c r="AI94" i="55"/>
  <c r="AI125" i="39"/>
  <c r="AI43" i="37"/>
  <c r="AK43" i="37"/>
  <c r="AH43" i="37"/>
  <c r="AH89" i="37" s="1"/>
  <c r="AI46" i="37"/>
  <c r="AI47" i="37"/>
  <c r="AK47" i="37"/>
  <c r="AI48" i="37"/>
  <c r="AK63" i="37"/>
  <c r="AI63" i="37"/>
  <c r="AI52" i="57"/>
  <c r="AI121" i="57"/>
  <c r="AI123" i="57"/>
  <c r="AI122" i="56"/>
  <c r="AI148" i="6"/>
  <c r="AI140" i="6"/>
  <c r="AI142" i="6"/>
  <c r="AI144" i="6"/>
  <c r="AI121" i="59"/>
  <c r="AI123" i="59"/>
  <c r="AI125" i="59"/>
  <c r="AI105" i="17"/>
  <c r="AI168" i="17"/>
  <c r="AI121" i="58"/>
  <c r="AI123" i="58"/>
  <c r="AI125" i="58"/>
  <c r="AI124" i="57"/>
  <c r="AI121" i="56"/>
  <c r="AI93" i="55"/>
  <c r="AI122" i="39"/>
  <c r="AI124" i="39"/>
  <c r="AI54" i="37"/>
  <c r="AI55" i="37"/>
  <c r="AI56" i="37"/>
  <c r="AI57" i="37"/>
  <c r="AI58" i="37"/>
  <c r="AH80" i="37"/>
  <c r="AI125" i="57"/>
  <c r="AI124" i="56"/>
  <c r="AI67" i="37"/>
  <c r="AI68" i="37"/>
  <c r="AI69" i="37"/>
  <c r="AI70" i="37"/>
  <c r="AI149" i="6"/>
  <c r="AI141" i="6"/>
  <c r="AI143" i="6"/>
  <c r="AI145" i="6"/>
  <c r="AI122" i="59"/>
  <c r="AI124" i="59"/>
  <c r="AI80" i="37"/>
  <c r="AE89" i="37"/>
  <c r="T28" i="5"/>
  <c r="T30" i="5"/>
  <c r="G6" i="5"/>
  <c r="T29" i="5"/>
  <c r="T33" i="5"/>
  <c r="T31" i="5"/>
  <c r="T32" i="5"/>
  <c r="C1" i="5"/>
  <c r="N110" i="58"/>
  <c r="I70" i="58"/>
  <c r="N87" i="58"/>
  <c r="J59" i="58"/>
  <c r="L48" i="58"/>
  <c r="J35" i="58"/>
  <c r="N106" i="58"/>
  <c r="L47" i="58"/>
  <c r="C1" i="58"/>
  <c r="J81" i="58"/>
  <c r="I77" i="58"/>
  <c r="J61" i="58"/>
  <c r="N139" i="58"/>
  <c r="L77" i="58"/>
  <c r="J41" i="58"/>
  <c r="L136" i="58"/>
  <c r="N107" i="58"/>
  <c r="J47" i="58"/>
  <c r="B23" i="58"/>
  <c r="L83" i="58"/>
  <c r="L45" i="58"/>
  <c r="N98" i="58"/>
  <c r="L62" i="58"/>
  <c r="I50" i="58"/>
  <c r="J92" i="58"/>
  <c r="L86" i="58"/>
  <c r="J83" i="58"/>
  <c r="N68" i="58"/>
  <c r="J58" i="58"/>
  <c r="I37" i="58"/>
  <c r="N124" i="58"/>
  <c r="N121" i="58"/>
  <c r="L80" i="58"/>
  <c r="J67" i="58"/>
  <c r="I61" i="58"/>
  <c r="L100" i="58"/>
  <c r="I66" i="58"/>
  <c r="J57" i="58"/>
  <c r="L123" i="58"/>
  <c r="N58" i="58"/>
  <c r="I88" i="58"/>
  <c r="I79" i="58"/>
  <c r="I46" i="58"/>
  <c r="I45" i="58"/>
  <c r="N71" i="58"/>
  <c r="N62" i="58"/>
  <c r="N76" i="58"/>
  <c r="N40" i="58"/>
  <c r="I35" i="58"/>
  <c r="L42" i="58"/>
  <c r="N20" i="58"/>
  <c r="L126" i="58"/>
  <c r="N137" i="58"/>
  <c r="J72" i="58"/>
  <c r="J71" i="58"/>
  <c r="L130" i="58"/>
  <c r="L140" i="58"/>
  <c r="C8" i="58"/>
  <c r="J48" i="58"/>
  <c r="B3" i="58"/>
  <c r="N140" i="58"/>
  <c r="L46" i="58"/>
  <c r="N60" i="58"/>
  <c r="J38" i="58"/>
  <c r="I42" i="58"/>
  <c r="N75" i="58"/>
  <c r="L51" i="58"/>
  <c r="J49" i="58"/>
  <c r="L70" i="58"/>
  <c r="I76" i="58"/>
  <c r="L119" i="58"/>
  <c r="N57" i="58"/>
  <c r="J86" i="58"/>
  <c r="N51" i="58"/>
  <c r="J46" i="58"/>
  <c r="L111" i="58"/>
  <c r="L72" i="58"/>
  <c r="N41" i="58"/>
  <c r="L81" i="58"/>
  <c r="N119" i="58"/>
  <c r="L69" i="58"/>
  <c r="C5" i="58"/>
  <c r="L35" i="58"/>
  <c r="L110" i="58"/>
  <c r="N55" i="58"/>
  <c r="L61" i="58"/>
  <c r="L134" i="58"/>
  <c r="L60" i="58"/>
  <c r="I81" i="58"/>
  <c r="L55" i="58"/>
  <c r="J85" i="58"/>
  <c r="N117" i="58"/>
  <c r="I87" i="58"/>
  <c r="I40" i="58"/>
  <c r="L41" i="58"/>
  <c r="L59" i="58"/>
  <c r="I55" i="58"/>
  <c r="L137" i="58"/>
  <c r="J87" i="58"/>
  <c r="N77" i="58"/>
  <c r="J79" i="58"/>
  <c r="L139" i="58"/>
  <c r="N65" i="58"/>
  <c r="L79" i="58"/>
  <c r="L39" i="58"/>
  <c r="I49" i="58"/>
  <c r="L37" i="58"/>
  <c r="I67" i="58"/>
  <c r="L56" i="58"/>
  <c r="L65" i="58"/>
  <c r="J40" i="58"/>
  <c r="J36" i="58"/>
  <c r="N108" i="58"/>
  <c r="J77" i="58"/>
  <c r="N52" i="58"/>
  <c r="I78" i="58"/>
  <c r="J78" i="58"/>
  <c r="I83" i="58"/>
  <c r="N45" i="58"/>
  <c r="B19" i="58"/>
  <c r="N138" i="58"/>
  <c r="N69" i="58"/>
  <c r="J88" i="58"/>
  <c r="L50" i="58"/>
  <c r="I71" i="58"/>
  <c r="N37" i="58"/>
  <c r="L36" i="58"/>
  <c r="N135" i="58"/>
  <c r="I59" i="58"/>
  <c r="L131" i="58"/>
  <c r="N35" i="58"/>
  <c r="J69" i="58"/>
  <c r="N123" i="58"/>
  <c r="N86" i="58"/>
  <c r="L122" i="58"/>
  <c r="I92" i="58"/>
  <c r="I57" i="58"/>
  <c r="L125" i="58"/>
  <c r="J55" i="58"/>
  <c r="J62" i="58"/>
  <c r="I52" i="58"/>
  <c r="C7" i="58"/>
  <c r="J39" i="58"/>
  <c r="L121" i="58"/>
  <c r="N39" i="58"/>
  <c r="I38" i="58"/>
  <c r="I80" i="58"/>
  <c r="N131" i="58"/>
  <c r="I85" i="58"/>
  <c r="I60" i="58"/>
  <c r="J68" i="58"/>
  <c r="J65" i="58"/>
  <c r="N111" i="58"/>
  <c r="L135" i="58"/>
  <c r="N50" i="58"/>
  <c r="I51" i="58"/>
  <c r="J75" i="58"/>
  <c r="N134" i="58"/>
  <c r="N109" i="58"/>
  <c r="N129" i="58"/>
  <c r="L66" i="58"/>
  <c r="I41" i="58"/>
  <c r="L102" i="58"/>
  <c r="J45" i="58"/>
  <c r="L71" i="58"/>
  <c r="J76" i="58"/>
  <c r="N78" i="58"/>
  <c r="L114" i="58"/>
  <c r="N136" i="58"/>
  <c r="L106" i="58"/>
  <c r="L132" i="58"/>
  <c r="I58" i="58"/>
  <c r="J56" i="58"/>
  <c r="L87" i="58"/>
  <c r="L40" i="58"/>
  <c r="N56" i="58"/>
  <c r="I48" i="58"/>
  <c r="L67" i="58"/>
  <c r="N133" i="58"/>
  <c r="N102" i="58"/>
  <c r="E6" i="58"/>
  <c r="N126" i="58"/>
  <c r="J91" i="58"/>
  <c r="N92" i="58"/>
  <c r="L98" i="58"/>
  <c r="J80" i="58"/>
  <c r="I39" i="58"/>
  <c r="N99" i="58"/>
  <c r="N100" i="58"/>
  <c r="J50" i="58"/>
  <c r="L115" i="58"/>
  <c r="L108" i="58"/>
  <c r="L58" i="58"/>
  <c r="N67" i="58"/>
  <c r="I91" i="58"/>
  <c r="N114" i="58"/>
  <c r="I68" i="58"/>
  <c r="J42" i="58"/>
  <c r="L118" i="58"/>
  <c r="N85" i="58"/>
  <c r="N80" i="58"/>
  <c r="N49" i="58"/>
  <c r="I65" i="58"/>
  <c r="L52" i="58"/>
  <c r="L109" i="58"/>
  <c r="I56" i="58"/>
  <c r="N47" i="58"/>
  <c r="N19" i="58"/>
  <c r="I62" i="58"/>
  <c r="N61" i="58"/>
  <c r="J60" i="58"/>
  <c r="L101" i="58"/>
  <c r="L124" i="58"/>
  <c r="N122" i="58"/>
  <c r="C2" i="58"/>
  <c r="N48" i="58"/>
  <c r="N83" i="58"/>
  <c r="I69" i="58"/>
  <c r="I86" i="58"/>
  <c r="I36" i="58"/>
  <c r="N115" i="58"/>
  <c r="L138" i="58"/>
  <c r="J37" i="58"/>
  <c r="I47" i="58"/>
  <c r="N130" i="58"/>
  <c r="N88" i="58"/>
  <c r="L133" i="58"/>
  <c r="L57" i="58"/>
  <c r="L99" i="58"/>
  <c r="L78" i="58"/>
  <c r="N125" i="58"/>
  <c r="N72" i="58"/>
  <c r="L117" i="58"/>
  <c r="I72" i="58"/>
  <c r="N91" i="58"/>
  <c r="L116" i="58"/>
  <c r="N81" i="58"/>
  <c r="N101" i="58"/>
  <c r="N42" i="58"/>
  <c r="I75" i="58"/>
  <c r="J52" i="58"/>
  <c r="N38" i="58"/>
  <c r="N132" i="58"/>
  <c r="L76" i="58"/>
  <c r="L85" i="58"/>
  <c r="N70" i="58"/>
  <c r="N36" i="58"/>
  <c r="J51" i="58"/>
  <c r="J66" i="58"/>
  <c r="L107" i="58"/>
  <c r="L38" i="58"/>
  <c r="N103" i="58"/>
  <c r="L49" i="58"/>
  <c r="N79" i="58"/>
  <c r="J70" i="58"/>
  <c r="L68" i="58"/>
  <c r="N59" i="58"/>
  <c r="L103" i="58"/>
  <c r="N66" i="58"/>
  <c r="N118" i="58"/>
  <c r="L75" i="58"/>
  <c r="N116" i="58"/>
  <c r="N46" i="58"/>
  <c r="C6" i="58"/>
  <c r="J97" i="54"/>
  <c r="I60" i="54"/>
  <c r="N19" i="54"/>
  <c r="N62" i="54"/>
  <c r="J33" i="54"/>
  <c r="C8" i="54"/>
  <c r="L35" i="54"/>
  <c r="L79" i="54"/>
  <c r="B88" i="54"/>
  <c r="B52" i="54"/>
  <c r="J72" i="54"/>
  <c r="I74" i="54"/>
  <c r="N75" i="54"/>
  <c r="C2" i="54"/>
  <c r="L62" i="54"/>
  <c r="B3" i="54"/>
  <c r="I34" i="54"/>
  <c r="I75" i="54"/>
  <c r="N99" i="54"/>
  <c r="N61" i="54"/>
  <c r="C7" i="54"/>
  <c r="I62" i="54"/>
  <c r="J61" i="54"/>
  <c r="B56" i="54"/>
  <c r="I72" i="54"/>
  <c r="J71" i="54"/>
  <c r="N35" i="54"/>
  <c r="I97" i="54"/>
  <c r="L76" i="54"/>
  <c r="B22" i="54"/>
  <c r="J87" i="54"/>
  <c r="I76" i="54"/>
  <c r="I78" i="54"/>
  <c r="I88" i="54"/>
  <c r="J60" i="54"/>
  <c r="I100" i="54"/>
  <c r="N26" i="54"/>
  <c r="J78" i="54"/>
  <c r="L88" i="54"/>
  <c r="J100" i="54"/>
  <c r="I71" i="54"/>
  <c r="N33" i="54"/>
  <c r="C1" i="54"/>
  <c r="N60" i="54"/>
  <c r="N88" i="54"/>
  <c r="I61" i="54"/>
  <c r="B23" i="54"/>
  <c r="N74" i="54"/>
  <c r="J62" i="54"/>
  <c r="I79" i="54"/>
  <c r="L78" i="54"/>
  <c r="J76" i="54"/>
  <c r="N97" i="54"/>
  <c r="J79" i="54"/>
  <c r="N79" i="54"/>
  <c r="N76" i="54"/>
  <c r="B55" i="54"/>
  <c r="I99" i="54"/>
  <c r="N72" i="54"/>
  <c r="J34" i="54"/>
  <c r="I35" i="54"/>
  <c r="J88" i="54"/>
  <c r="B116" i="54"/>
  <c r="J74" i="54"/>
  <c r="C6" i="54"/>
  <c r="C5" i="54"/>
  <c r="J75" i="54"/>
  <c r="N78" i="54"/>
  <c r="B120" i="54"/>
  <c r="J99" i="54"/>
  <c r="N20" i="54"/>
  <c r="E6" i="54"/>
  <c r="I33" i="54"/>
  <c r="N87" i="54"/>
  <c r="N34" i="54"/>
  <c r="B89" i="54"/>
  <c r="N71" i="54"/>
  <c r="B19" i="54"/>
  <c r="N100" i="54"/>
  <c r="J35" i="54"/>
  <c r="B85" i="54"/>
  <c r="I87" i="54"/>
  <c r="C3" i="54"/>
  <c r="I77" i="57"/>
  <c r="N137" i="57"/>
  <c r="I68" i="57"/>
  <c r="N138" i="57"/>
  <c r="L87" i="57"/>
  <c r="J36" i="57"/>
  <c r="I50" i="57"/>
  <c r="L77" i="57"/>
  <c r="I38" i="57"/>
  <c r="N139" i="57"/>
  <c r="L50" i="57"/>
  <c r="N40" i="57"/>
  <c r="I87" i="57"/>
  <c r="L45" i="57"/>
  <c r="L36" i="57"/>
  <c r="L98" i="57"/>
  <c r="N20" i="57"/>
  <c r="L58" i="57"/>
  <c r="L116" i="57"/>
  <c r="J72" i="57"/>
  <c r="L79" i="57"/>
  <c r="L107" i="57"/>
  <c r="N114" i="57"/>
  <c r="J68" i="57"/>
  <c r="J61" i="57"/>
  <c r="N42" i="57"/>
  <c r="L37" i="57"/>
  <c r="L56" i="57"/>
  <c r="C6" i="57"/>
  <c r="N126" i="57"/>
  <c r="L57" i="57"/>
  <c r="L69" i="57"/>
  <c r="N68" i="57"/>
  <c r="J41" i="57"/>
  <c r="N36" i="57"/>
  <c r="I59" i="57"/>
  <c r="J78" i="57"/>
  <c r="L51" i="57"/>
  <c r="L109" i="57"/>
  <c r="I52" i="57"/>
  <c r="N75" i="57"/>
  <c r="I35" i="57"/>
  <c r="L61" i="57"/>
  <c r="I88" i="57"/>
  <c r="N88" i="57"/>
  <c r="I83" i="57"/>
  <c r="I67" i="57"/>
  <c r="J81" i="57"/>
  <c r="L134" i="57"/>
  <c r="N91" i="57"/>
  <c r="L72" i="57"/>
  <c r="I58" i="57"/>
  <c r="J75" i="57"/>
  <c r="J51" i="57"/>
  <c r="J80" i="57"/>
  <c r="J37" i="57"/>
  <c r="E6" i="57"/>
  <c r="I55" i="57"/>
  <c r="L139" i="57"/>
  <c r="N92" i="57"/>
  <c r="J56" i="57"/>
  <c r="I85" i="57"/>
  <c r="N111" i="57"/>
  <c r="N61" i="57"/>
  <c r="I56" i="57"/>
  <c r="L40" i="57"/>
  <c r="N51" i="57"/>
  <c r="L101" i="57"/>
  <c r="L137" i="57"/>
  <c r="N124" i="57"/>
  <c r="N136" i="57"/>
  <c r="L39" i="57"/>
  <c r="L67" i="57"/>
  <c r="L78" i="57"/>
  <c r="N52" i="57"/>
  <c r="N19" i="57"/>
  <c r="N109" i="57"/>
  <c r="I86" i="57"/>
  <c r="N70" i="57"/>
  <c r="J49" i="57"/>
  <c r="N116" i="57"/>
  <c r="I47" i="57"/>
  <c r="L115" i="57"/>
  <c r="N123" i="57"/>
  <c r="N47" i="57"/>
  <c r="J77" i="57"/>
  <c r="J67" i="57"/>
  <c r="N71" i="57"/>
  <c r="L130" i="57"/>
  <c r="I62" i="57"/>
  <c r="I40" i="57"/>
  <c r="N100" i="57"/>
  <c r="L76" i="57"/>
  <c r="L85" i="57"/>
  <c r="B23" i="57"/>
  <c r="N79" i="57"/>
  <c r="L121" i="57"/>
  <c r="L99" i="57"/>
  <c r="L55" i="57"/>
  <c r="N101" i="57"/>
  <c r="I65" i="57"/>
  <c r="I45" i="57"/>
  <c r="J47" i="57"/>
  <c r="N60" i="57"/>
  <c r="C1" i="57"/>
  <c r="N103" i="57"/>
  <c r="C7" i="57"/>
  <c r="I51" i="57"/>
  <c r="I70" i="57"/>
  <c r="L140" i="57"/>
  <c r="L102" i="57"/>
  <c r="L124" i="57"/>
  <c r="L62" i="57"/>
  <c r="L135" i="57"/>
  <c r="L132" i="57"/>
  <c r="J87" i="57"/>
  <c r="I92" i="57"/>
  <c r="J39" i="57"/>
  <c r="N69" i="57"/>
  <c r="N37" i="57"/>
  <c r="L126" i="57"/>
  <c r="N87" i="57"/>
  <c r="N81" i="57"/>
  <c r="N80" i="57"/>
  <c r="J38" i="57"/>
  <c r="I49" i="57"/>
  <c r="J85" i="57"/>
  <c r="B3" i="57"/>
  <c r="I76" i="57"/>
  <c r="N115" i="57"/>
  <c r="N125" i="57"/>
  <c r="L108" i="57"/>
  <c r="L83" i="57"/>
  <c r="N135" i="57"/>
  <c r="L100" i="57"/>
  <c r="L38" i="57"/>
  <c r="N121" i="57"/>
  <c r="N131" i="57"/>
  <c r="N50" i="57"/>
  <c r="J50" i="57"/>
  <c r="I39" i="57"/>
  <c r="I48" i="57"/>
  <c r="L131" i="57"/>
  <c r="N55" i="57"/>
  <c r="J46" i="57"/>
  <c r="N107" i="57"/>
  <c r="I91" i="57"/>
  <c r="L49" i="57"/>
  <c r="N65" i="57"/>
  <c r="N130" i="57"/>
  <c r="N85" i="57"/>
  <c r="B19" i="57"/>
  <c r="L103" i="57"/>
  <c r="L117" i="57"/>
  <c r="J52" i="57"/>
  <c r="J35" i="57"/>
  <c r="J55" i="57"/>
  <c r="N108" i="57"/>
  <c r="L66" i="57"/>
  <c r="J71" i="57"/>
  <c r="J60" i="57"/>
  <c r="J92" i="57"/>
  <c r="L122" i="57"/>
  <c r="N106" i="57"/>
  <c r="L75" i="57"/>
  <c r="N57" i="57"/>
  <c r="N119" i="57"/>
  <c r="L136" i="57"/>
  <c r="N58" i="57"/>
  <c r="J40" i="57"/>
  <c r="N133" i="57"/>
  <c r="I41" i="57"/>
  <c r="I42" i="57"/>
  <c r="L41" i="57"/>
  <c r="I79" i="57"/>
  <c r="N134" i="57"/>
  <c r="N72" i="57"/>
  <c r="I60" i="57"/>
  <c r="L47" i="57"/>
  <c r="J70" i="57"/>
  <c r="L52" i="57"/>
  <c r="L35" i="57"/>
  <c r="J45" i="57"/>
  <c r="L111" i="57"/>
  <c r="N49" i="57"/>
  <c r="L110" i="57"/>
  <c r="J88" i="57"/>
  <c r="I75" i="57"/>
  <c r="L123" i="57"/>
  <c r="L46" i="57"/>
  <c r="L133" i="57"/>
  <c r="J66" i="57"/>
  <c r="J83" i="57"/>
  <c r="N45" i="57"/>
  <c r="N140" i="57"/>
  <c r="C5" i="57"/>
  <c r="L119" i="57"/>
  <c r="L68" i="57"/>
  <c r="J76" i="57"/>
  <c r="L138" i="57"/>
  <c r="J69" i="57"/>
  <c r="N35" i="57"/>
  <c r="N41" i="57"/>
  <c r="L65" i="57"/>
  <c r="N39" i="57"/>
  <c r="N38" i="57"/>
  <c r="N56" i="57"/>
  <c r="J79" i="57"/>
  <c r="J65" i="57"/>
  <c r="I72" i="57"/>
  <c r="L86" i="57"/>
  <c r="I66" i="57"/>
  <c r="C8" i="57"/>
  <c r="J57" i="57"/>
  <c r="N78" i="57"/>
  <c r="C2" i="57"/>
  <c r="N77" i="57"/>
  <c r="L60" i="57"/>
  <c r="I46" i="57"/>
  <c r="J86" i="57"/>
  <c r="N98" i="57"/>
  <c r="N62" i="57"/>
  <c r="N99" i="57"/>
  <c r="L42" i="57"/>
  <c r="N132" i="57"/>
  <c r="J59" i="57"/>
  <c r="I37" i="57"/>
  <c r="L48" i="57"/>
  <c r="J58" i="57"/>
  <c r="N118" i="57"/>
  <c r="I57" i="57"/>
  <c r="N83" i="57"/>
  <c r="L125" i="57"/>
  <c r="I36" i="57"/>
  <c r="N117" i="57"/>
  <c r="N67" i="57"/>
  <c r="L59" i="57"/>
  <c r="N122" i="57"/>
  <c r="L106" i="57"/>
  <c r="N110" i="57"/>
  <c r="L80" i="57"/>
  <c r="I78" i="57"/>
  <c r="L118" i="57"/>
  <c r="I69" i="57"/>
  <c r="I61" i="57"/>
  <c r="L81" i="57"/>
  <c r="J62" i="57"/>
  <c r="J91" i="57"/>
  <c r="N59" i="57"/>
  <c r="I81" i="57"/>
  <c r="L71" i="57"/>
  <c r="N86" i="57"/>
  <c r="N102" i="57"/>
  <c r="N46" i="57"/>
  <c r="J42" i="57"/>
  <c r="L70" i="57"/>
  <c r="N76" i="57"/>
  <c r="J48" i="57"/>
  <c r="I71" i="57"/>
  <c r="N66" i="57"/>
  <c r="I80" i="57"/>
  <c r="L114" i="57"/>
  <c r="N48" i="57"/>
  <c r="N129" i="57"/>
  <c r="N85" i="53"/>
  <c r="N35" i="53"/>
  <c r="B23" i="53"/>
  <c r="J33" i="53"/>
  <c r="J85" i="53"/>
  <c r="J76" i="53"/>
  <c r="N60" i="53"/>
  <c r="I85" i="53"/>
  <c r="B55" i="53"/>
  <c r="N74" i="53"/>
  <c r="J87" i="53"/>
  <c r="N72" i="53"/>
  <c r="I74" i="53"/>
  <c r="J61" i="53"/>
  <c r="J83" i="53"/>
  <c r="N19" i="53"/>
  <c r="I75" i="53"/>
  <c r="I61" i="53"/>
  <c r="N88" i="53"/>
  <c r="I88" i="53"/>
  <c r="B116" i="53"/>
  <c r="B89" i="53"/>
  <c r="I79" i="53"/>
  <c r="N33" i="53"/>
  <c r="B88" i="53"/>
  <c r="N82" i="53"/>
  <c r="L62" i="53"/>
  <c r="N78" i="53"/>
  <c r="J34" i="53"/>
  <c r="N20" i="53"/>
  <c r="L76" i="53"/>
  <c r="N79" i="53"/>
  <c r="J71" i="53"/>
  <c r="C5" i="53"/>
  <c r="N75" i="53"/>
  <c r="J72" i="53"/>
  <c r="N61" i="53"/>
  <c r="N62" i="53"/>
  <c r="I82" i="53"/>
  <c r="I76" i="53"/>
  <c r="B22" i="53"/>
  <c r="B3" i="53"/>
  <c r="I83" i="53"/>
  <c r="I62" i="53"/>
  <c r="C1" i="53"/>
  <c r="J82" i="53"/>
  <c r="B120" i="53"/>
  <c r="N26" i="53"/>
  <c r="L78" i="53"/>
  <c r="N83" i="53"/>
  <c r="I87" i="53"/>
  <c r="I34" i="53"/>
  <c r="B85" i="53"/>
  <c r="C2" i="53"/>
  <c r="I78" i="53"/>
  <c r="C8" i="53"/>
  <c r="J88" i="53"/>
  <c r="E6" i="53"/>
  <c r="B56" i="53"/>
  <c r="J79" i="53"/>
  <c r="B19" i="53"/>
  <c r="C6" i="53"/>
  <c r="I71" i="53"/>
  <c r="N34" i="53"/>
  <c r="J78" i="53"/>
  <c r="C7" i="53"/>
  <c r="J74" i="53"/>
  <c r="L83" i="53"/>
  <c r="J35" i="53"/>
  <c r="J60" i="53"/>
  <c r="B52" i="53"/>
  <c r="J62" i="53"/>
  <c r="N76" i="53"/>
  <c r="I72" i="53"/>
  <c r="I60" i="53"/>
  <c r="L35" i="53"/>
  <c r="J75" i="53"/>
  <c r="N71" i="53"/>
  <c r="I33" i="53"/>
  <c r="I35" i="53"/>
  <c r="L79" i="53"/>
  <c r="N87" i="53"/>
  <c r="N51" i="56"/>
  <c r="J39" i="56"/>
  <c r="J61" i="56"/>
  <c r="N121" i="56"/>
  <c r="J86" i="56"/>
  <c r="J41" i="56"/>
  <c r="J59" i="56"/>
  <c r="L106" i="56"/>
  <c r="J55" i="56"/>
  <c r="N19" i="56"/>
  <c r="L124" i="56"/>
  <c r="N122" i="56"/>
  <c r="N78" i="56"/>
  <c r="I38" i="56"/>
  <c r="N49" i="56"/>
  <c r="N129" i="56"/>
  <c r="L42" i="56"/>
  <c r="I80" i="56"/>
  <c r="I39" i="56"/>
  <c r="I58" i="56"/>
  <c r="L41" i="56"/>
  <c r="N108" i="56"/>
  <c r="J45" i="56"/>
  <c r="N69" i="56"/>
  <c r="I77" i="56"/>
  <c r="N65" i="56"/>
  <c r="N52" i="56"/>
  <c r="L36" i="56"/>
  <c r="C8" i="56"/>
  <c r="J58" i="56"/>
  <c r="J66" i="56"/>
  <c r="L68" i="56"/>
  <c r="L133" i="56"/>
  <c r="L35" i="56"/>
  <c r="N102" i="56"/>
  <c r="I76" i="56"/>
  <c r="L115" i="56"/>
  <c r="J67" i="56"/>
  <c r="N99" i="56"/>
  <c r="N77" i="56"/>
  <c r="N114" i="56"/>
  <c r="N36" i="56"/>
  <c r="J38" i="56"/>
  <c r="J72" i="56"/>
  <c r="L38" i="56"/>
  <c r="L123" i="56"/>
  <c r="L39" i="56"/>
  <c r="C5" i="56"/>
  <c r="I83" i="56"/>
  <c r="J92" i="56"/>
  <c r="L78" i="56"/>
  <c r="L50" i="56"/>
  <c r="N45" i="56"/>
  <c r="L136" i="56"/>
  <c r="J78" i="56"/>
  <c r="I65" i="56"/>
  <c r="I86" i="56"/>
  <c r="L45" i="56"/>
  <c r="N91" i="56"/>
  <c r="N35" i="56"/>
  <c r="I42" i="56"/>
  <c r="C2" i="56"/>
  <c r="N38" i="56"/>
  <c r="L108" i="56"/>
  <c r="J70" i="56"/>
  <c r="L51" i="56"/>
  <c r="L114" i="56"/>
  <c r="J47" i="56"/>
  <c r="N68" i="56"/>
  <c r="C7" i="56"/>
  <c r="J87" i="56"/>
  <c r="N57" i="56"/>
  <c r="I70" i="56"/>
  <c r="N119" i="56"/>
  <c r="N101" i="56"/>
  <c r="N107" i="56"/>
  <c r="L65" i="56"/>
  <c r="L49" i="56"/>
  <c r="I35" i="56"/>
  <c r="L86" i="56"/>
  <c r="N37" i="56"/>
  <c r="I78" i="56"/>
  <c r="J88" i="56"/>
  <c r="J75" i="56"/>
  <c r="N137" i="56"/>
  <c r="L76" i="56"/>
  <c r="J60" i="56"/>
  <c r="L62" i="56"/>
  <c r="B19" i="56"/>
  <c r="N60" i="56"/>
  <c r="J49" i="56"/>
  <c r="L119" i="56"/>
  <c r="L139" i="56"/>
  <c r="J42" i="56"/>
  <c r="J69" i="56"/>
  <c r="L125" i="56"/>
  <c r="N135" i="56"/>
  <c r="N66" i="56"/>
  <c r="L52" i="56"/>
  <c r="L47" i="56"/>
  <c r="N138" i="56"/>
  <c r="N115" i="56"/>
  <c r="J81" i="56"/>
  <c r="N134" i="56"/>
  <c r="I47" i="56"/>
  <c r="N124" i="56"/>
  <c r="L58" i="56"/>
  <c r="I55" i="56"/>
  <c r="L46" i="56"/>
  <c r="I45" i="56"/>
  <c r="N47" i="56"/>
  <c r="N55" i="56"/>
  <c r="N67" i="56"/>
  <c r="B23" i="56"/>
  <c r="L126" i="56"/>
  <c r="L57" i="56"/>
  <c r="N126" i="56"/>
  <c r="N133" i="56"/>
  <c r="L132" i="56"/>
  <c r="I72" i="56"/>
  <c r="L130" i="56"/>
  <c r="I61" i="56"/>
  <c r="I40" i="56"/>
  <c r="I67" i="56"/>
  <c r="I62" i="56"/>
  <c r="J91" i="56"/>
  <c r="N85" i="56"/>
  <c r="L75" i="56"/>
  <c r="L101" i="56"/>
  <c r="L61" i="56"/>
  <c r="E6" i="56"/>
  <c r="L116" i="56"/>
  <c r="J85" i="56"/>
  <c r="N39" i="56"/>
  <c r="I49" i="56"/>
  <c r="N100" i="56"/>
  <c r="L138" i="56"/>
  <c r="N42" i="56"/>
  <c r="N117" i="56"/>
  <c r="L77" i="56"/>
  <c r="J83" i="56"/>
  <c r="I57" i="56"/>
  <c r="J40" i="56"/>
  <c r="L100" i="56"/>
  <c r="L131" i="56"/>
  <c r="L37" i="56"/>
  <c r="L56" i="56"/>
  <c r="L111" i="56"/>
  <c r="J68" i="56"/>
  <c r="I79" i="56"/>
  <c r="N72" i="56"/>
  <c r="J46" i="56"/>
  <c r="N40" i="56"/>
  <c r="N125" i="56"/>
  <c r="J52" i="56"/>
  <c r="L135" i="56"/>
  <c r="J62" i="56"/>
  <c r="N71" i="56"/>
  <c r="N88" i="56"/>
  <c r="I68" i="56"/>
  <c r="I92" i="56"/>
  <c r="J71" i="56"/>
  <c r="I91" i="56"/>
  <c r="L118" i="56"/>
  <c r="L137" i="56"/>
  <c r="L140" i="56"/>
  <c r="N139" i="56"/>
  <c r="L60" i="56"/>
  <c r="N110" i="56"/>
  <c r="N79" i="56"/>
  <c r="N62" i="56"/>
  <c r="N41" i="56"/>
  <c r="N116" i="56"/>
  <c r="N123" i="56"/>
  <c r="N76" i="56"/>
  <c r="L99" i="56"/>
  <c r="N59" i="56"/>
  <c r="L70" i="56"/>
  <c r="L59" i="56"/>
  <c r="L109" i="56"/>
  <c r="L81" i="56"/>
  <c r="L48" i="56"/>
  <c r="I37" i="56"/>
  <c r="L98" i="56"/>
  <c r="L102" i="56"/>
  <c r="I75" i="56"/>
  <c r="I88" i="56"/>
  <c r="N111" i="56"/>
  <c r="N83" i="56"/>
  <c r="L40" i="56"/>
  <c r="N130" i="56"/>
  <c r="N48" i="56"/>
  <c r="N118" i="56"/>
  <c r="C1" i="56"/>
  <c r="I85" i="56"/>
  <c r="J77" i="56"/>
  <c r="J48" i="56"/>
  <c r="N140" i="56"/>
  <c r="L122" i="56"/>
  <c r="I87" i="56"/>
  <c r="N61" i="56"/>
  <c r="N103" i="56"/>
  <c r="L83" i="56"/>
  <c r="I60" i="56"/>
  <c r="J57" i="56"/>
  <c r="N56" i="56"/>
  <c r="N80" i="56"/>
  <c r="J35" i="56"/>
  <c r="N136" i="56"/>
  <c r="L72" i="56"/>
  <c r="L117" i="56"/>
  <c r="N92" i="56"/>
  <c r="I81" i="56"/>
  <c r="L121" i="56"/>
  <c r="L71" i="56"/>
  <c r="I51" i="56"/>
  <c r="N81" i="56"/>
  <c r="J79" i="56"/>
  <c r="J51" i="56"/>
  <c r="N86" i="56"/>
  <c r="L69" i="56"/>
  <c r="I59" i="56"/>
  <c r="J36" i="56"/>
  <c r="L134" i="56"/>
  <c r="I66" i="56"/>
  <c r="I56" i="56"/>
  <c r="B3" i="56"/>
  <c r="L67" i="56"/>
  <c r="I41" i="56"/>
  <c r="L66" i="56"/>
  <c r="N75" i="56"/>
  <c r="C6" i="56"/>
  <c r="I71" i="56"/>
  <c r="I52" i="56"/>
  <c r="N87" i="56"/>
  <c r="L85" i="56"/>
  <c r="N132" i="56"/>
  <c r="I36" i="56"/>
  <c r="N98" i="56"/>
  <c r="L107" i="56"/>
  <c r="I48" i="56"/>
  <c r="I69" i="56"/>
  <c r="N70" i="56"/>
  <c r="N58" i="56"/>
  <c r="L103" i="56"/>
  <c r="N46" i="56"/>
  <c r="J50" i="56"/>
  <c r="N106" i="56"/>
  <c r="J76" i="56"/>
  <c r="N131" i="56"/>
  <c r="L80" i="56"/>
  <c r="J80" i="56"/>
  <c r="L110" i="56"/>
  <c r="N109" i="56"/>
  <c r="L87" i="56"/>
  <c r="I46" i="56"/>
  <c r="N50" i="56"/>
  <c r="J65" i="56"/>
  <c r="N20" i="56"/>
  <c r="J37" i="56"/>
  <c r="J56" i="56"/>
  <c r="L55" i="56"/>
  <c r="L79" i="56"/>
  <c r="I50" i="56"/>
  <c r="I60" i="52"/>
  <c r="I75" i="52"/>
  <c r="C7" i="52"/>
  <c r="J60" i="52"/>
  <c r="N79" i="52"/>
  <c r="N60" i="52"/>
  <c r="J87" i="52"/>
  <c r="B120" i="52"/>
  <c r="C6" i="52"/>
  <c r="L76" i="52"/>
  <c r="J79" i="52"/>
  <c r="J71" i="52"/>
  <c r="N78" i="52"/>
  <c r="C5" i="52"/>
  <c r="B85" i="52"/>
  <c r="J75" i="52"/>
  <c r="I33" i="52"/>
  <c r="I87" i="52"/>
  <c r="J61" i="52"/>
  <c r="I71" i="52"/>
  <c r="N20" i="52"/>
  <c r="J82" i="52"/>
  <c r="B3" i="52"/>
  <c r="B88" i="52"/>
  <c r="B23" i="52"/>
  <c r="J33" i="52"/>
  <c r="N83" i="52"/>
  <c r="J34" i="52"/>
  <c r="I35" i="52"/>
  <c r="E6" i="52"/>
  <c r="C1" i="52"/>
  <c r="N85" i="52"/>
  <c r="B55" i="52"/>
  <c r="N76" i="52"/>
  <c r="I78" i="52"/>
  <c r="B22" i="52"/>
  <c r="I62" i="52"/>
  <c r="B52" i="52"/>
  <c r="N35" i="52"/>
  <c r="N88" i="52"/>
  <c r="I61" i="52"/>
  <c r="B19" i="52"/>
  <c r="N26" i="52"/>
  <c r="L62" i="52"/>
  <c r="N34" i="52"/>
  <c r="L83" i="52"/>
  <c r="J76" i="52"/>
  <c r="I79" i="52"/>
  <c r="N75" i="52"/>
  <c r="I85" i="52"/>
  <c r="J88" i="52"/>
  <c r="N82" i="52"/>
  <c r="J83" i="52"/>
  <c r="N74" i="52"/>
  <c r="C8" i="52"/>
  <c r="J78" i="52"/>
  <c r="N33" i="52"/>
  <c r="N71" i="52"/>
  <c r="N19" i="52"/>
  <c r="B89" i="52"/>
  <c r="J35" i="52"/>
  <c r="L78" i="52"/>
  <c r="I34" i="52"/>
  <c r="I74" i="52"/>
  <c r="J62" i="52"/>
  <c r="N87" i="52"/>
  <c r="I82" i="52"/>
  <c r="I72" i="52"/>
  <c r="J74" i="52"/>
  <c r="J72" i="52"/>
  <c r="N61" i="52"/>
  <c r="N62" i="52"/>
  <c r="J85" i="52"/>
  <c r="B56" i="52"/>
  <c r="B116" i="52"/>
  <c r="N72" i="52"/>
  <c r="L79" i="52"/>
  <c r="I76" i="52"/>
  <c r="L35" i="52"/>
  <c r="I88" i="52"/>
  <c r="C2" i="52"/>
  <c r="I83" i="52"/>
  <c r="N36" i="55"/>
  <c r="I70" i="55"/>
  <c r="L72" i="55"/>
  <c r="L61" i="55"/>
  <c r="J37" i="55"/>
  <c r="N92" i="55"/>
  <c r="J45" i="55"/>
  <c r="N116" i="55"/>
  <c r="L45" i="55"/>
  <c r="J46" i="55"/>
  <c r="J55" i="55"/>
  <c r="N135" i="55"/>
  <c r="N136" i="55"/>
  <c r="J62" i="55"/>
  <c r="L60" i="55"/>
  <c r="N49" i="55"/>
  <c r="J35" i="55"/>
  <c r="N124" i="55"/>
  <c r="N138" i="55"/>
  <c r="C7" i="55"/>
  <c r="I50" i="55"/>
  <c r="N119" i="55"/>
  <c r="N41" i="55"/>
  <c r="J52" i="55"/>
  <c r="L115" i="55"/>
  <c r="I52" i="55"/>
  <c r="N125" i="55"/>
  <c r="I66" i="55"/>
  <c r="L66" i="55"/>
  <c r="C8" i="55"/>
  <c r="C5" i="55"/>
  <c r="N85" i="55"/>
  <c r="L116" i="55"/>
  <c r="I69" i="55"/>
  <c r="J66" i="55"/>
  <c r="N103" i="55"/>
  <c r="I41" i="55"/>
  <c r="J83" i="55"/>
  <c r="N117" i="55"/>
  <c r="N39" i="55"/>
  <c r="J59" i="55"/>
  <c r="I42" i="55"/>
  <c r="N71" i="55"/>
  <c r="N81" i="55"/>
  <c r="J71" i="55"/>
  <c r="N102" i="55"/>
  <c r="N50" i="55"/>
  <c r="N123" i="55"/>
  <c r="L42" i="55"/>
  <c r="L130" i="55"/>
  <c r="I38" i="55"/>
  <c r="J79" i="55"/>
  <c r="N77" i="55"/>
  <c r="L39" i="55"/>
  <c r="I67" i="55"/>
  <c r="N47" i="55"/>
  <c r="N101" i="55"/>
  <c r="J42" i="55"/>
  <c r="L38" i="55"/>
  <c r="N107" i="55"/>
  <c r="C6" i="55"/>
  <c r="I85" i="55"/>
  <c r="I47" i="55"/>
  <c r="L119" i="55"/>
  <c r="L114" i="55"/>
  <c r="N56" i="55"/>
  <c r="N59" i="55"/>
  <c r="I86" i="55"/>
  <c r="L36" i="55"/>
  <c r="I68" i="55"/>
  <c r="L135" i="55"/>
  <c r="I91" i="55"/>
  <c r="J36" i="55"/>
  <c r="N68" i="55"/>
  <c r="C1" i="55"/>
  <c r="N100" i="55"/>
  <c r="L132" i="55"/>
  <c r="L137" i="55"/>
  <c r="J67" i="55"/>
  <c r="J69" i="55"/>
  <c r="N98" i="55"/>
  <c r="N48" i="55"/>
  <c r="L71" i="55"/>
  <c r="L57" i="55"/>
  <c r="N140" i="55"/>
  <c r="I59" i="55"/>
  <c r="J78" i="55"/>
  <c r="N40" i="55"/>
  <c r="J56" i="55"/>
  <c r="N134" i="55"/>
  <c r="I39" i="55"/>
  <c r="N45" i="55"/>
  <c r="L62" i="55"/>
  <c r="J75" i="55"/>
  <c r="L123" i="55"/>
  <c r="I83" i="55"/>
  <c r="J48" i="55"/>
  <c r="N35" i="55"/>
  <c r="N78" i="55"/>
  <c r="L68" i="55"/>
  <c r="L81" i="55"/>
  <c r="J77" i="55"/>
  <c r="I48" i="55"/>
  <c r="L49" i="55"/>
  <c r="B3" i="55"/>
  <c r="J47" i="55"/>
  <c r="L46" i="55"/>
  <c r="J39" i="55"/>
  <c r="N86" i="55"/>
  <c r="L56" i="55"/>
  <c r="I81" i="55"/>
  <c r="I87" i="55"/>
  <c r="I92" i="55"/>
  <c r="I55" i="55"/>
  <c r="I57" i="55"/>
  <c r="J38" i="55"/>
  <c r="C2" i="55"/>
  <c r="N55" i="55"/>
  <c r="L65" i="55"/>
  <c r="L85" i="55"/>
  <c r="N60" i="55"/>
  <c r="N130" i="55"/>
  <c r="N122" i="55"/>
  <c r="L51" i="55"/>
  <c r="L99" i="55"/>
  <c r="N46" i="55"/>
  <c r="I88" i="55"/>
  <c r="N121" i="55"/>
  <c r="I62" i="55"/>
  <c r="N61" i="55"/>
  <c r="I45" i="55"/>
  <c r="L59" i="55"/>
  <c r="J91" i="55"/>
  <c r="J61" i="55"/>
  <c r="J49" i="55"/>
  <c r="L83" i="55"/>
  <c r="L103" i="55"/>
  <c r="N114" i="55"/>
  <c r="N83" i="55"/>
  <c r="L117" i="55"/>
  <c r="L122" i="55"/>
  <c r="N139" i="55"/>
  <c r="L136" i="55"/>
  <c r="L102" i="55"/>
  <c r="J92" i="55"/>
  <c r="N76" i="55"/>
  <c r="J57" i="55"/>
  <c r="J88" i="55"/>
  <c r="N37" i="55"/>
  <c r="L78" i="55"/>
  <c r="J76" i="55"/>
  <c r="N80" i="55"/>
  <c r="L48" i="55"/>
  <c r="N66" i="55"/>
  <c r="L47" i="55"/>
  <c r="I40" i="55"/>
  <c r="N106" i="55"/>
  <c r="N52" i="55"/>
  <c r="I60" i="55"/>
  <c r="N69" i="55"/>
  <c r="N88" i="55"/>
  <c r="N20" i="55"/>
  <c r="N79" i="55"/>
  <c r="I37" i="55"/>
  <c r="L37" i="55"/>
  <c r="N58" i="55"/>
  <c r="I78" i="55"/>
  <c r="N62" i="55"/>
  <c r="N109" i="55"/>
  <c r="J86" i="55"/>
  <c r="I77" i="55"/>
  <c r="L125" i="55"/>
  <c r="I75" i="55"/>
  <c r="L87" i="55"/>
  <c r="L110" i="55"/>
  <c r="L76" i="55"/>
  <c r="J72" i="55"/>
  <c r="I72" i="55"/>
  <c r="N57" i="55"/>
  <c r="J51" i="55"/>
  <c r="L50" i="55"/>
  <c r="L77" i="55"/>
  <c r="I71" i="55"/>
  <c r="L124" i="55"/>
  <c r="J68" i="55"/>
  <c r="B19" i="55"/>
  <c r="N132" i="55"/>
  <c r="L126" i="55"/>
  <c r="L80" i="55"/>
  <c r="B23" i="55"/>
  <c r="N72" i="55"/>
  <c r="I58" i="55"/>
  <c r="L86" i="55"/>
  <c r="J65" i="55"/>
  <c r="L111" i="55"/>
  <c r="L121" i="55"/>
  <c r="L75" i="55"/>
  <c r="N126" i="55"/>
  <c r="J58" i="55"/>
  <c r="L41" i="55"/>
  <c r="J40" i="55"/>
  <c r="N129" i="55"/>
  <c r="L101" i="55"/>
  <c r="L69" i="55"/>
  <c r="L107" i="55"/>
  <c r="J70" i="55"/>
  <c r="L35" i="55"/>
  <c r="N111" i="55"/>
  <c r="N65" i="55"/>
  <c r="E6" i="55"/>
  <c r="N118" i="55"/>
  <c r="L52" i="55"/>
  <c r="N70" i="55"/>
  <c r="I36" i="55"/>
  <c r="L55" i="55"/>
  <c r="I80" i="55"/>
  <c r="N19" i="55"/>
  <c r="N110" i="55"/>
  <c r="I79" i="55"/>
  <c r="L67" i="55"/>
  <c r="L134" i="55"/>
  <c r="J50" i="55"/>
  <c r="I56" i="55"/>
  <c r="N131" i="55"/>
  <c r="I51" i="55"/>
  <c r="L109" i="55"/>
  <c r="J60" i="55"/>
  <c r="J85" i="55"/>
  <c r="I35" i="55"/>
  <c r="L40" i="55"/>
  <c r="I46" i="55"/>
  <c r="N133" i="55"/>
  <c r="L140" i="55"/>
  <c r="L106" i="55"/>
  <c r="N38" i="55"/>
  <c r="J87" i="55"/>
  <c r="N99" i="55"/>
  <c r="N51" i="55"/>
  <c r="N108" i="55"/>
  <c r="L108" i="55"/>
  <c r="L70" i="55"/>
  <c r="L139" i="55"/>
  <c r="I76" i="55"/>
  <c r="L100" i="55"/>
  <c r="N42" i="55"/>
  <c r="I65" i="55"/>
  <c r="I49" i="55"/>
  <c r="J41" i="55"/>
  <c r="L58" i="55"/>
  <c r="N87" i="55"/>
  <c r="L118" i="55"/>
  <c r="N75" i="55"/>
  <c r="N115" i="55"/>
  <c r="L131" i="55"/>
  <c r="L138" i="55"/>
  <c r="L79" i="55"/>
  <c r="J81" i="55"/>
  <c r="N67" i="55"/>
  <c r="L133" i="55"/>
  <c r="N91" i="55"/>
  <c r="J80" i="55"/>
  <c r="L98" i="55"/>
  <c r="N137" i="55"/>
  <c r="I61" i="55"/>
  <c r="J86" i="51"/>
  <c r="I76" i="51"/>
  <c r="J71" i="51"/>
  <c r="J35" i="51"/>
  <c r="B3" i="51"/>
  <c r="N72" i="51"/>
  <c r="J62" i="51"/>
  <c r="N85" i="51"/>
  <c r="N94" i="51"/>
  <c r="I61" i="51"/>
  <c r="B19" i="51"/>
  <c r="N76" i="51"/>
  <c r="N96" i="51"/>
  <c r="I94" i="51"/>
  <c r="J96" i="51"/>
  <c r="C7" i="51"/>
  <c r="L76" i="51"/>
  <c r="C3" i="51"/>
  <c r="N34" i="51"/>
  <c r="N79" i="51"/>
  <c r="L62" i="51"/>
  <c r="J85" i="51"/>
  <c r="C5" i="51"/>
  <c r="C1" i="51"/>
  <c r="I97" i="51"/>
  <c r="C2" i="51"/>
  <c r="I75" i="51"/>
  <c r="N78" i="51"/>
  <c r="I96" i="51"/>
  <c r="N74" i="51"/>
  <c r="E6" i="51"/>
  <c r="I35" i="51"/>
  <c r="J75" i="51"/>
  <c r="I85" i="51"/>
  <c r="B23" i="51"/>
  <c r="B88" i="51"/>
  <c r="C6" i="51"/>
  <c r="L78" i="51"/>
  <c r="B55" i="51"/>
  <c r="N61" i="51"/>
  <c r="L35" i="51"/>
  <c r="J79" i="51"/>
  <c r="J78" i="51"/>
  <c r="N26" i="51"/>
  <c r="I79" i="51"/>
  <c r="I72" i="51"/>
  <c r="J60" i="51"/>
  <c r="J61" i="51"/>
  <c r="N71" i="51"/>
  <c r="I34" i="51"/>
  <c r="J94" i="51"/>
  <c r="N75" i="51"/>
  <c r="J72" i="51"/>
  <c r="N35" i="51"/>
  <c r="B89" i="51"/>
  <c r="I33" i="51"/>
  <c r="N60" i="51"/>
  <c r="B85" i="51"/>
  <c r="N19" i="51"/>
  <c r="I71" i="51"/>
  <c r="N97" i="51"/>
  <c r="L79" i="51"/>
  <c r="J97" i="51"/>
  <c r="N62" i="51"/>
  <c r="J33" i="51"/>
  <c r="I74" i="51"/>
  <c r="B120" i="51"/>
  <c r="J76" i="51"/>
  <c r="B56" i="51"/>
  <c r="L86" i="51"/>
  <c r="I86" i="51"/>
  <c r="I60" i="51"/>
  <c r="N86" i="51"/>
  <c r="J34" i="51"/>
  <c r="I62" i="51"/>
  <c r="J74" i="51"/>
  <c r="B52" i="51"/>
  <c r="B22" i="51"/>
  <c r="N20" i="51"/>
  <c r="I78" i="51"/>
  <c r="B116" i="51"/>
  <c r="N33" i="51"/>
  <c r="C8" i="51"/>
  <c r="N69" i="39"/>
  <c r="L37" i="39"/>
  <c r="J61" i="39"/>
  <c r="I86" i="39"/>
  <c r="L58" i="39"/>
  <c r="N45" i="39"/>
  <c r="L71" i="39"/>
  <c r="J52" i="39"/>
  <c r="N83" i="39"/>
  <c r="J66" i="39"/>
  <c r="I52" i="39"/>
  <c r="N20" i="39"/>
  <c r="E6" i="39"/>
  <c r="L130" i="39"/>
  <c r="N123" i="39"/>
  <c r="N60" i="39"/>
  <c r="J68" i="39"/>
  <c r="N110" i="39"/>
  <c r="L86" i="39"/>
  <c r="L55" i="39"/>
  <c r="L106" i="39"/>
  <c r="L126" i="39"/>
  <c r="I37" i="39"/>
  <c r="N115" i="39"/>
  <c r="N109" i="39"/>
  <c r="C8" i="39"/>
  <c r="L45" i="39"/>
  <c r="N36" i="39"/>
  <c r="N122" i="39"/>
  <c r="B3" i="39"/>
  <c r="L137" i="39"/>
  <c r="N50" i="39"/>
  <c r="C5" i="39"/>
  <c r="N37" i="39"/>
  <c r="N92" i="39"/>
  <c r="L140" i="39"/>
  <c r="J78" i="39"/>
  <c r="L52" i="39"/>
  <c r="J60" i="39"/>
  <c r="I39" i="39"/>
  <c r="N39" i="39"/>
  <c r="L40" i="39"/>
  <c r="I88" i="39"/>
  <c r="J35" i="39"/>
  <c r="I35" i="39"/>
  <c r="L48" i="39"/>
  <c r="J70" i="39"/>
  <c r="I75" i="39"/>
  <c r="J58" i="39"/>
  <c r="I80" i="39"/>
  <c r="L79" i="39"/>
  <c r="L139" i="39"/>
  <c r="I59" i="39"/>
  <c r="J80" i="39"/>
  <c r="I70" i="39"/>
  <c r="N140" i="39"/>
  <c r="J92" i="39"/>
  <c r="L39" i="39"/>
  <c r="L65" i="39"/>
  <c r="N119" i="39"/>
  <c r="L47" i="39"/>
  <c r="N137" i="39"/>
  <c r="I60" i="39"/>
  <c r="J55" i="39"/>
  <c r="I71" i="39"/>
  <c r="J37" i="39"/>
  <c r="J85" i="39"/>
  <c r="C1" i="39"/>
  <c r="N99" i="39"/>
  <c r="L59" i="39"/>
  <c r="N106" i="39"/>
  <c r="N78" i="39"/>
  <c r="L60" i="39"/>
  <c r="I41" i="39"/>
  <c r="I66" i="39"/>
  <c r="L49" i="39"/>
  <c r="C7" i="39"/>
  <c r="I65" i="39"/>
  <c r="N19" i="39"/>
  <c r="N75" i="39"/>
  <c r="L132" i="39"/>
  <c r="L122" i="39"/>
  <c r="I50" i="39"/>
  <c r="L117" i="39"/>
  <c r="L42" i="39"/>
  <c r="N125" i="39"/>
  <c r="N65" i="39"/>
  <c r="L81" i="39"/>
  <c r="L75" i="39"/>
  <c r="L87" i="39"/>
  <c r="L111" i="39"/>
  <c r="L69" i="39"/>
  <c r="N100" i="39"/>
  <c r="J42" i="39"/>
  <c r="N48" i="39"/>
  <c r="B23" i="39"/>
  <c r="N55" i="39"/>
  <c r="I67" i="39"/>
  <c r="L51" i="39"/>
  <c r="L119" i="39"/>
  <c r="I77" i="39"/>
  <c r="L108" i="39"/>
  <c r="J59" i="39"/>
  <c r="L125" i="39"/>
  <c r="J76" i="39"/>
  <c r="N81" i="39"/>
  <c r="L116" i="39"/>
  <c r="L41" i="39"/>
  <c r="N86" i="39"/>
  <c r="L80" i="39"/>
  <c r="N47" i="39"/>
  <c r="I40" i="39"/>
  <c r="J75" i="39"/>
  <c r="L70" i="39"/>
  <c r="J45" i="39"/>
  <c r="N114" i="39"/>
  <c r="N118" i="39"/>
  <c r="L134" i="39"/>
  <c r="L38" i="39"/>
  <c r="N42" i="39"/>
  <c r="J50" i="39"/>
  <c r="I76" i="39"/>
  <c r="B19" i="39"/>
  <c r="N107" i="39"/>
  <c r="N68" i="39"/>
  <c r="N134" i="39"/>
  <c r="N71" i="39"/>
  <c r="N51" i="39"/>
  <c r="J77" i="39"/>
  <c r="C2" i="39"/>
  <c r="L138" i="39"/>
  <c r="J40" i="39"/>
  <c r="N85" i="39"/>
  <c r="I55" i="39"/>
  <c r="N79" i="39"/>
  <c r="I42" i="39"/>
  <c r="N52" i="39"/>
  <c r="J47" i="39"/>
  <c r="L72" i="39"/>
  <c r="J62" i="39"/>
  <c r="I58" i="39"/>
  <c r="L83" i="39"/>
  <c r="L118" i="39"/>
  <c r="L67" i="39"/>
  <c r="N135" i="39"/>
  <c r="J36" i="39"/>
  <c r="L124" i="39"/>
  <c r="I85" i="39"/>
  <c r="L103" i="39"/>
  <c r="N58" i="39"/>
  <c r="N62" i="39"/>
  <c r="I49" i="39"/>
  <c r="I83" i="39"/>
  <c r="L46" i="39"/>
  <c r="N67" i="39"/>
  <c r="J71" i="39"/>
  <c r="L121" i="39"/>
  <c r="L114" i="39"/>
  <c r="N136" i="39"/>
  <c r="J41" i="39"/>
  <c r="I57" i="39"/>
  <c r="L123" i="39"/>
  <c r="L107" i="39"/>
  <c r="N59" i="39"/>
  <c r="N49" i="39"/>
  <c r="I46" i="39"/>
  <c r="N133" i="39"/>
  <c r="L85" i="39"/>
  <c r="J48" i="39"/>
  <c r="N138" i="39"/>
  <c r="J81" i="39"/>
  <c r="I72" i="39"/>
  <c r="J57" i="39"/>
  <c r="L56" i="39"/>
  <c r="L50" i="39"/>
  <c r="L135" i="39"/>
  <c r="N76" i="39"/>
  <c r="N38" i="39"/>
  <c r="L131" i="39"/>
  <c r="L76" i="39"/>
  <c r="J72" i="39"/>
  <c r="L68" i="39"/>
  <c r="I51" i="39"/>
  <c r="N41" i="39"/>
  <c r="N130" i="39"/>
  <c r="J39" i="39"/>
  <c r="J49" i="39"/>
  <c r="N70" i="39"/>
  <c r="I56" i="39"/>
  <c r="I92" i="39"/>
  <c r="J86" i="39"/>
  <c r="L110" i="39"/>
  <c r="N103" i="39"/>
  <c r="J87" i="39"/>
  <c r="N121" i="39"/>
  <c r="I45" i="39"/>
  <c r="N56" i="39"/>
  <c r="L36" i="39"/>
  <c r="N80" i="39"/>
  <c r="N91" i="39"/>
  <c r="J88" i="39"/>
  <c r="N129" i="39"/>
  <c r="L115" i="39"/>
  <c r="I61" i="39"/>
  <c r="J65" i="39"/>
  <c r="J83" i="39"/>
  <c r="I68" i="39"/>
  <c r="N46" i="39"/>
  <c r="N102" i="39"/>
  <c r="I62" i="39"/>
  <c r="J51" i="39"/>
  <c r="J91" i="39"/>
  <c r="N101" i="39"/>
  <c r="N98" i="39"/>
  <c r="N77" i="39"/>
  <c r="J38" i="39"/>
  <c r="J46" i="39"/>
  <c r="I36" i="39"/>
  <c r="N66" i="39"/>
  <c r="L109" i="39"/>
  <c r="L66" i="39"/>
  <c r="L77" i="39"/>
  <c r="J67" i="39"/>
  <c r="L78" i="39"/>
  <c r="L100" i="39"/>
  <c r="N132" i="39"/>
  <c r="N87" i="39"/>
  <c r="I38" i="39"/>
  <c r="N35" i="39"/>
  <c r="N126" i="39"/>
  <c r="L57" i="39"/>
  <c r="N108" i="39"/>
  <c r="I81" i="39"/>
  <c r="I69" i="39"/>
  <c r="N88" i="39"/>
  <c r="I78" i="39"/>
  <c r="C6" i="39"/>
  <c r="I48" i="39"/>
  <c r="N72" i="39"/>
  <c r="L61" i="39"/>
  <c r="L102" i="39"/>
  <c r="L35" i="39"/>
  <c r="I79" i="39"/>
  <c r="L98" i="39"/>
  <c r="N61" i="39"/>
  <c r="N117" i="39"/>
  <c r="L99" i="39"/>
  <c r="L133" i="39"/>
  <c r="N40" i="39"/>
  <c r="N139" i="39"/>
  <c r="N116" i="39"/>
  <c r="L101" i="39"/>
  <c r="L62" i="39"/>
  <c r="N131" i="39"/>
  <c r="I87" i="39"/>
  <c r="J56" i="39"/>
  <c r="N124" i="39"/>
  <c r="J69" i="39"/>
  <c r="J79" i="39"/>
  <c r="N111" i="39"/>
  <c r="I47" i="39"/>
  <c r="N57" i="39"/>
  <c r="I91" i="39"/>
  <c r="L136" i="39"/>
  <c r="L93" i="9"/>
  <c r="I60" i="9"/>
  <c r="N76" i="9"/>
  <c r="I79" i="9"/>
  <c r="C8" i="9"/>
  <c r="N121" i="9"/>
  <c r="I78" i="9"/>
  <c r="C7" i="9"/>
  <c r="I62" i="9"/>
  <c r="N35" i="9"/>
  <c r="I119" i="9"/>
  <c r="B56" i="9"/>
  <c r="L76" i="9"/>
  <c r="N61" i="9"/>
  <c r="N72" i="9"/>
  <c r="N92" i="9"/>
  <c r="J60" i="9"/>
  <c r="B88" i="9"/>
  <c r="J76" i="9"/>
  <c r="I35" i="9"/>
  <c r="N20" i="9"/>
  <c r="N60" i="9"/>
  <c r="I93" i="9"/>
  <c r="L35" i="9"/>
  <c r="J79" i="9"/>
  <c r="J121" i="9"/>
  <c r="E6" i="9"/>
  <c r="J122" i="9"/>
  <c r="J35" i="9"/>
  <c r="B23" i="9"/>
  <c r="B85" i="9"/>
  <c r="L78" i="9"/>
  <c r="N78" i="9"/>
  <c r="B52" i="9"/>
  <c r="B19" i="9"/>
  <c r="J71" i="9"/>
  <c r="I72" i="9"/>
  <c r="J75" i="9"/>
  <c r="N119" i="9"/>
  <c r="J119" i="9"/>
  <c r="I121" i="9"/>
  <c r="I122" i="9"/>
  <c r="L79" i="9"/>
  <c r="I75" i="9"/>
  <c r="J72" i="9"/>
  <c r="N122" i="9"/>
  <c r="B3" i="9"/>
  <c r="L62" i="9"/>
  <c r="C5" i="9"/>
  <c r="J93" i="9"/>
  <c r="I33" i="9"/>
  <c r="J92" i="9"/>
  <c r="J62" i="9"/>
  <c r="I34" i="9"/>
  <c r="C6" i="9"/>
  <c r="J34" i="9"/>
  <c r="N71" i="9"/>
  <c r="I76" i="9"/>
  <c r="J61" i="9"/>
  <c r="B89" i="9"/>
  <c r="N74" i="9"/>
  <c r="J33" i="9"/>
  <c r="C3" i="9"/>
  <c r="C1" i="9"/>
  <c r="I61" i="9"/>
  <c r="N75" i="9"/>
  <c r="J74" i="9"/>
  <c r="J78" i="9"/>
  <c r="N79" i="9"/>
  <c r="N33" i="9"/>
  <c r="N19" i="9"/>
  <c r="N62" i="9"/>
  <c r="I92" i="9"/>
  <c r="N34" i="9"/>
  <c r="B55" i="9"/>
  <c r="I74" i="9"/>
  <c r="I71" i="9"/>
  <c r="B22" i="9"/>
  <c r="B120" i="9"/>
  <c r="N26" i="9"/>
  <c r="C2" i="9"/>
  <c r="B116" i="9"/>
  <c r="N93" i="9"/>
  <c r="N54" i="18"/>
  <c r="I63" i="18"/>
  <c r="C1" i="18"/>
  <c r="C6" i="18"/>
  <c r="J33" i="18"/>
  <c r="J58" i="18"/>
  <c r="N27" i="18"/>
  <c r="J55" i="18"/>
  <c r="C2" i="18"/>
  <c r="N52" i="18"/>
  <c r="N50" i="18"/>
  <c r="J64" i="18"/>
  <c r="J47" i="18"/>
  <c r="I48" i="18"/>
  <c r="B81" i="18"/>
  <c r="B77" i="18"/>
  <c r="I59" i="18"/>
  <c r="I42" i="18"/>
  <c r="N63" i="18"/>
  <c r="I54" i="18"/>
  <c r="B3" i="18"/>
  <c r="J50" i="18"/>
  <c r="B52" i="18"/>
  <c r="B112" i="18"/>
  <c r="N61" i="18"/>
  <c r="N33" i="18"/>
  <c r="L52" i="18"/>
  <c r="L34" i="18"/>
  <c r="N42" i="18"/>
  <c r="N19" i="18"/>
  <c r="J42" i="18"/>
  <c r="L59" i="18"/>
  <c r="E6" i="18"/>
  <c r="I64" i="18"/>
  <c r="C7" i="18"/>
  <c r="N34" i="18"/>
  <c r="I41" i="18"/>
  <c r="I50" i="18"/>
  <c r="N55" i="18"/>
  <c r="I58" i="18"/>
  <c r="J61" i="18"/>
  <c r="L42" i="18"/>
  <c r="N47" i="18"/>
  <c r="B23" i="18"/>
  <c r="C5" i="18"/>
  <c r="I33" i="18"/>
  <c r="I52" i="18"/>
  <c r="J48" i="18"/>
  <c r="J63" i="18"/>
  <c r="I51" i="18"/>
  <c r="J59" i="18"/>
  <c r="J51" i="18"/>
  <c r="J41" i="18"/>
  <c r="I61" i="18"/>
  <c r="C8" i="18"/>
  <c r="N41" i="18"/>
  <c r="N59" i="18"/>
  <c r="J54" i="18"/>
  <c r="N51" i="18"/>
  <c r="B22" i="18"/>
  <c r="N58" i="18"/>
  <c r="I34" i="18"/>
  <c r="I47" i="18"/>
  <c r="N48" i="18"/>
  <c r="I55" i="18"/>
  <c r="B19" i="18"/>
  <c r="J52" i="18"/>
  <c r="L54" i="18"/>
  <c r="B108" i="18"/>
  <c r="B48" i="18"/>
  <c r="J34" i="18"/>
  <c r="N64" i="18"/>
  <c r="B51" i="18"/>
  <c r="L55" i="18"/>
  <c r="B80" i="18"/>
  <c r="M63" i="37"/>
  <c r="J83" i="37"/>
  <c r="B23" i="37"/>
  <c r="M76" i="37"/>
  <c r="M64" i="37"/>
  <c r="I97" i="37"/>
  <c r="M97" i="37"/>
  <c r="I53" i="37"/>
  <c r="I40" i="37"/>
  <c r="J56" i="37"/>
  <c r="I105" i="37"/>
  <c r="J103" i="37"/>
  <c r="J102" i="37"/>
  <c r="M93" i="37"/>
  <c r="J58" i="37"/>
  <c r="J78" i="37"/>
  <c r="B3" i="37"/>
  <c r="I35" i="37"/>
  <c r="M87" i="37"/>
  <c r="J104" i="37"/>
  <c r="M54" i="37"/>
  <c r="I101" i="37"/>
  <c r="J48" i="37"/>
  <c r="M94" i="37"/>
  <c r="M33" i="37"/>
  <c r="M56" i="37"/>
  <c r="J41" i="37"/>
  <c r="I104" i="37"/>
  <c r="M37" i="37"/>
  <c r="I58" i="37"/>
  <c r="M83" i="37"/>
  <c r="J101" i="37"/>
  <c r="M42" i="37"/>
  <c r="I98" i="37"/>
  <c r="J94" i="37"/>
  <c r="J47" i="37"/>
  <c r="M103" i="37"/>
  <c r="J105" i="37"/>
  <c r="I55" i="37"/>
  <c r="I94" i="37"/>
  <c r="J98" i="37"/>
  <c r="M48" i="37"/>
  <c r="I67" i="37"/>
  <c r="M79" i="37"/>
  <c r="M46" i="37"/>
  <c r="C1" i="37"/>
  <c r="I41" i="37"/>
  <c r="M102" i="37"/>
  <c r="M39" i="37"/>
  <c r="C6" i="37"/>
  <c r="M41" i="37"/>
  <c r="I66" i="37"/>
  <c r="I46" i="37"/>
  <c r="C8" i="37"/>
  <c r="I45" i="37"/>
  <c r="M27" i="37"/>
  <c r="J42" i="37"/>
  <c r="J67" i="37"/>
  <c r="M98" i="37"/>
  <c r="I38" i="37"/>
  <c r="I69" i="37"/>
  <c r="J70" i="37"/>
  <c r="I47" i="37"/>
  <c r="J68" i="37"/>
  <c r="M70" i="37"/>
  <c r="M105" i="37"/>
  <c r="B49" i="37"/>
  <c r="M100" i="37"/>
  <c r="J46" i="37"/>
  <c r="M47" i="37"/>
  <c r="I77" i="37"/>
  <c r="M26" i="37"/>
  <c r="M34" i="37"/>
  <c r="J38" i="37"/>
  <c r="I100" i="37"/>
  <c r="M19" i="37"/>
  <c r="M77" i="37"/>
  <c r="I103" i="37"/>
  <c r="I99" i="37"/>
  <c r="I102" i="37"/>
  <c r="J79" i="37"/>
  <c r="M35" i="37"/>
  <c r="I63" i="37"/>
  <c r="I79" i="37"/>
  <c r="J53" i="37"/>
  <c r="J40" i="37"/>
  <c r="M68" i="37"/>
  <c r="I42" i="37"/>
  <c r="J36" i="37"/>
  <c r="C7" i="37"/>
  <c r="M86" i="37"/>
  <c r="M78" i="37"/>
  <c r="M53" i="37"/>
  <c r="J54" i="37"/>
  <c r="J97" i="37"/>
  <c r="M55" i="37"/>
  <c r="M45" i="37"/>
  <c r="J77" i="37"/>
  <c r="J87" i="37"/>
  <c r="I56" i="37"/>
  <c r="M101" i="37"/>
  <c r="J76" i="37"/>
  <c r="J69" i="37"/>
  <c r="M69" i="37"/>
  <c r="I34" i="37"/>
  <c r="I83" i="37"/>
  <c r="M36" i="37"/>
  <c r="M66" i="37"/>
  <c r="M57" i="37"/>
  <c r="M58" i="37"/>
  <c r="C3" i="37"/>
  <c r="M84" i="37"/>
  <c r="M67" i="37"/>
  <c r="M61" i="37"/>
  <c r="I54" i="37"/>
  <c r="I76" i="37"/>
  <c r="M38" i="37"/>
  <c r="J55" i="37"/>
  <c r="I78" i="37"/>
  <c r="C2" i="37"/>
  <c r="J100" i="37"/>
  <c r="M82" i="37"/>
  <c r="E6" i="37"/>
  <c r="I70" i="37"/>
  <c r="J35" i="37"/>
  <c r="J66" i="37"/>
  <c r="J37" i="37"/>
  <c r="J39" i="37"/>
  <c r="I87" i="37"/>
  <c r="J57" i="37"/>
  <c r="I39" i="37"/>
  <c r="I36" i="37"/>
  <c r="B19" i="37"/>
  <c r="J33" i="37"/>
  <c r="J99" i="37"/>
  <c r="I37" i="37"/>
  <c r="J63" i="37"/>
  <c r="M99" i="37"/>
  <c r="I68" i="37"/>
  <c r="B53" i="37"/>
  <c r="I57" i="37"/>
  <c r="J93" i="37"/>
  <c r="J34" i="37"/>
  <c r="I93" i="37"/>
  <c r="C5" i="37"/>
  <c r="I33" i="37"/>
  <c r="M104" i="37"/>
  <c r="M40" i="37"/>
  <c r="I48" i="37"/>
  <c r="J45" i="37"/>
  <c r="M74" i="37"/>
  <c r="J76" i="29"/>
  <c r="J73" i="29"/>
  <c r="I35" i="29"/>
  <c r="N37" i="29"/>
  <c r="N50" i="29"/>
  <c r="C5" i="29"/>
  <c r="J33" i="29"/>
  <c r="N20" i="29"/>
  <c r="L37" i="29"/>
  <c r="C7" i="29"/>
  <c r="N49" i="29"/>
  <c r="C1" i="29"/>
  <c r="B54" i="29"/>
  <c r="I75" i="29"/>
  <c r="I38" i="29"/>
  <c r="L50" i="29"/>
  <c r="I76" i="29"/>
  <c r="B3" i="29"/>
  <c r="N27" i="29"/>
  <c r="I50" i="29"/>
  <c r="I34" i="29"/>
  <c r="C2" i="29"/>
  <c r="J35" i="29"/>
  <c r="J34" i="29"/>
  <c r="B23" i="29"/>
  <c r="B22" i="29"/>
  <c r="B19" i="29"/>
  <c r="J37" i="29"/>
  <c r="L35" i="29"/>
  <c r="N73" i="29"/>
  <c r="C6" i="29"/>
  <c r="N76" i="29"/>
  <c r="C8" i="29"/>
  <c r="N33" i="29"/>
  <c r="E6" i="29"/>
  <c r="N75" i="29"/>
  <c r="J50" i="29"/>
  <c r="J49" i="29"/>
  <c r="I33" i="29"/>
  <c r="I49" i="29"/>
  <c r="I73" i="29"/>
  <c r="N38" i="29"/>
  <c r="L38" i="29"/>
  <c r="J38" i="29"/>
  <c r="N34" i="29"/>
  <c r="N19" i="29"/>
  <c r="B50" i="29"/>
  <c r="J75" i="29"/>
  <c r="N35" i="29"/>
  <c r="I37" i="29"/>
  <c r="E6" i="4"/>
  <c r="I71" i="4"/>
  <c r="I98" i="4"/>
  <c r="B23" i="4"/>
  <c r="N53" i="4"/>
  <c r="I58" i="4"/>
  <c r="N98" i="4"/>
  <c r="B53" i="4"/>
  <c r="I97" i="4"/>
  <c r="C8" i="4"/>
  <c r="I54" i="4"/>
  <c r="J54" i="4"/>
  <c r="J57" i="4"/>
  <c r="B22" i="4"/>
  <c r="J34" i="4"/>
  <c r="N71" i="4"/>
  <c r="I55" i="4"/>
  <c r="C7" i="4"/>
  <c r="I95" i="4"/>
  <c r="J71" i="4"/>
  <c r="C5" i="4"/>
  <c r="N54" i="4"/>
  <c r="N27" i="4"/>
  <c r="I57" i="4"/>
  <c r="C2" i="4"/>
  <c r="I34" i="4"/>
  <c r="N95" i="4"/>
  <c r="N97" i="4"/>
  <c r="B19" i="4"/>
  <c r="L35" i="4"/>
  <c r="N72" i="4"/>
  <c r="N35" i="4"/>
  <c r="I53" i="4"/>
  <c r="J97" i="4"/>
  <c r="I35" i="4"/>
  <c r="B3" i="4"/>
  <c r="N20" i="4"/>
  <c r="I33" i="4"/>
  <c r="J53" i="4"/>
  <c r="J35" i="4"/>
  <c r="C1" i="4"/>
  <c r="J33" i="4"/>
  <c r="L58" i="4"/>
  <c r="B52" i="4"/>
  <c r="J72" i="4"/>
  <c r="C6" i="4"/>
  <c r="N34" i="4"/>
  <c r="N58" i="4"/>
  <c r="J55" i="4"/>
  <c r="L72" i="4"/>
  <c r="N19" i="4"/>
  <c r="B49" i="4"/>
  <c r="L55" i="4"/>
  <c r="B80" i="4"/>
  <c r="N55" i="4"/>
  <c r="J58" i="4"/>
  <c r="B84" i="4"/>
  <c r="L57" i="4"/>
  <c r="J95" i="4"/>
  <c r="I72" i="4"/>
  <c r="J98" i="4"/>
  <c r="N57" i="4"/>
  <c r="N33" i="4"/>
  <c r="B75" i="21"/>
  <c r="I57" i="21"/>
  <c r="I47" i="21"/>
  <c r="B110" i="21"/>
  <c r="B106" i="21"/>
  <c r="I33" i="21"/>
  <c r="L69" i="21"/>
  <c r="B23" i="21"/>
  <c r="N68" i="21"/>
  <c r="I68" i="21"/>
  <c r="N73" i="21"/>
  <c r="B47" i="21"/>
  <c r="I73" i="21"/>
  <c r="I60" i="21"/>
  <c r="N64" i="21"/>
  <c r="L64" i="21"/>
  <c r="B78" i="21"/>
  <c r="N34" i="21"/>
  <c r="L62" i="21"/>
  <c r="C6" i="21"/>
  <c r="B22" i="21"/>
  <c r="N61" i="21"/>
  <c r="I58" i="21"/>
  <c r="L65" i="21"/>
  <c r="J46" i="21"/>
  <c r="J60" i="21"/>
  <c r="I64" i="21"/>
  <c r="C1" i="21"/>
  <c r="N47" i="21"/>
  <c r="J61" i="21"/>
  <c r="I34" i="21"/>
  <c r="N20" i="21"/>
  <c r="L47" i="21"/>
  <c r="L34" i="21"/>
  <c r="J69" i="21"/>
  <c r="E6" i="21"/>
  <c r="N71" i="21"/>
  <c r="N58" i="21"/>
  <c r="J47" i="21"/>
  <c r="C2" i="21"/>
  <c r="J62" i="21"/>
  <c r="J65" i="21"/>
  <c r="J58" i="21"/>
  <c r="N74" i="21"/>
  <c r="J68" i="21"/>
  <c r="I62" i="21"/>
  <c r="N60" i="21"/>
  <c r="C8" i="21"/>
  <c r="C7" i="21"/>
  <c r="N69" i="21"/>
  <c r="N27" i="21"/>
  <c r="C5" i="21"/>
  <c r="N46" i="21"/>
  <c r="N65" i="21"/>
  <c r="I61" i="21"/>
  <c r="N33" i="21"/>
  <c r="I65" i="21"/>
  <c r="N19" i="21"/>
  <c r="J64" i="21"/>
  <c r="I71" i="21"/>
  <c r="I74" i="21"/>
  <c r="B3" i="21"/>
  <c r="B50" i="21"/>
  <c r="J57" i="21"/>
  <c r="I46" i="21"/>
  <c r="J74" i="21"/>
  <c r="B19" i="21"/>
  <c r="B79" i="21"/>
  <c r="B51" i="21"/>
  <c r="J33" i="21"/>
  <c r="N62" i="21"/>
  <c r="I69" i="21"/>
  <c r="N57" i="21"/>
  <c r="J73" i="21"/>
  <c r="J34" i="21"/>
  <c r="J71" i="21"/>
  <c r="B23" i="7"/>
  <c r="C7" i="7"/>
  <c r="N50" i="7"/>
  <c r="L54" i="7"/>
  <c r="J50" i="7"/>
  <c r="B66" i="7"/>
  <c r="B65" i="7"/>
  <c r="J48" i="7"/>
  <c r="B22" i="7"/>
  <c r="B19" i="7"/>
  <c r="N51" i="7"/>
  <c r="C6" i="7"/>
  <c r="N22" i="7"/>
  <c r="N20" i="7"/>
  <c r="J53" i="7"/>
  <c r="N54" i="7"/>
  <c r="I53" i="7"/>
  <c r="I54" i="7"/>
  <c r="C2" i="7"/>
  <c r="B53" i="7"/>
  <c r="L34" i="7"/>
  <c r="I34" i="7"/>
  <c r="B49" i="7"/>
  <c r="N33" i="7"/>
  <c r="J51" i="7"/>
  <c r="E6" i="7"/>
  <c r="N34" i="7"/>
  <c r="I48" i="7"/>
  <c r="J34" i="7"/>
  <c r="N53" i="7"/>
  <c r="N21" i="7"/>
  <c r="C5" i="7"/>
  <c r="C1" i="7"/>
  <c r="J54" i="7"/>
  <c r="I51" i="7"/>
  <c r="N19" i="7"/>
  <c r="B62" i="7"/>
  <c r="I33" i="7"/>
  <c r="C8" i="7"/>
  <c r="B3" i="7"/>
  <c r="J33" i="7"/>
  <c r="N27" i="7"/>
  <c r="I50" i="7"/>
  <c r="J35" i="36"/>
  <c r="I53" i="36"/>
  <c r="N35" i="36"/>
  <c r="I35" i="36"/>
  <c r="B19" i="36"/>
  <c r="E6" i="36"/>
  <c r="I64" i="36"/>
  <c r="B23" i="36"/>
  <c r="C7" i="36"/>
  <c r="N27" i="36"/>
  <c r="B3" i="36"/>
  <c r="L53" i="36"/>
  <c r="B22" i="36"/>
  <c r="C8" i="36"/>
  <c r="C6" i="36"/>
  <c r="C1" i="36"/>
  <c r="N44" i="36"/>
  <c r="N64" i="36"/>
  <c r="C2" i="36"/>
  <c r="C5" i="36"/>
  <c r="J64" i="36"/>
  <c r="N20" i="36"/>
  <c r="J33" i="36"/>
  <c r="J44" i="36"/>
  <c r="N53" i="36"/>
  <c r="N33" i="36"/>
  <c r="I33" i="36"/>
  <c r="L35" i="36"/>
  <c r="I44" i="36"/>
  <c r="J53" i="36"/>
  <c r="L44" i="36"/>
  <c r="N19" i="36"/>
  <c r="B3" i="30"/>
  <c r="L50" i="30"/>
  <c r="I50" i="30"/>
  <c r="J35" i="30"/>
  <c r="N33" i="30"/>
  <c r="B23" i="30"/>
  <c r="N37" i="30"/>
  <c r="L37" i="30"/>
  <c r="N38" i="30"/>
  <c r="C6" i="30"/>
  <c r="N19" i="30"/>
  <c r="J34" i="30"/>
  <c r="I38" i="30"/>
  <c r="B50" i="30"/>
  <c r="J50" i="30"/>
  <c r="E6" i="30"/>
  <c r="N50" i="30"/>
  <c r="N49" i="30"/>
  <c r="I34" i="30"/>
  <c r="J37" i="30"/>
  <c r="L35" i="30"/>
  <c r="C8" i="30"/>
  <c r="B54" i="30"/>
  <c r="B22" i="30"/>
  <c r="J71" i="30"/>
  <c r="I37" i="30"/>
  <c r="C1" i="30"/>
  <c r="C7" i="30"/>
  <c r="N34" i="30"/>
  <c r="J74" i="30"/>
  <c r="L38" i="30"/>
  <c r="I73" i="30"/>
  <c r="N27" i="30"/>
  <c r="I71" i="30"/>
  <c r="J49" i="30"/>
  <c r="I33" i="30"/>
  <c r="C2" i="30"/>
  <c r="J33" i="30"/>
  <c r="B19" i="30"/>
  <c r="C5" i="30"/>
  <c r="I35" i="30"/>
  <c r="N20" i="30"/>
  <c r="N35" i="30"/>
  <c r="N74" i="30"/>
  <c r="N73" i="30"/>
  <c r="J73" i="30"/>
  <c r="N71" i="30"/>
  <c r="J38" i="30"/>
  <c r="I74" i="30"/>
  <c r="I49" i="30"/>
  <c r="N48" i="20"/>
  <c r="I54" i="20"/>
  <c r="N27" i="20"/>
  <c r="J54" i="20"/>
  <c r="N34" i="20"/>
  <c r="B51" i="20"/>
  <c r="J34" i="20"/>
  <c r="J59" i="20"/>
  <c r="N50" i="20"/>
  <c r="C6" i="20"/>
  <c r="N43" i="20"/>
  <c r="E6" i="20"/>
  <c r="N55" i="20"/>
  <c r="J46" i="20"/>
  <c r="B48" i="20"/>
  <c r="I60" i="20"/>
  <c r="I48" i="20"/>
  <c r="I50" i="20"/>
  <c r="B22" i="20"/>
  <c r="J47" i="20"/>
  <c r="I55" i="20"/>
  <c r="L34" i="20"/>
  <c r="B111" i="20"/>
  <c r="I41" i="20"/>
  <c r="I46" i="20"/>
  <c r="N41" i="20"/>
  <c r="I51" i="20"/>
  <c r="C5" i="20"/>
  <c r="J57" i="20"/>
  <c r="B3" i="20"/>
  <c r="L48" i="20"/>
  <c r="J44" i="20"/>
  <c r="N44" i="20"/>
  <c r="J60" i="20"/>
  <c r="I34" i="20"/>
  <c r="B19" i="20"/>
  <c r="B107" i="20"/>
  <c r="N47" i="20"/>
  <c r="I47" i="20"/>
  <c r="C8" i="20"/>
  <c r="B23" i="20"/>
  <c r="I43" i="20"/>
  <c r="J40" i="20"/>
  <c r="C2" i="20"/>
  <c r="J51" i="20"/>
  <c r="L55" i="20"/>
  <c r="N51" i="20"/>
  <c r="J50" i="20"/>
  <c r="N46" i="20"/>
  <c r="N57" i="20"/>
  <c r="B76" i="20"/>
  <c r="C1" i="20"/>
  <c r="I44" i="20"/>
  <c r="N33" i="20"/>
  <c r="B80" i="20"/>
  <c r="I59" i="20"/>
  <c r="C7" i="20"/>
  <c r="N54" i="20"/>
  <c r="N20" i="20"/>
  <c r="J41" i="20"/>
  <c r="N19" i="20"/>
  <c r="L51" i="20"/>
  <c r="J48" i="20"/>
  <c r="L50" i="20"/>
  <c r="I57" i="20"/>
  <c r="J33" i="20"/>
  <c r="N40" i="20"/>
  <c r="I40" i="20"/>
  <c r="J43" i="20"/>
  <c r="I33" i="20"/>
  <c r="N60" i="20"/>
  <c r="L41" i="20"/>
  <c r="N59" i="20"/>
  <c r="B52" i="20"/>
  <c r="B79" i="20"/>
  <c r="J55" i="20"/>
  <c r="J43" i="24"/>
  <c r="M27" i="24"/>
  <c r="C1" i="24"/>
  <c r="J51" i="24"/>
  <c r="M42" i="24"/>
  <c r="C6" i="24"/>
  <c r="J33" i="24"/>
  <c r="C5" i="24"/>
  <c r="I34" i="24"/>
  <c r="B3" i="24"/>
  <c r="C8" i="24"/>
  <c r="M26" i="24"/>
  <c r="M43" i="24"/>
  <c r="M51" i="24"/>
  <c r="I33" i="24"/>
  <c r="M19" i="24"/>
  <c r="I51" i="24"/>
  <c r="B22" i="24"/>
  <c r="B23" i="24"/>
  <c r="J34" i="24"/>
  <c r="J60" i="24"/>
  <c r="J52" i="24"/>
  <c r="C7" i="24"/>
  <c r="M60" i="24"/>
  <c r="I52" i="24"/>
  <c r="M33" i="24"/>
  <c r="B19" i="24"/>
  <c r="M20" i="24"/>
  <c r="M52" i="24"/>
  <c r="I43" i="24"/>
  <c r="M34" i="24"/>
  <c r="J42" i="24"/>
  <c r="I42" i="24"/>
  <c r="I60" i="24"/>
  <c r="E6" i="24"/>
  <c r="C2" i="24"/>
  <c r="C3" i="24"/>
  <c r="N68" i="33"/>
  <c r="N20" i="33"/>
  <c r="J33" i="33"/>
  <c r="C5" i="33"/>
  <c r="C8" i="33"/>
  <c r="J68" i="33"/>
  <c r="B19" i="33"/>
  <c r="N33" i="33"/>
  <c r="C2" i="33"/>
  <c r="N34" i="33"/>
  <c r="N27" i="33"/>
  <c r="J34" i="33"/>
  <c r="B3" i="33"/>
  <c r="N19" i="33"/>
  <c r="B23" i="33"/>
  <c r="I68" i="33"/>
  <c r="B22" i="33"/>
  <c r="N21" i="33"/>
  <c r="C7" i="33"/>
  <c r="C6" i="33"/>
  <c r="I34" i="33"/>
  <c r="C1" i="33"/>
  <c r="I33" i="33"/>
  <c r="I20" i="33"/>
  <c r="E6" i="33"/>
  <c r="L34" i="33"/>
  <c r="J20" i="33"/>
  <c r="J137" i="6"/>
  <c r="L83" i="6"/>
  <c r="J143" i="6"/>
  <c r="J83" i="6"/>
  <c r="N27" i="6"/>
  <c r="L102" i="6"/>
  <c r="L147" i="6"/>
  <c r="I61" i="6"/>
  <c r="J131" i="6"/>
  <c r="I112" i="6"/>
  <c r="N43" i="6"/>
  <c r="L145" i="6"/>
  <c r="J49" i="6"/>
  <c r="N121" i="6"/>
  <c r="J129" i="6"/>
  <c r="N85" i="6"/>
  <c r="I45" i="6"/>
  <c r="L78" i="6"/>
  <c r="L114" i="6"/>
  <c r="I56" i="6"/>
  <c r="N114" i="6"/>
  <c r="N48" i="6"/>
  <c r="J65" i="6"/>
  <c r="L64" i="6"/>
  <c r="N71" i="6"/>
  <c r="N87" i="6"/>
  <c r="L110" i="6"/>
  <c r="I124" i="6"/>
  <c r="L112" i="6"/>
  <c r="N116" i="6"/>
  <c r="J151" i="6"/>
  <c r="I103" i="6"/>
  <c r="N50" i="6"/>
  <c r="I144" i="6"/>
  <c r="L94" i="6"/>
  <c r="N150" i="6"/>
  <c r="I94" i="6"/>
  <c r="I85" i="6"/>
  <c r="L97" i="6"/>
  <c r="I74" i="6"/>
  <c r="J135" i="6"/>
  <c r="N101" i="6"/>
  <c r="N73" i="6"/>
  <c r="L136" i="6"/>
  <c r="J47" i="6"/>
  <c r="L56" i="6"/>
  <c r="N57" i="6"/>
  <c r="J119" i="6"/>
  <c r="I149" i="6"/>
  <c r="I92" i="6"/>
  <c r="N95" i="6"/>
  <c r="N19" i="6"/>
  <c r="L62" i="6"/>
  <c r="N118" i="6"/>
  <c r="N79" i="6"/>
  <c r="I100" i="6"/>
  <c r="N147" i="6"/>
  <c r="I59" i="6"/>
  <c r="N108" i="6"/>
  <c r="I86" i="6"/>
  <c r="I33" i="6"/>
  <c r="L139" i="6"/>
  <c r="N120" i="6"/>
  <c r="L131" i="6"/>
  <c r="N89" i="6"/>
  <c r="N42" i="6"/>
  <c r="J66" i="6"/>
  <c r="N131" i="6"/>
  <c r="N105" i="6"/>
  <c r="J87" i="6"/>
  <c r="N136" i="6"/>
  <c r="N59" i="6"/>
  <c r="I95" i="6"/>
  <c r="I48" i="6"/>
  <c r="N52" i="6"/>
  <c r="N41" i="6"/>
  <c r="N135" i="6"/>
  <c r="L134" i="6"/>
  <c r="I49" i="6"/>
  <c r="I105" i="6"/>
  <c r="J124" i="6"/>
  <c r="B3" i="6"/>
  <c r="L125" i="6"/>
  <c r="I40" i="6"/>
  <c r="J93" i="6"/>
  <c r="N63" i="6"/>
  <c r="I140" i="6"/>
  <c r="J81" i="6"/>
  <c r="N98" i="6"/>
  <c r="L88" i="6"/>
  <c r="J90" i="6"/>
  <c r="I115" i="6"/>
  <c r="I41" i="6"/>
  <c r="N76" i="6"/>
  <c r="N149" i="6"/>
  <c r="J57" i="6"/>
  <c r="L111" i="6"/>
  <c r="N139" i="6"/>
  <c r="I139" i="6"/>
  <c r="J75" i="6"/>
  <c r="N61" i="6"/>
  <c r="J141" i="6"/>
  <c r="J121" i="6"/>
  <c r="L152" i="6"/>
  <c r="N112" i="6"/>
  <c r="I65" i="6"/>
  <c r="I111" i="6"/>
  <c r="L68" i="6"/>
  <c r="J136" i="6"/>
  <c r="N77" i="6"/>
  <c r="J97" i="6"/>
  <c r="L120" i="6"/>
  <c r="L61" i="6"/>
  <c r="N130" i="6"/>
  <c r="L82" i="6"/>
  <c r="N56" i="6"/>
  <c r="N88" i="6"/>
  <c r="N45" i="6"/>
  <c r="J127" i="6"/>
  <c r="I50" i="6"/>
  <c r="N83" i="6"/>
  <c r="C2" i="6"/>
  <c r="L143" i="6"/>
  <c r="J147" i="6"/>
  <c r="N138" i="6"/>
  <c r="J144" i="6"/>
  <c r="I114" i="6"/>
  <c r="I88" i="6"/>
  <c r="N127" i="6"/>
  <c r="N38" i="6"/>
  <c r="J76" i="6"/>
  <c r="I89" i="6"/>
  <c r="I52" i="6"/>
  <c r="I113" i="6"/>
  <c r="I141" i="6"/>
  <c r="J122" i="6"/>
  <c r="N75" i="6"/>
  <c r="B19" i="6"/>
  <c r="N111" i="6"/>
  <c r="L73" i="6"/>
  <c r="L138" i="6"/>
  <c r="N125" i="6"/>
  <c r="L38" i="6"/>
  <c r="L81" i="6"/>
  <c r="J106" i="6"/>
  <c r="J52" i="6"/>
  <c r="L105" i="6"/>
  <c r="L90" i="6"/>
  <c r="L137" i="6"/>
  <c r="I138" i="6"/>
  <c r="I116" i="6"/>
  <c r="I96" i="6"/>
  <c r="L53" i="6"/>
  <c r="L115" i="6"/>
  <c r="N100" i="6"/>
  <c r="L75" i="6"/>
  <c r="N144" i="6"/>
  <c r="I132" i="6"/>
  <c r="N53" i="6"/>
  <c r="N54" i="6"/>
  <c r="I137" i="6"/>
  <c r="J110" i="6"/>
  <c r="I53" i="6"/>
  <c r="L98" i="6"/>
  <c r="I110" i="6"/>
  <c r="I83" i="6"/>
  <c r="N69" i="6"/>
  <c r="J38" i="6"/>
  <c r="L109" i="6"/>
  <c r="J152" i="6"/>
  <c r="L51" i="6"/>
  <c r="N102" i="6"/>
  <c r="J112" i="6"/>
  <c r="J88" i="6"/>
  <c r="N97" i="6"/>
  <c r="N140" i="6"/>
  <c r="L55" i="6"/>
  <c r="L84" i="6"/>
  <c r="N84" i="6"/>
  <c r="I62" i="6"/>
  <c r="L121" i="6"/>
  <c r="L140" i="6"/>
  <c r="J96" i="6"/>
  <c r="N66" i="6"/>
  <c r="N109" i="6"/>
  <c r="N134" i="6"/>
  <c r="J80" i="6"/>
  <c r="N94" i="6"/>
  <c r="J40" i="6"/>
  <c r="I118" i="6"/>
  <c r="J95" i="6"/>
  <c r="I97" i="6"/>
  <c r="I143" i="6"/>
  <c r="L135" i="6"/>
  <c r="L95" i="6"/>
  <c r="L69" i="6"/>
  <c r="J36" i="6"/>
  <c r="N55" i="6"/>
  <c r="J62" i="6"/>
  <c r="J118" i="6"/>
  <c r="N86" i="6"/>
  <c r="I107" i="6"/>
  <c r="N115" i="6"/>
  <c r="I73" i="6"/>
  <c r="B23" i="6"/>
  <c r="J34" i="6"/>
  <c r="L86" i="6"/>
  <c r="L67" i="6"/>
  <c r="L34" i="6"/>
  <c r="I147" i="6"/>
  <c r="I129" i="6"/>
  <c r="I81" i="6"/>
  <c r="J73" i="6"/>
  <c r="J145" i="6"/>
  <c r="I99" i="6"/>
  <c r="L43" i="6"/>
  <c r="L148" i="6"/>
  <c r="J44" i="6"/>
  <c r="J109" i="6"/>
  <c r="N122" i="6"/>
  <c r="N82" i="6"/>
  <c r="J120" i="6"/>
  <c r="N145" i="6"/>
  <c r="I120" i="6"/>
  <c r="J108" i="6"/>
  <c r="L66" i="6"/>
  <c r="N142" i="6"/>
  <c r="L126" i="6"/>
  <c r="L87" i="6"/>
  <c r="L104" i="6"/>
  <c r="J139" i="6"/>
  <c r="L96" i="6"/>
  <c r="I35" i="6"/>
  <c r="L63" i="6"/>
  <c r="I134" i="6"/>
  <c r="J71" i="6"/>
  <c r="I57" i="6"/>
  <c r="J86" i="6"/>
  <c r="L72" i="6"/>
  <c r="N72" i="6"/>
  <c r="I80" i="6"/>
  <c r="L47" i="6"/>
  <c r="L39" i="6"/>
  <c r="J50" i="6"/>
  <c r="N74" i="6"/>
  <c r="J74" i="6"/>
  <c r="I69" i="6"/>
  <c r="L54" i="6"/>
  <c r="L48" i="6"/>
  <c r="I90" i="6"/>
  <c r="J103" i="6"/>
  <c r="L89" i="6"/>
  <c r="I102" i="6"/>
  <c r="L35" i="6"/>
  <c r="N40" i="6"/>
  <c r="I36" i="6"/>
  <c r="L37" i="6"/>
  <c r="I123" i="6"/>
  <c r="J56" i="6"/>
  <c r="I127" i="6"/>
  <c r="I145" i="6"/>
  <c r="I126" i="6"/>
  <c r="N81" i="6"/>
  <c r="I43" i="6"/>
  <c r="J128" i="6"/>
  <c r="I47" i="6"/>
  <c r="I37" i="6"/>
  <c r="J138" i="6"/>
  <c r="I51" i="6"/>
  <c r="J100" i="6"/>
  <c r="C8" i="6"/>
  <c r="J55" i="6"/>
  <c r="L132" i="6"/>
  <c r="J84" i="6"/>
  <c r="I42" i="6"/>
  <c r="L59" i="6"/>
  <c r="I72" i="6"/>
  <c r="J43" i="6"/>
  <c r="I150" i="6"/>
  <c r="N33" i="6"/>
  <c r="C7" i="6"/>
  <c r="I46" i="6"/>
  <c r="L58" i="6"/>
  <c r="I146" i="6"/>
  <c r="J61" i="6"/>
  <c r="J60" i="6"/>
  <c r="L65" i="6"/>
  <c r="N104" i="6"/>
  <c r="N128" i="6"/>
  <c r="N133" i="6"/>
  <c r="I79" i="6"/>
  <c r="J79" i="6"/>
  <c r="N113" i="6"/>
  <c r="N37" i="6"/>
  <c r="I125" i="6"/>
  <c r="N124" i="6"/>
  <c r="N110" i="6"/>
  <c r="I44" i="6"/>
  <c r="L107" i="6"/>
  <c r="I93" i="6"/>
  <c r="N68" i="6"/>
  <c r="N132" i="6"/>
  <c r="J82" i="6"/>
  <c r="J98" i="6"/>
  <c r="L150" i="6"/>
  <c r="L106" i="6"/>
  <c r="L44" i="6"/>
  <c r="I64" i="6"/>
  <c r="N58" i="6"/>
  <c r="I68" i="6"/>
  <c r="J46" i="6"/>
  <c r="J69" i="6"/>
  <c r="L92" i="6"/>
  <c r="J107" i="6"/>
  <c r="L128" i="6"/>
  <c r="J92" i="6"/>
  <c r="N91" i="6"/>
  <c r="N92" i="6"/>
  <c r="J130" i="6"/>
  <c r="N65" i="6"/>
  <c r="J113" i="6"/>
  <c r="J134" i="6"/>
  <c r="J111" i="6"/>
  <c r="L52" i="6"/>
  <c r="I121" i="6"/>
  <c r="L50" i="6"/>
  <c r="I151" i="6"/>
  <c r="C1" i="6"/>
  <c r="I119" i="6"/>
  <c r="N96" i="6"/>
  <c r="J54" i="6"/>
  <c r="L123" i="6"/>
  <c r="L85" i="6"/>
  <c r="L101" i="6"/>
  <c r="I128" i="6"/>
  <c r="J89" i="6"/>
  <c r="N46" i="6"/>
  <c r="J35" i="6"/>
  <c r="L133" i="6"/>
  <c r="N64" i="6"/>
  <c r="L42" i="6"/>
  <c r="I98" i="6"/>
  <c r="I152" i="6"/>
  <c r="J148" i="6"/>
  <c r="N103" i="6"/>
  <c r="N148" i="6"/>
  <c r="J37" i="6"/>
  <c r="N99" i="6"/>
  <c r="L127" i="6"/>
  <c r="I77" i="6"/>
  <c r="N141" i="6"/>
  <c r="L108" i="6"/>
  <c r="N93" i="6"/>
  <c r="N146" i="6"/>
  <c r="I135" i="6"/>
  <c r="J101" i="6"/>
  <c r="J48" i="6"/>
  <c r="L57" i="6"/>
  <c r="J132" i="6"/>
  <c r="L77" i="6"/>
  <c r="L46" i="6"/>
  <c r="N20" i="6"/>
  <c r="L45" i="6"/>
  <c r="I142" i="6"/>
  <c r="I58" i="6"/>
  <c r="I136" i="6"/>
  <c r="I87" i="6"/>
  <c r="J140" i="6"/>
  <c r="N49" i="6"/>
  <c r="N107" i="6"/>
  <c r="I109" i="6"/>
  <c r="J33" i="6"/>
  <c r="J77" i="6"/>
  <c r="I60" i="6"/>
  <c r="I39" i="6"/>
  <c r="N90" i="6"/>
  <c r="L144" i="6"/>
  <c r="L124" i="6"/>
  <c r="I34" i="6"/>
  <c r="I82" i="6"/>
  <c r="C6" i="6"/>
  <c r="J102" i="6"/>
  <c r="N44" i="6"/>
  <c r="L122" i="6"/>
  <c r="C3" i="6"/>
  <c r="L60" i="6"/>
  <c r="J42" i="6"/>
  <c r="J39" i="6"/>
  <c r="L76" i="6"/>
  <c r="L49" i="6"/>
  <c r="L100" i="6"/>
  <c r="L141" i="6"/>
  <c r="L40" i="6"/>
  <c r="J68" i="6"/>
  <c r="J126" i="6"/>
  <c r="L80" i="6"/>
  <c r="J133" i="6"/>
  <c r="J78" i="6"/>
  <c r="J115" i="6"/>
  <c r="J125" i="6"/>
  <c r="I84" i="6"/>
  <c r="L142" i="6"/>
  <c r="I75" i="6"/>
  <c r="I55" i="6"/>
  <c r="J59" i="6"/>
  <c r="L149" i="6"/>
  <c r="I54" i="6"/>
  <c r="N47" i="6"/>
  <c r="N151" i="6"/>
  <c r="J99" i="6"/>
  <c r="L74" i="6"/>
  <c r="I91" i="6"/>
  <c r="I76" i="6"/>
  <c r="J116" i="6"/>
  <c r="L116" i="6"/>
  <c r="N143" i="6"/>
  <c r="N39" i="6"/>
  <c r="I131" i="6"/>
  <c r="J53" i="6"/>
  <c r="L36" i="6"/>
  <c r="I106" i="6"/>
  <c r="N80" i="6"/>
  <c r="I63" i="6"/>
  <c r="I148" i="6"/>
  <c r="I133" i="6"/>
  <c r="I71" i="6"/>
  <c r="I122" i="6"/>
  <c r="I38" i="6"/>
  <c r="N62" i="6"/>
  <c r="L151" i="6"/>
  <c r="I66" i="6"/>
  <c r="J51" i="6"/>
  <c r="I108" i="6"/>
  <c r="J114" i="6"/>
  <c r="N106" i="6"/>
  <c r="C5" i="6"/>
  <c r="L99" i="6"/>
  <c r="J150" i="6"/>
  <c r="L41" i="6"/>
  <c r="N119" i="6"/>
  <c r="J41" i="6"/>
  <c r="N137" i="6"/>
  <c r="J91" i="6"/>
  <c r="N129" i="6"/>
  <c r="L130" i="6"/>
  <c r="N35" i="6"/>
  <c r="L93" i="6"/>
  <c r="N60" i="6"/>
  <c r="I101" i="6"/>
  <c r="L146" i="6"/>
  <c r="N36" i="6"/>
  <c r="L113" i="6"/>
  <c r="J64" i="6"/>
  <c r="J142" i="6"/>
  <c r="J123" i="6"/>
  <c r="L79" i="6"/>
  <c r="N34" i="6"/>
  <c r="J67" i="6"/>
  <c r="J63" i="6"/>
  <c r="L91" i="6"/>
  <c r="L103" i="6"/>
  <c r="N67" i="6"/>
  <c r="J45" i="6"/>
  <c r="E6" i="6"/>
  <c r="J94" i="6"/>
  <c r="I130" i="6"/>
  <c r="J149" i="6"/>
  <c r="J146" i="6"/>
  <c r="N51" i="6"/>
  <c r="N123" i="6"/>
  <c r="J104" i="6"/>
  <c r="L119" i="6"/>
  <c r="N26" i="6"/>
  <c r="J58" i="6"/>
  <c r="N78" i="6"/>
  <c r="J85" i="6"/>
  <c r="J72" i="6"/>
  <c r="I67" i="6"/>
  <c r="L129" i="6"/>
  <c r="I78" i="6"/>
  <c r="I104" i="6"/>
  <c r="N126" i="6"/>
  <c r="J105" i="6"/>
  <c r="J34" i="25"/>
  <c r="C8" i="25"/>
  <c r="L34" i="25"/>
  <c r="J33" i="25"/>
  <c r="N34" i="25"/>
  <c r="C2" i="25"/>
  <c r="I33" i="25"/>
  <c r="N33" i="25"/>
  <c r="B19" i="25"/>
  <c r="C6" i="25"/>
  <c r="I52" i="25"/>
  <c r="N20" i="25"/>
  <c r="E6" i="25"/>
  <c r="B22" i="25"/>
  <c r="N27" i="25"/>
  <c r="C7" i="25"/>
  <c r="N52" i="25"/>
  <c r="I34" i="25"/>
  <c r="N19" i="25"/>
  <c r="J52" i="25"/>
  <c r="C5" i="25"/>
  <c r="B3" i="25"/>
  <c r="C3" i="25" s="1"/>
  <c r="C1" i="25"/>
  <c r="B23" i="25"/>
  <c r="I56" i="23"/>
  <c r="J95" i="23"/>
  <c r="N95" i="23"/>
  <c r="J34" i="23"/>
  <c r="B74" i="23"/>
  <c r="I34" i="23"/>
  <c r="N27" i="23"/>
  <c r="J77" i="23"/>
  <c r="C5" i="23"/>
  <c r="C2" i="23"/>
  <c r="N34" i="23"/>
  <c r="N98" i="23"/>
  <c r="C6" i="23"/>
  <c r="I33" i="23"/>
  <c r="B3" i="23"/>
  <c r="J76" i="23"/>
  <c r="N19" i="23"/>
  <c r="J55" i="23"/>
  <c r="B44" i="23"/>
  <c r="J56" i="23"/>
  <c r="N55" i="23"/>
  <c r="N56" i="23"/>
  <c r="B23" i="23"/>
  <c r="B41" i="23"/>
  <c r="C1" i="23"/>
  <c r="N76" i="23"/>
  <c r="I98" i="23"/>
  <c r="L34" i="23"/>
  <c r="I77" i="23"/>
  <c r="C8" i="23"/>
  <c r="I76" i="23"/>
  <c r="E6" i="23"/>
  <c r="L56" i="23"/>
  <c r="B70" i="23"/>
  <c r="B22" i="23"/>
  <c r="J98" i="23"/>
  <c r="B45" i="23"/>
  <c r="C7" i="23"/>
  <c r="N33" i="23"/>
  <c r="I95" i="23"/>
  <c r="N20" i="23"/>
  <c r="I55" i="23"/>
  <c r="J33" i="23"/>
  <c r="B19" i="23"/>
  <c r="L45" i="15"/>
  <c r="I53" i="15"/>
  <c r="E6" i="15"/>
  <c r="B51" i="15"/>
  <c r="L58" i="15"/>
  <c r="I58" i="15"/>
  <c r="B3" i="15"/>
  <c r="B55" i="15"/>
  <c r="J63" i="15"/>
  <c r="I54" i="15"/>
  <c r="I35" i="15"/>
  <c r="J44" i="15"/>
  <c r="N35" i="15"/>
  <c r="B22" i="15"/>
  <c r="I55" i="15"/>
  <c r="N33" i="15"/>
  <c r="I65" i="15"/>
  <c r="C8" i="15"/>
  <c r="J50" i="15"/>
  <c r="N55" i="15"/>
  <c r="I62" i="15"/>
  <c r="N44" i="15"/>
  <c r="N57" i="15"/>
  <c r="J35" i="15"/>
  <c r="L55" i="15"/>
  <c r="N54" i="15"/>
  <c r="C2" i="15"/>
  <c r="J58" i="15"/>
  <c r="J54" i="15"/>
  <c r="N67" i="15"/>
  <c r="J68" i="15"/>
  <c r="N62" i="15"/>
  <c r="N50" i="15"/>
  <c r="B87" i="15"/>
  <c r="N68" i="15"/>
  <c r="J33" i="15"/>
  <c r="I68" i="15"/>
  <c r="J65" i="15"/>
  <c r="L63" i="15"/>
  <c r="B83" i="15"/>
  <c r="B118" i="15"/>
  <c r="C5" i="15"/>
  <c r="B19" i="15"/>
  <c r="I57" i="15"/>
  <c r="C1" i="15"/>
  <c r="J67" i="15"/>
  <c r="I44" i="15"/>
  <c r="B86" i="15"/>
  <c r="N58" i="15"/>
  <c r="L35" i="15"/>
  <c r="B54" i="15"/>
  <c r="N19" i="15"/>
  <c r="N20" i="15"/>
  <c r="J62" i="15"/>
  <c r="N27" i="15"/>
  <c r="I51" i="15"/>
  <c r="N65" i="15"/>
  <c r="C6" i="15"/>
  <c r="B23" i="15"/>
  <c r="L57" i="15"/>
  <c r="I45" i="15"/>
  <c r="J55" i="15"/>
  <c r="I50" i="15"/>
  <c r="I63" i="15"/>
  <c r="I33" i="15"/>
  <c r="J43" i="15"/>
  <c r="J57" i="15"/>
  <c r="C7" i="15"/>
  <c r="N63" i="15"/>
  <c r="J53" i="15"/>
  <c r="J45" i="15"/>
  <c r="N53" i="15"/>
  <c r="I43" i="15"/>
  <c r="N43" i="15"/>
  <c r="N45" i="15"/>
  <c r="J51" i="15"/>
  <c r="B114" i="15"/>
  <c r="I67" i="15"/>
  <c r="N51" i="15"/>
  <c r="C1" i="32"/>
  <c r="J36" i="32"/>
  <c r="C7" i="32"/>
  <c r="C6" i="32"/>
  <c r="C5" i="32"/>
  <c r="J34" i="32"/>
  <c r="N19" i="32"/>
  <c r="I34" i="32"/>
  <c r="I33" i="32"/>
  <c r="N33" i="32"/>
  <c r="B19" i="32"/>
  <c r="N27" i="32"/>
  <c r="C2" i="32"/>
  <c r="J33" i="32"/>
  <c r="B3" i="32"/>
  <c r="N20" i="32"/>
  <c r="I36" i="32"/>
  <c r="N34" i="32"/>
  <c r="L34" i="32"/>
  <c r="N36" i="32"/>
  <c r="B23" i="32"/>
  <c r="C8" i="32"/>
  <c r="E6" i="32"/>
  <c r="J38" i="34"/>
  <c r="I37" i="34"/>
  <c r="J34" i="34"/>
  <c r="N34" i="34"/>
  <c r="J42" i="34"/>
  <c r="B23" i="34"/>
  <c r="I33" i="34"/>
  <c r="L35" i="34"/>
  <c r="I42" i="34"/>
  <c r="J37" i="34"/>
  <c r="J41" i="34"/>
  <c r="J35" i="34"/>
  <c r="C7" i="34"/>
  <c r="N56" i="34"/>
  <c r="I50" i="34"/>
  <c r="L50" i="34"/>
  <c r="B67" i="34"/>
  <c r="N46" i="34"/>
  <c r="B63" i="34"/>
  <c r="I56" i="34"/>
  <c r="I46" i="34"/>
  <c r="N42" i="34"/>
  <c r="I44" i="34"/>
  <c r="J33" i="34"/>
  <c r="L37" i="34"/>
  <c r="N49" i="34"/>
  <c r="B3" i="34"/>
  <c r="C1" i="34"/>
  <c r="J50" i="34"/>
  <c r="N27" i="34"/>
  <c r="E6" i="34"/>
  <c r="N41" i="34"/>
  <c r="B54" i="34"/>
  <c r="N33" i="34"/>
  <c r="I38" i="34"/>
  <c r="N44" i="34"/>
  <c r="I41" i="34"/>
  <c r="B50" i="34"/>
  <c r="J44" i="34"/>
  <c r="J49" i="34"/>
  <c r="N19" i="34"/>
  <c r="C2" i="34"/>
  <c r="N35" i="34"/>
  <c r="B22" i="34"/>
  <c r="I63" i="34"/>
  <c r="N38" i="34"/>
  <c r="J56" i="34"/>
  <c r="C5" i="34"/>
  <c r="N20" i="34"/>
  <c r="J46" i="34"/>
  <c r="J63" i="34"/>
  <c r="I35" i="34"/>
  <c r="B19" i="34"/>
  <c r="L38" i="34"/>
  <c r="C8" i="34"/>
  <c r="I49" i="34"/>
  <c r="N37" i="34"/>
  <c r="N50" i="34"/>
  <c r="L42" i="34"/>
  <c r="L49" i="34"/>
  <c r="I34" i="34"/>
  <c r="C6" i="34"/>
  <c r="C2" i="28"/>
  <c r="J33" i="28"/>
  <c r="B19" i="28"/>
  <c r="N35" i="28"/>
  <c r="B3" i="28"/>
  <c r="C1" i="28"/>
  <c r="N55" i="28"/>
  <c r="N65" i="28"/>
  <c r="I47" i="28"/>
  <c r="I53" i="28"/>
  <c r="N34" i="28"/>
  <c r="C5" i="28"/>
  <c r="L47" i="28"/>
  <c r="L56" i="28"/>
  <c r="N56" i="28"/>
  <c r="N33" i="28"/>
  <c r="I44" i="28"/>
  <c r="J35" i="28"/>
  <c r="N20" i="28"/>
  <c r="I35" i="28"/>
  <c r="I39" i="28"/>
  <c r="I55" i="28"/>
  <c r="J55" i="28"/>
  <c r="B77" i="28"/>
  <c r="B96" i="28"/>
  <c r="B23" i="28"/>
  <c r="N47" i="28"/>
  <c r="N39" i="28"/>
  <c r="B73" i="28"/>
  <c r="N46" i="28"/>
  <c r="J64" i="28"/>
  <c r="I65" i="28"/>
  <c r="L35" i="28"/>
  <c r="I62" i="28"/>
  <c r="N53" i="28"/>
  <c r="B100" i="28"/>
  <c r="B54" i="28"/>
  <c r="J44" i="28"/>
  <c r="J53" i="28"/>
  <c r="I38" i="28"/>
  <c r="J39" i="28"/>
  <c r="B50" i="28"/>
  <c r="N64" i="28"/>
  <c r="L53" i="28"/>
  <c r="N62" i="28"/>
  <c r="J65" i="28"/>
  <c r="J34" i="28"/>
  <c r="I64" i="28"/>
  <c r="I46" i="28"/>
  <c r="J46" i="28"/>
  <c r="N44" i="28"/>
  <c r="I34" i="28"/>
  <c r="B22" i="28"/>
  <c r="E6" i="28"/>
  <c r="I56" i="28"/>
  <c r="L44" i="28"/>
  <c r="C7" i="28"/>
  <c r="C8" i="28"/>
  <c r="C6" i="28"/>
  <c r="N19" i="28"/>
  <c r="J47" i="28"/>
  <c r="J56" i="28"/>
  <c r="N38" i="28"/>
  <c r="I33" i="28"/>
  <c r="J62" i="28"/>
  <c r="N27" i="28"/>
  <c r="J38" i="28"/>
  <c r="L39" i="28"/>
  <c r="N65" i="59"/>
  <c r="L134" i="59"/>
  <c r="N79" i="59"/>
  <c r="N91" i="59"/>
  <c r="N37" i="59"/>
  <c r="J42" i="59"/>
  <c r="L85" i="59"/>
  <c r="L40" i="59"/>
  <c r="N126" i="59"/>
  <c r="J47" i="59"/>
  <c r="I86" i="59"/>
  <c r="N48" i="59"/>
  <c r="L118" i="59"/>
  <c r="L48" i="59"/>
  <c r="N81" i="59"/>
  <c r="L51" i="59"/>
  <c r="L65" i="59"/>
  <c r="L45" i="59"/>
  <c r="L76" i="59"/>
  <c r="L56" i="59"/>
  <c r="L79" i="59"/>
  <c r="I48" i="59"/>
  <c r="L42" i="59"/>
  <c r="N51" i="59"/>
  <c r="J81" i="59"/>
  <c r="J38" i="59"/>
  <c r="N139" i="59"/>
  <c r="J88" i="59"/>
  <c r="N131" i="59"/>
  <c r="N99" i="59"/>
  <c r="I72" i="59"/>
  <c r="I67" i="59"/>
  <c r="N67" i="59"/>
  <c r="N114" i="59"/>
  <c r="L124" i="59"/>
  <c r="N87" i="59"/>
  <c r="J79" i="59"/>
  <c r="I42" i="59"/>
  <c r="L101" i="59"/>
  <c r="L121" i="59"/>
  <c r="J87" i="59"/>
  <c r="L55" i="59"/>
  <c r="N76" i="59"/>
  <c r="N123" i="59"/>
  <c r="L39" i="59"/>
  <c r="I52" i="59"/>
  <c r="L69" i="59"/>
  <c r="J86" i="59"/>
  <c r="J58" i="59"/>
  <c r="N35" i="59"/>
  <c r="J41" i="59"/>
  <c r="L60" i="59"/>
  <c r="N122" i="59"/>
  <c r="L117" i="59"/>
  <c r="L99" i="59"/>
  <c r="J77" i="59"/>
  <c r="N116" i="59"/>
  <c r="L36" i="59"/>
  <c r="I57" i="59"/>
  <c r="I87" i="59"/>
  <c r="J48" i="59"/>
  <c r="J92" i="59"/>
  <c r="J60" i="59"/>
  <c r="B3" i="59"/>
  <c r="J66" i="59"/>
  <c r="N140" i="59"/>
  <c r="L125" i="59"/>
  <c r="L78" i="59"/>
  <c r="J40" i="59"/>
  <c r="I56" i="59"/>
  <c r="L108" i="59"/>
  <c r="N85" i="59"/>
  <c r="C6" i="59"/>
  <c r="I71" i="59"/>
  <c r="L37" i="59"/>
  <c r="N41" i="59"/>
  <c r="L67" i="59"/>
  <c r="L49" i="59"/>
  <c r="J71" i="59"/>
  <c r="I51" i="59"/>
  <c r="L50" i="59"/>
  <c r="N38" i="59"/>
  <c r="I55" i="59"/>
  <c r="C7" i="59"/>
  <c r="L41" i="59"/>
  <c r="N57" i="59"/>
  <c r="B19" i="59"/>
  <c r="N138" i="59"/>
  <c r="N56" i="59"/>
  <c r="N133" i="59"/>
  <c r="I77" i="59"/>
  <c r="L132" i="59"/>
  <c r="J49" i="59"/>
  <c r="N69" i="59"/>
  <c r="N20" i="59"/>
  <c r="N46" i="59"/>
  <c r="L106" i="59"/>
  <c r="L98" i="59"/>
  <c r="N115" i="59"/>
  <c r="I35" i="59"/>
  <c r="N72" i="59"/>
  <c r="L57" i="59"/>
  <c r="N107" i="59"/>
  <c r="I79" i="59"/>
  <c r="I36" i="59"/>
  <c r="L58" i="59"/>
  <c r="I37" i="59"/>
  <c r="J83" i="59"/>
  <c r="N106" i="59"/>
  <c r="N86" i="59"/>
  <c r="I49" i="59"/>
  <c r="N98" i="59"/>
  <c r="L133" i="59"/>
  <c r="N47" i="59"/>
  <c r="C1" i="59"/>
  <c r="N78" i="59"/>
  <c r="L115" i="59"/>
  <c r="I78" i="59"/>
  <c r="L86" i="59"/>
  <c r="N108" i="59"/>
  <c r="L114" i="59"/>
  <c r="L80" i="59"/>
  <c r="I80" i="59"/>
  <c r="I47" i="59"/>
  <c r="J62" i="59"/>
  <c r="N130" i="59"/>
  <c r="N52" i="59"/>
  <c r="I70" i="59"/>
  <c r="J51" i="59"/>
  <c r="L107" i="59"/>
  <c r="N68" i="59"/>
  <c r="I76" i="59"/>
  <c r="L126" i="59"/>
  <c r="L137" i="59"/>
  <c r="I41" i="59"/>
  <c r="I81" i="59"/>
  <c r="I45" i="59"/>
  <c r="N50" i="59"/>
  <c r="L35" i="59"/>
  <c r="J57" i="59"/>
  <c r="I91" i="59"/>
  <c r="L116" i="59"/>
  <c r="L52" i="59"/>
  <c r="L109" i="59"/>
  <c r="N55" i="59"/>
  <c r="J46" i="59"/>
  <c r="L61" i="59"/>
  <c r="I60" i="59"/>
  <c r="L139" i="59"/>
  <c r="L38" i="59"/>
  <c r="I69" i="59"/>
  <c r="I39" i="59"/>
  <c r="L138" i="59"/>
  <c r="L66" i="59"/>
  <c r="L83" i="59"/>
  <c r="J61" i="59"/>
  <c r="N118" i="59"/>
  <c r="N134" i="59"/>
  <c r="I75" i="59"/>
  <c r="L123" i="59"/>
  <c r="J55" i="59"/>
  <c r="I38" i="59"/>
  <c r="I50" i="59"/>
  <c r="L68" i="59"/>
  <c r="N70" i="59"/>
  <c r="N83" i="59"/>
  <c r="N61" i="59"/>
  <c r="J72" i="59"/>
  <c r="N102" i="59"/>
  <c r="N59" i="59"/>
  <c r="N137" i="59"/>
  <c r="L47" i="59"/>
  <c r="N129" i="59"/>
  <c r="J65" i="59"/>
  <c r="J35" i="59"/>
  <c r="J75" i="59"/>
  <c r="N103" i="59"/>
  <c r="N136" i="59"/>
  <c r="L72" i="59"/>
  <c r="L111" i="59"/>
  <c r="N49" i="59"/>
  <c r="L140" i="59"/>
  <c r="N132" i="59"/>
  <c r="I61" i="59"/>
  <c r="L131" i="59"/>
  <c r="N88" i="59"/>
  <c r="I46" i="59"/>
  <c r="N121" i="59"/>
  <c r="J76" i="59"/>
  <c r="J67" i="59"/>
  <c r="J91" i="59"/>
  <c r="N125" i="59"/>
  <c r="J80" i="59"/>
  <c r="I62" i="59"/>
  <c r="N80" i="59"/>
  <c r="N77" i="59"/>
  <c r="J85" i="59"/>
  <c r="L59" i="59"/>
  <c r="N42" i="59"/>
  <c r="N66" i="59"/>
  <c r="C2" i="59"/>
  <c r="N45" i="59"/>
  <c r="N58" i="59"/>
  <c r="L100" i="59"/>
  <c r="J59" i="59"/>
  <c r="N27" i="59"/>
  <c r="N62" i="59"/>
  <c r="J50" i="59"/>
  <c r="N92" i="59"/>
  <c r="L70" i="59"/>
  <c r="N39" i="59"/>
  <c r="C8" i="59"/>
  <c r="J69" i="59"/>
  <c r="J52" i="59"/>
  <c r="L81" i="59"/>
  <c r="I65" i="59"/>
  <c r="L46" i="59"/>
  <c r="N117" i="59"/>
  <c r="L77" i="59"/>
  <c r="C5" i="59"/>
  <c r="N110" i="59"/>
  <c r="L136" i="59"/>
  <c r="N71" i="59"/>
  <c r="I68" i="59"/>
  <c r="B23" i="59"/>
  <c r="J56" i="59"/>
  <c r="N119" i="59"/>
  <c r="J68" i="59"/>
  <c r="J45" i="59"/>
  <c r="L110" i="59"/>
  <c r="I88" i="59"/>
  <c r="N100" i="59"/>
  <c r="L135" i="59"/>
  <c r="J36" i="59"/>
  <c r="N36" i="59"/>
  <c r="I40" i="59"/>
  <c r="L103" i="59"/>
  <c r="N101" i="59"/>
  <c r="I92" i="59"/>
  <c r="J78" i="59"/>
  <c r="N135" i="59"/>
  <c r="L130" i="59"/>
  <c r="L75" i="59"/>
  <c r="I59" i="59"/>
  <c r="J37" i="59"/>
  <c r="N109" i="59"/>
  <c r="N75" i="59"/>
  <c r="N40" i="59"/>
  <c r="I85" i="59"/>
  <c r="L102" i="59"/>
  <c r="N124" i="59"/>
  <c r="L122" i="59"/>
  <c r="L119" i="59"/>
  <c r="J39" i="59"/>
  <c r="I58" i="59"/>
  <c r="J70" i="59"/>
  <c r="N19" i="59"/>
  <c r="E6" i="59"/>
  <c r="L62" i="59"/>
  <c r="I66" i="59"/>
  <c r="L71" i="59"/>
  <c r="L87" i="59"/>
  <c r="N60" i="59"/>
  <c r="N111" i="59"/>
  <c r="I83" i="59"/>
  <c r="J73" i="11"/>
  <c r="B116" i="11"/>
  <c r="N74" i="11"/>
  <c r="I74" i="11"/>
  <c r="I76" i="11"/>
  <c r="N62" i="11"/>
  <c r="J53" i="11"/>
  <c r="N79" i="11"/>
  <c r="N20" i="11"/>
  <c r="B52" i="11"/>
  <c r="J69" i="11"/>
  <c r="J70" i="11"/>
  <c r="I73" i="11"/>
  <c r="E6" i="11"/>
  <c r="B23" i="11"/>
  <c r="C6" i="11"/>
  <c r="I63" i="11"/>
  <c r="L70" i="11"/>
  <c r="N76" i="11"/>
  <c r="I33" i="11"/>
  <c r="J34" i="11"/>
  <c r="N55" i="11"/>
  <c r="N73" i="11"/>
  <c r="B120" i="11"/>
  <c r="I55" i="11"/>
  <c r="J67" i="11"/>
  <c r="I67" i="11"/>
  <c r="B88" i="11"/>
  <c r="N70" i="11"/>
  <c r="C2" i="11"/>
  <c r="J54" i="11"/>
  <c r="B56" i="11"/>
  <c r="N33" i="11"/>
  <c r="B55" i="11"/>
  <c r="N54" i="11"/>
  <c r="L69" i="11"/>
  <c r="J79" i="11"/>
  <c r="B3" i="11"/>
  <c r="L35" i="11"/>
  <c r="J63" i="11"/>
  <c r="N65" i="11"/>
  <c r="I66" i="11"/>
  <c r="N19" i="11"/>
  <c r="N78" i="11"/>
  <c r="N63" i="11"/>
  <c r="L55" i="11"/>
  <c r="B85" i="11"/>
  <c r="N53" i="11"/>
  <c r="N67" i="11"/>
  <c r="I70" i="11"/>
  <c r="N34" i="11"/>
  <c r="J55" i="11"/>
  <c r="I78" i="11"/>
  <c r="I65" i="11"/>
  <c r="I69" i="11"/>
  <c r="I79" i="11"/>
  <c r="N66" i="11"/>
  <c r="L67" i="11"/>
  <c r="C5" i="11"/>
  <c r="N69" i="11"/>
  <c r="B22" i="11"/>
  <c r="J66" i="11"/>
  <c r="J62" i="11"/>
  <c r="J78" i="11"/>
  <c r="I34" i="11"/>
  <c r="N26" i="11"/>
  <c r="I35" i="11"/>
  <c r="I53" i="11"/>
  <c r="C8" i="11"/>
  <c r="J74" i="11"/>
  <c r="N35" i="11"/>
  <c r="C7" i="11"/>
  <c r="J33" i="11"/>
  <c r="B19" i="11"/>
  <c r="C1" i="11"/>
  <c r="J35" i="11"/>
  <c r="I62" i="11"/>
  <c r="B89" i="11"/>
  <c r="I54" i="11"/>
  <c r="N27" i="11"/>
  <c r="J76" i="11"/>
  <c r="L74" i="11"/>
  <c r="J65" i="11"/>
  <c r="B19" i="27"/>
  <c r="J34" i="27"/>
  <c r="J33" i="27"/>
  <c r="N33" i="27"/>
  <c r="C2" i="27"/>
  <c r="B23" i="27"/>
  <c r="J45" i="27"/>
  <c r="N34" i="27"/>
  <c r="L34" i="27"/>
  <c r="B3" i="27"/>
  <c r="I45" i="27"/>
  <c r="N20" i="27"/>
  <c r="C1" i="27"/>
  <c r="E6" i="27"/>
  <c r="C8" i="27"/>
  <c r="N19" i="27"/>
  <c r="C7" i="27"/>
  <c r="C6" i="27"/>
  <c r="N27" i="27"/>
  <c r="C5" i="27"/>
  <c r="N45" i="27"/>
  <c r="I33" i="27"/>
  <c r="I34" i="27"/>
  <c r="J66" i="19"/>
  <c r="L47" i="19"/>
  <c r="N19" i="19"/>
  <c r="B3" i="19"/>
  <c r="N27" i="19"/>
  <c r="I46" i="19"/>
  <c r="I67" i="19"/>
  <c r="B80" i="19"/>
  <c r="I55" i="19"/>
  <c r="B48" i="19"/>
  <c r="J57" i="19"/>
  <c r="N55" i="19"/>
  <c r="I47" i="19"/>
  <c r="N26" i="19"/>
  <c r="C6" i="19"/>
  <c r="B76" i="19"/>
  <c r="I61" i="19"/>
  <c r="B22" i="19"/>
  <c r="B52" i="19"/>
  <c r="I54" i="19"/>
  <c r="N47" i="19"/>
  <c r="C8" i="19"/>
  <c r="N67" i="19"/>
  <c r="C1" i="19"/>
  <c r="J58" i="19"/>
  <c r="I51" i="19"/>
  <c r="B107" i="19"/>
  <c r="J67" i="19"/>
  <c r="N46" i="19"/>
  <c r="L57" i="19"/>
  <c r="J51" i="19"/>
  <c r="N54" i="19"/>
  <c r="C2" i="19"/>
  <c r="J46" i="19"/>
  <c r="I53" i="19"/>
  <c r="I62" i="19"/>
  <c r="J34" i="19"/>
  <c r="I34" i="19"/>
  <c r="J62" i="19"/>
  <c r="I64" i="19"/>
  <c r="N33" i="19"/>
  <c r="N64" i="19"/>
  <c r="N51" i="19"/>
  <c r="B23" i="19"/>
  <c r="N62" i="19"/>
  <c r="N58" i="19"/>
  <c r="B79" i="19"/>
  <c r="I50" i="19"/>
  <c r="J61" i="19"/>
  <c r="I57" i="19"/>
  <c r="N61" i="19"/>
  <c r="I58" i="19"/>
  <c r="J50" i="19"/>
  <c r="N53" i="19"/>
  <c r="B51" i="19"/>
  <c r="B19" i="19"/>
  <c r="N66" i="19"/>
  <c r="N34" i="19"/>
  <c r="B111" i="19"/>
  <c r="E6" i="19"/>
  <c r="L34" i="19"/>
  <c r="J54" i="19"/>
  <c r="I33" i="19"/>
  <c r="C5" i="19"/>
  <c r="L55" i="19"/>
  <c r="I66" i="19"/>
  <c r="J33" i="19"/>
  <c r="J64" i="19"/>
  <c r="N50" i="19"/>
  <c r="N57" i="19"/>
  <c r="J47" i="19"/>
  <c r="L58" i="19"/>
  <c r="J53" i="19"/>
  <c r="N20" i="19"/>
  <c r="L62" i="19"/>
  <c r="C7" i="19"/>
  <c r="J55" i="19"/>
  <c r="B107" i="22"/>
  <c r="N20" i="22"/>
  <c r="J63" i="22"/>
  <c r="L67" i="22"/>
  <c r="C6" i="22"/>
  <c r="B52" i="22"/>
  <c r="J66" i="22"/>
  <c r="N62" i="22"/>
  <c r="B19" i="22"/>
  <c r="I34" i="22"/>
  <c r="I72" i="22"/>
  <c r="I46" i="22"/>
  <c r="N71" i="22"/>
  <c r="C7" i="22"/>
  <c r="B111" i="22"/>
  <c r="N66" i="22"/>
  <c r="C5" i="22"/>
  <c r="L60" i="22"/>
  <c r="N45" i="22"/>
  <c r="N56" i="22"/>
  <c r="N60" i="22"/>
  <c r="I66" i="22"/>
  <c r="N19" i="22"/>
  <c r="B48" i="22"/>
  <c r="J60" i="22"/>
  <c r="N59" i="22"/>
  <c r="B51" i="22"/>
  <c r="C1" i="22"/>
  <c r="J56" i="22"/>
  <c r="J55" i="22"/>
  <c r="J59" i="22"/>
  <c r="J58" i="22"/>
  <c r="L63" i="22"/>
  <c r="C2" i="22"/>
  <c r="J67" i="22"/>
  <c r="N63" i="22"/>
  <c r="N33" i="22"/>
  <c r="J72" i="22"/>
  <c r="N69" i="22"/>
  <c r="L34" i="22"/>
  <c r="N58" i="22"/>
  <c r="N34" i="22"/>
  <c r="I58" i="22"/>
  <c r="I55" i="22"/>
  <c r="L62" i="22"/>
  <c r="I69" i="22"/>
  <c r="J34" i="22"/>
  <c r="N72" i="22"/>
  <c r="J71" i="22"/>
  <c r="C8" i="22"/>
  <c r="B23" i="22"/>
  <c r="I45" i="22"/>
  <c r="N55" i="22"/>
  <c r="I67" i="22"/>
  <c r="N27" i="22"/>
  <c r="B76" i="22"/>
  <c r="J69" i="22"/>
  <c r="I60" i="22"/>
  <c r="J46" i="22"/>
  <c r="I59" i="22"/>
  <c r="B80" i="22"/>
  <c r="I62" i="22"/>
  <c r="B3" i="22"/>
  <c r="N46" i="22"/>
  <c r="B79" i="22"/>
  <c r="N67" i="22"/>
  <c r="L46" i="22"/>
  <c r="I33" i="22"/>
  <c r="J62" i="22"/>
  <c r="B22" i="22"/>
  <c r="J33" i="22"/>
  <c r="I56" i="22"/>
  <c r="I63" i="22"/>
  <c r="J45" i="22"/>
  <c r="E6" i="22"/>
  <c r="I71" i="22"/>
  <c r="L96" i="17"/>
  <c r="L71" i="17"/>
  <c r="J46" i="17"/>
  <c r="J109" i="17"/>
  <c r="L117" i="17"/>
  <c r="N62" i="17"/>
  <c r="N151" i="17"/>
  <c r="L37" i="17"/>
  <c r="I40" i="17"/>
  <c r="I63" i="17"/>
  <c r="N99" i="17"/>
  <c r="L38" i="17"/>
  <c r="L159" i="17"/>
  <c r="I97" i="17"/>
  <c r="C8" i="17"/>
  <c r="J36" i="17"/>
  <c r="J55" i="17"/>
  <c r="L138" i="17"/>
  <c r="N164" i="17"/>
  <c r="I77" i="17"/>
  <c r="L68" i="17"/>
  <c r="I54" i="17"/>
  <c r="J39" i="17"/>
  <c r="L152" i="17"/>
  <c r="L121" i="17"/>
  <c r="N50" i="17"/>
  <c r="N135" i="17"/>
  <c r="I74" i="17"/>
  <c r="L95" i="17"/>
  <c r="N20" i="17"/>
  <c r="I104" i="17"/>
  <c r="L64" i="17"/>
  <c r="J108" i="17"/>
  <c r="C1" i="17"/>
  <c r="I109" i="17"/>
  <c r="N163" i="17"/>
  <c r="J66" i="17"/>
  <c r="L57" i="17"/>
  <c r="L141" i="17"/>
  <c r="N152" i="17"/>
  <c r="L162" i="17"/>
  <c r="N57" i="17"/>
  <c r="J64" i="17"/>
  <c r="L73" i="17"/>
  <c r="L99" i="17"/>
  <c r="L55" i="17"/>
  <c r="I68" i="17"/>
  <c r="L62" i="17"/>
  <c r="L56" i="17"/>
  <c r="L139" i="17"/>
  <c r="J75" i="17"/>
  <c r="N121" i="17"/>
  <c r="N117" i="17"/>
  <c r="N75" i="17"/>
  <c r="N133" i="17"/>
  <c r="N120" i="17"/>
  <c r="L103" i="17"/>
  <c r="I102" i="17"/>
  <c r="J50" i="17"/>
  <c r="I35" i="17"/>
  <c r="I57" i="17"/>
  <c r="L145" i="17"/>
  <c r="N59" i="17"/>
  <c r="L135" i="17"/>
  <c r="L164" i="17"/>
  <c r="J49" i="17"/>
  <c r="I41" i="17"/>
  <c r="N105" i="17"/>
  <c r="N155" i="17"/>
  <c r="I47" i="17"/>
  <c r="I66" i="17"/>
  <c r="N41" i="17"/>
  <c r="N19" i="17"/>
  <c r="L129" i="17"/>
  <c r="L148" i="17"/>
  <c r="L165" i="17"/>
  <c r="N165" i="17"/>
  <c r="N143" i="17"/>
  <c r="J102" i="17"/>
  <c r="L50" i="17"/>
  <c r="N116" i="17"/>
  <c r="J68" i="17"/>
  <c r="N76" i="17"/>
  <c r="L45" i="17"/>
  <c r="N68" i="17"/>
  <c r="L147" i="17"/>
  <c r="L76" i="17"/>
  <c r="N136" i="17"/>
  <c r="J45" i="17"/>
  <c r="L143" i="17"/>
  <c r="J104" i="17"/>
  <c r="I48" i="17"/>
  <c r="N157" i="17"/>
  <c r="J73" i="17"/>
  <c r="J53" i="17"/>
  <c r="J72" i="17"/>
  <c r="N153" i="17"/>
  <c r="J59" i="17"/>
  <c r="J74" i="17"/>
  <c r="J95" i="17"/>
  <c r="N125" i="17"/>
  <c r="N127" i="17"/>
  <c r="J47" i="17"/>
  <c r="L115" i="17"/>
  <c r="L153" i="17"/>
  <c r="L65" i="17"/>
  <c r="N145" i="17"/>
  <c r="L157" i="17"/>
  <c r="B19" i="17"/>
  <c r="L66" i="17"/>
  <c r="C6" i="17"/>
  <c r="L136" i="17"/>
  <c r="I45" i="17"/>
  <c r="N141" i="17"/>
  <c r="L155" i="17"/>
  <c r="E6" i="17"/>
  <c r="N126" i="17"/>
  <c r="N170" i="17"/>
  <c r="N115" i="17"/>
  <c r="N144" i="17"/>
  <c r="N46" i="17"/>
  <c r="I76" i="17"/>
  <c r="J97" i="17"/>
  <c r="L48" i="17"/>
  <c r="N58" i="17"/>
  <c r="L118" i="17"/>
  <c r="L116" i="17"/>
  <c r="N38" i="17"/>
  <c r="N66" i="17"/>
  <c r="J67" i="17"/>
  <c r="I44" i="17"/>
  <c r="N134" i="17"/>
  <c r="J44" i="17"/>
  <c r="I73" i="17"/>
  <c r="L142" i="17"/>
  <c r="L49" i="17"/>
  <c r="J40" i="17"/>
  <c r="N64" i="17"/>
  <c r="I72" i="17"/>
  <c r="N53" i="17"/>
  <c r="N159" i="17"/>
  <c r="J48" i="17"/>
  <c r="I39" i="17"/>
  <c r="N129" i="17"/>
  <c r="J56" i="17"/>
  <c r="L102" i="17"/>
  <c r="J41" i="17"/>
  <c r="I64" i="17"/>
  <c r="N63" i="17"/>
  <c r="N47" i="17"/>
  <c r="N96" i="17"/>
  <c r="I37" i="17"/>
  <c r="N27" i="17"/>
  <c r="L130" i="17"/>
  <c r="I65" i="17"/>
  <c r="N36" i="17"/>
  <c r="L54" i="17"/>
  <c r="N167" i="17"/>
  <c r="N156" i="17"/>
  <c r="N97" i="17"/>
  <c r="N148" i="17"/>
  <c r="L35" i="17"/>
  <c r="J103" i="17"/>
  <c r="N72" i="17"/>
  <c r="N138" i="17"/>
  <c r="L58" i="17"/>
  <c r="N108" i="17"/>
  <c r="L74" i="17"/>
  <c r="J71" i="17"/>
  <c r="I103" i="17"/>
  <c r="L166" i="17"/>
  <c r="J35" i="17"/>
  <c r="N54" i="17"/>
  <c r="N154" i="17"/>
  <c r="B3" i="17"/>
  <c r="N160" i="17"/>
  <c r="N162" i="17"/>
  <c r="I38" i="17"/>
  <c r="L104" i="17"/>
  <c r="N74" i="17"/>
  <c r="C2" i="17"/>
  <c r="N95" i="17"/>
  <c r="L46" i="17"/>
  <c r="J54" i="17"/>
  <c r="N73" i="17"/>
  <c r="L47" i="17"/>
  <c r="J62" i="17"/>
  <c r="N39" i="17"/>
  <c r="J38" i="17"/>
  <c r="I50" i="17"/>
  <c r="L36" i="17"/>
  <c r="J105" i="17"/>
  <c r="L133" i="17"/>
  <c r="I58" i="17"/>
  <c r="I62" i="17"/>
  <c r="C7" i="17"/>
  <c r="C5" i="17"/>
  <c r="I53" i="17"/>
  <c r="L144" i="17"/>
  <c r="I56" i="17"/>
  <c r="I108" i="17"/>
  <c r="L75" i="17"/>
  <c r="L63" i="17"/>
  <c r="L156" i="17"/>
  <c r="N104" i="17"/>
  <c r="I46" i="17"/>
  <c r="L53" i="17"/>
  <c r="L154" i="17"/>
  <c r="L40" i="17"/>
  <c r="N65" i="17"/>
  <c r="N71" i="17"/>
  <c r="N77" i="17"/>
  <c r="L41" i="17"/>
  <c r="L120" i="17"/>
  <c r="I75" i="17"/>
  <c r="I105" i="17"/>
  <c r="I67" i="17"/>
  <c r="N139" i="17"/>
  <c r="L77" i="17"/>
  <c r="L160" i="17"/>
  <c r="N45" i="17"/>
  <c r="N49" i="17"/>
  <c r="J65" i="17"/>
  <c r="L167" i="17"/>
  <c r="J58" i="17"/>
  <c r="L125" i="17"/>
  <c r="N130" i="17"/>
  <c r="B23" i="17"/>
  <c r="N142" i="17"/>
  <c r="L134" i="17"/>
  <c r="L126" i="17"/>
  <c r="L163" i="17"/>
  <c r="L124" i="17"/>
  <c r="N37" i="17"/>
  <c r="N166" i="17"/>
  <c r="L127" i="17"/>
  <c r="N147" i="17"/>
  <c r="J57" i="17"/>
  <c r="N56" i="17"/>
  <c r="I49" i="17"/>
  <c r="I71" i="17"/>
  <c r="J77" i="17"/>
  <c r="I96" i="17"/>
  <c r="L39" i="17"/>
  <c r="J99" i="17"/>
  <c r="L161" i="17"/>
  <c r="J37" i="17"/>
  <c r="N102" i="17"/>
  <c r="N44" i="17"/>
  <c r="N118" i="17"/>
  <c r="J96" i="17"/>
  <c r="L72" i="17"/>
  <c r="N35" i="17"/>
  <c r="L67" i="17"/>
  <c r="N55" i="17"/>
  <c r="L170" i="17"/>
  <c r="N48" i="17"/>
  <c r="I59" i="17"/>
  <c r="N161" i="17"/>
  <c r="N109" i="17"/>
  <c r="L59" i="17"/>
  <c r="L44" i="17"/>
  <c r="I99" i="17"/>
  <c r="J63" i="17"/>
  <c r="I55" i="17"/>
  <c r="N67" i="17"/>
  <c r="L97" i="17"/>
  <c r="N103" i="17"/>
  <c r="I36" i="17"/>
  <c r="N124" i="17"/>
  <c r="N26" i="17"/>
  <c r="J76" i="17"/>
  <c r="N40" i="17"/>
  <c r="I95" i="17"/>
  <c r="N39" i="16"/>
  <c r="I90" i="16"/>
  <c r="J39" i="16"/>
  <c r="B74" i="16"/>
  <c r="N49" i="16"/>
  <c r="I58" i="16"/>
  <c r="J45" i="16"/>
  <c r="I60" i="16"/>
  <c r="J47" i="16"/>
  <c r="N51" i="16"/>
  <c r="J48" i="16"/>
  <c r="B77" i="16"/>
  <c r="N73" i="16"/>
  <c r="J44" i="16"/>
  <c r="I39" i="16"/>
  <c r="I56" i="16"/>
  <c r="J33" i="16"/>
  <c r="J91" i="16"/>
  <c r="L76" i="16"/>
  <c r="N20" i="16"/>
  <c r="I42" i="16"/>
  <c r="N70" i="16"/>
  <c r="N33" i="16"/>
  <c r="I118" i="16"/>
  <c r="N60" i="16"/>
  <c r="L91" i="16"/>
  <c r="I54" i="16"/>
  <c r="J41" i="16"/>
  <c r="I72" i="16"/>
  <c r="N44" i="16"/>
  <c r="J58" i="16"/>
  <c r="N19" i="16"/>
  <c r="J59" i="16"/>
  <c r="J53" i="16"/>
  <c r="N41" i="16"/>
  <c r="L74" i="16"/>
  <c r="I77" i="16"/>
  <c r="J118" i="16"/>
  <c r="J49" i="16"/>
  <c r="I49" i="16"/>
  <c r="I69" i="16"/>
  <c r="J37" i="16"/>
  <c r="N54" i="16"/>
  <c r="J72" i="16"/>
  <c r="I74" i="16"/>
  <c r="J42" i="16"/>
  <c r="I76" i="16"/>
  <c r="B78" i="16"/>
  <c r="N42" i="16"/>
  <c r="B19" i="16"/>
  <c r="N48" i="16"/>
  <c r="I34" i="16"/>
  <c r="N59" i="16"/>
  <c r="I120" i="16"/>
  <c r="I91" i="16"/>
  <c r="N121" i="16"/>
  <c r="N77" i="16"/>
  <c r="J52" i="16"/>
  <c r="I73" i="16"/>
  <c r="I44" i="16"/>
  <c r="I47" i="16"/>
  <c r="N118" i="16"/>
  <c r="N38" i="16"/>
  <c r="I45" i="16"/>
  <c r="J36" i="16"/>
  <c r="L60" i="16"/>
  <c r="N58" i="16"/>
  <c r="E6" i="16"/>
  <c r="C2" i="16"/>
  <c r="I52" i="16"/>
  <c r="I37" i="16"/>
  <c r="B45" i="16"/>
  <c r="N46" i="16"/>
  <c r="L77" i="16"/>
  <c r="I121" i="16"/>
  <c r="J35" i="16"/>
  <c r="J76" i="16"/>
  <c r="N45" i="16"/>
  <c r="C7" i="16"/>
  <c r="J40" i="16"/>
  <c r="C8" i="16"/>
  <c r="I40" i="16"/>
  <c r="N27" i="16"/>
  <c r="I59" i="16"/>
  <c r="N90" i="16"/>
  <c r="J69" i="16"/>
  <c r="J43" i="16"/>
  <c r="B23" i="16"/>
  <c r="N36" i="16"/>
  <c r="B3" i="16"/>
  <c r="I41" i="16"/>
  <c r="N76" i="16"/>
  <c r="N74" i="16"/>
  <c r="N91" i="16"/>
  <c r="J120" i="16"/>
  <c r="J54" i="16"/>
  <c r="J51" i="16"/>
  <c r="N40" i="16"/>
  <c r="N72" i="16"/>
  <c r="N50" i="16"/>
  <c r="J38" i="16"/>
  <c r="I38" i="16"/>
  <c r="I50" i="16"/>
  <c r="J121" i="16"/>
  <c r="N26" i="16"/>
  <c r="N55" i="16"/>
  <c r="B105" i="16"/>
  <c r="N35" i="16"/>
  <c r="N52" i="16"/>
  <c r="J74" i="16"/>
  <c r="N37" i="16"/>
  <c r="I36" i="16"/>
  <c r="J56" i="16"/>
  <c r="N69" i="16"/>
  <c r="J34" i="16"/>
  <c r="N120" i="16"/>
  <c r="J90" i="16"/>
  <c r="N47" i="16"/>
  <c r="C1" i="16"/>
  <c r="N56" i="16"/>
  <c r="J50" i="16"/>
  <c r="C6" i="16"/>
  <c r="I33" i="16"/>
  <c r="N53" i="16"/>
  <c r="I43" i="16"/>
  <c r="C3" i="16"/>
  <c r="I51" i="16"/>
  <c r="B44" i="16"/>
  <c r="J70" i="16"/>
  <c r="N34" i="16"/>
  <c r="J73" i="16"/>
  <c r="C5" i="16"/>
  <c r="I35" i="16"/>
  <c r="I53" i="16"/>
  <c r="J77" i="16"/>
  <c r="I70" i="16"/>
  <c r="N43" i="16"/>
  <c r="B109" i="16"/>
  <c r="B41" i="16"/>
  <c r="I48" i="16"/>
  <c r="J60" i="16"/>
  <c r="L34" i="31"/>
  <c r="J34" i="31"/>
  <c r="I34" i="31"/>
  <c r="C7" i="31"/>
  <c r="J33" i="31"/>
  <c r="N27" i="31"/>
  <c r="N20" i="31"/>
  <c r="N33" i="31"/>
  <c r="C1" i="31"/>
  <c r="N34" i="31"/>
  <c r="C2" i="31"/>
  <c r="B19" i="31"/>
  <c r="C6" i="31"/>
  <c r="I38" i="31"/>
  <c r="B23" i="31"/>
  <c r="E6" i="31"/>
  <c r="B3" i="31"/>
  <c r="N38" i="31"/>
  <c r="C8" i="31"/>
  <c r="I33" i="31"/>
  <c r="C5" i="31"/>
  <c r="N19" i="31"/>
  <c r="J38" i="31"/>
  <c r="N19" i="35"/>
  <c r="N48" i="35"/>
  <c r="C6" i="35"/>
  <c r="I50" i="35"/>
  <c r="L44" i="35"/>
  <c r="J50" i="35"/>
  <c r="N46" i="35"/>
  <c r="I44" i="35"/>
  <c r="N27" i="35"/>
  <c r="J55" i="35"/>
  <c r="I62" i="35"/>
  <c r="B3" i="35"/>
  <c r="N37" i="35"/>
  <c r="B54" i="35"/>
  <c r="J44" i="35"/>
  <c r="J46" i="35"/>
  <c r="J34" i="35"/>
  <c r="J37" i="35"/>
  <c r="N40" i="35"/>
  <c r="C2" i="35"/>
  <c r="B50" i="35"/>
  <c r="I37" i="35"/>
  <c r="L38" i="35"/>
  <c r="J40" i="35"/>
  <c r="L34" i="35"/>
  <c r="I48" i="35"/>
  <c r="N50" i="35"/>
  <c r="I55" i="35"/>
  <c r="E6" i="35"/>
  <c r="I43" i="35"/>
  <c r="B22" i="35"/>
  <c r="J48" i="35"/>
  <c r="B19" i="35"/>
  <c r="I36" i="35"/>
  <c r="N43" i="35"/>
  <c r="J62" i="35"/>
  <c r="L40" i="35"/>
  <c r="N34" i="35"/>
  <c r="B23" i="35"/>
  <c r="J36" i="35"/>
  <c r="C7" i="35"/>
  <c r="C8" i="35"/>
  <c r="J43" i="35"/>
  <c r="J38" i="35"/>
  <c r="N44" i="35"/>
  <c r="I38" i="35"/>
  <c r="I34" i="35"/>
  <c r="C5" i="35"/>
  <c r="N20" i="35"/>
  <c r="L50" i="35"/>
  <c r="I46" i="35"/>
  <c r="N38" i="35"/>
  <c r="C1" i="35"/>
  <c r="N36" i="35"/>
  <c r="I40" i="35"/>
  <c r="N55" i="35"/>
  <c r="J69" i="26"/>
  <c r="N27" i="26"/>
  <c r="L38" i="26"/>
  <c r="I38" i="26"/>
  <c r="C1" i="26"/>
  <c r="I37" i="26"/>
  <c r="L37" i="26"/>
  <c r="C8" i="26"/>
  <c r="I68" i="26"/>
  <c r="B19" i="26"/>
  <c r="N38" i="26"/>
  <c r="J35" i="26"/>
  <c r="C7" i="26"/>
  <c r="I49" i="26"/>
  <c r="I50" i="26"/>
  <c r="J34" i="26"/>
  <c r="J37" i="26"/>
  <c r="N34" i="26"/>
  <c r="E6" i="26"/>
  <c r="B22" i="26"/>
  <c r="J38" i="26"/>
  <c r="B50" i="26"/>
  <c r="J72" i="26"/>
  <c r="N71" i="26"/>
  <c r="I34" i="26"/>
  <c r="N33" i="26"/>
  <c r="I71" i="26"/>
  <c r="I35" i="26"/>
  <c r="N69" i="26"/>
  <c r="C6" i="26"/>
  <c r="J68" i="26"/>
  <c r="I33" i="26"/>
  <c r="J49" i="26"/>
  <c r="B3" i="26"/>
  <c r="B23" i="26"/>
  <c r="N19" i="26"/>
  <c r="N50" i="26"/>
  <c r="C5" i="26"/>
  <c r="L50" i="26"/>
  <c r="N20" i="26"/>
  <c r="N35" i="26"/>
  <c r="N68" i="26"/>
  <c r="I69" i="26"/>
  <c r="L35" i="26"/>
  <c r="N37" i="26"/>
  <c r="N72" i="26"/>
  <c r="I72" i="26"/>
  <c r="B54" i="26"/>
  <c r="C2" i="26"/>
  <c r="N49" i="26"/>
  <c r="J33" i="26"/>
  <c r="J50" i="26"/>
  <c r="J71" i="26"/>
  <c r="X11" i="65"/>
  <c r="U17" i="68"/>
  <c r="Y11" i="70"/>
  <c r="X11" i="66"/>
  <c r="X11" i="70"/>
  <c r="W17" i="68"/>
  <c r="W17" i="70"/>
  <c r="V11" i="65"/>
  <c r="Y11" i="69"/>
  <c r="Y11" i="68"/>
  <c r="Z11" i="67"/>
  <c r="V17" i="66"/>
  <c r="Y17" i="66"/>
  <c r="X17" i="68"/>
  <c r="W11" i="70"/>
  <c r="Z17" i="68"/>
  <c r="V11" i="69"/>
  <c r="Z11" i="66"/>
  <c r="X11" i="69"/>
  <c r="U11" i="68"/>
  <c r="Z11" i="68"/>
  <c r="Y17" i="70"/>
  <c r="U11" i="70"/>
  <c r="U11" i="69"/>
  <c r="Z11" i="69"/>
  <c r="U11" i="66"/>
  <c r="Y11" i="67"/>
  <c r="Z17" i="66"/>
  <c r="X11" i="68"/>
  <c r="V17" i="70"/>
  <c r="W11" i="65"/>
  <c r="Z11" i="70"/>
  <c r="U17" i="66"/>
  <c r="V11" i="66"/>
  <c r="V17" i="68"/>
  <c r="V11" i="70"/>
  <c r="Y17" i="68"/>
  <c r="W11" i="69"/>
  <c r="Y11" i="65"/>
  <c r="U17" i="70"/>
  <c r="V11" i="67"/>
  <c r="Y11" i="66"/>
  <c r="Z11" i="65"/>
  <c r="U11" i="67"/>
  <c r="W11" i="68"/>
  <c r="Z17" i="70"/>
  <c r="U11" i="65"/>
  <c r="W17" i="66"/>
  <c r="X11" i="67"/>
  <c r="X17" i="66"/>
  <c r="W11" i="66"/>
  <c r="W11" i="67"/>
  <c r="V11" i="68"/>
  <c r="X17" i="70"/>
  <c r="C3" i="11"/>
  <c r="C3" i="52"/>
  <c r="C3" i="53"/>
  <c r="C3" i="17"/>
  <c r="AD17" i="54" l="1"/>
  <c r="AD18" i="54" s="1"/>
  <c r="AD17" i="63"/>
  <c r="AD18" i="63" s="1"/>
  <c r="AD17" i="61"/>
  <c r="AD18" i="61" s="1"/>
  <c r="AD17" i="53"/>
  <c r="AD18" i="53" s="1"/>
  <c r="AD17" i="52"/>
  <c r="AD18" i="52" s="1"/>
  <c r="AD17" i="51"/>
  <c r="AD18" i="51" s="1"/>
  <c r="AD17" i="9"/>
  <c r="AD18" i="9" s="1"/>
  <c r="AD17" i="18"/>
  <c r="AD18" i="18" s="1"/>
  <c r="AD17" i="29"/>
  <c r="AD18" i="29" s="1"/>
  <c r="AD17" i="4"/>
  <c r="AD18" i="4" s="1"/>
  <c r="AD17" i="21"/>
  <c r="AD18" i="21" s="1"/>
  <c r="AD17" i="7"/>
  <c r="AD18" i="7" s="1"/>
  <c r="AD17" i="36"/>
  <c r="AD18" i="36" s="1"/>
  <c r="AD17" i="30"/>
  <c r="AD18" i="30" s="1"/>
  <c r="AD17" i="20"/>
  <c r="AD18" i="20" s="1"/>
  <c r="AC17" i="24"/>
  <c r="AC18" i="24" s="1"/>
  <c r="AD17" i="33"/>
  <c r="AD18" i="33" s="1"/>
  <c r="AD17" i="25"/>
  <c r="AD18" i="25" s="1"/>
  <c r="AD17" i="23"/>
  <c r="AD18" i="23" s="1"/>
  <c r="AD17" i="15"/>
  <c r="AD18" i="15" s="1"/>
  <c r="AD17" i="32"/>
  <c r="AD18" i="32" s="1"/>
  <c r="AD17" i="34"/>
  <c r="AD18" i="34" s="1"/>
  <c r="AD17" i="28"/>
  <c r="AD18" i="28" s="1"/>
  <c r="AD17" i="11"/>
  <c r="AD18" i="11" s="1"/>
  <c r="AD17" i="27"/>
  <c r="AD18" i="27" s="1"/>
  <c r="AD17" i="19"/>
  <c r="AD18" i="19" s="1"/>
  <c r="AD17" i="22"/>
  <c r="AD18" i="22" s="1"/>
  <c r="AD17" i="16"/>
  <c r="AD18" i="16" s="1"/>
  <c r="AD17" i="31"/>
  <c r="AD18" i="31" s="1"/>
  <c r="AD17" i="35"/>
  <c r="AD18" i="35" s="1"/>
  <c r="AD17" i="69"/>
  <c r="AD18" i="69" s="1"/>
  <c r="AD17" i="67"/>
  <c r="AD18" i="67" s="1"/>
  <c r="AD17" i="65"/>
  <c r="AD18" i="65" s="1"/>
  <c r="AD17" i="26"/>
  <c r="AD18" i="26" s="1"/>
  <c r="AA72" i="26"/>
  <c r="AA69" i="26"/>
  <c r="AA35" i="26"/>
  <c r="AA71" i="26"/>
  <c r="AA50" i="26"/>
  <c r="AA68" i="26"/>
  <c r="AA38" i="26"/>
  <c r="AA34" i="31"/>
  <c r="AA48" i="16"/>
  <c r="AA53" i="16"/>
  <c r="AA35" i="16"/>
  <c r="AA51" i="16"/>
  <c r="AA43" i="16"/>
  <c r="AA36" i="16"/>
  <c r="AA50" i="16"/>
  <c r="AA38" i="16"/>
  <c r="AA41" i="16"/>
  <c r="AA40" i="16"/>
  <c r="AA121" i="16"/>
  <c r="AA37" i="16"/>
  <c r="AA52" i="16"/>
  <c r="AA45" i="16"/>
  <c r="AA47" i="16"/>
  <c r="AA44" i="16"/>
  <c r="AA91" i="16"/>
  <c r="AA120" i="16"/>
  <c r="AA74" i="16"/>
  <c r="AA49" i="16"/>
  <c r="AA77" i="16"/>
  <c r="AA54" i="16"/>
  <c r="AA118" i="16"/>
  <c r="AA42" i="16"/>
  <c r="AA56" i="16"/>
  <c r="AA39" i="16"/>
  <c r="AA60" i="16"/>
  <c r="AA71" i="22"/>
  <c r="AA69" i="22"/>
  <c r="AA46" i="22"/>
  <c r="AA72" i="22"/>
  <c r="AA34" i="22"/>
  <c r="AA66" i="19"/>
  <c r="AA64" i="19"/>
  <c r="AA34" i="19"/>
  <c r="AA47" i="19"/>
  <c r="AA67" i="19"/>
  <c r="AA34" i="27"/>
  <c r="AA35" i="11"/>
  <c r="AA79" i="11"/>
  <c r="AA78" i="11"/>
  <c r="AA55" i="11"/>
  <c r="AA76" i="11"/>
  <c r="AA56" i="28"/>
  <c r="AA64" i="28"/>
  <c r="AA65" i="28"/>
  <c r="AA39" i="28"/>
  <c r="AA35" i="28"/>
  <c r="AA47" i="28"/>
  <c r="AA49" i="34"/>
  <c r="AA50" i="34"/>
  <c r="AA34" i="32"/>
  <c r="AA67" i="15"/>
  <c r="AA63" i="15"/>
  <c r="AA45" i="15"/>
  <c r="AA68" i="15"/>
  <c r="AA65" i="15"/>
  <c r="AA35" i="15"/>
  <c r="AA58" i="15"/>
  <c r="AA95" i="23"/>
  <c r="AF95" i="23" s="1"/>
  <c r="AA98" i="23"/>
  <c r="AA34" i="23"/>
  <c r="AA56" i="23"/>
  <c r="AA34" i="25"/>
  <c r="AA34" i="33"/>
  <c r="Z43" i="24"/>
  <c r="Z34" i="24"/>
  <c r="AA57" i="20"/>
  <c r="AA59" i="20"/>
  <c r="AA34" i="20"/>
  <c r="AA41" i="20"/>
  <c r="AA60" i="20"/>
  <c r="AA74" i="30"/>
  <c r="AA35" i="30"/>
  <c r="AA71" i="30"/>
  <c r="AA73" i="30"/>
  <c r="AA38" i="30"/>
  <c r="AA50" i="30"/>
  <c r="AA44" i="36"/>
  <c r="AA64" i="36"/>
  <c r="AA67" i="36" s="1"/>
  <c r="AA35" i="36"/>
  <c r="AA53" i="36"/>
  <c r="AA50" i="7"/>
  <c r="AF50" i="7" s="1"/>
  <c r="AA51" i="7"/>
  <c r="AF51" i="7" s="1"/>
  <c r="AA48" i="7"/>
  <c r="AA34" i="7"/>
  <c r="AA54" i="7"/>
  <c r="AA74" i="21"/>
  <c r="AA71" i="21"/>
  <c r="AA34" i="21"/>
  <c r="AA73" i="21"/>
  <c r="AA47" i="21"/>
  <c r="AA72" i="4"/>
  <c r="AA35" i="4"/>
  <c r="AA95" i="4"/>
  <c r="AA55" i="4"/>
  <c r="AA97" i="4"/>
  <c r="AA58" i="4"/>
  <c r="AA98" i="4"/>
  <c r="AA73" i="29"/>
  <c r="AA50" i="29"/>
  <c r="AA76" i="29"/>
  <c r="AA38" i="29"/>
  <c r="AA75" i="29"/>
  <c r="AA35" i="29"/>
  <c r="AA34" i="18"/>
  <c r="AA61" i="18"/>
  <c r="AA64" i="18"/>
  <c r="AA42" i="18"/>
  <c r="AA63" i="18"/>
  <c r="AA76" i="9"/>
  <c r="AA122" i="9"/>
  <c r="AA121" i="9"/>
  <c r="AA93" i="9"/>
  <c r="AA35" i="9"/>
  <c r="AA119" i="9"/>
  <c r="AA62" i="9"/>
  <c r="AA79" i="9"/>
  <c r="AA62" i="51"/>
  <c r="AA86" i="51"/>
  <c r="AA79" i="51"/>
  <c r="AA35" i="51"/>
  <c r="AA96" i="51"/>
  <c r="AA97" i="51"/>
  <c r="AA94" i="51"/>
  <c r="AA88" i="52"/>
  <c r="AA85" i="52"/>
  <c r="AA62" i="52"/>
  <c r="AA35" i="52"/>
  <c r="AA87" i="52"/>
  <c r="AA35" i="53"/>
  <c r="AA87" i="53"/>
  <c r="AA62" i="53"/>
  <c r="AA88" i="53"/>
  <c r="AA85" i="53"/>
  <c r="AA35" i="54"/>
  <c r="AA99" i="54"/>
  <c r="AA79" i="54"/>
  <c r="AA100" i="54"/>
  <c r="AA88" i="54"/>
  <c r="AA97" i="54"/>
  <c r="AA62" i="54"/>
  <c r="AA96" i="23"/>
  <c r="AA11" i="69"/>
  <c r="AA11" i="67"/>
  <c r="AF141" i="59"/>
  <c r="AI171" i="17"/>
  <c r="S53" i="34"/>
  <c r="S60" i="34" s="1"/>
  <c r="AD49" i="24"/>
  <c r="AA74" i="11"/>
  <c r="AA70" i="11"/>
  <c r="AA55" i="20"/>
  <c r="AA51" i="20"/>
  <c r="AD58" i="24"/>
  <c r="AI141" i="39"/>
  <c r="U53" i="34"/>
  <c r="U60" i="34" s="1"/>
  <c r="AE48" i="18"/>
  <c r="Y53" i="34"/>
  <c r="Y60" i="34" s="1"/>
  <c r="AF141" i="55"/>
  <c r="V53" i="34"/>
  <c r="V60" i="34" s="1"/>
  <c r="AD17" i="70"/>
  <c r="AD17" i="68"/>
  <c r="AD17" i="66"/>
  <c r="B9" i="67"/>
  <c r="B9" i="68"/>
  <c r="B9" i="69"/>
  <c r="B9" i="70"/>
  <c r="B9" i="66"/>
  <c r="B9" i="65"/>
  <c r="AA17" i="70"/>
  <c r="AA11" i="70" s="1"/>
  <c r="AA18" i="70" s="1"/>
  <c r="AA17" i="66"/>
  <c r="AA11" i="66" s="1"/>
  <c r="AA18" i="66" s="1"/>
  <c r="AA17" i="68"/>
  <c r="AA11" i="68" s="1"/>
  <c r="AA18" i="68" s="1"/>
  <c r="T67" i="28"/>
  <c r="P53" i="34"/>
  <c r="P60" i="34" s="1"/>
  <c r="X53" i="34"/>
  <c r="X60" i="34" s="1"/>
  <c r="T53" i="34"/>
  <c r="T60" i="34" s="1"/>
  <c r="X67" i="28"/>
  <c r="AI141" i="56"/>
  <c r="AH48" i="18"/>
  <c r="AG58" i="24"/>
  <c r="AG49" i="24"/>
  <c r="Z53" i="34"/>
  <c r="Z60" i="34" s="1"/>
  <c r="AA76" i="51"/>
  <c r="AA76" i="54"/>
  <c r="AA67" i="11"/>
  <c r="AA58" i="19"/>
  <c r="AA62" i="19"/>
  <c r="AA55" i="19"/>
  <c r="AA48" i="20"/>
  <c r="AA69" i="21"/>
  <c r="AA65" i="21"/>
  <c r="AA62" i="21"/>
  <c r="AA40" i="35"/>
  <c r="AA55" i="35"/>
  <c r="AA44" i="35"/>
  <c r="AA34" i="35"/>
  <c r="AA42" i="34"/>
  <c r="AA38" i="34"/>
  <c r="AA56" i="34"/>
  <c r="AA35" i="34"/>
  <c r="AA79" i="52"/>
  <c r="AA83" i="52"/>
  <c r="AA76" i="52"/>
  <c r="AA79" i="53"/>
  <c r="AA83" i="53"/>
  <c r="Q67" i="28"/>
  <c r="Y67" i="28"/>
  <c r="AF141" i="39"/>
  <c r="AG52" i="24"/>
  <c r="P67" i="28"/>
  <c r="V67" i="28"/>
  <c r="AG67" i="28"/>
  <c r="AI141" i="55"/>
  <c r="AD67" i="28"/>
  <c r="AN62" i="11"/>
  <c r="AA51" i="34"/>
  <c r="AI51" i="34" s="1"/>
  <c r="AH56" i="22"/>
  <c r="AF171" i="17"/>
  <c r="AF141" i="57"/>
  <c r="AM50" i="15"/>
  <c r="AI141" i="59"/>
  <c r="S100" i="23"/>
  <c r="AE56" i="22"/>
  <c r="R67" i="28"/>
  <c r="AH77" i="23"/>
  <c r="U100" i="23"/>
  <c r="AI141" i="57"/>
  <c r="AI141" i="58"/>
  <c r="AE77" i="23"/>
  <c r="S67" i="28"/>
  <c r="Z67" i="28"/>
  <c r="V100" i="23"/>
  <c r="AF141" i="56"/>
  <c r="O100" i="23"/>
  <c r="W100" i="23"/>
  <c r="P100" i="23"/>
  <c r="X100" i="23"/>
  <c r="O53" i="34"/>
  <c r="O60" i="34" s="1"/>
  <c r="Q100" i="23"/>
  <c r="Y100" i="23"/>
  <c r="AA47" i="7"/>
  <c r="AD48" i="35"/>
  <c r="R100" i="23"/>
  <c r="Z100" i="23"/>
  <c r="Q53" i="34"/>
  <c r="Q60" i="34" s="1"/>
  <c r="R53" i="34"/>
  <c r="R60" i="34" s="1"/>
  <c r="W53" i="34"/>
  <c r="W60" i="34" s="1"/>
  <c r="T100" i="23"/>
  <c r="AF141" i="58"/>
  <c r="AG91" i="52"/>
  <c r="AD91" i="52"/>
  <c r="AD100" i="51"/>
  <c r="AG77" i="21"/>
  <c r="Z49" i="24"/>
  <c r="AE49" i="24" s="1"/>
  <c r="Z58" i="24"/>
  <c r="Z40" i="24"/>
  <c r="AG100" i="23"/>
  <c r="AD100" i="23"/>
  <c r="AA58" i="34"/>
  <c r="AI58" i="34" s="1"/>
  <c r="O67" i="28"/>
  <c r="U67" i="28"/>
  <c r="W67" i="28"/>
  <c r="AM55" i="22"/>
  <c r="AA57" i="35"/>
  <c r="AF57" i="35" s="1"/>
  <c r="I31" i="5"/>
  <c r="I29" i="5"/>
  <c r="I30" i="5"/>
  <c r="B4" i="64"/>
  <c r="B4" i="62"/>
  <c r="B4" i="63"/>
  <c r="B4" i="61"/>
  <c r="B4" i="35"/>
  <c r="B4" i="27"/>
  <c r="B4" i="18"/>
  <c r="B4" i="58"/>
  <c r="B4" i="52"/>
  <c r="B4" i="39"/>
  <c r="B4" i="7"/>
  <c r="B4" i="32"/>
  <c r="B4" i="23"/>
  <c r="B4" i="37"/>
  <c r="B4" i="34"/>
  <c r="B4" i="29"/>
  <c r="B4" i="20"/>
  <c r="B4" i="11"/>
  <c r="B4" i="57"/>
  <c r="B4" i="51"/>
  <c r="B4" i="17"/>
  <c r="B4" i="26"/>
  <c r="B4" i="24"/>
  <c r="B4" i="4"/>
  <c r="B4" i="31"/>
  <c r="B4" i="22"/>
  <c r="B4" i="54"/>
  <c r="B4" i="56"/>
  <c r="B4" i="9"/>
  <c r="B4" i="36"/>
  <c r="B4" i="28"/>
  <c r="B4" i="19"/>
  <c r="B4" i="33"/>
  <c r="B4" i="25"/>
  <c r="B4" i="15"/>
  <c r="B4" i="59"/>
  <c r="B4" i="53"/>
  <c r="B4" i="55"/>
  <c r="B4" i="16"/>
  <c r="B4" i="30"/>
  <c r="B4" i="21"/>
  <c r="B4" i="6"/>
  <c r="D1" i="5"/>
  <c r="B9" i="62"/>
  <c r="B9" i="61"/>
  <c r="B9" i="63"/>
  <c r="B9" i="64"/>
  <c r="B9" i="32"/>
  <c r="B9" i="23"/>
  <c r="B9" i="6"/>
  <c r="B9" i="29"/>
  <c r="B9" i="20"/>
  <c r="B9" i="11"/>
  <c r="B9" i="58"/>
  <c r="B9" i="51"/>
  <c r="B9" i="39"/>
  <c r="B9" i="7"/>
  <c r="B9" i="26"/>
  <c r="B9" i="24"/>
  <c r="B9" i="4"/>
  <c r="B9" i="37"/>
  <c r="B9" i="36"/>
  <c r="B9" i="34"/>
  <c r="B9" i="31"/>
  <c r="B9" i="22"/>
  <c r="B9" i="54"/>
  <c r="B9" i="57"/>
  <c r="B9" i="9"/>
  <c r="B9" i="17"/>
  <c r="B9" i="28"/>
  <c r="B9" i="19"/>
  <c r="B9" i="33"/>
  <c r="B9" i="25"/>
  <c r="B9" i="15"/>
  <c r="B9" i="53"/>
  <c r="B9" i="56"/>
  <c r="B9" i="16"/>
  <c r="B9" i="30"/>
  <c r="B9" i="21"/>
  <c r="B9" i="35"/>
  <c r="B9" i="27"/>
  <c r="B9" i="18"/>
  <c r="B9" i="59"/>
  <c r="B9" i="52"/>
  <c r="B9" i="55"/>
  <c r="I28" i="5"/>
  <c r="I32" i="5"/>
  <c r="I33" i="5"/>
  <c r="AD17" i="64"/>
  <c r="AD17" i="62"/>
  <c r="AD17" i="56"/>
  <c r="AD17" i="59"/>
  <c r="AD17" i="55"/>
  <c r="AD17" i="6"/>
  <c r="AD17" i="58"/>
  <c r="AD17" i="39"/>
  <c r="AC17" i="37"/>
  <c r="AD17" i="57"/>
  <c r="AD17" i="17"/>
  <c r="M69" i="58"/>
  <c r="M42" i="58"/>
  <c r="M57" i="58"/>
  <c r="M87" i="58"/>
  <c r="M35" i="58"/>
  <c r="M55" i="58"/>
  <c r="M75" i="58"/>
  <c r="N145" i="58"/>
  <c r="M38" i="58"/>
  <c r="M48" i="58"/>
  <c r="M68" i="58"/>
  <c r="M78" i="58"/>
  <c r="M52" i="58"/>
  <c r="M62" i="58"/>
  <c r="M83" i="58"/>
  <c r="M77" i="58"/>
  <c r="M37" i="58"/>
  <c r="M45" i="58"/>
  <c r="N143" i="58"/>
  <c r="M39" i="58"/>
  <c r="M59" i="58"/>
  <c r="M79" i="58"/>
  <c r="M56" i="58"/>
  <c r="M36" i="58"/>
  <c r="M81" i="58"/>
  <c r="M76" i="58"/>
  <c r="N144" i="58"/>
  <c r="M85" i="58"/>
  <c r="M72" i="58"/>
  <c r="M58" i="58"/>
  <c r="M47" i="58"/>
  <c r="M67" i="58"/>
  <c r="M65" i="58"/>
  <c r="M49" i="58"/>
  <c r="M46" i="58"/>
  <c r="M66" i="58"/>
  <c r="G82" i="58"/>
  <c r="G43" i="58"/>
  <c r="AI122" i="58"/>
  <c r="K88" i="54"/>
  <c r="H2" i="54"/>
  <c r="K71" i="54"/>
  <c r="B62" i="54"/>
  <c r="B29" i="54"/>
  <c r="K79" i="54"/>
  <c r="M79" i="54"/>
  <c r="AA72" i="54"/>
  <c r="K72" i="54"/>
  <c r="N102" i="54"/>
  <c r="N103" i="54"/>
  <c r="M35" i="54"/>
  <c r="K35" i="54"/>
  <c r="M76" i="54"/>
  <c r="K76" i="54"/>
  <c r="M62" i="54"/>
  <c r="K62" i="54"/>
  <c r="K78" i="54"/>
  <c r="AA78" i="54"/>
  <c r="M78" i="54"/>
  <c r="AG103" i="54"/>
  <c r="M49" i="57"/>
  <c r="M81" i="57"/>
  <c r="N143" i="57"/>
  <c r="M57" i="57"/>
  <c r="M87" i="57"/>
  <c r="M36" i="57"/>
  <c r="M75" i="57"/>
  <c r="N144" i="57"/>
  <c r="M42" i="57"/>
  <c r="M62" i="57"/>
  <c r="M83" i="57"/>
  <c r="M38" i="57"/>
  <c r="M58" i="57"/>
  <c r="M78" i="57"/>
  <c r="N145" i="57"/>
  <c r="M37" i="57"/>
  <c r="M69" i="57"/>
  <c r="M46" i="57"/>
  <c r="M55" i="57"/>
  <c r="M79" i="57"/>
  <c r="M68" i="57"/>
  <c r="M76" i="57"/>
  <c r="M66" i="57"/>
  <c r="M35" i="57"/>
  <c r="M47" i="57"/>
  <c r="M45" i="57"/>
  <c r="M65" i="57"/>
  <c r="M77" i="57"/>
  <c r="M52" i="57"/>
  <c r="M48" i="57"/>
  <c r="M72" i="57"/>
  <c r="M67" i="57"/>
  <c r="M39" i="57"/>
  <c r="M56" i="57"/>
  <c r="M59" i="57"/>
  <c r="M85" i="57"/>
  <c r="G63" i="57"/>
  <c r="AI81" i="57"/>
  <c r="AI126" i="57"/>
  <c r="G82" i="57"/>
  <c r="G73" i="57"/>
  <c r="G43" i="57"/>
  <c r="AI122" i="57"/>
  <c r="K72" i="53"/>
  <c r="AA72" i="53"/>
  <c r="B62" i="53"/>
  <c r="B29" i="53"/>
  <c r="M35" i="53"/>
  <c r="K35" i="53"/>
  <c r="K83" i="53"/>
  <c r="N90" i="53"/>
  <c r="K76" i="53"/>
  <c r="M76" i="53"/>
  <c r="AA76" i="53"/>
  <c r="N91" i="53"/>
  <c r="M79" i="53"/>
  <c r="K79" i="53"/>
  <c r="K71" i="53"/>
  <c r="AA78" i="53"/>
  <c r="K78" i="53"/>
  <c r="M78" i="53"/>
  <c r="K62" i="53"/>
  <c r="M62" i="53"/>
  <c r="H2" i="53"/>
  <c r="M46" i="56"/>
  <c r="M66" i="56"/>
  <c r="M67" i="56"/>
  <c r="N144" i="56"/>
  <c r="M45" i="56"/>
  <c r="N143" i="56"/>
  <c r="M52" i="56"/>
  <c r="M48" i="56"/>
  <c r="M68" i="56"/>
  <c r="M47" i="56"/>
  <c r="M57" i="56"/>
  <c r="M87" i="56"/>
  <c r="M36" i="56"/>
  <c r="M56" i="56"/>
  <c r="M42" i="56"/>
  <c r="N145" i="56"/>
  <c r="M78" i="56"/>
  <c r="M72" i="56"/>
  <c r="M65" i="56"/>
  <c r="M69" i="56"/>
  <c r="M79" i="56"/>
  <c r="M55" i="56"/>
  <c r="M76" i="56"/>
  <c r="M77" i="56"/>
  <c r="M35" i="56"/>
  <c r="M75" i="56"/>
  <c r="M83" i="56"/>
  <c r="M38" i="56"/>
  <c r="M58" i="56"/>
  <c r="M81" i="56"/>
  <c r="M37" i="56"/>
  <c r="M39" i="56"/>
  <c r="M59" i="56"/>
  <c r="M62" i="56"/>
  <c r="M49" i="56"/>
  <c r="M85" i="56"/>
  <c r="G82" i="56"/>
  <c r="G73" i="56"/>
  <c r="AI88" i="56"/>
  <c r="AA145" i="56"/>
  <c r="G53" i="56"/>
  <c r="AI52" i="56"/>
  <c r="G43" i="56"/>
  <c r="AI81" i="56"/>
  <c r="G63" i="56"/>
  <c r="K71" i="52"/>
  <c r="K72" i="52"/>
  <c r="AA72" i="52"/>
  <c r="M62" i="52"/>
  <c r="K62" i="52"/>
  <c r="K83" i="52"/>
  <c r="B29" i="52"/>
  <c r="B62" i="52"/>
  <c r="H2" i="52"/>
  <c r="M78" i="52"/>
  <c r="AA78" i="52"/>
  <c r="K78" i="52"/>
  <c r="K79" i="52"/>
  <c r="M79" i="52"/>
  <c r="N90" i="52"/>
  <c r="M76" i="52"/>
  <c r="K76" i="52"/>
  <c r="N91" i="52"/>
  <c r="K35" i="52"/>
  <c r="M35" i="52"/>
  <c r="N145" i="55"/>
  <c r="M68" i="55"/>
  <c r="M47" i="55"/>
  <c r="M87" i="55"/>
  <c r="M67" i="55"/>
  <c r="N144" i="55"/>
  <c r="M49" i="55"/>
  <c r="M69" i="55"/>
  <c r="M42" i="55"/>
  <c r="M83" i="55"/>
  <c r="M58" i="55"/>
  <c r="M78" i="55"/>
  <c r="M72" i="55"/>
  <c r="M52" i="55"/>
  <c r="M35" i="55"/>
  <c r="M45" i="55"/>
  <c r="M39" i="55"/>
  <c r="M56" i="55"/>
  <c r="M76" i="55"/>
  <c r="M55" i="55"/>
  <c r="M38" i="55"/>
  <c r="M57" i="55"/>
  <c r="M37" i="55"/>
  <c r="M77" i="55"/>
  <c r="M59" i="55"/>
  <c r="M48" i="55"/>
  <c r="M62" i="55"/>
  <c r="M79" i="55"/>
  <c r="M65" i="55"/>
  <c r="M75" i="55"/>
  <c r="N143" i="55"/>
  <c r="M46" i="55"/>
  <c r="M66" i="55"/>
  <c r="M85" i="55"/>
  <c r="M81" i="55"/>
  <c r="M36" i="55"/>
  <c r="AI52" i="55"/>
  <c r="G53" i="55"/>
  <c r="AI126" i="55"/>
  <c r="AI122" i="55"/>
  <c r="AI88" i="55"/>
  <c r="AA145" i="55"/>
  <c r="G43" i="55"/>
  <c r="AI123" i="55"/>
  <c r="G73" i="55"/>
  <c r="AI124" i="55"/>
  <c r="AI125" i="55"/>
  <c r="AI121" i="55"/>
  <c r="N99" i="51"/>
  <c r="H2" i="51"/>
  <c r="K78" i="51"/>
  <c r="AA78" i="51"/>
  <c r="M78" i="51"/>
  <c r="AA72" i="51"/>
  <c r="K72" i="51"/>
  <c r="K35" i="51"/>
  <c r="M35" i="51"/>
  <c r="M76" i="51"/>
  <c r="K76" i="51"/>
  <c r="N100" i="51"/>
  <c r="K79" i="51"/>
  <c r="M79" i="51"/>
  <c r="M62" i="51"/>
  <c r="K62" i="51"/>
  <c r="K71" i="51"/>
  <c r="B62" i="51"/>
  <c r="B29" i="51"/>
  <c r="K86" i="51"/>
  <c r="N143" i="39"/>
  <c r="M81" i="39"/>
  <c r="M75" i="39"/>
  <c r="N144" i="39"/>
  <c r="M62" i="39"/>
  <c r="M49" i="39"/>
  <c r="M52" i="39"/>
  <c r="M65" i="39"/>
  <c r="M48" i="39"/>
  <c r="M39" i="39"/>
  <c r="M42" i="39"/>
  <c r="M66" i="39"/>
  <c r="M46" i="39"/>
  <c r="M76" i="39"/>
  <c r="M56" i="39"/>
  <c r="N145" i="39"/>
  <c r="M35" i="39"/>
  <c r="M57" i="39"/>
  <c r="M58" i="39"/>
  <c r="M79" i="39"/>
  <c r="M67" i="39"/>
  <c r="M36" i="39"/>
  <c r="M47" i="39"/>
  <c r="M69" i="39"/>
  <c r="M83" i="39"/>
  <c r="M59" i="39"/>
  <c r="M55" i="39"/>
  <c r="M77" i="39"/>
  <c r="M68" i="39"/>
  <c r="M37" i="39"/>
  <c r="M78" i="39"/>
  <c r="M45" i="39"/>
  <c r="M87" i="39"/>
  <c r="M38" i="39"/>
  <c r="M72" i="39"/>
  <c r="M85" i="39"/>
  <c r="G73" i="39"/>
  <c r="G43" i="39"/>
  <c r="G53" i="39"/>
  <c r="AI81" i="39"/>
  <c r="G82" i="39"/>
  <c r="G63" i="39"/>
  <c r="AI62" i="39"/>
  <c r="M78" i="9"/>
  <c r="AA78" i="9"/>
  <c r="K78" i="9"/>
  <c r="M35" i="9"/>
  <c r="K35" i="9"/>
  <c r="K93" i="9"/>
  <c r="M79" i="9"/>
  <c r="K79" i="9"/>
  <c r="K72" i="9"/>
  <c r="AA72" i="9"/>
  <c r="N124" i="9"/>
  <c r="B62" i="9"/>
  <c r="B29" i="9"/>
  <c r="K76" i="9"/>
  <c r="M76" i="9"/>
  <c r="N125" i="9"/>
  <c r="K71" i="9"/>
  <c r="M62" i="9"/>
  <c r="K62" i="9"/>
  <c r="H2" i="9"/>
  <c r="M59" i="18"/>
  <c r="AA59" i="18"/>
  <c r="K59" i="18"/>
  <c r="K54" i="18"/>
  <c r="M54" i="18"/>
  <c r="AA54" i="18"/>
  <c r="N66" i="18"/>
  <c r="M55" i="18"/>
  <c r="AA55" i="18"/>
  <c r="K55" i="18"/>
  <c r="K42" i="18"/>
  <c r="AA48" i="18"/>
  <c r="K48" i="18"/>
  <c r="B29" i="18"/>
  <c r="B58" i="18"/>
  <c r="AA52" i="18"/>
  <c r="M52" i="18"/>
  <c r="K52" i="18"/>
  <c r="K47" i="18"/>
  <c r="K34" i="18"/>
  <c r="N67" i="18"/>
  <c r="M43" i="37"/>
  <c r="M59" i="37"/>
  <c r="M49" i="37"/>
  <c r="M91" i="37"/>
  <c r="M72" i="37"/>
  <c r="M80" i="37"/>
  <c r="AH49" i="37"/>
  <c r="AG52" i="37"/>
  <c r="AG51" i="37"/>
  <c r="AH59" i="37"/>
  <c r="AK36" i="37"/>
  <c r="AH36" i="37"/>
  <c r="AI36" i="37"/>
  <c r="L44" i="37"/>
  <c r="M44" i="37" s="1"/>
  <c r="K35" i="29"/>
  <c r="M35" i="29"/>
  <c r="N78" i="29"/>
  <c r="M38" i="29"/>
  <c r="K38" i="29"/>
  <c r="K50" i="29"/>
  <c r="N79" i="29"/>
  <c r="AA37" i="29"/>
  <c r="K37" i="29"/>
  <c r="M37" i="29"/>
  <c r="N101" i="4"/>
  <c r="N100" i="4"/>
  <c r="K58" i="4"/>
  <c r="M58" i="4"/>
  <c r="M57" i="4"/>
  <c r="K57" i="4"/>
  <c r="K72" i="4"/>
  <c r="K35" i="4"/>
  <c r="M35" i="4"/>
  <c r="K55" i="4"/>
  <c r="M55" i="4"/>
  <c r="K57" i="21"/>
  <c r="N76" i="21"/>
  <c r="B29" i="21"/>
  <c r="B57" i="21"/>
  <c r="N77" i="21"/>
  <c r="K69" i="21"/>
  <c r="M69" i="21"/>
  <c r="K47" i="21"/>
  <c r="K58" i="21"/>
  <c r="AA58" i="21"/>
  <c r="K64" i="21"/>
  <c r="M64" i="21"/>
  <c r="AA64" i="21"/>
  <c r="K62" i="21"/>
  <c r="M62" i="21"/>
  <c r="K65" i="21"/>
  <c r="M65" i="21"/>
  <c r="K34" i="21"/>
  <c r="AD77" i="21"/>
  <c r="K34" i="7"/>
  <c r="N76" i="7"/>
  <c r="N63" i="7"/>
  <c r="K54" i="7"/>
  <c r="N67" i="36"/>
  <c r="K35" i="36"/>
  <c r="K44" i="36"/>
  <c r="K53" i="36"/>
  <c r="N76" i="30"/>
  <c r="M38" i="30"/>
  <c r="K38" i="30"/>
  <c r="K37" i="30"/>
  <c r="AA37" i="30"/>
  <c r="M37" i="30"/>
  <c r="K50" i="30"/>
  <c r="M35" i="30"/>
  <c r="K35" i="30"/>
  <c r="N77" i="30"/>
  <c r="K43" i="20"/>
  <c r="M51" i="20"/>
  <c r="K51" i="20"/>
  <c r="N62" i="20"/>
  <c r="K55" i="20"/>
  <c r="K34" i="20"/>
  <c r="K41" i="20"/>
  <c r="K44" i="20"/>
  <c r="AA44" i="20"/>
  <c r="B29" i="20"/>
  <c r="B58" i="20"/>
  <c r="M48" i="20"/>
  <c r="K48" i="20"/>
  <c r="N63" i="20"/>
  <c r="M50" i="20"/>
  <c r="AA50" i="20"/>
  <c r="K50" i="20"/>
  <c r="AG63" i="20"/>
  <c r="M62" i="24"/>
  <c r="K34" i="24"/>
  <c r="Z52" i="24"/>
  <c r="AD52" i="24"/>
  <c r="M59" i="6"/>
  <c r="M144" i="6"/>
  <c r="M57" i="6"/>
  <c r="M38" i="6"/>
  <c r="M45" i="6"/>
  <c r="M53" i="6"/>
  <c r="M61" i="6"/>
  <c r="M102" i="6"/>
  <c r="M69" i="6"/>
  <c r="M95" i="6"/>
  <c r="M143" i="6"/>
  <c r="M56" i="6"/>
  <c r="M121" i="6"/>
  <c r="M91" i="6"/>
  <c r="M62" i="6"/>
  <c r="M136" i="6"/>
  <c r="M54" i="6"/>
  <c r="M47" i="6"/>
  <c r="M42" i="6"/>
  <c r="M58" i="6"/>
  <c r="M92" i="6"/>
  <c r="M131" i="6"/>
  <c r="M44" i="6"/>
  <c r="M39" i="6"/>
  <c r="M63" i="6"/>
  <c r="M72" i="6"/>
  <c r="M37" i="6"/>
  <c r="M103" i="6"/>
  <c r="M145" i="6"/>
  <c r="M98" i="6"/>
  <c r="M60" i="6"/>
  <c r="M142" i="6"/>
  <c r="M134" i="6"/>
  <c r="M64" i="6"/>
  <c r="M148" i="6"/>
  <c r="M120" i="6"/>
  <c r="M40" i="6"/>
  <c r="M89" i="6"/>
  <c r="M105" i="6"/>
  <c r="M75" i="6"/>
  <c r="M46" i="6"/>
  <c r="M41" i="6"/>
  <c r="M49" i="6"/>
  <c r="M119" i="6"/>
  <c r="M34" i="6"/>
  <c r="M65" i="6"/>
  <c r="M124" i="6"/>
  <c r="M130" i="6"/>
  <c r="M48" i="6"/>
  <c r="M82" i="6"/>
  <c r="M146" i="6"/>
  <c r="M99" i="6"/>
  <c r="M149" i="6"/>
  <c r="M125" i="6"/>
  <c r="M139" i="6"/>
  <c r="M66" i="6"/>
  <c r="M107" i="6"/>
  <c r="M122" i="6"/>
  <c r="M147" i="6"/>
  <c r="M51" i="6"/>
  <c r="M138" i="6"/>
  <c r="M127" i="6"/>
  <c r="M50" i="6"/>
  <c r="M52" i="6"/>
  <c r="M151" i="6"/>
  <c r="M108" i="6"/>
  <c r="M141" i="6"/>
  <c r="M137" i="6"/>
  <c r="M129" i="6"/>
  <c r="M35" i="6"/>
  <c r="M43" i="6"/>
  <c r="M67" i="6"/>
  <c r="M140" i="6"/>
  <c r="M55" i="6"/>
  <c r="M152" i="6"/>
  <c r="M90" i="6"/>
  <c r="M128" i="6"/>
  <c r="M135" i="6"/>
  <c r="M36" i="6"/>
  <c r="M86" i="6"/>
  <c r="M133" i="6"/>
  <c r="M123" i="6"/>
  <c r="M132" i="6"/>
  <c r="M126" i="6"/>
  <c r="M150" i="6"/>
  <c r="AI135" i="6"/>
  <c r="AI126" i="6"/>
  <c r="AI122" i="6"/>
  <c r="AI130" i="6"/>
  <c r="AI134" i="6"/>
  <c r="AI127" i="6"/>
  <c r="AI131" i="6"/>
  <c r="AI147" i="6"/>
  <c r="AI139" i="6"/>
  <c r="AI146" i="6"/>
  <c r="AI150" i="6"/>
  <c r="N54" i="25"/>
  <c r="K34" i="25"/>
  <c r="M34" i="25"/>
  <c r="B29" i="25"/>
  <c r="B51" i="23"/>
  <c r="B29" i="23"/>
  <c r="K34" i="23"/>
  <c r="M34" i="23"/>
  <c r="AA77" i="23"/>
  <c r="K56" i="23"/>
  <c r="M56" i="23"/>
  <c r="N100" i="23"/>
  <c r="AA55" i="15"/>
  <c r="K55" i="15"/>
  <c r="M55" i="15"/>
  <c r="K50" i="15"/>
  <c r="AA51" i="15"/>
  <c r="K51" i="15"/>
  <c r="N70" i="15"/>
  <c r="N71" i="15"/>
  <c r="K58" i="15"/>
  <c r="M58" i="15"/>
  <c r="M35" i="15"/>
  <c r="K35" i="15"/>
  <c r="K57" i="15"/>
  <c r="M57" i="15"/>
  <c r="AA57" i="15"/>
  <c r="M63" i="15"/>
  <c r="K63" i="15"/>
  <c r="K45" i="15"/>
  <c r="B29" i="15"/>
  <c r="B61" i="15"/>
  <c r="N38" i="32"/>
  <c r="AA36" i="32"/>
  <c r="K34" i="32"/>
  <c r="K37" i="34"/>
  <c r="AA37" i="34"/>
  <c r="M37" i="34"/>
  <c r="AA44" i="34"/>
  <c r="K42" i="34"/>
  <c r="M42" i="34"/>
  <c r="AA46" i="34"/>
  <c r="K49" i="34"/>
  <c r="K35" i="34"/>
  <c r="M35" i="34"/>
  <c r="M38" i="34"/>
  <c r="K38" i="34"/>
  <c r="AD53" i="34"/>
  <c r="AG53" i="34"/>
  <c r="M53" i="28"/>
  <c r="AA53" i="28"/>
  <c r="K39" i="28"/>
  <c r="K35" i="28"/>
  <c r="M35" i="28"/>
  <c r="N68" i="28"/>
  <c r="M47" i="28"/>
  <c r="K47" i="28"/>
  <c r="AA44" i="28"/>
  <c r="M44" i="28"/>
  <c r="N67" i="28"/>
  <c r="AA62" i="28"/>
  <c r="K56" i="28"/>
  <c r="M76" i="59"/>
  <c r="M37" i="59"/>
  <c r="M67" i="59"/>
  <c r="M77" i="59"/>
  <c r="M81" i="59"/>
  <c r="N143" i="59"/>
  <c r="M48" i="59"/>
  <c r="M58" i="59"/>
  <c r="N145" i="59"/>
  <c r="M42" i="59"/>
  <c r="M52" i="59"/>
  <c r="M72" i="59"/>
  <c r="M47" i="59"/>
  <c r="N144" i="59"/>
  <c r="M59" i="59"/>
  <c r="M69" i="59"/>
  <c r="M79" i="59"/>
  <c r="M65" i="59"/>
  <c r="M62" i="59"/>
  <c r="M83" i="59"/>
  <c r="M49" i="59"/>
  <c r="M45" i="59"/>
  <c r="M85" i="59"/>
  <c r="M56" i="59"/>
  <c r="M66" i="59"/>
  <c r="M87" i="59"/>
  <c r="M68" i="59"/>
  <c r="M35" i="59"/>
  <c r="M75" i="59"/>
  <c r="M38" i="59"/>
  <c r="M78" i="59"/>
  <c r="M88" i="59"/>
  <c r="M57" i="59"/>
  <c r="M39" i="59"/>
  <c r="M55" i="59"/>
  <c r="M36" i="59"/>
  <c r="M46" i="59"/>
  <c r="AI62" i="59"/>
  <c r="AI42" i="59"/>
  <c r="G43" i="59"/>
  <c r="G63" i="59"/>
  <c r="AI93" i="59"/>
  <c r="AI81" i="59"/>
  <c r="G82" i="59"/>
  <c r="G73" i="59"/>
  <c r="M67" i="11"/>
  <c r="K67" i="11"/>
  <c r="K74" i="11"/>
  <c r="K69" i="11"/>
  <c r="M69" i="11"/>
  <c r="AA69" i="11"/>
  <c r="B62" i="11"/>
  <c r="B29" i="11"/>
  <c r="N81" i="11"/>
  <c r="N82" i="11"/>
  <c r="M55" i="11"/>
  <c r="K55" i="11"/>
  <c r="M35" i="11"/>
  <c r="K35" i="11"/>
  <c r="M70" i="11"/>
  <c r="K70" i="11"/>
  <c r="K63" i="11"/>
  <c r="AA63" i="11"/>
  <c r="K62" i="11"/>
  <c r="AM62" i="11"/>
  <c r="N47" i="27"/>
  <c r="AA45" i="27"/>
  <c r="K34" i="27"/>
  <c r="K34" i="19"/>
  <c r="N70" i="19"/>
  <c r="K47" i="19"/>
  <c r="AA51" i="19"/>
  <c r="K51" i="19"/>
  <c r="B58" i="19"/>
  <c r="B29" i="19"/>
  <c r="M58" i="19"/>
  <c r="K58" i="19"/>
  <c r="AA57" i="19"/>
  <c r="M57" i="19"/>
  <c r="K57" i="19"/>
  <c r="N69" i="19"/>
  <c r="K62" i="19"/>
  <c r="K55" i="19"/>
  <c r="M55" i="19"/>
  <c r="K50" i="19"/>
  <c r="AA50" i="19"/>
  <c r="K46" i="22"/>
  <c r="AA56" i="22"/>
  <c r="K56" i="22"/>
  <c r="B58" i="22"/>
  <c r="B29" i="22"/>
  <c r="N74" i="22"/>
  <c r="AA63" i="22"/>
  <c r="K63" i="22"/>
  <c r="M63" i="22"/>
  <c r="N75" i="22"/>
  <c r="K62" i="22"/>
  <c r="M62" i="22"/>
  <c r="AA62" i="22"/>
  <c r="K67" i="22"/>
  <c r="M67" i="22"/>
  <c r="AA67" i="22"/>
  <c r="M60" i="22"/>
  <c r="AA60" i="22"/>
  <c r="K60" i="22"/>
  <c r="M34" i="22"/>
  <c r="K34" i="22"/>
  <c r="K55" i="22"/>
  <c r="M102" i="17"/>
  <c r="M97" i="17"/>
  <c r="M44" i="17"/>
  <c r="M41" i="17"/>
  <c r="M63" i="17"/>
  <c r="N173" i="17"/>
  <c r="N174" i="17"/>
  <c r="M64" i="17"/>
  <c r="M35" i="17"/>
  <c r="M55" i="17"/>
  <c r="M65" i="17"/>
  <c r="M75" i="17"/>
  <c r="M71" i="17"/>
  <c r="M66" i="17"/>
  <c r="M39" i="17"/>
  <c r="M59" i="17"/>
  <c r="M96" i="17"/>
  <c r="M36" i="17"/>
  <c r="M46" i="17"/>
  <c r="M56" i="17"/>
  <c r="M47" i="17"/>
  <c r="M48" i="17"/>
  <c r="M68" i="17"/>
  <c r="M72" i="17"/>
  <c r="M37" i="17"/>
  <c r="M57" i="17"/>
  <c r="M77" i="17"/>
  <c r="M95" i="17"/>
  <c r="M45" i="17"/>
  <c r="M53" i="17"/>
  <c r="M54" i="17"/>
  <c r="M74" i="17"/>
  <c r="M104" i="17"/>
  <c r="M99" i="17"/>
  <c r="M50" i="17"/>
  <c r="M62" i="17"/>
  <c r="M38" i="17"/>
  <c r="M73" i="17"/>
  <c r="AI147" i="17"/>
  <c r="G51" i="17"/>
  <c r="AI50" i="17"/>
  <c r="AI142" i="17"/>
  <c r="AI143" i="17"/>
  <c r="AI145" i="17"/>
  <c r="AI111" i="17"/>
  <c r="AI68" i="17"/>
  <c r="G42" i="17"/>
  <c r="G60" i="17"/>
  <c r="K45" i="16"/>
  <c r="K35" i="16"/>
  <c r="K77" i="16"/>
  <c r="M77" i="16"/>
  <c r="K38" i="16"/>
  <c r="K48" i="16"/>
  <c r="B51" i="16"/>
  <c r="K47" i="16"/>
  <c r="K91" i="16"/>
  <c r="K39" i="16"/>
  <c r="K70" i="16"/>
  <c r="N124" i="16"/>
  <c r="K60" i="16"/>
  <c r="M60" i="16"/>
  <c r="K69" i="16"/>
  <c r="N123" i="16"/>
  <c r="K42" i="16"/>
  <c r="K41" i="16"/>
  <c r="K43" i="16"/>
  <c r="K36" i="16"/>
  <c r="M74" i="16"/>
  <c r="K74" i="16"/>
  <c r="K44" i="16"/>
  <c r="M76" i="16"/>
  <c r="AA76" i="16"/>
  <c r="K76" i="16"/>
  <c r="K37" i="16"/>
  <c r="AM55" i="16"/>
  <c r="AN55" i="16"/>
  <c r="AA70" i="16"/>
  <c r="K34" i="31"/>
  <c r="N40" i="31"/>
  <c r="AA38" i="31"/>
  <c r="AA46" i="35"/>
  <c r="K38" i="35"/>
  <c r="AA38" i="35"/>
  <c r="M38" i="35"/>
  <c r="K44" i="35"/>
  <c r="M44" i="35"/>
  <c r="M50" i="35"/>
  <c r="K50" i="35"/>
  <c r="K34" i="35"/>
  <c r="M34" i="35"/>
  <c r="AA48" i="35"/>
  <c r="M40" i="35"/>
  <c r="K40" i="35"/>
  <c r="K50" i="26"/>
  <c r="K38" i="26"/>
  <c r="M38" i="26"/>
  <c r="K35" i="26"/>
  <c r="M35" i="26"/>
  <c r="N75" i="26"/>
  <c r="N74" i="26"/>
  <c r="M37" i="26"/>
  <c r="AA37" i="26"/>
  <c r="K37" i="26"/>
  <c r="AA47" i="27"/>
  <c r="AM50" i="19"/>
  <c r="AN71" i="54"/>
  <c r="AN55" i="22"/>
  <c r="AN50" i="19"/>
  <c r="AM71" i="54"/>
  <c r="AN50" i="15"/>
  <c r="N66" i="33"/>
  <c r="K34" i="33"/>
  <c r="M83" i="53"/>
  <c r="M83" i="52"/>
  <c r="M55" i="20"/>
  <c r="M74" i="11"/>
  <c r="M62" i="19"/>
  <c r="AH136" i="57"/>
  <c r="AH62" i="53"/>
  <c r="AH140" i="56"/>
  <c r="AH62" i="52"/>
  <c r="AH132" i="57"/>
  <c r="AH136" i="56"/>
  <c r="AH41" i="20"/>
  <c r="AH130" i="57"/>
  <c r="AH134" i="56"/>
  <c r="AH140" i="57"/>
  <c r="AH132" i="56"/>
  <c r="AH47" i="19"/>
  <c r="AH138" i="57"/>
  <c r="AH130" i="56"/>
  <c r="AH134" i="57"/>
  <c r="AH138" i="56"/>
  <c r="AH138" i="59"/>
  <c r="AH130" i="59"/>
  <c r="AH134" i="59"/>
  <c r="AH55" i="11"/>
  <c r="AH132" i="59"/>
  <c r="AH140" i="59"/>
  <c r="AH136" i="59"/>
  <c r="M86" i="51"/>
  <c r="M50" i="30"/>
  <c r="AB136" i="66"/>
  <c r="AB126" i="66"/>
  <c r="AF94" i="37"/>
  <c r="AE60" i="16"/>
  <c r="AE62" i="16"/>
  <c r="AE66" i="16"/>
  <c r="AE68" i="16"/>
  <c r="AE61" i="16"/>
  <c r="AE67" i="16"/>
  <c r="AH66" i="16"/>
  <c r="AH62" i="16"/>
  <c r="AH68" i="16"/>
  <c r="AH61" i="16"/>
  <c r="AH67" i="16"/>
  <c r="AH130" i="58"/>
  <c r="AH134" i="55"/>
  <c r="AH132" i="55"/>
  <c r="AH165" i="17"/>
  <c r="AH132" i="66"/>
  <c r="AH138" i="39"/>
  <c r="AH154" i="17"/>
  <c r="AH138" i="55"/>
  <c r="AH62" i="54"/>
  <c r="AH136" i="39"/>
  <c r="AH61" i="65"/>
  <c r="AH68" i="65"/>
  <c r="AH62" i="65"/>
  <c r="AH132" i="58"/>
  <c r="AH140" i="55"/>
  <c r="AH152" i="17"/>
  <c r="AH132" i="39"/>
  <c r="AH70" i="51"/>
  <c r="AH63" i="51"/>
  <c r="AH64" i="51"/>
  <c r="AH140" i="58"/>
  <c r="AH136" i="58"/>
  <c r="AH45" i="15"/>
  <c r="AH170" i="17"/>
  <c r="AH60" i="65"/>
  <c r="AH140" i="39"/>
  <c r="AH56" i="23"/>
  <c r="AH161" i="17"/>
  <c r="AH134" i="66"/>
  <c r="AH167" i="17"/>
  <c r="AE58" i="23"/>
  <c r="AE74" i="23"/>
  <c r="AE56" i="23"/>
  <c r="AH74" i="23"/>
  <c r="AH58" i="23"/>
  <c r="AH138" i="58"/>
  <c r="AH134" i="39"/>
  <c r="AH163" i="17"/>
  <c r="AH128" i="66"/>
  <c r="AH63" i="54"/>
  <c r="AH70" i="54"/>
  <c r="AH64" i="54"/>
  <c r="AE46" i="15"/>
  <c r="AE48" i="15"/>
  <c r="AE49" i="15"/>
  <c r="AE45" i="15"/>
  <c r="AE47" i="15"/>
  <c r="AH47" i="15"/>
  <c r="AH49" i="15"/>
  <c r="AH46" i="15"/>
  <c r="AH48" i="15"/>
  <c r="AH62" i="9"/>
  <c r="AH136" i="55"/>
  <c r="AH60" i="16"/>
  <c r="AH156" i="17"/>
  <c r="AH63" i="9"/>
  <c r="AH70" i="9"/>
  <c r="AH64" i="9"/>
  <c r="AH134" i="58"/>
  <c r="AH130" i="39"/>
  <c r="AH130" i="55"/>
  <c r="AH159" i="17"/>
  <c r="AH126" i="66"/>
  <c r="AH62" i="51"/>
  <c r="AH130" i="66"/>
  <c r="AH136" i="66"/>
  <c r="M88" i="54"/>
  <c r="M93" i="9"/>
  <c r="M50" i="29"/>
  <c r="M72" i="4"/>
  <c r="M35" i="36"/>
  <c r="M44" i="36"/>
  <c r="M53" i="36"/>
  <c r="M34" i="32"/>
  <c r="M56" i="28"/>
  <c r="M34" i="27"/>
  <c r="M91" i="16"/>
  <c r="M34" i="31"/>
  <c r="M50" i="26"/>
  <c r="F1" i="5"/>
  <c r="M51" i="58"/>
  <c r="C3" i="58"/>
  <c r="M71" i="58"/>
  <c r="M70" i="58"/>
  <c r="M60" i="58"/>
  <c r="M40" i="58"/>
  <c r="M86" i="58"/>
  <c r="M41" i="58"/>
  <c r="N26" i="58"/>
  <c r="M80" i="58"/>
  <c r="M61" i="58"/>
  <c r="M50" i="58"/>
  <c r="N1" i="54"/>
  <c r="A80" i="63"/>
  <c r="A14" i="63"/>
  <c r="A47" i="63"/>
  <c r="A80" i="61"/>
  <c r="A47" i="61"/>
  <c r="A14" i="61"/>
  <c r="M41" i="57"/>
  <c r="M40" i="57"/>
  <c r="M60" i="57"/>
  <c r="C3" i="57"/>
  <c r="M71" i="57"/>
  <c r="M70" i="57"/>
  <c r="M61" i="57"/>
  <c r="N26" i="57"/>
  <c r="M86" i="57"/>
  <c r="M50" i="57"/>
  <c r="M80" i="57"/>
  <c r="M51" i="57"/>
  <c r="N1" i="53"/>
  <c r="M80" i="56"/>
  <c r="M70" i="56"/>
  <c r="M40" i="56"/>
  <c r="M41" i="56"/>
  <c r="N26" i="56"/>
  <c r="M71" i="56"/>
  <c r="M50" i="56"/>
  <c r="M60" i="56"/>
  <c r="M61" i="56"/>
  <c r="C3" i="56"/>
  <c r="M86" i="56"/>
  <c r="M51" i="56"/>
  <c r="N1" i="52"/>
  <c r="N26" i="55"/>
  <c r="M70" i="55"/>
  <c r="M71" i="55"/>
  <c r="M51" i="55"/>
  <c r="M86" i="55"/>
  <c r="M61" i="55"/>
  <c r="M40" i="55"/>
  <c r="M60" i="55"/>
  <c r="M50" i="55"/>
  <c r="M41" i="55"/>
  <c r="M80" i="55"/>
  <c r="C3" i="55"/>
  <c r="N1" i="51"/>
  <c r="M60" i="39"/>
  <c r="M86" i="39"/>
  <c r="N26" i="39"/>
  <c r="M80" i="39"/>
  <c r="M71" i="39"/>
  <c r="M61" i="39"/>
  <c r="M51" i="39"/>
  <c r="M50" i="39"/>
  <c r="M40" i="39"/>
  <c r="C3" i="39"/>
  <c r="M70" i="39"/>
  <c r="M41" i="39"/>
  <c r="N1" i="9"/>
  <c r="M34" i="18"/>
  <c r="C3" i="18"/>
  <c r="N26" i="18"/>
  <c r="M42" i="18"/>
  <c r="N26" i="29"/>
  <c r="C3" i="29"/>
  <c r="C3" i="4"/>
  <c r="N26" i="4"/>
  <c r="C3" i="21"/>
  <c r="M47" i="21"/>
  <c r="M34" i="21"/>
  <c r="N26" i="21"/>
  <c r="M34" i="7"/>
  <c r="N26" i="7"/>
  <c r="C3" i="7"/>
  <c r="M54" i="7"/>
  <c r="C3" i="36"/>
  <c r="N26" i="36"/>
  <c r="C3" i="30"/>
  <c r="N26" i="30"/>
  <c r="N26" i="20"/>
  <c r="M34" i="20"/>
  <c r="C3" i="20"/>
  <c r="M41" i="20"/>
  <c r="C3" i="33"/>
  <c r="M34" i="33"/>
  <c r="N26" i="33"/>
  <c r="M78" i="6"/>
  <c r="M100" i="6"/>
  <c r="M94" i="6"/>
  <c r="M68" i="6"/>
  <c r="M79" i="6"/>
  <c r="M113" i="6"/>
  <c r="M77" i="6"/>
  <c r="M83" i="6"/>
  <c r="M115" i="6"/>
  <c r="M88" i="6"/>
  <c r="M73" i="6"/>
  <c r="M93" i="6"/>
  <c r="M80" i="6"/>
  <c r="M85" i="6"/>
  <c r="M110" i="6"/>
  <c r="M74" i="6"/>
  <c r="M116" i="6"/>
  <c r="M84" i="6"/>
  <c r="M114" i="6"/>
  <c r="M104" i="6"/>
  <c r="M101" i="6"/>
  <c r="M96" i="6"/>
  <c r="M87" i="6"/>
  <c r="M97" i="6"/>
  <c r="M76" i="6"/>
  <c r="M111" i="6"/>
  <c r="M106" i="6"/>
  <c r="M81" i="6"/>
  <c r="M109" i="6"/>
  <c r="M112" i="6"/>
  <c r="N26" i="25"/>
  <c r="N26" i="23"/>
  <c r="C3" i="23"/>
  <c r="N26" i="15"/>
  <c r="M45" i="15"/>
  <c r="C3" i="15"/>
  <c r="C3" i="32"/>
  <c r="N26" i="32"/>
  <c r="N26" i="34"/>
  <c r="C3" i="34"/>
  <c r="M50" i="34"/>
  <c r="M49" i="34"/>
  <c r="C3" i="28"/>
  <c r="N26" i="28"/>
  <c r="M39" i="28"/>
  <c r="C3" i="59"/>
  <c r="M51" i="59"/>
  <c r="M80" i="59"/>
  <c r="M41" i="59"/>
  <c r="N26" i="59"/>
  <c r="M71" i="59"/>
  <c r="M86" i="59"/>
  <c r="M50" i="59"/>
  <c r="M60" i="59"/>
  <c r="M40" i="59"/>
  <c r="M61" i="59"/>
  <c r="M70" i="59"/>
  <c r="C3" i="27"/>
  <c r="N26" i="27"/>
  <c r="C3" i="19"/>
  <c r="M47" i="19"/>
  <c r="M34" i="19"/>
  <c r="M46" i="22"/>
  <c r="C3" i="22"/>
  <c r="N26" i="22"/>
  <c r="M58" i="17"/>
  <c r="M49" i="17"/>
  <c r="M40" i="17"/>
  <c r="M67" i="17"/>
  <c r="M103" i="17"/>
  <c r="M76" i="17"/>
  <c r="C3" i="31"/>
  <c r="N26" i="31"/>
  <c r="N26" i="35"/>
  <c r="C3" i="35"/>
  <c r="A14" i="69"/>
  <c r="A14" i="67"/>
  <c r="A111" i="65"/>
  <c r="A80" i="65"/>
  <c r="A47" i="65"/>
  <c r="A14" i="65"/>
  <c r="N26" i="26"/>
  <c r="C3" i="26"/>
  <c r="AN61" i="65" l="1"/>
  <c r="AF95" i="37"/>
  <c r="AF71" i="37" s="1"/>
  <c r="AF72" i="37" s="1"/>
  <c r="AF74" i="37" s="1"/>
  <c r="AF96" i="23"/>
  <c r="AB35" i="54"/>
  <c r="AF35" i="54"/>
  <c r="AB62" i="52"/>
  <c r="AF62" i="52"/>
  <c r="AF86" i="51"/>
  <c r="AF122" i="9"/>
  <c r="AF75" i="29"/>
  <c r="AF55" i="4"/>
  <c r="AF74" i="21"/>
  <c r="AB74" i="21"/>
  <c r="AF64" i="36"/>
  <c r="AB60" i="20"/>
  <c r="AF60" i="20"/>
  <c r="AF34" i="25"/>
  <c r="AB34" i="25"/>
  <c r="AF68" i="15"/>
  <c r="AF35" i="28"/>
  <c r="AB79" i="11"/>
  <c r="AF79" i="11"/>
  <c r="AF34" i="22"/>
  <c r="AB34" i="22"/>
  <c r="AF42" i="16"/>
  <c r="AB42" i="16"/>
  <c r="AF44" i="16"/>
  <c r="AF38" i="16"/>
  <c r="AF34" i="31"/>
  <c r="AB85" i="53"/>
  <c r="AF85" i="53"/>
  <c r="AB85" i="52"/>
  <c r="AF85" i="52"/>
  <c r="AF62" i="51"/>
  <c r="AB76" i="9"/>
  <c r="AF76" i="9"/>
  <c r="AF38" i="29"/>
  <c r="AF95" i="4"/>
  <c r="AF54" i="7"/>
  <c r="AB54" i="7"/>
  <c r="AF44" i="36"/>
  <c r="AF41" i="20"/>
  <c r="AB41" i="20"/>
  <c r="AF56" i="23"/>
  <c r="AF45" i="15"/>
  <c r="AF39" i="28"/>
  <c r="AB35" i="11"/>
  <c r="AF35" i="11"/>
  <c r="AF72" i="22"/>
  <c r="AB72" i="22"/>
  <c r="AF118" i="16"/>
  <c r="AF47" i="16"/>
  <c r="AF50" i="16"/>
  <c r="AF38" i="26"/>
  <c r="AF62" i="54"/>
  <c r="AB88" i="53"/>
  <c r="AF88" i="53"/>
  <c r="AB88" i="52"/>
  <c r="AF88" i="52"/>
  <c r="AF79" i="9"/>
  <c r="AB63" i="18"/>
  <c r="AF63" i="18"/>
  <c r="AF76" i="29"/>
  <c r="AF35" i="4"/>
  <c r="AF34" i="7"/>
  <c r="AB34" i="7"/>
  <c r="AF50" i="30"/>
  <c r="AF34" i="20"/>
  <c r="AB34" i="20"/>
  <c r="AF34" i="23"/>
  <c r="AF63" i="15"/>
  <c r="AB63" i="15"/>
  <c r="AF65" i="28"/>
  <c r="AF34" i="27"/>
  <c r="AB46" i="22"/>
  <c r="AF46" i="22"/>
  <c r="AF54" i="16"/>
  <c r="AF45" i="16"/>
  <c r="AB36" i="16"/>
  <c r="AF36" i="16"/>
  <c r="AF68" i="26"/>
  <c r="AB97" i="54"/>
  <c r="AF97" i="54"/>
  <c r="AB62" i="53"/>
  <c r="AF62" i="53"/>
  <c r="AF94" i="51"/>
  <c r="AF62" i="9"/>
  <c r="AB42" i="18"/>
  <c r="AF42" i="18"/>
  <c r="AF50" i="29"/>
  <c r="AF72" i="4"/>
  <c r="AF48" i="7"/>
  <c r="AF38" i="30"/>
  <c r="AF59" i="20"/>
  <c r="AB59" i="20"/>
  <c r="AF98" i="23"/>
  <c r="AF67" i="15"/>
  <c r="AF64" i="28"/>
  <c r="AB67" i="19"/>
  <c r="AF67" i="19"/>
  <c r="AF69" i="22"/>
  <c r="AB69" i="22"/>
  <c r="AF77" i="16"/>
  <c r="AF52" i="16"/>
  <c r="AB43" i="16"/>
  <c r="AF43" i="16"/>
  <c r="AF50" i="26"/>
  <c r="AB88" i="54"/>
  <c r="AF88" i="54"/>
  <c r="AB87" i="53"/>
  <c r="AF87" i="53"/>
  <c r="AF97" i="51"/>
  <c r="AF119" i="9"/>
  <c r="AB64" i="18"/>
  <c r="AF64" i="18"/>
  <c r="AF73" i="29"/>
  <c r="AB47" i="21"/>
  <c r="AF47" i="21"/>
  <c r="AF73" i="30"/>
  <c r="AB57" i="20"/>
  <c r="AF57" i="20"/>
  <c r="AF34" i="32"/>
  <c r="AF56" i="28"/>
  <c r="AF47" i="19"/>
  <c r="AB47" i="19"/>
  <c r="AB71" i="22"/>
  <c r="AF71" i="22"/>
  <c r="AF49" i="16"/>
  <c r="AF37" i="16"/>
  <c r="AB51" i="16"/>
  <c r="AF51" i="16"/>
  <c r="AF71" i="26"/>
  <c r="AF100" i="54"/>
  <c r="AB35" i="53"/>
  <c r="AF35" i="53"/>
  <c r="AF96" i="51"/>
  <c r="AF35" i="9"/>
  <c r="AB61" i="18"/>
  <c r="AF61" i="18"/>
  <c r="AF98" i="4"/>
  <c r="AB73" i="21"/>
  <c r="AF73" i="21"/>
  <c r="AF71" i="30"/>
  <c r="AA34" i="24"/>
  <c r="AE34" i="24"/>
  <c r="AF58" i="15"/>
  <c r="AF50" i="34"/>
  <c r="AB50" i="34"/>
  <c r="AB76" i="11"/>
  <c r="AF76" i="11"/>
  <c r="AB34" i="19"/>
  <c r="AF34" i="19"/>
  <c r="AF60" i="16"/>
  <c r="AB74" i="16"/>
  <c r="AF74" i="16"/>
  <c r="AF121" i="16"/>
  <c r="AF35" i="16"/>
  <c r="AF35" i="26"/>
  <c r="AF79" i="54"/>
  <c r="AB87" i="52"/>
  <c r="AF87" i="52"/>
  <c r="AF35" i="51"/>
  <c r="AB35" i="51"/>
  <c r="AF93" i="9"/>
  <c r="AB93" i="9"/>
  <c r="AB34" i="18"/>
  <c r="AF34" i="18"/>
  <c r="AF58" i="4"/>
  <c r="AB34" i="21"/>
  <c r="AF34" i="21"/>
  <c r="AB53" i="36"/>
  <c r="AF53" i="36"/>
  <c r="AF35" i="30"/>
  <c r="AA43" i="24"/>
  <c r="AE43" i="24"/>
  <c r="AF35" i="15"/>
  <c r="AF49" i="34"/>
  <c r="AB49" i="34"/>
  <c r="AF55" i="11"/>
  <c r="AB55" i="11"/>
  <c r="AB64" i="19"/>
  <c r="AF64" i="19"/>
  <c r="AF39" i="16"/>
  <c r="AF120" i="16"/>
  <c r="AF53" i="16"/>
  <c r="AF69" i="26"/>
  <c r="AF99" i="54"/>
  <c r="AB35" i="52"/>
  <c r="AF35" i="52"/>
  <c r="AF79" i="51"/>
  <c r="AF121" i="9"/>
  <c r="AF35" i="29"/>
  <c r="AF97" i="4"/>
  <c r="AF71" i="21"/>
  <c r="AB71" i="21"/>
  <c r="AF35" i="36"/>
  <c r="AF74" i="30"/>
  <c r="AB34" i="33"/>
  <c r="AF34" i="33"/>
  <c r="AF65" i="15"/>
  <c r="AB65" i="15"/>
  <c r="AF47" i="28"/>
  <c r="AF78" i="11"/>
  <c r="AB78" i="11"/>
  <c r="AF66" i="19"/>
  <c r="AB66" i="19"/>
  <c r="AF56" i="16"/>
  <c r="AF91" i="16"/>
  <c r="AB91" i="16"/>
  <c r="AF41" i="16"/>
  <c r="AF72" i="26"/>
  <c r="AA58" i="24"/>
  <c r="AL58" i="24" s="1"/>
  <c r="AF74" i="11"/>
  <c r="AF51" i="20"/>
  <c r="AF55" i="20"/>
  <c r="AF70" i="11"/>
  <c r="AH58" i="24"/>
  <c r="AD18" i="66"/>
  <c r="AA11" i="65"/>
  <c r="AD18" i="68"/>
  <c r="AD18" i="70"/>
  <c r="AE58" i="24"/>
  <c r="AF58" i="34"/>
  <c r="AA60" i="34"/>
  <c r="AH44" i="35"/>
  <c r="AH40" i="35"/>
  <c r="AH34" i="35"/>
  <c r="AH55" i="35"/>
  <c r="AH57" i="35"/>
  <c r="AH46" i="35"/>
  <c r="AH48" i="35"/>
  <c r="AH55" i="19"/>
  <c r="AH66" i="19"/>
  <c r="AH64" i="19"/>
  <c r="AH62" i="19"/>
  <c r="AH34" i="19"/>
  <c r="AH49" i="34"/>
  <c r="AH35" i="34"/>
  <c r="AH42" i="34"/>
  <c r="AH38" i="34"/>
  <c r="AH46" i="34"/>
  <c r="AH51" i="34"/>
  <c r="AH58" i="34"/>
  <c r="AH44" i="34"/>
  <c r="AH88" i="53"/>
  <c r="AH35" i="53"/>
  <c r="AH85" i="53"/>
  <c r="AH83" i="53"/>
  <c r="AH87" i="53"/>
  <c r="AH79" i="53"/>
  <c r="AH72" i="53"/>
  <c r="AH104" i="6"/>
  <c r="AH77" i="56"/>
  <c r="AH116" i="56"/>
  <c r="AH56" i="56"/>
  <c r="AH115" i="56"/>
  <c r="AH55" i="56"/>
  <c r="AH118" i="56"/>
  <c r="AH110" i="56"/>
  <c r="AH102" i="56"/>
  <c r="AH114" i="56"/>
  <c r="AH49" i="56"/>
  <c r="AH111" i="56"/>
  <c r="AH48" i="56"/>
  <c r="AH76" i="56"/>
  <c r="AH69" i="56"/>
  <c r="AH108" i="56"/>
  <c r="AH47" i="56"/>
  <c r="AH107" i="56"/>
  <c r="AH46" i="56"/>
  <c r="AH125" i="56"/>
  <c r="AH65" i="56"/>
  <c r="AH106" i="56"/>
  <c r="AH45" i="56"/>
  <c r="AH103" i="56"/>
  <c r="AH39" i="56"/>
  <c r="AH79" i="56"/>
  <c r="AH75" i="56"/>
  <c r="AH100" i="56"/>
  <c r="AH38" i="56"/>
  <c r="AH99" i="56"/>
  <c r="AH37" i="56"/>
  <c r="AH98" i="56"/>
  <c r="AH36" i="56"/>
  <c r="AH85" i="56"/>
  <c r="AH35" i="56"/>
  <c r="AH78" i="56"/>
  <c r="AH122" i="56"/>
  <c r="AH83" i="56"/>
  <c r="AH123" i="56"/>
  <c r="AH59" i="56"/>
  <c r="AH121" i="56"/>
  <c r="AH58" i="56"/>
  <c r="AH119" i="56"/>
  <c r="AH57" i="56"/>
  <c r="AH126" i="56"/>
  <c r="AH54" i="7"/>
  <c r="AH34" i="33"/>
  <c r="AH98" i="58"/>
  <c r="AH57" i="58"/>
  <c r="AH46" i="58"/>
  <c r="AH36" i="58"/>
  <c r="AH77" i="58"/>
  <c r="AH75" i="58"/>
  <c r="AH78" i="58"/>
  <c r="AH116" i="58"/>
  <c r="AH110" i="58"/>
  <c r="AH108" i="58"/>
  <c r="AH56" i="58"/>
  <c r="AH45" i="58"/>
  <c r="AH123" i="58"/>
  <c r="AH100" i="58"/>
  <c r="AH38" i="58"/>
  <c r="AH79" i="58"/>
  <c r="AH59" i="58"/>
  <c r="AH55" i="58"/>
  <c r="AH121" i="58"/>
  <c r="AH114" i="58"/>
  <c r="AH99" i="58"/>
  <c r="AH106" i="58"/>
  <c r="AH58" i="58"/>
  <c r="AH37" i="58"/>
  <c r="AH118" i="58"/>
  <c r="AH76" i="58"/>
  <c r="AH125" i="58"/>
  <c r="AH102" i="58"/>
  <c r="AH87" i="57"/>
  <c r="AH34" i="7"/>
  <c r="AH65" i="21"/>
  <c r="AH34" i="21"/>
  <c r="AH62" i="21"/>
  <c r="AH73" i="21"/>
  <c r="AH71" i="21"/>
  <c r="AH69" i="21"/>
  <c r="AH118" i="57"/>
  <c r="AH110" i="57"/>
  <c r="AH102" i="57"/>
  <c r="AH67" i="57"/>
  <c r="AH111" i="57"/>
  <c r="AH77" i="57"/>
  <c r="AH45" i="57"/>
  <c r="AH124" i="57"/>
  <c r="AH117" i="57"/>
  <c r="AH109" i="57"/>
  <c r="AH101" i="57"/>
  <c r="AH66" i="57"/>
  <c r="AH103" i="57"/>
  <c r="AH39" i="57"/>
  <c r="AH76" i="57"/>
  <c r="AH69" i="57"/>
  <c r="AH65" i="57"/>
  <c r="AH83" i="57"/>
  <c r="AH85" i="57"/>
  <c r="AH35" i="57"/>
  <c r="AH79" i="57"/>
  <c r="AH75" i="57"/>
  <c r="AH68" i="57"/>
  <c r="AH119" i="57"/>
  <c r="AH125" i="57"/>
  <c r="AH126" i="57"/>
  <c r="AH78" i="57"/>
  <c r="AH49" i="57"/>
  <c r="AH66" i="6"/>
  <c r="AH35" i="28"/>
  <c r="AH67" i="11"/>
  <c r="AH76" i="51"/>
  <c r="AH87" i="56"/>
  <c r="AH34" i="20"/>
  <c r="AH48" i="20"/>
  <c r="AH34" i="25"/>
  <c r="AH109" i="55"/>
  <c r="AH102" i="55"/>
  <c r="AH124" i="55"/>
  <c r="AH78" i="55"/>
  <c r="AH77" i="55"/>
  <c r="AH79" i="55"/>
  <c r="AH69" i="55"/>
  <c r="AH68" i="55"/>
  <c r="AH110" i="55"/>
  <c r="AH75" i="55"/>
  <c r="AH65" i="55"/>
  <c r="AH66" i="55"/>
  <c r="AH125" i="55"/>
  <c r="AH76" i="55"/>
  <c r="AH117" i="55"/>
  <c r="AH67" i="55"/>
  <c r="AH118" i="55"/>
  <c r="AH101" i="55"/>
  <c r="AH85" i="52"/>
  <c r="AH35" i="52"/>
  <c r="AH83" i="52"/>
  <c r="AH79" i="52"/>
  <c r="AH76" i="52"/>
  <c r="AH88" i="52"/>
  <c r="AH87" i="52"/>
  <c r="AH72" i="52"/>
  <c r="AH76" i="54"/>
  <c r="AF42" i="34"/>
  <c r="AF34" i="35"/>
  <c r="AF62" i="19"/>
  <c r="AF83" i="53"/>
  <c r="AF83" i="52"/>
  <c r="AF44" i="35"/>
  <c r="AF69" i="21"/>
  <c r="AF58" i="19"/>
  <c r="AF79" i="53"/>
  <c r="AF79" i="52"/>
  <c r="AF55" i="35"/>
  <c r="AF76" i="51"/>
  <c r="AB40" i="35"/>
  <c r="AF40" i="35"/>
  <c r="AF35" i="34"/>
  <c r="AF62" i="21"/>
  <c r="AF76" i="54"/>
  <c r="AA53" i="34"/>
  <c r="AF53" i="34" s="1"/>
  <c r="AF76" i="52"/>
  <c r="AF56" i="34"/>
  <c r="AF55" i="19"/>
  <c r="AF67" i="11"/>
  <c r="AF38" i="34"/>
  <c r="AF65" i="21"/>
  <c r="AF48" i="20"/>
  <c r="AI47" i="7"/>
  <c r="AF47" i="7"/>
  <c r="AB51" i="34"/>
  <c r="AM51" i="34" s="1"/>
  <c r="AF51" i="34"/>
  <c r="AH49" i="24"/>
  <c r="AA49" i="24"/>
  <c r="AM49" i="24" s="1"/>
  <c r="AE40" i="24"/>
  <c r="AH40" i="24"/>
  <c r="AI57" i="35"/>
  <c r="AD18" i="17"/>
  <c r="AD18" i="39"/>
  <c r="AD18" i="62"/>
  <c r="AD18" i="57"/>
  <c r="AD18" i="58"/>
  <c r="AD18" i="64"/>
  <c r="AD18" i="56"/>
  <c r="AD18" i="55"/>
  <c r="AC18" i="37"/>
  <c r="AD18" i="59"/>
  <c r="AD18" i="6"/>
  <c r="AI72" i="58"/>
  <c r="G73" i="58"/>
  <c r="AI93" i="58"/>
  <c r="AI88" i="58"/>
  <c r="AA145" i="58"/>
  <c r="AI94" i="58"/>
  <c r="AI126" i="58"/>
  <c r="AI62" i="58"/>
  <c r="G63" i="58"/>
  <c r="N1" i="58"/>
  <c r="AI62" i="54"/>
  <c r="AI99" i="54"/>
  <c r="AA103" i="54"/>
  <c r="AI72" i="54"/>
  <c r="AF72" i="54"/>
  <c r="AI76" i="54"/>
  <c r="AI100" i="54"/>
  <c r="AI88" i="54"/>
  <c r="AI35" i="54"/>
  <c r="AI97" i="54"/>
  <c r="AA102" i="54"/>
  <c r="AI78" i="54"/>
  <c r="AF78" i="54"/>
  <c r="AI79" i="54"/>
  <c r="N1" i="57"/>
  <c r="AI62" i="53"/>
  <c r="AI35" i="53"/>
  <c r="AI79" i="53"/>
  <c r="AI85" i="53"/>
  <c r="AA90" i="53"/>
  <c r="AI88" i="53"/>
  <c r="AF78" i="53"/>
  <c r="AI78" i="53"/>
  <c r="AF72" i="53"/>
  <c r="AA91" i="53"/>
  <c r="AI72" i="53"/>
  <c r="AF76" i="53"/>
  <c r="AB76" i="53"/>
  <c r="AI76" i="53"/>
  <c r="AI83" i="53"/>
  <c r="AI87" i="53"/>
  <c r="AI126" i="56"/>
  <c r="N1" i="56"/>
  <c r="AI88" i="52"/>
  <c r="AI76" i="52"/>
  <c r="AI85" i="52"/>
  <c r="AA90" i="52"/>
  <c r="AI79" i="52"/>
  <c r="AI78" i="52"/>
  <c r="AF78" i="52"/>
  <c r="AI62" i="52"/>
  <c r="AI83" i="52"/>
  <c r="AA91" i="52"/>
  <c r="AI72" i="52"/>
  <c r="AF72" i="52"/>
  <c r="AI87" i="52"/>
  <c r="AI35" i="52"/>
  <c r="G63" i="55"/>
  <c r="AI62" i="55"/>
  <c r="G82" i="55"/>
  <c r="AI81" i="55"/>
  <c r="N1" i="55"/>
  <c r="AI35" i="51"/>
  <c r="AI72" i="51"/>
  <c r="AA100" i="51"/>
  <c r="AF72" i="51"/>
  <c r="AI79" i="51"/>
  <c r="AI76" i="51"/>
  <c r="AI97" i="51"/>
  <c r="AI94" i="51"/>
  <c r="AA99" i="51"/>
  <c r="AI86" i="51"/>
  <c r="AI78" i="51"/>
  <c r="AF78" i="51"/>
  <c r="AI96" i="51"/>
  <c r="AI62" i="51"/>
  <c r="AI126" i="39"/>
  <c r="N1" i="39"/>
  <c r="AA124" i="9"/>
  <c r="AI119" i="9"/>
  <c r="AI76" i="9"/>
  <c r="AI122" i="9"/>
  <c r="AI93" i="9"/>
  <c r="AI121" i="9"/>
  <c r="AI72" i="9"/>
  <c r="AA125" i="9"/>
  <c r="AF72" i="9"/>
  <c r="AI35" i="9"/>
  <c r="AF78" i="9"/>
  <c r="AI78" i="9"/>
  <c r="AI62" i="9"/>
  <c r="AI79" i="9"/>
  <c r="AI42" i="18"/>
  <c r="AI52" i="18"/>
  <c r="AF52" i="18"/>
  <c r="AI55" i="18"/>
  <c r="AF55" i="18"/>
  <c r="AI64" i="18"/>
  <c r="AF54" i="18"/>
  <c r="AI54" i="18"/>
  <c r="AI63" i="18"/>
  <c r="AA67" i="18"/>
  <c r="AF48" i="18"/>
  <c r="AI48" i="18"/>
  <c r="AB48" i="18"/>
  <c r="AI34" i="18"/>
  <c r="AI61" i="18"/>
  <c r="AA66" i="18"/>
  <c r="AB59" i="18"/>
  <c r="AF59" i="18"/>
  <c r="AI59" i="18"/>
  <c r="L50" i="37"/>
  <c r="M50" i="37" s="1"/>
  <c r="AI59" i="37"/>
  <c r="AK59" i="37"/>
  <c r="L60" i="37"/>
  <c r="M60" i="37" s="1"/>
  <c r="AG61" i="37"/>
  <c r="AG62" i="37"/>
  <c r="AG64" i="37"/>
  <c r="AD89" i="37"/>
  <c r="AH61" i="37"/>
  <c r="AG89" i="37" s="1"/>
  <c r="AI49" i="37"/>
  <c r="AK49" i="37"/>
  <c r="AI37" i="29"/>
  <c r="AF37" i="29"/>
  <c r="AI38" i="29"/>
  <c r="AI76" i="29"/>
  <c r="AI73" i="29"/>
  <c r="AA78" i="29"/>
  <c r="AI35" i="29"/>
  <c r="AI50" i="29"/>
  <c r="AA79" i="29"/>
  <c r="AI75" i="29"/>
  <c r="AI95" i="4"/>
  <c r="AA100" i="4"/>
  <c r="AI55" i="4"/>
  <c r="AI72" i="4"/>
  <c r="AI35" i="4"/>
  <c r="AI97" i="4"/>
  <c r="AI58" i="4"/>
  <c r="AA101" i="4"/>
  <c r="AI98" i="4"/>
  <c r="AI34" i="21"/>
  <c r="AI65" i="21"/>
  <c r="AI47" i="21"/>
  <c r="AI73" i="21"/>
  <c r="AI69" i="21"/>
  <c r="AI64" i="21"/>
  <c r="AF64" i="21"/>
  <c r="AI62" i="21"/>
  <c r="AI74" i="21"/>
  <c r="AA76" i="21"/>
  <c r="AI71" i="21"/>
  <c r="AA77" i="21"/>
  <c r="AF58" i="21"/>
  <c r="AI58" i="21"/>
  <c r="AA68" i="7"/>
  <c r="AI34" i="7"/>
  <c r="AA65" i="7"/>
  <c r="AI54" i="7"/>
  <c r="AA66" i="7"/>
  <c r="AA70" i="7"/>
  <c r="AI51" i="7"/>
  <c r="AA74" i="7"/>
  <c r="AA73" i="7"/>
  <c r="AI50" i="7"/>
  <c r="AA69" i="7"/>
  <c r="AA72" i="7"/>
  <c r="AI48" i="7"/>
  <c r="AA76" i="7"/>
  <c r="AI53" i="36"/>
  <c r="AI44" i="36"/>
  <c r="AI64" i="36"/>
  <c r="AI35" i="36"/>
  <c r="AA76" i="30"/>
  <c r="AI71" i="30"/>
  <c r="AI38" i="30"/>
  <c r="AI50" i="30"/>
  <c r="AI74" i="30"/>
  <c r="AI73" i="30"/>
  <c r="AA77" i="30"/>
  <c r="AI37" i="30"/>
  <c r="AF37" i="30"/>
  <c r="AI35" i="30"/>
  <c r="AI48" i="20"/>
  <c r="AI34" i="20"/>
  <c r="AI55" i="20"/>
  <c r="AI44" i="20"/>
  <c r="AA63" i="20"/>
  <c r="AF44" i="20"/>
  <c r="AF50" i="20"/>
  <c r="AI50" i="20"/>
  <c r="AI59" i="20"/>
  <c r="AI51" i="20"/>
  <c r="AI60" i="20"/>
  <c r="AI57" i="20"/>
  <c r="AA62" i="20"/>
  <c r="AI41" i="20"/>
  <c r="AH43" i="24"/>
  <c r="AH52" i="24"/>
  <c r="AE52" i="24"/>
  <c r="AA52" i="24"/>
  <c r="AH34" i="24"/>
  <c r="AI128" i="6"/>
  <c r="AI132" i="6"/>
  <c r="AI136" i="6"/>
  <c r="AI120" i="6"/>
  <c r="AI124" i="6"/>
  <c r="AI34" i="25"/>
  <c r="AI98" i="23"/>
  <c r="AI95" i="23"/>
  <c r="AI34" i="23"/>
  <c r="AI56" i="23"/>
  <c r="AI77" i="23"/>
  <c r="AB77" i="23"/>
  <c r="AF77" i="23"/>
  <c r="AI67" i="15"/>
  <c r="AF57" i="15"/>
  <c r="AI57" i="15"/>
  <c r="AI58" i="15"/>
  <c r="AA70" i="15"/>
  <c r="AI65" i="15"/>
  <c r="AI68" i="15"/>
  <c r="AI35" i="15"/>
  <c r="AI51" i="15"/>
  <c r="AA71" i="15"/>
  <c r="AF51" i="15"/>
  <c r="AI45" i="15"/>
  <c r="AI63" i="15"/>
  <c r="AF55" i="15"/>
  <c r="AI55" i="15"/>
  <c r="AB55" i="15"/>
  <c r="AI34" i="32"/>
  <c r="AI36" i="32"/>
  <c r="AF36" i="32"/>
  <c r="AI50" i="34"/>
  <c r="AI42" i="34"/>
  <c r="AG60" i="34"/>
  <c r="AH60" i="34" s="1"/>
  <c r="AH53" i="34"/>
  <c r="AI38" i="34"/>
  <c r="AI49" i="34"/>
  <c r="AD60" i="34"/>
  <c r="AI56" i="34"/>
  <c r="AF37" i="34"/>
  <c r="AI37" i="34"/>
  <c r="AI35" i="34"/>
  <c r="AI46" i="34"/>
  <c r="AF46" i="34"/>
  <c r="AI44" i="34"/>
  <c r="AF44" i="34"/>
  <c r="AF62" i="28"/>
  <c r="AI62" i="28"/>
  <c r="AI47" i="28"/>
  <c r="AI35" i="28"/>
  <c r="AI39" i="28"/>
  <c r="AI56" i="28"/>
  <c r="AF44" i="28"/>
  <c r="AI44" i="28"/>
  <c r="AA67" i="28"/>
  <c r="AI53" i="28"/>
  <c r="AF53" i="28"/>
  <c r="AI65" i="28"/>
  <c r="AA68" i="28"/>
  <c r="AI64" i="28"/>
  <c r="G53" i="59"/>
  <c r="AI52" i="59"/>
  <c r="AI126" i="59"/>
  <c r="AI94" i="59"/>
  <c r="AI69" i="11"/>
  <c r="AF69" i="11"/>
  <c r="AI70" i="11"/>
  <c r="AA81" i="11"/>
  <c r="AI76" i="11"/>
  <c r="AI55" i="11"/>
  <c r="AI78" i="11"/>
  <c r="AI74" i="11"/>
  <c r="AA82" i="11"/>
  <c r="AF63" i="11"/>
  <c r="AI63" i="11"/>
  <c r="AI35" i="11"/>
  <c r="AI67" i="11"/>
  <c r="AI79" i="11"/>
  <c r="AI34" i="27"/>
  <c r="AI45" i="27"/>
  <c r="AF45" i="27"/>
  <c r="AF50" i="19"/>
  <c r="AI50" i="19"/>
  <c r="AI55" i="19"/>
  <c r="AI64" i="19"/>
  <c r="AA69" i="19"/>
  <c r="AI66" i="19"/>
  <c r="AI62" i="19"/>
  <c r="AA70" i="19"/>
  <c r="AF51" i="19"/>
  <c r="AI51" i="19"/>
  <c r="AI58" i="19"/>
  <c r="AI67" i="19"/>
  <c r="AI47" i="19"/>
  <c r="AI34" i="19"/>
  <c r="AF57" i="19"/>
  <c r="AI57" i="19"/>
  <c r="AI71" i="22"/>
  <c r="AB67" i="22"/>
  <c r="AI67" i="22"/>
  <c r="AF67" i="22"/>
  <c r="AF63" i="22"/>
  <c r="AI63" i="22"/>
  <c r="AB63" i="22"/>
  <c r="AI72" i="22"/>
  <c r="AI34" i="22"/>
  <c r="AA74" i="22"/>
  <c r="AI69" i="22"/>
  <c r="AI56" i="22"/>
  <c r="AF56" i="22"/>
  <c r="AA75" i="22"/>
  <c r="AB56" i="22"/>
  <c r="AI60" i="22"/>
  <c r="AF60" i="22"/>
  <c r="AB60" i="22"/>
  <c r="AI62" i="22"/>
  <c r="AF62" i="22"/>
  <c r="AI46" i="22"/>
  <c r="AI141" i="17"/>
  <c r="AI148" i="17"/>
  <c r="AI37" i="16"/>
  <c r="AI43" i="16"/>
  <c r="AI74" i="16"/>
  <c r="AI121" i="16"/>
  <c r="AI42" i="16"/>
  <c r="AI41" i="16"/>
  <c r="AI120" i="16"/>
  <c r="AI54" i="16"/>
  <c r="AI91" i="16"/>
  <c r="AF76" i="16"/>
  <c r="AI76" i="16"/>
  <c r="AI36" i="16"/>
  <c r="AI53" i="16"/>
  <c r="AI51" i="16"/>
  <c r="AI49" i="16"/>
  <c r="AI77" i="16"/>
  <c r="AI56" i="16"/>
  <c r="AI35" i="16"/>
  <c r="AF70" i="16"/>
  <c r="AI70" i="16"/>
  <c r="AA124" i="16"/>
  <c r="AI44" i="16"/>
  <c r="AI50" i="16"/>
  <c r="AI52" i="16"/>
  <c r="AI39" i="16"/>
  <c r="AI47" i="16"/>
  <c r="AA123" i="16"/>
  <c r="AI118" i="16"/>
  <c r="AI45" i="16"/>
  <c r="AI60" i="16"/>
  <c r="AI38" i="16"/>
  <c r="AF38" i="31"/>
  <c r="AI38" i="31"/>
  <c r="AI34" i="31"/>
  <c r="AB38" i="35"/>
  <c r="AF38" i="35"/>
  <c r="AI38" i="35"/>
  <c r="AF48" i="35"/>
  <c r="AI48" i="35"/>
  <c r="AI44" i="35"/>
  <c r="AI40" i="35"/>
  <c r="AI55" i="35"/>
  <c r="AI34" i="35"/>
  <c r="AI46" i="35"/>
  <c r="AF46" i="35"/>
  <c r="AA75" i="26"/>
  <c r="AI71" i="26"/>
  <c r="AA74" i="26"/>
  <c r="AI69" i="26"/>
  <c r="AI68" i="26"/>
  <c r="AI38" i="26"/>
  <c r="AI35" i="26"/>
  <c r="AI50" i="26"/>
  <c r="AI72" i="26"/>
  <c r="AI34" i="33"/>
  <c r="AE170" i="17"/>
  <c r="AE159" i="17"/>
  <c r="AE167" i="17"/>
  <c r="AE156" i="17"/>
  <c r="AE152" i="17"/>
  <c r="AC94" i="37"/>
  <c r="AE150" i="6"/>
  <c r="AE148" i="6"/>
  <c r="AE146" i="6"/>
  <c r="AE144" i="6"/>
  <c r="AE142" i="6"/>
  <c r="AE140" i="6"/>
  <c r="AE138" i="6"/>
  <c r="AE136" i="6"/>
  <c r="AE134" i="6"/>
  <c r="AE132" i="6"/>
  <c r="AE130" i="6"/>
  <c r="AE128" i="6"/>
  <c r="AE126" i="6"/>
  <c r="AE124" i="6"/>
  <c r="AE122" i="6"/>
  <c r="AE120" i="6"/>
  <c r="AE149" i="6"/>
  <c r="AE147" i="6"/>
  <c r="AE145" i="6"/>
  <c r="AE143" i="6"/>
  <c r="AE141" i="6"/>
  <c r="AE139" i="6"/>
  <c r="AE137" i="6"/>
  <c r="AE135" i="6"/>
  <c r="AE133" i="6"/>
  <c r="AE131" i="6"/>
  <c r="AE129" i="6"/>
  <c r="AE127" i="6"/>
  <c r="AE125" i="6"/>
  <c r="AE123" i="6"/>
  <c r="AE121" i="6"/>
  <c r="AE119" i="6"/>
  <c r="AE151" i="6"/>
  <c r="AB62" i="65"/>
  <c r="AB68" i="65"/>
  <c r="AB63" i="65"/>
  <c r="AB60" i="65"/>
  <c r="N27" i="54"/>
  <c r="N27" i="53"/>
  <c r="N27" i="52"/>
  <c r="N27" i="51"/>
  <c r="N27" i="9"/>
  <c r="O17" i="68"/>
  <c r="AK31" i="34"/>
  <c r="B48" i="34"/>
  <c r="B48" i="4"/>
  <c r="AD31" i="51"/>
  <c r="N28" i="25"/>
  <c r="N28" i="26"/>
  <c r="Z11" i="64"/>
  <c r="B48" i="29"/>
  <c r="B69" i="23"/>
  <c r="AG31" i="21"/>
  <c r="B12" i="35"/>
  <c r="AK31" i="20"/>
  <c r="AG31" i="30"/>
  <c r="B74" i="20"/>
  <c r="D10" i="29"/>
  <c r="AG13" i="29"/>
  <c r="AD13" i="55"/>
  <c r="AG31" i="51"/>
  <c r="AD12" i="28"/>
  <c r="AD31" i="52"/>
  <c r="B12" i="52"/>
  <c r="W32" i="67"/>
  <c r="AD31" i="18"/>
  <c r="B84" i="52"/>
  <c r="R11" i="65"/>
  <c r="O11" i="64"/>
  <c r="AG32" i="26"/>
  <c r="B18" i="32"/>
  <c r="B12" i="55"/>
  <c r="AD12" i="39"/>
  <c r="N28" i="58"/>
  <c r="D10" i="7"/>
  <c r="R17" i="66"/>
  <c r="AD12" i="52"/>
  <c r="AG32" i="33"/>
  <c r="AD13" i="56"/>
  <c r="AL31" i="28"/>
  <c r="AD12" i="19"/>
  <c r="N28" i="56"/>
  <c r="B115" i="9"/>
  <c r="AD13" i="25"/>
  <c r="B17" i="35"/>
  <c r="V11" i="62"/>
  <c r="B46" i="22"/>
  <c r="AD31" i="29"/>
  <c r="AD31" i="34"/>
  <c r="U11" i="63"/>
  <c r="N28" i="18"/>
  <c r="AG12" i="17"/>
  <c r="AF31" i="24"/>
  <c r="B17" i="52"/>
  <c r="AL31" i="53"/>
  <c r="B17" i="20"/>
  <c r="B12" i="57"/>
  <c r="N28" i="11"/>
  <c r="B17" i="26"/>
  <c r="B17" i="37"/>
  <c r="AD31" i="31"/>
  <c r="AD31" i="6"/>
  <c r="S11" i="65"/>
  <c r="AG31" i="15"/>
  <c r="D10" i="6"/>
  <c r="B72" i="16"/>
  <c r="P11" i="64"/>
  <c r="AF12" i="24"/>
  <c r="AG32" i="28"/>
  <c r="C10" i="17"/>
  <c r="B60" i="7"/>
  <c r="B46" i="18"/>
  <c r="P17" i="70"/>
  <c r="AD31" i="36"/>
  <c r="AG31" i="55"/>
  <c r="D10" i="23"/>
  <c r="D10" i="18"/>
  <c r="AG32" i="57"/>
  <c r="P11" i="69"/>
  <c r="AD31" i="7"/>
  <c r="S32" i="69"/>
  <c r="AC31" i="37"/>
  <c r="B18" i="20"/>
  <c r="A14" i="20" s="1"/>
  <c r="B17" i="16"/>
  <c r="C10" i="29"/>
  <c r="B73" i="21"/>
  <c r="AD12" i="36"/>
  <c r="AD13" i="17"/>
  <c r="B46" i="20"/>
  <c r="AD13" i="15"/>
  <c r="AG12" i="36"/>
  <c r="AD13" i="58"/>
  <c r="C10" i="6"/>
  <c r="D10" i="36"/>
  <c r="B51" i="54"/>
  <c r="Z11" i="62"/>
  <c r="S17" i="66"/>
  <c r="U11" i="62"/>
  <c r="B17" i="9"/>
  <c r="D10" i="34"/>
  <c r="AG13" i="51"/>
  <c r="C10" i="22"/>
  <c r="B106" i="18"/>
  <c r="B17" i="57"/>
  <c r="Q11" i="66"/>
  <c r="B106" i="22"/>
  <c r="AF32" i="24"/>
  <c r="V32" i="67"/>
  <c r="C10" i="24"/>
  <c r="B12" i="9"/>
  <c r="S11" i="68"/>
  <c r="B104" i="16"/>
  <c r="AG31" i="16"/>
  <c r="B75" i="18"/>
  <c r="AD12" i="57"/>
  <c r="B17" i="59"/>
  <c r="T11" i="63"/>
  <c r="P11" i="65"/>
  <c r="B12" i="33"/>
  <c r="AD13" i="21"/>
  <c r="B12" i="26"/>
  <c r="B12" i="59"/>
  <c r="AD12" i="58"/>
  <c r="W11" i="61"/>
  <c r="Z11" i="63"/>
  <c r="AK31" i="52"/>
  <c r="AG12" i="54"/>
  <c r="AF13" i="24"/>
  <c r="AD13" i="27"/>
  <c r="N28" i="9"/>
  <c r="B18" i="34"/>
  <c r="M28" i="37"/>
  <c r="AD13" i="16"/>
  <c r="N28" i="30"/>
  <c r="AK31" i="19"/>
  <c r="Q11" i="69"/>
  <c r="Z32" i="70"/>
  <c r="B12" i="24"/>
  <c r="B18" i="30"/>
  <c r="B18" i="6"/>
  <c r="O11" i="69"/>
  <c r="B17" i="54"/>
  <c r="B50" i="51"/>
  <c r="W32" i="65"/>
  <c r="AG13" i="53"/>
  <c r="AG32" i="23"/>
  <c r="AG32" i="7"/>
  <c r="Z32" i="65"/>
  <c r="AD13" i="52"/>
  <c r="AD12" i="55"/>
  <c r="AD12" i="20"/>
  <c r="N28" i="17"/>
  <c r="B18" i="39"/>
  <c r="AD31" i="58"/>
  <c r="AG32" i="35"/>
  <c r="D10" i="37"/>
  <c r="AD13" i="6"/>
  <c r="AG31" i="26"/>
  <c r="C10" i="18"/>
  <c r="Q11" i="67"/>
  <c r="W32" i="66"/>
  <c r="AG13" i="23"/>
  <c r="AG12" i="56"/>
  <c r="X32" i="68"/>
  <c r="AK31" i="25"/>
  <c r="AG12" i="16"/>
  <c r="T11" i="62"/>
  <c r="B12" i="20"/>
  <c r="AG31" i="33"/>
  <c r="S11" i="70"/>
  <c r="B46" i="19"/>
  <c r="T17" i="68"/>
  <c r="B47" i="37"/>
  <c r="Z32" i="68"/>
  <c r="AD12" i="21"/>
  <c r="B61" i="7"/>
  <c r="A57" i="7" s="1"/>
  <c r="AK31" i="22"/>
  <c r="AG12" i="27"/>
  <c r="X11" i="64"/>
  <c r="X11" i="61"/>
  <c r="C10" i="53"/>
  <c r="B48" i="28"/>
  <c r="B105" i="19"/>
  <c r="C10" i="23"/>
  <c r="B114" i="52"/>
  <c r="B12" i="27"/>
  <c r="AG12" i="51"/>
  <c r="R11" i="66"/>
  <c r="B12" i="54"/>
  <c r="AD13" i="26"/>
  <c r="AD12" i="18"/>
  <c r="B12" i="7"/>
  <c r="B114" i="11"/>
  <c r="T32" i="65"/>
  <c r="AG12" i="23"/>
  <c r="AC12" i="37"/>
  <c r="Q17" i="70"/>
  <c r="AG32" i="20"/>
  <c r="AG32" i="27"/>
  <c r="B61" i="34"/>
  <c r="S32" i="66"/>
  <c r="C10" i="19"/>
  <c r="AD31" i="22"/>
  <c r="B75" i="19"/>
  <c r="B18" i="17"/>
  <c r="B48" i="35"/>
  <c r="AK31" i="30"/>
  <c r="AG31" i="4"/>
  <c r="B75" i="22"/>
  <c r="B17" i="24"/>
  <c r="B12" i="51"/>
  <c r="B47" i="19"/>
  <c r="A43" i="19" s="1"/>
  <c r="B12" i="56"/>
  <c r="N28" i="15"/>
  <c r="T11" i="70"/>
  <c r="B49" i="15"/>
  <c r="AD12" i="34"/>
  <c r="AG32" i="18"/>
  <c r="AG13" i="16"/>
  <c r="B71" i="28"/>
  <c r="C10" i="52"/>
  <c r="N28" i="22"/>
  <c r="B73" i="16"/>
  <c r="A69" i="16" s="1"/>
  <c r="AD31" i="53"/>
  <c r="AL31" i="21"/>
  <c r="B115" i="54"/>
  <c r="B18" i="36"/>
  <c r="AG13" i="22"/>
  <c r="U32" i="69"/>
  <c r="AL31" i="23"/>
  <c r="AG31" i="35"/>
  <c r="B83" i="53"/>
  <c r="O17" i="70"/>
  <c r="B48" i="30"/>
  <c r="AG12" i="32"/>
  <c r="B114" i="54"/>
  <c r="AK31" i="11"/>
  <c r="B47" i="22"/>
  <c r="A43" i="22" s="1"/>
  <c r="AL31" i="29"/>
  <c r="W32" i="68"/>
  <c r="B18" i="25"/>
  <c r="AG12" i="31"/>
  <c r="AG31" i="7"/>
  <c r="AK31" i="31"/>
  <c r="AD13" i="22"/>
  <c r="N28" i="35"/>
  <c r="B46" i="21"/>
  <c r="B84" i="53"/>
  <c r="A80" i="53" s="1"/>
  <c r="B51" i="11"/>
  <c r="D10" i="9"/>
  <c r="AG12" i="7"/>
  <c r="U11" i="61"/>
  <c r="B48" i="7"/>
  <c r="AG32" i="11"/>
  <c r="R17" i="68"/>
  <c r="AL31" i="9"/>
  <c r="AK31" i="36"/>
  <c r="AG13" i="11"/>
  <c r="B39" i="23"/>
  <c r="B105" i="22"/>
  <c r="B83" i="51"/>
  <c r="B18" i="24"/>
  <c r="A14" i="24" s="1"/>
  <c r="B50" i="53"/>
  <c r="B17" i="6"/>
  <c r="AG32" i="39"/>
  <c r="AK31" i="26"/>
  <c r="T11" i="61"/>
  <c r="X11" i="62"/>
  <c r="B17" i="4"/>
  <c r="T11" i="69"/>
  <c r="AG12" i="6"/>
  <c r="AD13" i="53"/>
  <c r="S11" i="69"/>
  <c r="N28" i="29"/>
  <c r="AD12" i="6"/>
  <c r="B12" i="18"/>
  <c r="B18" i="22"/>
  <c r="W32" i="69"/>
  <c r="B17" i="56"/>
  <c r="AG31" i="27"/>
  <c r="B49" i="30"/>
  <c r="B17" i="17"/>
  <c r="Q11" i="70"/>
  <c r="V11" i="64"/>
  <c r="AG13" i="9"/>
  <c r="AL31" i="32"/>
  <c r="AG12" i="20"/>
  <c r="B115" i="52"/>
  <c r="O17" i="66"/>
  <c r="B12" i="58"/>
  <c r="B84" i="51"/>
  <c r="A80" i="51" s="1"/>
  <c r="B81" i="15"/>
  <c r="B17" i="25"/>
  <c r="A14" i="25" s="1"/>
  <c r="C10" i="28"/>
  <c r="AD13" i="31"/>
  <c r="AG32" i="15"/>
  <c r="D10" i="51"/>
  <c r="AG31" i="54"/>
  <c r="AD12" i="7"/>
  <c r="AD31" i="20"/>
  <c r="AG13" i="55"/>
  <c r="B12" i="17"/>
  <c r="N28" i="51"/>
  <c r="D10" i="58"/>
  <c r="B49" i="35"/>
  <c r="A45" i="35" s="1"/>
  <c r="AD12" i="30"/>
  <c r="AG13" i="56"/>
  <c r="AD13" i="20"/>
  <c r="O11" i="67"/>
  <c r="X11" i="63"/>
  <c r="AD31" i="56"/>
  <c r="B17" i="30"/>
  <c r="A14" i="30" s="1"/>
  <c r="AG13" i="28"/>
  <c r="AD31" i="16"/>
  <c r="P11" i="67"/>
  <c r="O11" i="70"/>
  <c r="B83" i="11"/>
  <c r="AK31" i="51"/>
  <c r="B18" i="31"/>
  <c r="N28" i="39"/>
  <c r="AK31" i="29"/>
  <c r="N28" i="34"/>
  <c r="B17" i="36"/>
  <c r="A14" i="36" s="1"/>
  <c r="N28" i="21"/>
  <c r="AG13" i="4"/>
  <c r="O11" i="65"/>
  <c r="B12" i="34"/>
  <c r="P11" i="68"/>
  <c r="B68" i="23"/>
  <c r="AD12" i="22"/>
  <c r="AK31" i="7"/>
  <c r="C10" i="51"/>
  <c r="AG31" i="17"/>
  <c r="B106" i="20"/>
  <c r="B47" i="7"/>
  <c r="AC13" i="37"/>
  <c r="B112" i="15"/>
  <c r="B50" i="15"/>
  <c r="A46" i="15" s="1"/>
  <c r="X32" i="69"/>
  <c r="AG13" i="7"/>
  <c r="AL31" i="35"/>
  <c r="AF31" i="37"/>
  <c r="B17" i="28"/>
  <c r="N28" i="55"/>
  <c r="S11" i="67"/>
  <c r="AD13" i="57"/>
  <c r="AG32" i="31"/>
  <c r="P11" i="70"/>
  <c r="AG12" i="4"/>
  <c r="O11" i="61"/>
  <c r="AK31" i="4"/>
  <c r="AD31" i="55"/>
  <c r="B39" i="16"/>
  <c r="AD13" i="7"/>
  <c r="AK31" i="9"/>
  <c r="T11" i="66"/>
  <c r="AG31" i="52"/>
  <c r="B18" i="51"/>
  <c r="AG31" i="22"/>
  <c r="N28" i="54"/>
  <c r="AL31" i="33"/>
  <c r="B47" i="4"/>
  <c r="A44" i="4" s="1"/>
  <c r="B74" i="21"/>
  <c r="A70" i="21" s="1"/>
  <c r="B17" i="34"/>
  <c r="A14" i="34" s="1"/>
  <c r="AG32" i="16"/>
  <c r="AG32" i="22"/>
  <c r="Y32" i="69"/>
  <c r="D10" i="52"/>
  <c r="AK31" i="53"/>
  <c r="Y32" i="65"/>
  <c r="B115" i="53"/>
  <c r="AG32" i="4"/>
  <c r="AD13" i="36"/>
  <c r="AC31" i="24"/>
  <c r="B84" i="9"/>
  <c r="AM31" i="7"/>
  <c r="D10" i="56"/>
  <c r="C10" i="34"/>
  <c r="V32" i="65"/>
  <c r="Y32" i="66"/>
  <c r="AG32" i="54"/>
  <c r="AD12" i="29"/>
  <c r="R11" i="69"/>
  <c r="AD31" i="39"/>
  <c r="B17" i="33"/>
  <c r="AG12" i="11"/>
  <c r="AD31" i="11"/>
  <c r="B12" i="28"/>
  <c r="AG13" i="20"/>
  <c r="C10" i="20"/>
  <c r="AG31" i="18"/>
  <c r="AG31" i="11"/>
  <c r="AK31" i="33"/>
  <c r="AG31" i="39"/>
  <c r="D10" i="20"/>
  <c r="X32" i="65"/>
  <c r="Y11" i="64"/>
  <c r="AL31" i="26"/>
  <c r="AG12" i="55"/>
  <c r="B45" i="21"/>
  <c r="A42" i="21" s="1"/>
  <c r="D10" i="33"/>
  <c r="B72" i="28"/>
  <c r="A68" i="28" s="1"/>
  <c r="AK31" i="16"/>
  <c r="B83" i="54"/>
  <c r="C10" i="55"/>
  <c r="AD31" i="33"/>
  <c r="AD31" i="57"/>
  <c r="D10" i="11"/>
  <c r="B12" i="39"/>
  <c r="S17" i="68"/>
  <c r="C10" i="58"/>
  <c r="AG31" i="56"/>
  <c r="P17" i="66"/>
  <c r="B79" i="4"/>
  <c r="AG12" i="34"/>
  <c r="B107" i="18"/>
  <c r="B114" i="51"/>
  <c r="Z32" i="66"/>
  <c r="D10" i="28"/>
  <c r="AG31" i="9"/>
  <c r="T11" i="64"/>
  <c r="C10" i="16"/>
  <c r="AG32" i="51"/>
  <c r="AG31" i="28"/>
  <c r="B18" i="23"/>
  <c r="N28" i="28"/>
  <c r="P17" i="68"/>
  <c r="R11" i="68"/>
  <c r="AG12" i="59"/>
  <c r="AD12" i="35"/>
  <c r="AD13" i="23"/>
  <c r="B12" i="4"/>
  <c r="AK31" i="32"/>
  <c r="AG12" i="26"/>
  <c r="AD12" i="33"/>
  <c r="AG12" i="35"/>
  <c r="C10" i="9"/>
  <c r="B40" i="23"/>
  <c r="A36" i="23" s="1"/>
  <c r="AD31" i="28"/>
  <c r="D10" i="21"/>
  <c r="D10" i="24"/>
  <c r="B18" i="56"/>
  <c r="AG12" i="39"/>
  <c r="B51" i="9"/>
  <c r="B12" i="6"/>
  <c r="C10" i="26"/>
  <c r="N28" i="23"/>
  <c r="T11" i="68"/>
  <c r="B17" i="22"/>
  <c r="A14" i="22" s="1"/>
  <c r="B17" i="15"/>
  <c r="B104" i="21"/>
  <c r="AG13" i="36"/>
  <c r="AL31" i="25"/>
  <c r="V32" i="69"/>
  <c r="T32" i="69"/>
  <c r="B51" i="52"/>
  <c r="B51" i="53"/>
  <c r="A47" i="53" s="1"/>
  <c r="C10" i="11"/>
  <c r="AG12" i="57"/>
  <c r="AG12" i="25"/>
  <c r="AD12" i="25"/>
  <c r="B17" i="19"/>
  <c r="AG32" i="19"/>
  <c r="X32" i="70"/>
  <c r="B18" i="29"/>
  <c r="B18" i="28"/>
  <c r="A14" i="28" s="1"/>
  <c r="AG13" i="58"/>
  <c r="D10" i="15"/>
  <c r="AG31" i="53"/>
  <c r="P11" i="61"/>
  <c r="B17" i="29"/>
  <c r="A14" i="29" s="1"/>
  <c r="AM31" i="4"/>
  <c r="D10" i="32"/>
  <c r="B76" i="18"/>
  <c r="A72" i="18" s="1"/>
  <c r="B50" i="11"/>
  <c r="A47" i="11" s="1"/>
  <c r="C10" i="15"/>
  <c r="Z32" i="67"/>
  <c r="AD13" i="30"/>
  <c r="B49" i="29"/>
  <c r="B18" i="15"/>
  <c r="A14" i="15" s="1"/>
  <c r="AK31" i="15"/>
  <c r="S17" i="70"/>
  <c r="D10" i="25"/>
  <c r="AG13" i="34"/>
  <c r="B12" i="29"/>
  <c r="B18" i="11"/>
  <c r="AG31" i="19"/>
  <c r="AG13" i="21"/>
  <c r="B18" i="55"/>
  <c r="AG12" i="15"/>
  <c r="O11" i="62"/>
  <c r="B17" i="32"/>
  <c r="A14" i="32" s="1"/>
  <c r="AG13" i="6"/>
  <c r="AD31" i="59"/>
  <c r="AD12" i="15"/>
  <c r="C10" i="57"/>
  <c r="AG31" i="29"/>
  <c r="AD13" i="18"/>
  <c r="AG13" i="26"/>
  <c r="D10" i="59"/>
  <c r="AG12" i="22"/>
  <c r="AD31" i="21"/>
  <c r="B12" i="11"/>
  <c r="B114" i="9"/>
  <c r="B18" i="7"/>
  <c r="B12" i="31"/>
  <c r="AG13" i="52"/>
  <c r="B18" i="33"/>
  <c r="A14" i="33" s="1"/>
  <c r="B18" i="18"/>
  <c r="B12" i="37"/>
  <c r="B17" i="53"/>
  <c r="AG13" i="25"/>
  <c r="B75" i="20"/>
  <c r="A71" i="20" s="1"/>
  <c r="AL31" i="27"/>
  <c r="B106" i="19"/>
  <c r="B12" i="21"/>
  <c r="AD31" i="27"/>
  <c r="AD13" i="19"/>
  <c r="AD31" i="32"/>
  <c r="B18" i="37"/>
  <c r="B48" i="37"/>
  <c r="C10" i="32"/>
  <c r="D10" i="16"/>
  <c r="AL31" i="52"/>
  <c r="P11" i="66"/>
  <c r="Y32" i="67"/>
  <c r="N28" i="36"/>
  <c r="AK31" i="24"/>
  <c r="B74" i="19"/>
  <c r="A71" i="19" s="1"/>
  <c r="B18" i="54"/>
  <c r="A14" i="54" s="1"/>
  <c r="AC12" i="24"/>
  <c r="B51" i="51"/>
  <c r="A47" i="51" s="1"/>
  <c r="B18" i="9"/>
  <c r="A14" i="9" s="1"/>
  <c r="B47" i="20"/>
  <c r="A43" i="20" s="1"/>
  <c r="C10" i="37"/>
  <c r="AG13" i="35"/>
  <c r="AD13" i="32"/>
  <c r="AD31" i="25"/>
  <c r="B12" i="32"/>
  <c r="AG32" i="56"/>
  <c r="B84" i="54"/>
  <c r="A80" i="54" s="1"/>
  <c r="AG31" i="23"/>
  <c r="B12" i="36"/>
  <c r="C10" i="54"/>
  <c r="C10" i="4"/>
  <c r="C10" i="7"/>
  <c r="AG31" i="59"/>
  <c r="AD12" i="11"/>
  <c r="N28" i="20"/>
  <c r="AL31" i="51"/>
  <c r="B18" i="57"/>
  <c r="AG12" i="29"/>
  <c r="N28" i="31"/>
  <c r="B115" i="51"/>
  <c r="AD12" i="4"/>
  <c r="AK31" i="23"/>
  <c r="B78" i="4"/>
  <c r="AG32" i="36"/>
  <c r="N28" i="7"/>
  <c r="Q17" i="66"/>
  <c r="B114" i="53"/>
  <c r="B50" i="52"/>
  <c r="A47" i="52" s="1"/>
  <c r="AD12" i="56"/>
  <c r="B17" i="23"/>
  <c r="A14" i="23" s="1"/>
  <c r="AD31" i="15"/>
  <c r="D10" i="19"/>
  <c r="T17" i="66"/>
  <c r="R11" i="67"/>
  <c r="C10" i="31"/>
  <c r="AG32" i="59"/>
  <c r="AG32" i="34"/>
  <c r="B40" i="16"/>
  <c r="A36" i="16" s="1"/>
  <c r="AD31" i="35"/>
  <c r="C10" i="33"/>
  <c r="Q11" i="63"/>
  <c r="AG13" i="18"/>
  <c r="C10" i="35"/>
  <c r="C10" i="36"/>
  <c r="C10" i="59"/>
  <c r="N28" i="33"/>
  <c r="AG32" i="52"/>
  <c r="V32" i="68"/>
  <c r="R11" i="70"/>
  <c r="AL31" i="20"/>
  <c r="AD31" i="9"/>
  <c r="AD31" i="19"/>
  <c r="AG12" i="33"/>
  <c r="AD31" i="26"/>
  <c r="D10" i="53"/>
  <c r="AD31" i="17"/>
  <c r="B17" i="7"/>
  <c r="A14" i="7" s="1"/>
  <c r="AG32" i="25"/>
  <c r="V32" i="66"/>
  <c r="C10" i="27"/>
  <c r="AD13" i="29"/>
  <c r="AG31" i="57"/>
  <c r="AF12" i="37"/>
  <c r="AK31" i="28"/>
  <c r="W32" i="70"/>
  <c r="AD31" i="23"/>
  <c r="T32" i="68"/>
  <c r="AF13" i="37"/>
  <c r="B17" i="11"/>
  <c r="A14" i="11" s="1"/>
  <c r="B82" i="15"/>
  <c r="A78" i="15" s="1"/>
  <c r="B84" i="11"/>
  <c r="A80" i="11" s="1"/>
  <c r="B113" i="15"/>
  <c r="AD13" i="59"/>
  <c r="AD13" i="11"/>
  <c r="D10" i="54"/>
  <c r="B17" i="27"/>
  <c r="W11" i="64"/>
  <c r="AG13" i="19"/>
  <c r="B17" i="21"/>
  <c r="AL31" i="16"/>
  <c r="B50" i="9"/>
  <c r="A47" i="9" s="1"/>
  <c r="AL31" i="22"/>
  <c r="AG13" i="57"/>
  <c r="AG31" i="36"/>
  <c r="AD13" i="54"/>
  <c r="T32" i="67"/>
  <c r="AG31" i="32"/>
  <c r="AG13" i="15"/>
  <c r="N28" i="4"/>
  <c r="C10" i="39"/>
  <c r="AL31" i="11"/>
  <c r="AD31" i="30"/>
  <c r="AG31" i="25"/>
  <c r="AG13" i="54"/>
  <c r="C10" i="30"/>
  <c r="Y11" i="63"/>
  <c r="V32" i="70"/>
  <c r="N28" i="16"/>
  <c r="AJ31" i="24"/>
  <c r="AG31" i="34"/>
  <c r="AD13" i="35"/>
  <c r="V11" i="63"/>
  <c r="AD13" i="39"/>
  <c r="B12" i="15"/>
  <c r="D10" i="55"/>
  <c r="Y11" i="61"/>
  <c r="AK31" i="21"/>
  <c r="B95" i="28"/>
  <c r="AG13" i="30"/>
  <c r="U11" i="64"/>
  <c r="AG13" i="17"/>
  <c r="B18" i="4"/>
  <c r="A14" i="4" s="1"/>
  <c r="R17" i="70"/>
  <c r="D10" i="30"/>
  <c r="B17" i="18"/>
  <c r="A14" i="18" s="1"/>
  <c r="N28" i="57"/>
  <c r="B18" i="26"/>
  <c r="A14" i="26" s="1"/>
  <c r="AG12" i="28"/>
  <c r="Y32" i="70"/>
  <c r="AD13" i="9"/>
  <c r="S32" i="67"/>
  <c r="AL31" i="15"/>
  <c r="U32" i="67"/>
  <c r="T11" i="67"/>
  <c r="U32" i="66"/>
  <c r="AG32" i="21"/>
  <c r="AD31" i="54"/>
  <c r="N28" i="27"/>
  <c r="AG13" i="39"/>
  <c r="M28" i="24"/>
  <c r="AK31" i="27"/>
  <c r="AL31" i="19"/>
  <c r="AG32" i="9"/>
  <c r="B74" i="22"/>
  <c r="A71" i="22" s="1"/>
  <c r="AG32" i="29"/>
  <c r="W11" i="62"/>
  <c r="AD12" i="17"/>
  <c r="AL31" i="30"/>
  <c r="B115" i="11"/>
  <c r="N28" i="19"/>
  <c r="N28" i="52"/>
  <c r="AG13" i="59"/>
  <c r="O11" i="68"/>
  <c r="B94" i="28"/>
  <c r="B105" i="20"/>
  <c r="AG12" i="18"/>
  <c r="X32" i="67"/>
  <c r="B18" i="59"/>
  <c r="N28" i="59"/>
  <c r="T17" i="70"/>
  <c r="X32" i="66"/>
  <c r="AG31" i="31"/>
  <c r="B50" i="54"/>
  <c r="A47" i="54" s="1"/>
  <c r="B103" i="16"/>
  <c r="AG32" i="30"/>
  <c r="B12" i="30"/>
  <c r="AG32" i="53"/>
  <c r="AD12" i="23"/>
  <c r="AG12" i="21"/>
  <c r="B12" i="53"/>
  <c r="AD12" i="16"/>
  <c r="Y11" i="62"/>
  <c r="N28" i="32"/>
  <c r="B12" i="16"/>
  <c r="S32" i="65"/>
  <c r="T11" i="65"/>
  <c r="AD12" i="32"/>
  <c r="B105" i="21"/>
  <c r="AD12" i="54"/>
  <c r="AG32" i="58"/>
  <c r="AG32" i="32"/>
  <c r="B48" i="26"/>
  <c r="D10" i="4"/>
  <c r="N28" i="6"/>
  <c r="AD13" i="34"/>
  <c r="AG12" i="58"/>
  <c r="D10" i="22"/>
  <c r="AG13" i="33"/>
  <c r="D10" i="27"/>
  <c r="B49" i="28"/>
  <c r="A45" i="28" s="1"/>
  <c r="AG12" i="30"/>
  <c r="AG32" i="17"/>
  <c r="AL31" i="36"/>
  <c r="AD12" i="9"/>
  <c r="U32" i="68"/>
  <c r="B17" i="31"/>
  <c r="A14" i="31" s="1"/>
  <c r="Q17" i="68"/>
  <c r="AK31" i="54"/>
  <c r="AC13" i="24"/>
  <c r="B17" i="55"/>
  <c r="AG31" i="20"/>
  <c r="AD12" i="51"/>
  <c r="U32" i="65"/>
  <c r="B18" i="27"/>
  <c r="A14" i="27" s="1"/>
  <c r="B12" i="19"/>
  <c r="C10" i="25"/>
  <c r="AD12" i="26"/>
  <c r="AG13" i="27"/>
  <c r="V11" i="61"/>
  <c r="AG12" i="19"/>
  <c r="AG12" i="9"/>
  <c r="B18" i="52"/>
  <c r="A14" i="52" s="1"/>
  <c r="B18" i="19"/>
  <c r="A14" i="19" s="1"/>
  <c r="AK31" i="35"/>
  <c r="B17" i="51"/>
  <c r="A14" i="51" s="1"/>
  <c r="D10" i="26"/>
  <c r="B47" i="18"/>
  <c r="A43" i="18" s="1"/>
  <c r="S11" i="66"/>
  <c r="AD13" i="4"/>
  <c r="AG32" i="55"/>
  <c r="O11" i="66"/>
  <c r="AL31" i="31"/>
  <c r="D10" i="31"/>
  <c r="AG31" i="58"/>
  <c r="Z32" i="69"/>
  <c r="U32" i="70"/>
  <c r="AD13" i="33"/>
  <c r="B83" i="52"/>
  <c r="A80" i="52" s="1"/>
  <c r="D10" i="39"/>
  <c r="D10" i="57"/>
  <c r="B18" i="21"/>
  <c r="A14" i="21" s="1"/>
  <c r="AD12" i="59"/>
  <c r="B12" i="25"/>
  <c r="Z11" i="61"/>
  <c r="C10" i="56"/>
  <c r="Y32" i="68"/>
  <c r="AD12" i="53"/>
  <c r="B12" i="22"/>
  <c r="B49" i="34"/>
  <c r="AG32" i="6"/>
  <c r="W11" i="63"/>
  <c r="Q11" i="68"/>
  <c r="Q11" i="65"/>
  <c r="B18" i="35"/>
  <c r="A14" i="35" s="1"/>
  <c r="D10" i="17"/>
  <c r="AG12" i="52"/>
  <c r="AD13" i="51"/>
  <c r="B17" i="58"/>
  <c r="D10" i="35"/>
  <c r="AG13" i="32"/>
  <c r="N28" i="53"/>
  <c r="B17" i="39"/>
  <c r="AG13" i="31"/>
  <c r="AL31" i="54"/>
  <c r="R32" i="65"/>
  <c r="B12" i="23"/>
  <c r="C10" i="21"/>
  <c r="AD13" i="28"/>
  <c r="AD12" i="31"/>
  <c r="AD31" i="4"/>
  <c r="AD12" i="27"/>
  <c r="B18" i="53"/>
  <c r="A14" i="53" s="1"/>
  <c r="AG31" i="6"/>
  <c r="B62" i="34"/>
  <c r="A58" i="34" s="1"/>
  <c r="B18" i="16"/>
  <c r="AF32" i="37"/>
  <c r="B49" i="26"/>
  <c r="AL31" i="34"/>
  <c r="B18" i="58"/>
  <c r="AG12" i="53"/>
  <c r="B83" i="9"/>
  <c r="A80" i="9" s="1"/>
  <c r="A14" i="66"/>
  <c r="T32" i="66"/>
  <c r="A14" i="68"/>
  <c r="S32" i="68"/>
  <c r="A14" i="70"/>
  <c r="T32" i="70"/>
  <c r="AN68" i="65" l="1"/>
  <c r="AM68" i="65"/>
  <c r="AN62" i="65"/>
  <c r="AM62" i="65"/>
  <c r="AC95" i="37"/>
  <c r="AC71" i="37" s="1"/>
  <c r="AF82" i="37"/>
  <c r="AF84" i="37" s="1"/>
  <c r="AF85" i="37" s="1"/>
  <c r="AF75" i="37"/>
  <c r="AF86" i="37"/>
  <c r="P16" i="54"/>
  <c r="X16" i="54"/>
  <c r="Q16" i="54"/>
  <c r="Y16" i="54"/>
  <c r="Z16" i="54"/>
  <c r="T16" i="54"/>
  <c r="R16" i="54"/>
  <c r="S16" i="54"/>
  <c r="U16" i="54"/>
  <c r="V16" i="54"/>
  <c r="AA16" i="54"/>
  <c r="W16" i="54"/>
  <c r="O16" i="54"/>
  <c r="P16" i="53"/>
  <c r="X16" i="53"/>
  <c r="Q16" i="53"/>
  <c r="Y16" i="53"/>
  <c r="T16" i="53"/>
  <c r="W16" i="53"/>
  <c r="R16" i="53"/>
  <c r="AA16" i="53"/>
  <c r="O16" i="53"/>
  <c r="Z16" i="53"/>
  <c r="U16" i="53"/>
  <c r="V16" i="53"/>
  <c r="S16" i="53"/>
  <c r="P16" i="52"/>
  <c r="X16" i="52"/>
  <c r="Q16" i="52"/>
  <c r="Y16" i="52"/>
  <c r="R16" i="52"/>
  <c r="Z16" i="52"/>
  <c r="S16" i="52"/>
  <c r="V16" i="52"/>
  <c r="T16" i="52"/>
  <c r="W16" i="52"/>
  <c r="AA16" i="52"/>
  <c r="U16" i="52"/>
  <c r="O16" i="52"/>
  <c r="O16" i="51"/>
  <c r="W16" i="51"/>
  <c r="P16" i="51"/>
  <c r="Q16" i="51"/>
  <c r="R16" i="51"/>
  <c r="S16" i="51"/>
  <c r="T16" i="51"/>
  <c r="U16" i="51"/>
  <c r="X16" i="51"/>
  <c r="Y16" i="51"/>
  <c r="Z16" i="51"/>
  <c r="AA16" i="51"/>
  <c r="V16" i="51"/>
  <c r="V16" i="9"/>
  <c r="R16" i="9"/>
  <c r="O16" i="9"/>
  <c r="W16" i="9"/>
  <c r="X16" i="9"/>
  <c r="Q16" i="9"/>
  <c r="Y16" i="9"/>
  <c r="S16" i="9"/>
  <c r="P16" i="9"/>
  <c r="AA16" i="9"/>
  <c r="Z16" i="9"/>
  <c r="T16" i="9"/>
  <c r="U16" i="9"/>
  <c r="O16" i="18"/>
  <c r="W16" i="18"/>
  <c r="Z16" i="18"/>
  <c r="V16" i="18"/>
  <c r="P16" i="18"/>
  <c r="X16" i="18"/>
  <c r="Y16" i="18"/>
  <c r="S16" i="18"/>
  <c r="Q16" i="18"/>
  <c r="R16" i="18"/>
  <c r="AA16" i="18"/>
  <c r="U16" i="18"/>
  <c r="T16" i="18"/>
  <c r="V16" i="29"/>
  <c r="Q16" i="29"/>
  <c r="AA16" i="29"/>
  <c r="O16" i="29"/>
  <c r="W16" i="29"/>
  <c r="P16" i="29"/>
  <c r="Z16" i="29"/>
  <c r="X16" i="29"/>
  <c r="R16" i="29"/>
  <c r="S16" i="29"/>
  <c r="Y16" i="29"/>
  <c r="U16" i="29"/>
  <c r="T16" i="29"/>
  <c r="Q16" i="4"/>
  <c r="Y16" i="4"/>
  <c r="R16" i="4"/>
  <c r="Z16" i="4"/>
  <c r="T16" i="4"/>
  <c r="U16" i="4"/>
  <c r="O16" i="4"/>
  <c r="W16" i="4"/>
  <c r="AA16" i="4"/>
  <c r="P16" i="4"/>
  <c r="S16" i="4"/>
  <c r="V16" i="4"/>
  <c r="X16" i="4"/>
  <c r="P16" i="21"/>
  <c r="X16" i="21"/>
  <c r="Q16" i="21"/>
  <c r="Y16" i="21"/>
  <c r="R16" i="21"/>
  <c r="Z16" i="21"/>
  <c r="U16" i="21"/>
  <c r="S16" i="21"/>
  <c r="T16" i="21"/>
  <c r="W16" i="21"/>
  <c r="AA16" i="21"/>
  <c r="V16" i="21"/>
  <c r="O16" i="21"/>
  <c r="S16" i="7"/>
  <c r="AA16" i="7"/>
  <c r="X16" i="7"/>
  <c r="Z16" i="7"/>
  <c r="T16" i="7"/>
  <c r="V16" i="7"/>
  <c r="P16" i="7"/>
  <c r="Y16" i="7"/>
  <c r="U16" i="7"/>
  <c r="W16" i="7"/>
  <c r="Q16" i="7"/>
  <c r="O16" i="7"/>
  <c r="R16" i="7"/>
  <c r="U16" i="36"/>
  <c r="V16" i="36"/>
  <c r="W16" i="36"/>
  <c r="Z16" i="36"/>
  <c r="P16" i="36"/>
  <c r="R16" i="36"/>
  <c r="AA16" i="36"/>
  <c r="O16" i="36"/>
  <c r="Q16" i="36"/>
  <c r="S16" i="36"/>
  <c r="X16" i="36"/>
  <c r="T16" i="36"/>
  <c r="Y16" i="36"/>
  <c r="U16" i="30"/>
  <c r="R16" i="30"/>
  <c r="S16" i="30"/>
  <c r="V16" i="30"/>
  <c r="W16" i="30"/>
  <c r="X16" i="30"/>
  <c r="Y16" i="30"/>
  <c r="Z16" i="30"/>
  <c r="O16" i="30"/>
  <c r="Q16" i="30"/>
  <c r="P16" i="30"/>
  <c r="AA16" i="30"/>
  <c r="T16" i="30"/>
  <c r="P16" i="20"/>
  <c r="X16" i="20"/>
  <c r="Q16" i="20"/>
  <c r="R16" i="20"/>
  <c r="Z16" i="20"/>
  <c r="T16" i="20"/>
  <c r="Y16" i="20"/>
  <c r="AA16" i="20"/>
  <c r="O16" i="20"/>
  <c r="S16" i="20"/>
  <c r="V16" i="20"/>
  <c r="W16" i="20"/>
  <c r="U16" i="20"/>
  <c r="O16" i="24"/>
  <c r="W16" i="24"/>
  <c r="P16" i="24"/>
  <c r="X16" i="24"/>
  <c r="Q16" i="24"/>
  <c r="Z16" i="24"/>
  <c r="S16" i="24"/>
  <c r="Y16" i="24"/>
  <c r="R16" i="24"/>
  <c r="N16" i="24"/>
  <c r="T16" i="24"/>
  <c r="U16" i="24"/>
  <c r="V16" i="24"/>
  <c r="T16" i="33"/>
  <c r="W16" i="33"/>
  <c r="U16" i="33"/>
  <c r="V16" i="33"/>
  <c r="O16" i="33"/>
  <c r="Q16" i="33"/>
  <c r="P16" i="33"/>
  <c r="Z16" i="33"/>
  <c r="X16" i="33"/>
  <c r="Y16" i="33"/>
  <c r="R16" i="33"/>
  <c r="AA16" i="33"/>
  <c r="S16" i="33"/>
  <c r="S16" i="25"/>
  <c r="AA16" i="25"/>
  <c r="T16" i="25"/>
  <c r="O16" i="25"/>
  <c r="Q16" i="25"/>
  <c r="X16" i="25"/>
  <c r="U16" i="25"/>
  <c r="V16" i="25"/>
  <c r="W16" i="25"/>
  <c r="Y16" i="25"/>
  <c r="P16" i="25"/>
  <c r="R16" i="25"/>
  <c r="Z16" i="25"/>
  <c r="O16" i="23"/>
  <c r="W16" i="23"/>
  <c r="X16" i="23"/>
  <c r="Y16" i="23"/>
  <c r="P16" i="23"/>
  <c r="U16" i="23"/>
  <c r="R16" i="23"/>
  <c r="Z16" i="23"/>
  <c r="S16" i="23"/>
  <c r="AA16" i="23"/>
  <c r="T16" i="23"/>
  <c r="V16" i="23"/>
  <c r="Q16" i="23"/>
  <c r="Q16" i="15"/>
  <c r="Y16" i="15"/>
  <c r="R16" i="15"/>
  <c r="AA16" i="15"/>
  <c r="O16" i="15"/>
  <c r="P16" i="15"/>
  <c r="Z16" i="15"/>
  <c r="T16" i="15"/>
  <c r="W16" i="15"/>
  <c r="S16" i="15"/>
  <c r="V16" i="15"/>
  <c r="X16" i="15"/>
  <c r="U16" i="15"/>
  <c r="O16" i="32"/>
  <c r="W16" i="32"/>
  <c r="P16" i="32"/>
  <c r="X16" i="32"/>
  <c r="S16" i="32"/>
  <c r="V16" i="32"/>
  <c r="Y16" i="32"/>
  <c r="R16" i="32"/>
  <c r="AA16" i="32"/>
  <c r="T16" i="32"/>
  <c r="Q16" i="32"/>
  <c r="Z16" i="32"/>
  <c r="U16" i="32"/>
  <c r="U16" i="34"/>
  <c r="W16" i="34"/>
  <c r="X16" i="34"/>
  <c r="Q16" i="34"/>
  <c r="R16" i="34"/>
  <c r="S16" i="34"/>
  <c r="V16" i="34"/>
  <c r="O16" i="34"/>
  <c r="P16" i="34"/>
  <c r="Y16" i="34"/>
  <c r="Z16" i="34"/>
  <c r="T16" i="34"/>
  <c r="AA16" i="34"/>
  <c r="V16" i="28"/>
  <c r="W16" i="28"/>
  <c r="P16" i="28"/>
  <c r="Q16" i="28"/>
  <c r="O16" i="28"/>
  <c r="AA16" i="28"/>
  <c r="X16" i="28"/>
  <c r="R16" i="28"/>
  <c r="S16" i="28"/>
  <c r="U16" i="28"/>
  <c r="Y16" i="28"/>
  <c r="Z16" i="28"/>
  <c r="T16" i="28"/>
  <c r="S16" i="11"/>
  <c r="AA16" i="11"/>
  <c r="T16" i="11"/>
  <c r="V16" i="11"/>
  <c r="Q16" i="11"/>
  <c r="U16" i="11"/>
  <c r="W16" i="11"/>
  <c r="Y16" i="11"/>
  <c r="R16" i="11"/>
  <c r="O16" i="11"/>
  <c r="X16" i="11"/>
  <c r="Z16" i="11"/>
  <c r="P16" i="11"/>
  <c r="R16" i="27"/>
  <c r="Z16" i="27"/>
  <c r="AA16" i="27"/>
  <c r="Y16" i="27"/>
  <c r="S16" i="27"/>
  <c r="U16" i="27"/>
  <c r="V16" i="27"/>
  <c r="W16" i="27"/>
  <c r="T16" i="27"/>
  <c r="O16" i="27"/>
  <c r="P16" i="27"/>
  <c r="X16" i="27"/>
  <c r="Q16" i="27"/>
  <c r="P16" i="19"/>
  <c r="X16" i="19"/>
  <c r="Q16" i="19"/>
  <c r="R16" i="19"/>
  <c r="W16" i="19"/>
  <c r="Y16" i="19"/>
  <c r="Z16" i="19"/>
  <c r="U16" i="19"/>
  <c r="V16" i="19"/>
  <c r="O16" i="19"/>
  <c r="AA16" i="19"/>
  <c r="T16" i="19"/>
  <c r="S16" i="19"/>
  <c r="S16" i="22"/>
  <c r="AA16" i="22"/>
  <c r="O16" i="22"/>
  <c r="T16" i="22"/>
  <c r="U16" i="22"/>
  <c r="W16" i="22"/>
  <c r="X16" i="22"/>
  <c r="R16" i="22"/>
  <c r="V16" i="22"/>
  <c r="Z16" i="22"/>
  <c r="P16" i="22"/>
  <c r="Y16" i="22"/>
  <c r="Q16" i="22"/>
  <c r="S16" i="16"/>
  <c r="AA16" i="16"/>
  <c r="T16" i="16"/>
  <c r="O16" i="16"/>
  <c r="U16" i="16"/>
  <c r="W16" i="16"/>
  <c r="V16" i="16"/>
  <c r="X16" i="16"/>
  <c r="P16" i="16"/>
  <c r="R16" i="16"/>
  <c r="Z16" i="16"/>
  <c r="Q16" i="16"/>
  <c r="Y16" i="16"/>
  <c r="O16" i="31"/>
  <c r="W16" i="31"/>
  <c r="P16" i="31"/>
  <c r="Q16" i="31"/>
  <c r="T16" i="31"/>
  <c r="U16" i="31"/>
  <c r="V16" i="31"/>
  <c r="X16" i="31"/>
  <c r="R16" i="31"/>
  <c r="Z16" i="31"/>
  <c r="S16" i="31"/>
  <c r="AA16" i="31"/>
  <c r="Y16" i="31"/>
  <c r="U16" i="35"/>
  <c r="Y16" i="35"/>
  <c r="Z16" i="35"/>
  <c r="S16" i="35"/>
  <c r="AA16" i="35"/>
  <c r="V16" i="35"/>
  <c r="O16" i="35"/>
  <c r="W16" i="35"/>
  <c r="X16" i="35"/>
  <c r="Q16" i="35"/>
  <c r="P16" i="35"/>
  <c r="R16" i="35"/>
  <c r="T16" i="35"/>
  <c r="AN63" i="65"/>
  <c r="AM63" i="65"/>
  <c r="R16" i="26"/>
  <c r="Z16" i="26"/>
  <c r="S16" i="26"/>
  <c r="AA16" i="26"/>
  <c r="T16" i="26"/>
  <c r="U16" i="26"/>
  <c r="V16" i="26"/>
  <c r="O16" i="26"/>
  <c r="W16" i="26"/>
  <c r="P16" i="26"/>
  <c r="X16" i="26"/>
  <c r="Q16" i="26"/>
  <c r="Y16" i="26"/>
  <c r="AJ32" i="65"/>
  <c r="AM31" i="15"/>
  <c r="AM31" i="27"/>
  <c r="AM32" i="7"/>
  <c r="AL32" i="54"/>
  <c r="AM31" i="35"/>
  <c r="AN31" i="28"/>
  <c r="AN31" i="22"/>
  <c r="AL32" i="21"/>
  <c r="AN31" i="29"/>
  <c r="AN31" i="9"/>
  <c r="AM31" i="21"/>
  <c r="AM31" i="9"/>
  <c r="AN31" i="34"/>
  <c r="AL32" i="32"/>
  <c r="AL32" i="51"/>
  <c r="AN31" i="19"/>
  <c r="AM31" i="36"/>
  <c r="AL31" i="24"/>
  <c r="AN31" i="54"/>
  <c r="AM31" i="28"/>
  <c r="AM31" i="29"/>
  <c r="AM31" i="16"/>
  <c r="AL32" i="27"/>
  <c r="AM31" i="25"/>
  <c r="AN31" i="51"/>
  <c r="AN31" i="23"/>
  <c r="AL32" i="15"/>
  <c r="AL32" i="19"/>
  <c r="AM31" i="11"/>
  <c r="AN31" i="36"/>
  <c r="AN31" i="16"/>
  <c r="AL32" i="29"/>
  <c r="AM31" i="32"/>
  <c r="AN31" i="53"/>
  <c r="AM31" i="54"/>
  <c r="AL32" i="35"/>
  <c r="AM31" i="52"/>
  <c r="AN31" i="32"/>
  <c r="AN31" i="26"/>
  <c r="AM31" i="33"/>
  <c r="AL32" i="30"/>
  <c r="AN31" i="21"/>
  <c r="AM31" i="23"/>
  <c r="AL32" i="33"/>
  <c r="AN31" i="11"/>
  <c r="AL32" i="31"/>
  <c r="AL32" i="11"/>
  <c r="AN31" i="20"/>
  <c r="AM31" i="53"/>
  <c r="AL32" i="16"/>
  <c r="AM31" i="26"/>
  <c r="AM31" i="19"/>
  <c r="AN31" i="15"/>
  <c r="AN31" i="33"/>
  <c r="AN31" i="27"/>
  <c r="AL32" i="26"/>
  <c r="AN31" i="52"/>
  <c r="AL32" i="9"/>
  <c r="AN31" i="25"/>
  <c r="AJ32" i="67"/>
  <c r="AL32" i="28"/>
  <c r="AM31" i="30"/>
  <c r="AN31" i="35"/>
  <c r="AM31" i="20"/>
  <c r="AK32" i="24"/>
  <c r="AN31" i="30"/>
  <c r="AL32" i="25"/>
  <c r="AM31" i="31"/>
  <c r="AM31" i="22"/>
  <c r="AN31" i="31"/>
  <c r="AL32" i="23"/>
  <c r="AM31" i="34"/>
  <c r="AL32" i="34"/>
  <c r="AM31" i="24"/>
  <c r="AM31" i="51"/>
  <c r="AL32" i="20"/>
  <c r="AL32" i="53"/>
  <c r="AM32" i="4"/>
  <c r="AJ32" i="69"/>
  <c r="X16" i="57"/>
  <c r="Y16" i="57"/>
  <c r="P16" i="57"/>
  <c r="T16" i="57"/>
  <c r="W16" i="57"/>
  <c r="Q16" i="57"/>
  <c r="O16" i="57"/>
  <c r="S16" i="57"/>
  <c r="Z16" i="57"/>
  <c r="AA16" i="57"/>
  <c r="V16" i="57"/>
  <c r="R16" i="57"/>
  <c r="U16" i="57"/>
  <c r="Y16" i="56"/>
  <c r="O16" i="56"/>
  <c r="T16" i="56"/>
  <c r="Q16" i="56"/>
  <c r="S16" i="56"/>
  <c r="Z16" i="56"/>
  <c r="X16" i="56"/>
  <c r="V16" i="56"/>
  <c r="P16" i="56"/>
  <c r="R16" i="56"/>
  <c r="AA16" i="56"/>
  <c r="U16" i="56"/>
  <c r="W16" i="56"/>
  <c r="S16" i="37"/>
  <c r="T16" i="37"/>
  <c r="R16" i="37"/>
  <c r="V16" i="37"/>
  <c r="Y16" i="37"/>
  <c r="P16" i="37"/>
  <c r="U16" i="37"/>
  <c r="O16" i="37"/>
  <c r="W16" i="37"/>
  <c r="Z16" i="37"/>
  <c r="X16" i="37"/>
  <c r="Q16" i="37"/>
  <c r="N16" i="37"/>
  <c r="Y16" i="55"/>
  <c r="O16" i="55"/>
  <c r="AA16" i="55"/>
  <c r="S16" i="55"/>
  <c r="Q16" i="55"/>
  <c r="U16" i="55"/>
  <c r="X16" i="55"/>
  <c r="W16" i="55"/>
  <c r="Z16" i="55"/>
  <c r="P16" i="55"/>
  <c r="R16" i="55"/>
  <c r="T16" i="55"/>
  <c r="V16" i="55"/>
  <c r="W16" i="17"/>
  <c r="X16" i="17"/>
  <c r="Q16" i="17"/>
  <c r="AA16" i="17"/>
  <c r="S16" i="17"/>
  <c r="Z16" i="17"/>
  <c r="R16" i="17"/>
  <c r="O16" i="17"/>
  <c r="U16" i="17"/>
  <c r="V16" i="17"/>
  <c r="Y16" i="17"/>
  <c r="T16" i="17"/>
  <c r="P16" i="17"/>
  <c r="S16" i="59"/>
  <c r="AA16" i="59"/>
  <c r="W16" i="59"/>
  <c r="Z16" i="59"/>
  <c r="O16" i="59"/>
  <c r="U16" i="59"/>
  <c r="R16" i="59"/>
  <c r="X16" i="59"/>
  <c r="V16" i="59"/>
  <c r="T16" i="59"/>
  <c r="Y16" i="59"/>
  <c r="P16" i="59"/>
  <c r="Q16" i="59"/>
  <c r="X16" i="39"/>
  <c r="Y16" i="39"/>
  <c r="Q16" i="39"/>
  <c r="O16" i="39"/>
  <c r="P16" i="39"/>
  <c r="W16" i="39"/>
  <c r="V16" i="39"/>
  <c r="U16" i="39"/>
  <c r="S16" i="39"/>
  <c r="T16" i="39"/>
  <c r="Z16" i="39"/>
  <c r="AA16" i="39"/>
  <c r="R16" i="39"/>
  <c r="X16" i="58"/>
  <c r="V16" i="58"/>
  <c r="T16" i="58"/>
  <c r="Y16" i="58"/>
  <c r="P16" i="58"/>
  <c r="U16" i="58"/>
  <c r="S16" i="58"/>
  <c r="Q16" i="58"/>
  <c r="Z16" i="58"/>
  <c r="O16" i="58"/>
  <c r="R16" i="58"/>
  <c r="W16" i="58"/>
  <c r="AA16" i="58"/>
  <c r="R16" i="6"/>
  <c r="W16" i="6"/>
  <c r="Y16" i="6"/>
  <c r="Q16" i="6"/>
  <c r="X16" i="6"/>
  <c r="O16" i="6"/>
  <c r="U16" i="6"/>
  <c r="V16" i="6"/>
  <c r="P16" i="6"/>
  <c r="AA16" i="6"/>
  <c r="S16" i="6"/>
  <c r="T16" i="6"/>
  <c r="Z16" i="6"/>
  <c r="AL32" i="52"/>
  <c r="AL32" i="36"/>
  <c r="AL32" i="22"/>
  <c r="AM58" i="24"/>
  <c r="AI53" i="34"/>
  <c r="AM60" i="65"/>
  <c r="AN60" i="65"/>
  <c r="AN51" i="34"/>
  <c r="AL49" i="24"/>
  <c r="AI60" i="34"/>
  <c r="AF60" i="34"/>
  <c r="AA100" i="23"/>
  <c r="AI96" i="23"/>
  <c r="AN35" i="53"/>
  <c r="AM35" i="53"/>
  <c r="AN76" i="53"/>
  <c r="AM76" i="53"/>
  <c r="L62" i="37"/>
  <c r="M62" i="37" s="1"/>
  <c r="AI64" i="37"/>
  <c r="AK64" i="37"/>
  <c r="AK61" i="37"/>
  <c r="AI61" i="37"/>
  <c r="AH51" i="37"/>
  <c r="AH64" i="37"/>
  <c r="AM47" i="21"/>
  <c r="AN47" i="21"/>
  <c r="AN34" i="21"/>
  <c r="AM34" i="21"/>
  <c r="AI72" i="7"/>
  <c r="AF72" i="7"/>
  <c r="AF66" i="7"/>
  <c r="AI66" i="7"/>
  <c r="AI65" i="7"/>
  <c r="AF65" i="7"/>
  <c r="AF69" i="7"/>
  <c r="AI69" i="7"/>
  <c r="AI74" i="7"/>
  <c r="AF74" i="7"/>
  <c r="AF68" i="7"/>
  <c r="AI68" i="7"/>
  <c r="AF73" i="7"/>
  <c r="AI73" i="7"/>
  <c r="AI70" i="7"/>
  <c r="AF70" i="7"/>
  <c r="AM43" i="24"/>
  <c r="AL43" i="24"/>
  <c r="AL52" i="24"/>
  <c r="AM52" i="24"/>
  <c r="AL34" i="24"/>
  <c r="AM34" i="24"/>
  <c r="AM77" i="23"/>
  <c r="AN77" i="23"/>
  <c r="AM55" i="15"/>
  <c r="AN55" i="15"/>
  <c r="AN49" i="34"/>
  <c r="AM49" i="34"/>
  <c r="AN50" i="34"/>
  <c r="AM50" i="34"/>
  <c r="AM69" i="22"/>
  <c r="AN69" i="22"/>
  <c r="AM56" i="22"/>
  <c r="AN56" i="22"/>
  <c r="AN46" i="22"/>
  <c r="AM46" i="22"/>
  <c r="AN34" i="22"/>
  <c r="AM34" i="22"/>
  <c r="AM67" i="22"/>
  <c r="AN67" i="22"/>
  <c r="AN72" i="22"/>
  <c r="AM72" i="22"/>
  <c r="AM60" i="22"/>
  <c r="AN60" i="22"/>
  <c r="AM63" i="22"/>
  <c r="AN63" i="22"/>
  <c r="AN71" i="22"/>
  <c r="AM71" i="22"/>
  <c r="AN40" i="35"/>
  <c r="AM40" i="35"/>
  <c r="AM38" i="35"/>
  <c r="AN38" i="35"/>
  <c r="R32" i="68"/>
  <c r="S32" i="70"/>
  <c r="R32" i="66"/>
  <c r="AD71" i="37" l="1"/>
  <c r="AC72" i="37"/>
  <c r="AE55" i="35"/>
  <c r="AE44" i="35"/>
  <c r="AE34" i="35"/>
  <c r="AE57" i="35"/>
  <c r="AE46" i="35"/>
  <c r="AE48" i="35"/>
  <c r="AE76" i="54"/>
  <c r="AE67" i="11"/>
  <c r="AE56" i="34"/>
  <c r="AE38" i="34"/>
  <c r="AE35" i="34"/>
  <c r="AE42" i="34"/>
  <c r="AE58" i="34"/>
  <c r="AE46" i="34"/>
  <c r="AE44" i="34"/>
  <c r="AE53" i="34"/>
  <c r="AE60" i="34"/>
  <c r="AE76" i="51"/>
  <c r="AE83" i="52"/>
  <c r="AE76" i="52"/>
  <c r="AE79" i="52"/>
  <c r="AE72" i="52"/>
  <c r="AE48" i="20"/>
  <c r="AE69" i="21"/>
  <c r="AE65" i="21"/>
  <c r="AE62" i="21"/>
  <c r="AE58" i="21"/>
  <c r="AE62" i="19"/>
  <c r="AE55" i="19"/>
  <c r="AE58" i="19"/>
  <c r="AE51" i="19"/>
  <c r="AE83" i="53"/>
  <c r="AE79" i="53"/>
  <c r="AE72" i="53"/>
  <c r="L52" i="37"/>
  <c r="M52" i="37" s="1"/>
  <c r="AK51" i="37"/>
  <c r="AI51" i="37"/>
  <c r="AD72" i="37" l="1"/>
  <c r="AC74" i="37"/>
  <c r="AH63" i="11"/>
  <c r="AH76" i="11"/>
  <c r="AH79" i="11"/>
  <c r="AH74" i="11"/>
  <c r="AH78" i="11"/>
  <c r="AH35" i="11"/>
  <c r="AH70" i="11"/>
  <c r="AH67" i="19"/>
  <c r="AH51" i="19"/>
  <c r="AH63" i="6"/>
  <c r="AH61" i="6"/>
  <c r="AH60" i="6"/>
  <c r="AH62" i="6"/>
  <c r="AH55" i="20"/>
  <c r="AH51" i="20"/>
  <c r="AH59" i="20"/>
  <c r="AH44" i="20"/>
  <c r="AH57" i="20"/>
  <c r="AH60" i="20"/>
  <c r="AH56" i="28"/>
  <c r="AH46" i="39"/>
  <c r="AH48" i="39"/>
  <c r="AH66" i="39"/>
  <c r="AH101" i="39"/>
  <c r="AH117" i="39"/>
  <c r="AH118" i="39"/>
  <c r="AH79" i="39"/>
  <c r="AH65" i="39"/>
  <c r="AH99" i="39"/>
  <c r="AH49" i="39"/>
  <c r="AH107" i="39"/>
  <c r="AH75" i="39"/>
  <c r="AH69" i="39"/>
  <c r="AH47" i="39"/>
  <c r="AH109" i="39"/>
  <c r="AH122" i="39"/>
  <c r="AH125" i="39"/>
  <c r="AH102" i="39"/>
  <c r="AH115" i="39"/>
  <c r="AH67" i="39"/>
  <c r="AH68" i="39"/>
  <c r="AH77" i="39"/>
  <c r="AH110" i="39"/>
  <c r="AH76" i="39"/>
  <c r="AH45" i="39"/>
  <c r="AH124" i="39"/>
  <c r="AH78" i="39"/>
  <c r="AH87" i="59"/>
  <c r="AH80" i="66"/>
  <c r="AH98" i="6"/>
  <c r="AH99" i="6"/>
  <c r="AH100" i="6"/>
  <c r="AH101" i="6"/>
  <c r="AH58" i="15"/>
  <c r="AH37" i="55"/>
  <c r="AH106" i="55"/>
  <c r="AH38" i="55"/>
  <c r="AH114" i="55"/>
  <c r="AE74" i="65"/>
  <c r="AM85" i="65"/>
  <c r="AE70" i="65"/>
  <c r="AH38" i="59"/>
  <c r="AH45" i="59"/>
  <c r="AH55" i="59"/>
  <c r="AH39" i="59"/>
  <c r="AH126" i="59"/>
  <c r="AH37" i="59"/>
  <c r="AH46" i="59"/>
  <c r="AH48" i="59"/>
  <c r="AH98" i="59"/>
  <c r="AH85" i="59"/>
  <c r="AH35" i="59"/>
  <c r="AH103" i="59"/>
  <c r="AH111" i="59"/>
  <c r="AH115" i="59"/>
  <c r="AH106" i="59"/>
  <c r="AH83" i="59"/>
  <c r="AH107" i="59"/>
  <c r="AH114" i="59"/>
  <c r="AH49" i="59"/>
  <c r="AH36" i="59"/>
  <c r="AH122" i="59"/>
  <c r="AH100" i="59"/>
  <c r="AH58" i="59"/>
  <c r="AH121" i="59"/>
  <c r="AH123" i="59"/>
  <c r="AH56" i="59"/>
  <c r="AH119" i="59"/>
  <c r="AH108" i="59"/>
  <c r="AH57" i="59"/>
  <c r="AH47" i="59"/>
  <c r="AH116" i="59"/>
  <c r="AH59" i="59"/>
  <c r="AH99" i="59"/>
  <c r="AH103" i="70"/>
  <c r="AH98" i="70"/>
  <c r="AH74" i="70"/>
  <c r="AH48" i="70"/>
  <c r="AH105" i="70"/>
  <c r="AH47" i="70"/>
  <c r="AH96" i="70"/>
  <c r="AH45" i="70"/>
  <c r="AH68" i="70"/>
  <c r="AH75" i="70"/>
  <c r="AH67" i="70"/>
  <c r="AH49" i="70"/>
  <c r="AH109" i="70"/>
  <c r="AH74" i="65"/>
  <c r="AH35" i="36"/>
  <c r="AH72" i="4"/>
  <c r="AG71" i="37"/>
  <c r="AD74" i="37" l="1"/>
  <c r="AC82" i="37"/>
  <c r="AC86" i="37"/>
  <c r="AD86" i="37" s="1"/>
  <c r="AC75" i="37"/>
  <c r="AD75" i="37" s="1"/>
  <c r="AH137" i="17"/>
  <c r="AH145" i="17"/>
  <c r="AH75" i="17"/>
  <c r="AH71" i="17"/>
  <c r="AH72" i="17"/>
  <c r="AH74" i="17"/>
  <c r="AH73" i="17"/>
  <c r="AH51" i="16"/>
  <c r="AH36" i="16"/>
  <c r="AH42" i="16"/>
  <c r="AB74" i="65"/>
  <c r="AB110" i="70"/>
  <c r="AB108" i="70"/>
  <c r="AB111" i="70"/>
  <c r="AB112" i="70"/>
  <c r="AB108" i="68"/>
  <c r="AB109" i="68"/>
  <c r="AB110" i="68"/>
  <c r="AB111" i="68"/>
  <c r="AB112" i="68"/>
  <c r="AB76" i="51"/>
  <c r="AB58" i="19"/>
  <c r="AB55" i="19"/>
  <c r="AB51" i="19"/>
  <c r="AB62" i="19"/>
  <c r="AB76" i="54"/>
  <c r="AB48" i="20"/>
  <c r="AB83" i="52"/>
  <c r="AB79" i="52"/>
  <c r="AB72" i="52"/>
  <c r="AB76" i="52"/>
  <c r="AB57" i="35"/>
  <c r="AB34" i="35"/>
  <c r="AB44" i="35"/>
  <c r="AB48" i="35"/>
  <c r="AB55" i="35"/>
  <c r="AB46" i="35"/>
  <c r="AB67" i="11"/>
  <c r="AB62" i="21"/>
  <c r="AB58" i="21"/>
  <c r="AB69" i="21"/>
  <c r="AB65" i="21"/>
  <c r="AB58" i="34"/>
  <c r="AB53" i="34"/>
  <c r="AB56" i="34"/>
  <c r="AB38" i="34"/>
  <c r="AB42" i="34"/>
  <c r="AB60" i="34"/>
  <c r="AB35" i="34"/>
  <c r="AB44" i="34"/>
  <c r="AB46" i="34"/>
  <c r="AB79" i="53"/>
  <c r="AB83" i="53"/>
  <c r="AB72" i="53"/>
  <c r="AD82" i="37" l="1"/>
  <c r="AC84" i="37"/>
  <c r="AE72" i="9"/>
  <c r="AE72" i="51"/>
  <c r="AE55" i="20"/>
  <c r="AE51" i="20"/>
  <c r="AE44" i="20"/>
  <c r="AE74" i="11"/>
  <c r="AE70" i="11"/>
  <c r="AE63" i="11"/>
  <c r="AN74" i="65"/>
  <c r="AM74" i="65"/>
  <c r="AM35" i="69"/>
  <c r="AE72" i="54"/>
  <c r="AG72" i="37"/>
  <c r="AN85" i="52"/>
  <c r="AM62" i="53"/>
  <c r="AN62" i="53"/>
  <c r="AM62" i="52"/>
  <c r="AN62" i="52"/>
  <c r="AM41" i="20"/>
  <c r="AN41" i="20"/>
  <c r="AN55" i="11"/>
  <c r="AM55" i="11"/>
  <c r="AN47" i="19"/>
  <c r="AM47" i="19"/>
  <c r="AN79" i="52"/>
  <c r="AM79" i="52"/>
  <c r="AM34" i="20"/>
  <c r="AN34" i="20"/>
  <c r="AM66" i="19"/>
  <c r="AN66" i="19"/>
  <c r="AN53" i="34"/>
  <c r="AM53" i="34"/>
  <c r="AM74" i="21"/>
  <c r="AM46" i="35"/>
  <c r="AN46" i="35"/>
  <c r="AN46" i="34"/>
  <c r="AM46" i="34"/>
  <c r="AM58" i="34"/>
  <c r="AN58" i="34"/>
  <c r="AN55" i="35"/>
  <c r="AM55" i="35"/>
  <c r="AM34" i="25"/>
  <c r="AN34" i="25"/>
  <c r="AN51" i="19"/>
  <c r="AM51" i="19"/>
  <c r="AN72" i="53"/>
  <c r="AM72" i="53"/>
  <c r="AN44" i="34"/>
  <c r="AM44" i="34"/>
  <c r="AN65" i="21"/>
  <c r="AM65" i="21"/>
  <c r="AN67" i="11"/>
  <c r="AM67" i="11"/>
  <c r="AM48" i="35"/>
  <c r="AN48" i="35"/>
  <c r="AN83" i="52"/>
  <c r="AM83" i="52"/>
  <c r="AM76" i="54"/>
  <c r="AN76" i="54"/>
  <c r="AM55" i="19"/>
  <c r="AN55" i="19"/>
  <c r="AM83" i="53"/>
  <c r="AN83" i="53"/>
  <c r="AM35" i="34"/>
  <c r="AN35" i="34"/>
  <c r="AM71" i="21"/>
  <c r="AN71" i="21"/>
  <c r="AN44" i="35"/>
  <c r="AM44" i="35"/>
  <c r="AM35" i="52"/>
  <c r="AN35" i="52"/>
  <c r="AM48" i="20"/>
  <c r="AN48" i="20"/>
  <c r="AN64" i="19"/>
  <c r="AM64" i="19"/>
  <c r="AN76" i="51"/>
  <c r="AM76" i="51"/>
  <c r="AM85" i="53"/>
  <c r="AN85" i="53"/>
  <c r="AM69" i="21"/>
  <c r="AN69" i="21"/>
  <c r="AM34" i="35"/>
  <c r="AN34" i="35"/>
  <c r="AN87" i="52"/>
  <c r="AM87" i="52"/>
  <c r="AM35" i="54"/>
  <c r="AN58" i="19"/>
  <c r="AM58" i="19"/>
  <c r="AM34" i="33"/>
  <c r="AN34" i="33"/>
  <c r="AN88" i="53"/>
  <c r="AM88" i="53"/>
  <c r="AM42" i="34"/>
  <c r="AN42" i="34"/>
  <c r="AM73" i="21"/>
  <c r="AN73" i="21"/>
  <c r="AM57" i="35"/>
  <c r="AN57" i="35"/>
  <c r="AN76" i="52"/>
  <c r="AM76" i="52"/>
  <c r="AN34" i="19"/>
  <c r="AM34" i="19"/>
  <c r="AN87" i="53"/>
  <c r="AM87" i="53"/>
  <c r="AN38" i="34"/>
  <c r="AM38" i="34"/>
  <c r="AM58" i="21"/>
  <c r="AN72" i="52"/>
  <c r="AM72" i="52"/>
  <c r="AM67" i="19"/>
  <c r="AN67" i="19"/>
  <c r="AM79" i="53"/>
  <c r="AN79" i="53"/>
  <c r="AN56" i="34"/>
  <c r="AM56" i="34"/>
  <c r="AN62" i="21"/>
  <c r="AM62" i="21"/>
  <c r="AM88" i="52"/>
  <c r="AN88" i="52"/>
  <c r="AM62" i="19"/>
  <c r="AN62" i="19"/>
  <c r="AC85" i="37" l="1"/>
  <c r="AD85" i="37" s="1"/>
  <c r="AD84" i="37"/>
  <c r="AB51" i="20"/>
  <c r="AB55" i="20"/>
  <c r="AB44" i="20"/>
  <c r="AM93" i="9"/>
  <c r="AM76" i="9"/>
  <c r="AB74" i="11"/>
  <c r="AB70" i="11"/>
  <c r="AB63" i="11"/>
  <c r="AG75" i="37"/>
  <c r="AG74" i="37"/>
  <c r="AM85" i="52"/>
  <c r="AH105" i="66" l="1"/>
  <c r="AH37" i="66"/>
  <c r="AN55" i="20"/>
  <c r="AM55" i="20"/>
  <c r="AM63" i="11"/>
  <c r="AN63" i="11"/>
  <c r="AM53" i="36"/>
  <c r="AM59" i="20"/>
  <c r="AN59" i="20"/>
  <c r="AM70" i="11"/>
  <c r="AN70" i="11"/>
  <c r="AM88" i="54"/>
  <c r="AN57" i="20"/>
  <c r="AM57" i="20"/>
  <c r="AN78" i="11"/>
  <c r="AM78" i="11"/>
  <c r="AM51" i="20"/>
  <c r="AN51" i="20"/>
  <c r="AM35" i="11"/>
  <c r="AN35" i="11"/>
  <c r="AM60" i="20"/>
  <c r="AN60" i="20"/>
  <c r="AN79" i="11"/>
  <c r="AM79" i="11"/>
  <c r="AM35" i="51"/>
  <c r="AM74" i="11"/>
  <c r="AN74" i="11"/>
  <c r="AN76" i="11"/>
  <c r="AM76" i="11"/>
  <c r="AN44" i="20"/>
  <c r="AM44" i="20"/>
  <c r="AM97" i="54"/>
  <c r="AC88" i="37"/>
  <c r="AD88" i="37" s="1"/>
  <c r="AG82" i="37"/>
  <c r="AG86" i="37"/>
  <c r="AF88" i="37"/>
  <c r="AG88" i="37" s="1"/>
  <c r="AG85" i="37" l="1"/>
  <c r="AG84" i="37"/>
  <c r="AN36" i="16" l="1"/>
  <c r="AM36" i="16"/>
  <c r="AM43" i="16"/>
  <c r="AM91" i="16"/>
  <c r="AM74" i="16"/>
  <c r="AN42" i="16"/>
  <c r="AM42" i="16"/>
  <c r="AM51" i="16"/>
  <c r="AN51" i="16"/>
  <c r="Q13" i="59"/>
  <c r="S12" i="25"/>
  <c r="C4" i="15"/>
  <c r="N29" i="33"/>
  <c r="S12" i="26"/>
  <c r="AG19" i="61"/>
  <c r="W12" i="51"/>
  <c r="V12" i="25"/>
  <c r="Y13" i="20"/>
  <c r="S13" i="6"/>
  <c r="W13" i="28"/>
  <c r="W13" i="31"/>
  <c r="Y19" i="70"/>
  <c r="S13" i="55"/>
  <c r="W13" i="15"/>
  <c r="S13" i="56"/>
  <c r="Y13" i="9"/>
  <c r="W13" i="11"/>
  <c r="Q12" i="33"/>
  <c r="O13" i="30"/>
  <c r="R12" i="18"/>
  <c r="Q12" i="6"/>
  <c r="C4" i="33"/>
  <c r="R13" i="24"/>
  <c r="Q13" i="28"/>
  <c r="U12" i="17"/>
  <c r="AG19" i="58"/>
  <c r="AG19" i="39"/>
  <c r="Y13" i="54"/>
  <c r="Y13" i="59"/>
  <c r="X13" i="18"/>
  <c r="X19" i="66"/>
  <c r="Q12" i="28"/>
  <c r="Z13" i="6"/>
  <c r="C4" i="26"/>
  <c r="W13" i="18"/>
  <c r="T12" i="7"/>
  <c r="P12" i="36"/>
  <c r="AD32" i="55"/>
  <c r="S12" i="7"/>
  <c r="U12" i="7"/>
  <c r="X12" i="57"/>
  <c r="T12" i="15"/>
  <c r="R13" i="29"/>
  <c r="T12" i="25"/>
  <c r="N29" i="9"/>
  <c r="T19" i="66"/>
  <c r="O19" i="65"/>
  <c r="C4" i="16"/>
  <c r="W13" i="21"/>
  <c r="AH139" i="6"/>
  <c r="Z13" i="7"/>
  <c r="N29" i="32"/>
  <c r="T12" i="9"/>
  <c r="U12" i="29"/>
  <c r="X12" i="33"/>
  <c r="U13" i="21"/>
  <c r="T19" i="69"/>
  <c r="Q13" i="58"/>
  <c r="R12" i="57"/>
  <c r="AG19" i="65"/>
  <c r="G4" i="7"/>
  <c r="O12" i="56"/>
  <c r="E4" i="58"/>
  <c r="O13" i="33"/>
  <c r="X13" i="21"/>
  <c r="V20" i="66"/>
  <c r="N29" i="34"/>
  <c r="U13" i="54"/>
  <c r="Y13" i="24"/>
  <c r="E4" i="29"/>
  <c r="R17" i="29" s="1"/>
  <c r="AG20" i="70"/>
  <c r="T12" i="56"/>
  <c r="X12" i="51"/>
  <c r="V20" i="65"/>
  <c r="Z12" i="27"/>
  <c r="W13" i="39"/>
  <c r="C9" i="34"/>
  <c r="AG19" i="17"/>
  <c r="U13" i="58"/>
  <c r="Y12" i="52"/>
  <c r="Z13" i="57"/>
  <c r="W12" i="56"/>
  <c r="Z12" i="7"/>
  <c r="U13" i="9"/>
  <c r="V19" i="70"/>
  <c r="Q13" i="56"/>
  <c r="R12" i="25"/>
  <c r="W13" i="30"/>
  <c r="AD32" i="54"/>
  <c r="AD32" i="30"/>
  <c r="Z12" i="9"/>
  <c r="E4" i="16"/>
  <c r="W13" i="57"/>
  <c r="V13" i="52"/>
  <c r="T13" i="29"/>
  <c r="T17" i="29" s="1"/>
  <c r="S101" i="65"/>
  <c r="P13" i="16"/>
  <c r="P17" i="16" s="1"/>
  <c r="C9" i="36"/>
  <c r="AG19" i="64"/>
  <c r="V13" i="34"/>
  <c r="Q12" i="35"/>
  <c r="AH122" i="6"/>
  <c r="X12" i="25"/>
  <c r="T13" i="31"/>
  <c r="R12" i="24"/>
  <c r="E4" i="54"/>
  <c r="Y12" i="28"/>
  <c r="C4" i="28"/>
  <c r="Y13" i="11"/>
  <c r="Z12" i="35"/>
  <c r="Y12" i="33"/>
  <c r="X12" i="54"/>
  <c r="C9" i="70"/>
  <c r="V13" i="16"/>
  <c r="V17" i="16" s="1"/>
  <c r="AA12" i="20"/>
  <c r="Z12" i="19"/>
  <c r="Y13" i="15"/>
  <c r="T12" i="28"/>
  <c r="U31" i="29"/>
  <c r="C9" i="18"/>
  <c r="R13" i="17"/>
  <c r="V13" i="57"/>
  <c r="AG20" i="64"/>
  <c r="C9" i="68"/>
  <c r="S31" i="18"/>
  <c r="W31" i="19"/>
  <c r="O13" i="58"/>
  <c r="AH132" i="6"/>
  <c r="X19" i="69"/>
  <c r="AG20" i="32"/>
  <c r="Y12" i="36"/>
  <c r="AG19" i="26"/>
  <c r="AG20" i="55"/>
  <c r="U12" i="25"/>
  <c r="S13" i="34"/>
  <c r="AG21" i="33"/>
  <c r="Z12" i="11"/>
  <c r="O107" i="65"/>
  <c r="N29" i="30"/>
  <c r="AH134" i="6"/>
  <c r="V12" i="17"/>
  <c r="V31" i="28"/>
  <c r="AG19" i="52"/>
  <c r="P13" i="30"/>
  <c r="W12" i="24"/>
  <c r="AD19" i="67"/>
  <c r="R13" i="55"/>
  <c r="AG19" i="15"/>
  <c r="AG19" i="27"/>
  <c r="Y13" i="6"/>
  <c r="X12" i="59"/>
  <c r="X13" i="26"/>
  <c r="AG19" i="33"/>
  <c r="V13" i="30"/>
  <c r="Y13" i="16"/>
  <c r="Y17" i="16" s="1"/>
  <c r="AG20" i="7"/>
  <c r="AH143" i="6"/>
  <c r="W31" i="33"/>
  <c r="P13" i="20"/>
  <c r="S13" i="11"/>
  <c r="S12" i="17"/>
  <c r="O12" i="22"/>
  <c r="R13" i="11"/>
  <c r="AH150" i="6"/>
  <c r="Q12" i="11"/>
  <c r="T13" i="17"/>
  <c r="N29" i="36"/>
  <c r="Q13" i="39"/>
  <c r="P12" i="29"/>
  <c r="C4" i="18"/>
  <c r="Q12" i="29"/>
  <c r="U13" i="23"/>
  <c r="W12" i="53"/>
  <c r="T12" i="39"/>
  <c r="W13" i="34"/>
  <c r="AG20" i="62"/>
  <c r="W12" i="30"/>
  <c r="Q13" i="24"/>
  <c r="Y12" i="39"/>
  <c r="X13" i="27"/>
  <c r="S13" i="30"/>
  <c r="R12" i="56"/>
  <c r="AH130" i="6"/>
  <c r="Y13" i="36"/>
  <c r="X13" i="39"/>
  <c r="N29" i="15"/>
  <c r="S13" i="29"/>
  <c r="S17" i="29" s="1"/>
  <c r="Z12" i="29"/>
  <c r="V12" i="52"/>
  <c r="X13" i="20"/>
  <c r="P13" i="6"/>
  <c r="W12" i="36"/>
  <c r="AD32" i="4"/>
  <c r="AG20" i="35"/>
  <c r="T13" i="7"/>
  <c r="V13" i="6"/>
  <c r="C4" i="36"/>
  <c r="R13" i="19"/>
  <c r="N29" i="61"/>
  <c r="V12" i="58"/>
  <c r="V101" i="65"/>
  <c r="Y12" i="11"/>
  <c r="Z13" i="56"/>
  <c r="O13" i="36"/>
  <c r="S13" i="28"/>
  <c r="R13" i="28"/>
  <c r="U13" i="30"/>
  <c r="T12" i="30"/>
  <c r="V13" i="51"/>
  <c r="T12" i="53"/>
  <c r="Z12" i="36"/>
  <c r="AD32" i="26"/>
  <c r="AD32" i="63"/>
  <c r="AG20" i="63"/>
  <c r="AD32" i="67"/>
  <c r="W13" i="58"/>
  <c r="U12" i="55"/>
  <c r="O12" i="25"/>
  <c r="AH148" i="6"/>
  <c r="X13" i="56"/>
  <c r="C4" i="9"/>
  <c r="S13" i="20"/>
  <c r="AD32" i="36"/>
  <c r="S11" i="64"/>
  <c r="P13" i="24"/>
  <c r="Z13" i="15"/>
  <c r="Z13" i="25"/>
  <c r="U12" i="54"/>
  <c r="X13" i="53"/>
  <c r="V12" i="18"/>
  <c r="P12" i="22"/>
  <c r="U12" i="9"/>
  <c r="N29" i="25"/>
  <c r="X13" i="51"/>
  <c r="W12" i="19"/>
  <c r="T12" i="24"/>
  <c r="T12" i="22"/>
  <c r="Q13" i="27"/>
  <c r="Z13" i="34"/>
  <c r="T31" i="55"/>
  <c r="O31" i="53"/>
  <c r="U19" i="70"/>
  <c r="Q12" i="17"/>
  <c r="T13" i="33"/>
  <c r="AD20" i="51"/>
  <c r="AA12" i="52"/>
  <c r="O13" i="22"/>
  <c r="N27" i="58"/>
  <c r="S12" i="53"/>
  <c r="E4" i="39"/>
  <c r="X31" i="29"/>
  <c r="Y31" i="27"/>
  <c r="X31" i="54"/>
  <c r="E4" i="63"/>
  <c r="R11" i="64"/>
  <c r="Z13" i="18"/>
  <c r="W12" i="59"/>
  <c r="P12" i="18"/>
  <c r="Q12" i="58"/>
  <c r="Y13" i="55"/>
  <c r="X20" i="65"/>
  <c r="U12" i="33"/>
  <c r="S12" i="58"/>
  <c r="E4" i="34"/>
  <c r="T20" i="68"/>
  <c r="AH128" i="6"/>
  <c r="AG19" i="55"/>
  <c r="U20" i="65"/>
  <c r="Z31" i="11"/>
  <c r="P13" i="35"/>
  <c r="AH149" i="6"/>
  <c r="AG19" i="53"/>
  <c r="Z13" i="28"/>
  <c r="Y13" i="39"/>
  <c r="Q11" i="61"/>
  <c r="T12" i="33"/>
  <c r="C9" i="63"/>
  <c r="R12" i="11"/>
  <c r="W101" i="65"/>
  <c r="Z13" i="27"/>
  <c r="V13" i="56"/>
  <c r="V107" i="65"/>
  <c r="X13" i="34"/>
  <c r="X17" i="34" s="1"/>
  <c r="S12" i="24"/>
  <c r="X12" i="21"/>
  <c r="O12" i="57"/>
  <c r="C4" i="32"/>
  <c r="V12" i="19"/>
  <c r="U13" i="33"/>
  <c r="V12" i="21"/>
  <c r="AH147" i="6"/>
  <c r="S12" i="19"/>
  <c r="U13" i="11"/>
  <c r="V13" i="33"/>
  <c r="AH141" i="6"/>
  <c r="X12" i="17"/>
  <c r="X13" i="30"/>
  <c r="P13" i="25"/>
  <c r="X12" i="39"/>
  <c r="Q12" i="32"/>
  <c r="R12" i="55"/>
  <c r="T12" i="58"/>
  <c r="S12" i="33"/>
  <c r="AC32" i="24"/>
  <c r="AG19" i="6"/>
  <c r="AG19" i="11"/>
  <c r="S13" i="31"/>
  <c r="V12" i="20"/>
  <c r="AF19" i="37"/>
  <c r="W19" i="68"/>
  <c r="C9" i="21"/>
  <c r="AG20" i="36"/>
  <c r="R13" i="32"/>
  <c r="AD32" i="59"/>
  <c r="W13" i="29"/>
  <c r="W17" i="29" s="1"/>
  <c r="S13" i="33"/>
  <c r="W12" i="11"/>
  <c r="U12" i="53"/>
  <c r="W12" i="29"/>
  <c r="U13" i="29"/>
  <c r="U17" i="29" s="1"/>
  <c r="P19" i="66"/>
  <c r="Q13" i="19"/>
  <c r="C9" i="52"/>
  <c r="AG19" i="25"/>
  <c r="AG22" i="7"/>
  <c r="C9" i="62"/>
  <c r="U13" i="34"/>
  <c r="U17" i="34" s="1"/>
  <c r="Q20" i="69"/>
  <c r="C4" i="7"/>
  <c r="P12" i="53"/>
  <c r="Y13" i="32"/>
  <c r="AG20" i="21"/>
  <c r="AG20" i="27"/>
  <c r="O13" i="59"/>
  <c r="U12" i="31"/>
  <c r="N29" i="19"/>
  <c r="C4" i="55"/>
  <c r="Q12" i="34"/>
  <c r="Z12" i="20"/>
  <c r="W12" i="20"/>
  <c r="V12" i="15"/>
  <c r="S19" i="69"/>
  <c r="Y12" i="24"/>
  <c r="T12" i="55"/>
  <c r="AH125" i="6"/>
  <c r="R12" i="36"/>
  <c r="X13" i="54"/>
  <c r="X17" i="54" s="1"/>
  <c r="R12" i="16"/>
  <c r="R13" i="21"/>
  <c r="AD21" i="7"/>
  <c r="T13" i="55"/>
  <c r="O104" i="65"/>
  <c r="Y13" i="23"/>
  <c r="U13" i="52"/>
  <c r="S13" i="27"/>
  <c r="V13" i="20"/>
  <c r="O12" i="9"/>
  <c r="U12" i="19"/>
  <c r="C9" i="30"/>
  <c r="Z13" i="32"/>
  <c r="N29" i="62"/>
  <c r="Q13" i="7"/>
  <c r="W13" i="53"/>
  <c r="AA12" i="6"/>
  <c r="U12" i="34"/>
  <c r="AD32" i="19"/>
  <c r="O13" i="26"/>
  <c r="AA13" i="39"/>
  <c r="Z31" i="18"/>
  <c r="P13" i="36"/>
  <c r="O13" i="11"/>
  <c r="O31" i="18"/>
  <c r="Q31" i="57"/>
  <c r="AJ31" i="54"/>
  <c r="Q32" i="70"/>
  <c r="Z13" i="54"/>
  <c r="Z17" i="54" s="1"/>
  <c r="W20" i="68"/>
  <c r="Z31" i="29"/>
  <c r="Z31" i="55"/>
  <c r="Y12" i="56"/>
  <c r="O13" i="55"/>
  <c r="N29" i="26"/>
  <c r="AG20" i="11"/>
  <c r="W13" i="22"/>
  <c r="X13" i="6"/>
  <c r="S12" i="56"/>
  <c r="S12" i="22"/>
  <c r="AD32" i="6"/>
  <c r="E4" i="62"/>
  <c r="O12" i="59"/>
  <c r="R12" i="27"/>
  <c r="X12" i="58"/>
  <c r="X13" i="23"/>
  <c r="E4" i="27"/>
  <c r="R13" i="6"/>
  <c r="X104" i="65"/>
  <c r="C9" i="20"/>
  <c r="Q13" i="11"/>
  <c r="W12" i="23"/>
  <c r="Y12" i="51"/>
  <c r="Z12" i="16"/>
  <c r="R13" i="59"/>
  <c r="T13" i="53"/>
  <c r="T12" i="11"/>
  <c r="P13" i="59"/>
  <c r="W13" i="51"/>
  <c r="AG20" i="15"/>
  <c r="S13" i="35"/>
  <c r="U12" i="32"/>
  <c r="R12" i="33"/>
  <c r="C4" i="19"/>
  <c r="U13" i="39"/>
  <c r="X13" i="19"/>
  <c r="V13" i="7"/>
  <c r="AH144" i="6"/>
  <c r="AH127" i="6"/>
  <c r="V12" i="57"/>
  <c r="X12" i="11"/>
  <c r="Y12" i="29"/>
  <c r="R13" i="54"/>
  <c r="R17" i="54" s="1"/>
  <c r="P13" i="55"/>
  <c r="AG19" i="16"/>
  <c r="W12" i="27"/>
  <c r="P12" i="6"/>
  <c r="T12" i="59"/>
  <c r="V13" i="25"/>
  <c r="AD32" i="21"/>
  <c r="Z13" i="16"/>
  <c r="Z17" i="16" s="1"/>
  <c r="AG19" i="54"/>
  <c r="V13" i="39"/>
  <c r="U12" i="23"/>
  <c r="V13" i="55"/>
  <c r="Y12" i="57"/>
  <c r="U13" i="6"/>
  <c r="AG20" i="25"/>
  <c r="U12" i="6"/>
  <c r="V12" i="7"/>
  <c r="AD32" i="23"/>
  <c r="O12" i="18"/>
  <c r="S20" i="70"/>
  <c r="AD32" i="33"/>
  <c r="AG20" i="30"/>
  <c r="AF20" i="24"/>
  <c r="P13" i="58"/>
  <c r="AD32" i="69"/>
  <c r="R12" i="58"/>
  <c r="X13" i="33"/>
  <c r="X13" i="36"/>
  <c r="P12" i="33"/>
  <c r="AA104" i="65"/>
  <c r="E4" i="37"/>
  <c r="V13" i="24"/>
  <c r="C4" i="51"/>
  <c r="Q12" i="16"/>
  <c r="R12" i="51"/>
  <c r="S13" i="25"/>
  <c r="Q12" i="7"/>
  <c r="V13" i="9"/>
  <c r="P12" i="11"/>
  <c r="O12" i="32"/>
  <c r="T12" i="23"/>
  <c r="U12" i="20"/>
  <c r="W12" i="7"/>
  <c r="C4" i="24"/>
  <c r="T13" i="21"/>
  <c r="N29" i="17"/>
  <c r="S12" i="23"/>
  <c r="R12" i="22"/>
  <c r="Q12" i="9"/>
  <c r="Q13" i="53"/>
  <c r="AG19" i="36"/>
  <c r="Y12" i="20"/>
  <c r="P13" i="53"/>
  <c r="Q31" i="27"/>
  <c r="S13" i="22"/>
  <c r="T13" i="57"/>
  <c r="S12" i="30"/>
  <c r="E4" i="36"/>
  <c r="Q12" i="25"/>
  <c r="V104" i="65"/>
  <c r="Q12" i="57"/>
  <c r="P13" i="7"/>
  <c r="W12" i="18"/>
  <c r="P12" i="17"/>
  <c r="T13" i="56"/>
  <c r="Y12" i="25"/>
  <c r="T101" i="65"/>
  <c r="Y13" i="58"/>
  <c r="S12" i="20"/>
  <c r="T12" i="27"/>
  <c r="V19" i="68"/>
  <c r="P19" i="70"/>
  <c r="U19" i="67"/>
  <c r="S20" i="69"/>
  <c r="O31" i="30"/>
  <c r="AD32" i="32"/>
  <c r="P13" i="32"/>
  <c r="X12" i="35"/>
  <c r="U12" i="35"/>
  <c r="U12" i="4"/>
  <c r="X12" i="22"/>
  <c r="T107" i="65"/>
  <c r="O32" i="66"/>
  <c r="Z12" i="6"/>
  <c r="N29" i="68"/>
  <c r="AD19" i="58"/>
  <c r="W12" i="26"/>
  <c r="AG19" i="21"/>
  <c r="P101" i="65"/>
  <c r="V13" i="29"/>
  <c r="V17" i="29" s="1"/>
  <c r="AG20" i="53"/>
  <c r="R11" i="63"/>
  <c r="T12" i="18"/>
  <c r="S13" i="26"/>
  <c r="Z13" i="30"/>
  <c r="Z12" i="32"/>
  <c r="S13" i="23"/>
  <c r="Y12" i="58"/>
  <c r="R11" i="62"/>
  <c r="C9" i="39"/>
  <c r="P13" i="26"/>
  <c r="P12" i="15"/>
  <c r="S104" i="65"/>
  <c r="P12" i="54"/>
  <c r="X13" i="32"/>
  <c r="C9" i="53"/>
  <c r="Y13" i="21"/>
  <c r="Q13" i="16"/>
  <c r="Q17" i="16" s="1"/>
  <c r="N13" i="24"/>
  <c r="Q13" i="15"/>
  <c r="Q13" i="6"/>
  <c r="E4" i="64"/>
  <c r="C4" i="56"/>
  <c r="R12" i="9"/>
  <c r="T12" i="35"/>
  <c r="R13" i="33"/>
  <c r="Q11" i="62"/>
  <c r="Y13" i="56"/>
  <c r="V12" i="24"/>
  <c r="P13" i="28"/>
  <c r="Y13" i="31"/>
  <c r="AH142" i="6"/>
  <c r="O13" i="15"/>
  <c r="Q13" i="52"/>
  <c r="X12" i="27"/>
  <c r="Y13" i="19"/>
  <c r="C9" i="69"/>
  <c r="Z13" i="51"/>
  <c r="W13" i="17"/>
  <c r="C9" i="28"/>
  <c r="AH137" i="6"/>
  <c r="Q11" i="64"/>
  <c r="V13" i="19"/>
  <c r="T13" i="18"/>
  <c r="N29" i="22"/>
  <c r="P12" i="27"/>
  <c r="O12" i="39"/>
  <c r="R13" i="53"/>
  <c r="E4" i="19"/>
  <c r="O12" i="7"/>
  <c r="X13" i="59"/>
  <c r="Z12" i="51"/>
  <c r="Z12" i="23"/>
  <c r="N29" i="21"/>
  <c r="W12" i="6"/>
  <c r="E4" i="11"/>
  <c r="Y13" i="28"/>
  <c r="U13" i="24"/>
  <c r="X13" i="52"/>
  <c r="S12" i="57"/>
  <c r="C9" i="61"/>
  <c r="S13" i="53"/>
  <c r="P12" i="9"/>
  <c r="T12" i="6"/>
  <c r="AH126" i="6"/>
  <c r="S13" i="52"/>
  <c r="Z13" i="20"/>
  <c r="P12" i="20"/>
  <c r="C4" i="54"/>
  <c r="C9" i="32"/>
  <c r="T20" i="65"/>
  <c r="V12" i="33"/>
  <c r="O12" i="6"/>
  <c r="Y13" i="22"/>
  <c r="V31" i="33"/>
  <c r="O12" i="26"/>
  <c r="R12" i="7"/>
  <c r="C9" i="23"/>
  <c r="R12" i="23"/>
  <c r="O13" i="39"/>
  <c r="R20" i="68"/>
  <c r="U13" i="20"/>
  <c r="X13" i="57"/>
  <c r="U13" i="59"/>
  <c r="P12" i="23"/>
  <c r="E4" i="6"/>
  <c r="V13" i="15"/>
  <c r="R19" i="65"/>
  <c r="O13" i="7"/>
  <c r="AG19" i="32"/>
  <c r="S12" i="29"/>
  <c r="S20" i="68"/>
  <c r="AG20" i="4"/>
  <c r="W12" i="55"/>
  <c r="O12" i="53"/>
  <c r="W13" i="6"/>
  <c r="P13" i="19"/>
  <c r="P17" i="19" s="1"/>
  <c r="W12" i="54"/>
  <c r="AG19" i="9"/>
  <c r="S12" i="39"/>
  <c r="Q107" i="65"/>
  <c r="X12" i="36"/>
  <c r="O13" i="6"/>
  <c r="Q12" i="24"/>
  <c r="S12" i="21"/>
  <c r="AH123" i="6"/>
  <c r="Q13" i="55"/>
  <c r="T13" i="6"/>
  <c r="W20" i="69"/>
  <c r="AA12" i="19"/>
  <c r="X31" i="4"/>
  <c r="R104" i="65"/>
  <c r="O13" i="29"/>
  <c r="O17" i="29" s="1"/>
  <c r="C9" i="4"/>
  <c r="Y31" i="30"/>
  <c r="N29" i="35"/>
  <c r="T13" i="24"/>
  <c r="Y31" i="53"/>
  <c r="Q13" i="36"/>
  <c r="Q17" i="36" s="1"/>
  <c r="AD32" i="25"/>
  <c r="B13" i="51"/>
  <c r="Y13" i="7"/>
  <c r="S11" i="63"/>
  <c r="T13" i="59"/>
  <c r="P104" i="65"/>
  <c r="S13" i="39"/>
  <c r="Q13" i="54"/>
  <c r="Q17" i="54" s="1"/>
  <c r="AH145" i="6"/>
  <c r="V12" i="51"/>
  <c r="Z13" i="22"/>
  <c r="U12" i="58"/>
  <c r="Q13" i="32"/>
  <c r="X12" i="34"/>
  <c r="V13" i="11"/>
  <c r="V17" i="11" s="1"/>
  <c r="AD32" i="56"/>
  <c r="U13" i="36"/>
  <c r="U17" i="36" s="1"/>
  <c r="N29" i="6"/>
  <c r="O12" i="23"/>
  <c r="AG20" i="31"/>
  <c r="Q21" i="68"/>
  <c r="U13" i="25"/>
  <c r="AD32" i="61"/>
  <c r="Q13" i="18"/>
  <c r="E4" i="15"/>
  <c r="S11" i="61"/>
  <c r="AG19" i="62"/>
  <c r="Q101" i="65"/>
  <c r="Y12" i="54"/>
  <c r="R13" i="52"/>
  <c r="T13" i="23"/>
  <c r="AD32" i="57"/>
  <c r="AG20" i="54"/>
  <c r="X12" i="56"/>
  <c r="R13" i="7"/>
  <c r="V13" i="53"/>
  <c r="Z12" i="25"/>
  <c r="P13" i="21"/>
  <c r="E4" i="22"/>
  <c r="T12" i="54"/>
  <c r="AD32" i="28"/>
  <c r="T13" i="22"/>
  <c r="T17" i="22" s="1"/>
  <c r="Z13" i="9"/>
  <c r="C4" i="61"/>
  <c r="Z12" i="18"/>
  <c r="O12" i="33"/>
  <c r="S13" i="59"/>
  <c r="E4" i="57"/>
  <c r="O12" i="11"/>
  <c r="T12" i="57"/>
  <c r="T12" i="36"/>
  <c r="Q12" i="59"/>
  <c r="P13" i="27"/>
  <c r="P17" i="27" s="1"/>
  <c r="T13" i="34"/>
  <c r="T17" i="34" s="1"/>
  <c r="R12" i="6"/>
  <c r="V13" i="54"/>
  <c r="V17" i="54" s="1"/>
  <c r="Y13" i="27"/>
  <c r="Y17" i="27" s="1"/>
  <c r="AF60" i="24"/>
  <c r="S13" i="18"/>
  <c r="W13" i="35"/>
  <c r="V12" i="27"/>
  <c r="P13" i="33"/>
  <c r="Q12" i="39"/>
  <c r="V12" i="59"/>
  <c r="R20" i="65"/>
  <c r="U13" i="31"/>
  <c r="R12" i="30"/>
  <c r="V13" i="32"/>
  <c r="U20" i="67"/>
  <c r="Q12" i="19"/>
  <c r="W13" i="59"/>
  <c r="AG19" i="19"/>
  <c r="P12" i="39"/>
  <c r="U12" i="52"/>
  <c r="U12" i="36"/>
  <c r="Q13" i="23"/>
  <c r="T12" i="52"/>
  <c r="Q13" i="51"/>
  <c r="Z13" i="36"/>
  <c r="Z17" i="36" s="1"/>
  <c r="W13" i="33"/>
  <c r="R12" i="26"/>
  <c r="W13" i="32"/>
  <c r="Q12" i="51"/>
  <c r="P12" i="32"/>
  <c r="W12" i="33"/>
  <c r="N29" i="63"/>
  <c r="R13" i="15"/>
  <c r="R17" i="15" s="1"/>
  <c r="Q32" i="67"/>
  <c r="Q13" i="21"/>
  <c r="V13" i="23"/>
  <c r="W12" i="9"/>
  <c r="N29" i="52"/>
  <c r="M29" i="24"/>
  <c r="T13" i="36"/>
  <c r="T17" i="36" s="1"/>
  <c r="Y19" i="65"/>
  <c r="Z12" i="30"/>
  <c r="AG19" i="63"/>
  <c r="S12" i="34"/>
  <c r="AA107" i="65"/>
  <c r="AD32" i="62"/>
  <c r="T13" i="51"/>
  <c r="E4" i="20"/>
  <c r="W12" i="28"/>
  <c r="O32" i="65"/>
  <c r="V13" i="58"/>
  <c r="C4" i="39"/>
  <c r="E4" i="56"/>
  <c r="T12" i="20"/>
  <c r="W13" i="20"/>
  <c r="W17" i="20" s="1"/>
  <c r="X12" i="32"/>
  <c r="U20" i="68"/>
  <c r="O101" i="65"/>
  <c r="V12" i="55"/>
  <c r="T13" i="32"/>
  <c r="E4" i="52"/>
  <c r="AD20" i="21"/>
  <c r="Q31" i="34"/>
  <c r="Q31" i="33"/>
  <c r="Y13" i="18"/>
  <c r="Z19" i="69"/>
  <c r="P31" i="27"/>
  <c r="N27" i="39"/>
  <c r="T31" i="52"/>
  <c r="S107" i="65"/>
  <c r="S31" i="58"/>
  <c r="Z13" i="23"/>
  <c r="C9" i="56"/>
  <c r="Y31" i="58"/>
  <c r="S31" i="57"/>
  <c r="AD32" i="20"/>
  <c r="W12" i="25"/>
  <c r="P13" i="29"/>
  <c r="P17" i="29" s="1"/>
  <c r="T13" i="28"/>
  <c r="S12" i="28"/>
  <c r="Z12" i="57"/>
  <c r="N29" i="20"/>
  <c r="Z13" i="21"/>
  <c r="Q19" i="67"/>
  <c r="AD32" i="7"/>
  <c r="AG38" i="32"/>
  <c r="Q104" i="65"/>
  <c r="Q12" i="54"/>
  <c r="C4" i="4"/>
  <c r="O12" i="21"/>
  <c r="T12" i="17"/>
  <c r="T12" i="29"/>
  <c r="Q19" i="69"/>
  <c r="AC32" i="37"/>
  <c r="U13" i="32"/>
  <c r="C4" i="6"/>
  <c r="S13" i="21"/>
  <c r="X12" i="28"/>
  <c r="T13" i="30"/>
  <c r="P13" i="23"/>
  <c r="R13" i="26"/>
  <c r="P11" i="63"/>
  <c r="V12" i="36"/>
  <c r="O13" i="18"/>
  <c r="O13" i="53"/>
  <c r="Z12" i="58"/>
  <c r="P12" i="55"/>
  <c r="P12" i="30"/>
  <c r="P13" i="9"/>
  <c r="C9" i="55"/>
  <c r="W13" i="9"/>
  <c r="N29" i="64"/>
  <c r="O12" i="54"/>
  <c r="Y12" i="53"/>
  <c r="X13" i="16"/>
  <c r="X17" i="16" s="1"/>
  <c r="R13" i="27"/>
  <c r="R17" i="27" s="1"/>
  <c r="Y13" i="51"/>
  <c r="O12" i="34"/>
  <c r="S11" i="62"/>
  <c r="W12" i="57"/>
  <c r="AD32" i="58"/>
  <c r="Q13" i="17"/>
  <c r="Q31" i="24"/>
  <c r="AH136" i="6"/>
  <c r="U12" i="28"/>
  <c r="Z12" i="53"/>
  <c r="R13" i="58"/>
  <c r="O13" i="57"/>
  <c r="AD20" i="69"/>
  <c r="AG19" i="7"/>
  <c r="W13" i="56"/>
  <c r="V12" i="29"/>
  <c r="O12" i="52"/>
  <c r="S12" i="27"/>
  <c r="AD32" i="52"/>
  <c r="AG20" i="19"/>
  <c r="R12" i="28"/>
  <c r="N29" i="59"/>
  <c r="AD19" i="30"/>
  <c r="Y12" i="7"/>
  <c r="P13" i="39"/>
  <c r="Y12" i="18"/>
  <c r="N29" i="51"/>
  <c r="S12" i="54"/>
  <c r="Z12" i="54"/>
  <c r="V12" i="39"/>
  <c r="AG19" i="35"/>
  <c r="C4" i="23"/>
  <c r="AH119" i="6"/>
  <c r="Z12" i="56"/>
  <c r="U13" i="19"/>
  <c r="U17" i="19" s="1"/>
  <c r="AG21" i="7"/>
  <c r="AG20" i="39"/>
  <c r="AG52" i="25"/>
  <c r="S12" i="55"/>
  <c r="Q13" i="35"/>
  <c r="U12" i="11"/>
  <c r="W13" i="23"/>
  <c r="C9" i="57"/>
  <c r="N29" i="18"/>
  <c r="T12" i="16"/>
  <c r="V13" i="31"/>
  <c r="AH124" i="6"/>
  <c r="S12" i="51"/>
  <c r="O12" i="19"/>
  <c r="E4" i="24"/>
  <c r="V13" i="18"/>
  <c r="AD19" i="65"/>
  <c r="N29" i="27"/>
  <c r="AH140" i="6"/>
  <c r="P13" i="51"/>
  <c r="C9" i="33"/>
  <c r="O12" i="20"/>
  <c r="T13" i="20"/>
  <c r="T17" i="20" s="1"/>
  <c r="Z13" i="53"/>
  <c r="E4" i="23"/>
  <c r="AD32" i="27"/>
  <c r="C4" i="30"/>
  <c r="N29" i="56"/>
  <c r="W12" i="34"/>
  <c r="Q13" i="33"/>
  <c r="AH129" i="6"/>
  <c r="AG63" i="34"/>
  <c r="AG152" i="6"/>
  <c r="C9" i="24"/>
  <c r="O12" i="24"/>
  <c r="R11" i="61"/>
  <c r="AG19" i="66"/>
  <c r="Q31" i="54"/>
  <c r="R32" i="70"/>
  <c r="O13" i="23"/>
  <c r="O17" i="23" s="1"/>
  <c r="U12" i="57"/>
  <c r="W13" i="24"/>
  <c r="W17" i="24" s="1"/>
  <c r="AD19" i="61"/>
  <c r="P107" i="65"/>
  <c r="E4" i="51"/>
  <c r="W31" i="58"/>
  <c r="B13" i="28"/>
  <c r="X13" i="11"/>
  <c r="X17" i="11" s="1"/>
  <c r="C9" i="27"/>
  <c r="T104" i="65"/>
  <c r="W19" i="67"/>
  <c r="Y13" i="30"/>
  <c r="S13" i="58"/>
  <c r="T12" i="32"/>
  <c r="T13" i="19"/>
  <c r="T17" i="19" s="1"/>
  <c r="Y20" i="65"/>
  <c r="C4" i="58"/>
  <c r="Q13" i="20"/>
  <c r="Q17" i="20" s="1"/>
  <c r="Q12" i="18"/>
  <c r="C9" i="59"/>
  <c r="U13" i="18"/>
  <c r="S13" i="15"/>
  <c r="S17" i="15" s="1"/>
  <c r="E4" i="21"/>
  <c r="U12" i="39"/>
  <c r="AG19" i="57"/>
  <c r="U13" i="7"/>
  <c r="O12" i="29"/>
  <c r="U13" i="28"/>
  <c r="R13" i="18"/>
  <c r="N29" i="55"/>
  <c r="S13" i="57"/>
  <c r="V13" i="21"/>
  <c r="V17" i="21" s="1"/>
  <c r="N29" i="39"/>
  <c r="C4" i="37"/>
  <c r="U12" i="21"/>
  <c r="Y12" i="15"/>
  <c r="AD32" i="34"/>
  <c r="X13" i="29"/>
  <c r="X17" i="29" s="1"/>
  <c r="P12" i="56"/>
  <c r="C4" i="20"/>
  <c r="X12" i="7"/>
  <c r="V12" i="30"/>
  <c r="X12" i="19"/>
  <c r="Y13" i="33"/>
  <c r="C4" i="25"/>
  <c r="V12" i="23"/>
  <c r="R13" i="36"/>
  <c r="R17" i="36" s="1"/>
  <c r="O12" i="27"/>
  <c r="C9" i="29"/>
  <c r="S12" i="32"/>
  <c r="X12" i="30"/>
  <c r="N29" i="57"/>
  <c r="X12" i="24"/>
  <c r="O13" i="21"/>
  <c r="O17" i="21" s="1"/>
  <c r="U19" i="65"/>
  <c r="P11" i="62"/>
  <c r="V13" i="28"/>
  <c r="O13" i="19"/>
  <c r="O17" i="19" s="1"/>
  <c r="C4" i="17"/>
  <c r="N29" i="70"/>
  <c r="AG20" i="57"/>
  <c r="U12" i="56"/>
  <c r="Y13" i="57"/>
  <c r="T13" i="58"/>
  <c r="Z107" i="65"/>
  <c r="O13" i="54"/>
  <c r="O17" i="54" s="1"/>
  <c r="U12" i="30"/>
  <c r="AD32" i="9"/>
  <c r="X19" i="67"/>
  <c r="P12" i="57"/>
  <c r="U13" i="56"/>
  <c r="Y12" i="27"/>
  <c r="N29" i="54"/>
  <c r="Q12" i="52"/>
  <c r="Q31" i="6"/>
  <c r="S13" i="7"/>
  <c r="S13" i="36"/>
  <c r="S17" i="36" s="1"/>
  <c r="R12" i="52"/>
  <c r="Z12" i="28"/>
  <c r="Y12" i="30"/>
  <c r="V12" i="56"/>
  <c r="W12" i="21"/>
  <c r="C4" i="35"/>
  <c r="Z12" i="34"/>
  <c r="AH135" i="6"/>
  <c r="N29" i="58"/>
  <c r="P13" i="11"/>
  <c r="P17" i="11" s="1"/>
  <c r="P12" i="58"/>
  <c r="P13" i="18"/>
  <c r="P12" i="34"/>
  <c r="R13" i="23"/>
  <c r="R17" i="23" s="1"/>
  <c r="S12" i="18"/>
  <c r="C9" i="54"/>
  <c r="C4" i="27"/>
  <c r="Z12" i="55"/>
  <c r="X13" i="25"/>
  <c r="C4" i="63"/>
  <c r="T13" i="11"/>
  <c r="T17" i="11" s="1"/>
  <c r="W13" i="25"/>
  <c r="C9" i="51"/>
  <c r="V12" i="28"/>
  <c r="C4" i="62"/>
  <c r="X12" i="15"/>
  <c r="Z19" i="67"/>
  <c r="C9" i="17"/>
  <c r="N29" i="23"/>
  <c r="R12" i="32"/>
  <c r="S12" i="6"/>
  <c r="X13" i="58"/>
  <c r="X12" i="52"/>
  <c r="P13" i="54"/>
  <c r="P17" i="54" s="1"/>
  <c r="Y12" i="59"/>
  <c r="P32" i="68"/>
  <c r="Y12" i="23"/>
  <c r="Z13" i="39"/>
  <c r="Y20" i="66"/>
  <c r="R12" i="20"/>
  <c r="Z12" i="59"/>
  <c r="E4" i="59"/>
  <c r="O12" i="16"/>
  <c r="AG20" i="6"/>
  <c r="P13" i="56"/>
  <c r="N29" i="66"/>
  <c r="AG19" i="20"/>
  <c r="R13" i="30"/>
  <c r="R13" i="35"/>
  <c r="P31" i="57"/>
  <c r="C9" i="64"/>
  <c r="P12" i="24"/>
  <c r="V19" i="66"/>
  <c r="U31" i="57"/>
  <c r="V13" i="35"/>
  <c r="Q12" i="22"/>
  <c r="S13" i="9"/>
  <c r="AD32" i="64"/>
  <c r="X12" i="53"/>
  <c r="S12" i="15"/>
  <c r="N29" i="28"/>
  <c r="O32" i="68"/>
  <c r="AJ31" i="51"/>
  <c r="E4" i="7"/>
  <c r="AA13" i="9"/>
  <c r="V12" i="11"/>
  <c r="Z31" i="15"/>
  <c r="AD19" i="62"/>
  <c r="AG19" i="70"/>
  <c r="Y101" i="65"/>
  <c r="AJ31" i="11"/>
  <c r="W31" i="59"/>
  <c r="AD19" i="51"/>
  <c r="AG19" i="51"/>
  <c r="S12" i="36"/>
  <c r="Y31" i="18"/>
  <c r="Q31" i="36"/>
  <c r="AH133" i="6"/>
  <c r="AD19" i="22"/>
  <c r="C9" i="35"/>
  <c r="P31" i="7"/>
  <c r="O20" i="68"/>
  <c r="U31" i="6"/>
  <c r="S20" i="67"/>
  <c r="O31" i="20"/>
  <c r="B13" i="56"/>
  <c r="R12" i="59"/>
  <c r="T13" i="54"/>
  <c r="T17" i="54" s="1"/>
  <c r="T31" i="22"/>
  <c r="AG20" i="51"/>
  <c r="P12" i="51"/>
  <c r="Q31" i="4"/>
  <c r="X107" i="65"/>
  <c r="X13" i="17"/>
  <c r="T31" i="35"/>
  <c r="Q20" i="70"/>
  <c r="AA13" i="7"/>
  <c r="W20" i="66"/>
  <c r="AG19" i="22"/>
  <c r="E4" i="35"/>
  <c r="Q32" i="69"/>
  <c r="T19" i="70"/>
  <c r="R13" i="37"/>
  <c r="V31" i="7"/>
  <c r="T13" i="26"/>
  <c r="U13" i="55"/>
  <c r="Q31" i="52"/>
  <c r="AD19" i="29"/>
  <c r="C9" i="37"/>
  <c r="AA12" i="57"/>
  <c r="AG20" i="69"/>
  <c r="B13" i="9"/>
  <c r="S21" i="68"/>
  <c r="Q31" i="51"/>
  <c r="Q32" i="66"/>
  <c r="AA13" i="31"/>
  <c r="V31" i="9"/>
  <c r="P20" i="70"/>
  <c r="R13" i="31"/>
  <c r="O31" i="58"/>
  <c r="T12" i="21"/>
  <c r="U12" i="24"/>
  <c r="B13" i="54"/>
  <c r="AD19" i="9"/>
  <c r="W13" i="27"/>
  <c r="W17" i="27" s="1"/>
  <c r="Z13" i="24"/>
  <c r="V13" i="27"/>
  <c r="V17" i="27" s="1"/>
  <c r="X31" i="55"/>
  <c r="O13" i="35"/>
  <c r="O17" i="35" s="1"/>
  <c r="Z31" i="7"/>
  <c r="S12" i="16"/>
  <c r="AD20" i="64"/>
  <c r="Z31" i="54"/>
  <c r="Q20" i="67"/>
  <c r="C9" i="67"/>
  <c r="AD20" i="55"/>
  <c r="AD32" i="53"/>
  <c r="Q31" i="29"/>
  <c r="N31" i="24"/>
  <c r="O31" i="28"/>
  <c r="Z31" i="16"/>
  <c r="AG19" i="18"/>
  <c r="O32" i="69"/>
  <c r="T31" i="15"/>
  <c r="T31" i="26"/>
  <c r="Y31" i="57"/>
  <c r="AD19" i="31"/>
  <c r="Q31" i="7"/>
  <c r="Y12" i="16"/>
  <c r="Q31" i="16"/>
  <c r="S12" i="35"/>
  <c r="V31" i="29"/>
  <c r="R13" i="25"/>
  <c r="AA12" i="27"/>
  <c r="R31" i="11"/>
  <c r="B13" i="6"/>
  <c r="V31" i="19"/>
  <c r="S31" i="25"/>
  <c r="AD32" i="15"/>
  <c r="P31" i="4"/>
  <c r="W31" i="24"/>
  <c r="W13" i="7"/>
  <c r="W17" i="7" s="1"/>
  <c r="Y31" i="23"/>
  <c r="U31" i="17"/>
  <c r="T31" i="37"/>
  <c r="P31" i="25"/>
  <c r="AA13" i="32"/>
  <c r="P32" i="67"/>
  <c r="B13" i="19"/>
  <c r="Y12" i="4"/>
  <c r="AJ31" i="21"/>
  <c r="X31" i="26"/>
  <c r="AC20" i="24"/>
  <c r="Y31" i="59"/>
  <c r="AD19" i="21"/>
  <c r="P31" i="33"/>
  <c r="Z31" i="39"/>
  <c r="X31" i="32"/>
  <c r="S31" i="59"/>
  <c r="AD20" i="28"/>
  <c r="AA12" i="34"/>
  <c r="AD20" i="58"/>
  <c r="C9" i="11"/>
  <c r="V12" i="6"/>
  <c r="U12" i="51"/>
  <c r="AD20" i="70"/>
  <c r="AA12" i="33"/>
  <c r="Z12" i="21"/>
  <c r="R12" i="21"/>
  <c r="P19" i="68"/>
  <c r="W12" i="37"/>
  <c r="Z101" i="65"/>
  <c r="AD19" i="35"/>
  <c r="X20" i="68"/>
  <c r="S31" i="23"/>
  <c r="V12" i="31"/>
  <c r="W12" i="22"/>
  <c r="R31" i="57"/>
  <c r="O31" i="57"/>
  <c r="S31" i="54"/>
  <c r="O12" i="58"/>
  <c r="X12" i="23"/>
  <c r="AD19" i="25"/>
  <c r="AD20" i="30"/>
  <c r="AD20" i="39"/>
  <c r="AD20" i="66"/>
  <c r="T31" i="7"/>
  <c r="P12" i="37"/>
  <c r="R31" i="18"/>
  <c r="B13" i="7"/>
  <c r="Z12" i="31"/>
  <c r="X31" i="27"/>
  <c r="AA13" i="52"/>
  <c r="X21" i="68"/>
  <c r="AG107" i="65"/>
  <c r="Y31" i="39"/>
  <c r="U13" i="15"/>
  <c r="U17" i="15" s="1"/>
  <c r="X12" i="26"/>
  <c r="Y31" i="56"/>
  <c r="S31" i="52"/>
  <c r="AG20" i="65"/>
  <c r="AD19" i="15"/>
  <c r="V12" i="53"/>
  <c r="AD32" i="18"/>
  <c r="C9" i="19"/>
  <c r="Q13" i="34"/>
  <c r="Q17" i="34" s="1"/>
  <c r="Z19" i="66"/>
  <c r="C9" i="31"/>
  <c r="Y13" i="53"/>
  <c r="Y13" i="17"/>
  <c r="AA12" i="32"/>
  <c r="O13" i="56"/>
  <c r="Q12" i="15"/>
  <c r="AJ31" i="16"/>
  <c r="P12" i="16"/>
  <c r="T31" i="56"/>
  <c r="T12" i="19"/>
  <c r="B13" i="58"/>
  <c r="T12" i="37"/>
  <c r="S31" i="21"/>
  <c r="U31" i="21"/>
  <c r="P31" i="26"/>
  <c r="T31" i="19"/>
  <c r="X31" i="18"/>
  <c r="AG20" i="33"/>
  <c r="V12" i="26"/>
  <c r="W31" i="52"/>
  <c r="S13" i="54"/>
  <c r="S17" i="54" s="1"/>
  <c r="T12" i="34"/>
  <c r="U31" i="15"/>
  <c r="X13" i="35"/>
  <c r="X17" i="35" s="1"/>
  <c r="T31" i="39"/>
  <c r="W13" i="54"/>
  <c r="W17" i="54" s="1"/>
  <c r="U31" i="56"/>
  <c r="P31" i="56"/>
  <c r="Z31" i="4"/>
  <c r="B13" i="39"/>
  <c r="X31" i="53"/>
  <c r="Z31" i="27"/>
  <c r="S31" i="29"/>
  <c r="U12" i="59"/>
  <c r="Z20" i="67"/>
  <c r="Y31" i="54"/>
  <c r="C4" i="52"/>
  <c r="E4" i="9"/>
  <c r="Z13" i="58"/>
  <c r="Q31" i="19"/>
  <c r="B13" i="33"/>
  <c r="N29" i="65"/>
  <c r="O31" i="21"/>
  <c r="T31" i="51"/>
  <c r="V31" i="24"/>
  <c r="R31" i="32"/>
  <c r="Y12" i="31"/>
  <c r="AD20" i="6"/>
  <c r="P31" i="24"/>
  <c r="Z20" i="68"/>
  <c r="AD20" i="11"/>
  <c r="Z31" i="20"/>
  <c r="S31" i="35"/>
  <c r="U31" i="31"/>
  <c r="S31" i="16"/>
  <c r="P31" i="59"/>
  <c r="Q31" i="28"/>
  <c r="Q12" i="37"/>
  <c r="W19" i="66"/>
  <c r="O13" i="37"/>
  <c r="W31" i="56"/>
  <c r="Z31" i="33"/>
  <c r="AA13" i="54"/>
  <c r="O31" i="35"/>
  <c r="AA12" i="23"/>
  <c r="S31" i="6"/>
  <c r="R31" i="35"/>
  <c r="Q12" i="31"/>
  <c r="R13" i="39"/>
  <c r="S31" i="20"/>
  <c r="S13" i="51"/>
  <c r="S17" i="51" s="1"/>
  <c r="O13" i="20"/>
  <c r="O17" i="20" s="1"/>
  <c r="W31" i="39"/>
  <c r="W31" i="22"/>
  <c r="T13" i="37"/>
  <c r="AG101" i="65"/>
  <c r="T31" i="31"/>
  <c r="T31" i="23"/>
  <c r="W31" i="32"/>
  <c r="W12" i="35"/>
  <c r="R13" i="56"/>
  <c r="X13" i="28"/>
  <c r="V19" i="67"/>
  <c r="V12" i="22"/>
  <c r="X12" i="37"/>
  <c r="R31" i="28"/>
  <c r="R31" i="4"/>
  <c r="U31" i="18"/>
  <c r="C4" i="31"/>
  <c r="O31" i="26"/>
  <c r="O13" i="27"/>
  <c r="O17" i="27" s="1"/>
  <c r="AD20" i="26"/>
  <c r="AG20" i="34"/>
  <c r="P12" i="28"/>
  <c r="AJ31" i="35"/>
  <c r="C4" i="22"/>
  <c r="AD32" i="70"/>
  <c r="U31" i="30"/>
  <c r="B13" i="36"/>
  <c r="AD20" i="52"/>
  <c r="AH138" i="6"/>
  <c r="O13" i="28"/>
  <c r="U104" i="65"/>
  <c r="Y13" i="29"/>
  <c r="Y17" i="29" s="1"/>
  <c r="P31" i="39"/>
  <c r="Y19" i="69"/>
  <c r="Y31" i="37"/>
  <c r="X31" i="51"/>
  <c r="R31" i="7"/>
  <c r="Y31" i="15"/>
  <c r="Y31" i="16"/>
  <c r="P31" i="37"/>
  <c r="B13" i="25"/>
  <c r="P13" i="4"/>
  <c r="Q19" i="66"/>
  <c r="T31" i="21"/>
  <c r="AG20" i="67"/>
  <c r="T31" i="6"/>
  <c r="AD32" i="16"/>
  <c r="T13" i="35"/>
  <c r="T17" i="35" s="1"/>
  <c r="Z31" i="35"/>
  <c r="T12" i="31"/>
  <c r="B13" i="55"/>
  <c r="C9" i="22"/>
  <c r="O31" i="29"/>
  <c r="S19" i="68"/>
  <c r="Y31" i="29"/>
  <c r="Q31" i="37"/>
  <c r="AA13" i="33"/>
  <c r="P21" i="68"/>
  <c r="S31" i="37"/>
  <c r="P13" i="52"/>
  <c r="P17" i="52" s="1"/>
  <c r="E4" i="4"/>
  <c r="P17" i="4" s="1"/>
  <c r="R13" i="16"/>
  <c r="R17" i="16" s="1"/>
  <c r="U13" i="53"/>
  <c r="S13" i="17"/>
  <c r="Z31" i="53"/>
  <c r="AG19" i="29"/>
  <c r="U13" i="37"/>
  <c r="Y13" i="26"/>
  <c r="E4" i="30"/>
  <c r="AA12" i="35"/>
  <c r="V31" i="23"/>
  <c r="U31" i="54"/>
  <c r="AD19" i="52"/>
  <c r="Z12" i="15"/>
  <c r="V31" i="51"/>
  <c r="Y12" i="32"/>
  <c r="P12" i="26"/>
  <c r="X31" i="6"/>
  <c r="R12" i="54"/>
  <c r="E4" i="28"/>
  <c r="Z31" i="57"/>
  <c r="O13" i="51"/>
  <c r="O17" i="51" s="1"/>
  <c r="B13" i="18"/>
  <c r="AD32" i="17"/>
  <c r="T13" i="9"/>
  <c r="T17" i="9" s="1"/>
  <c r="P31" i="16"/>
  <c r="Y31" i="36"/>
  <c r="AA12" i="22"/>
  <c r="S12" i="4"/>
  <c r="Q12" i="26"/>
  <c r="X20" i="66"/>
  <c r="O13" i="4"/>
  <c r="O17" i="4" s="1"/>
  <c r="W20" i="65"/>
  <c r="V12" i="35"/>
  <c r="S31" i="19"/>
  <c r="O19" i="67"/>
  <c r="R20" i="66"/>
  <c r="S31" i="24"/>
  <c r="V12" i="4"/>
  <c r="O31" i="33"/>
  <c r="W13" i="19"/>
  <c r="W17" i="19" s="1"/>
  <c r="Y31" i="19"/>
  <c r="AD19" i="16"/>
  <c r="AG19" i="34"/>
  <c r="Y12" i="17"/>
  <c r="T13" i="15"/>
  <c r="T17" i="15" s="1"/>
  <c r="S31" i="53"/>
  <c r="R19" i="69"/>
  <c r="X31" i="31"/>
  <c r="O31" i="36"/>
  <c r="O12" i="30"/>
  <c r="Z19" i="68"/>
  <c r="S31" i="32"/>
  <c r="Y12" i="55"/>
  <c r="T31" i="32"/>
  <c r="Y107" i="65"/>
  <c r="AD32" i="11"/>
  <c r="O31" i="22"/>
  <c r="Q13" i="37"/>
  <c r="S31" i="22"/>
  <c r="AD20" i="15"/>
  <c r="AD19" i="18"/>
  <c r="S19" i="65"/>
  <c r="Q31" i="55"/>
  <c r="U31" i="4"/>
  <c r="O13" i="34"/>
  <c r="O17" i="34" s="1"/>
  <c r="AG20" i="61"/>
  <c r="W31" i="7"/>
  <c r="O31" i="7"/>
  <c r="R32" i="67"/>
  <c r="Z31" i="59"/>
  <c r="U13" i="17"/>
  <c r="P31" i="31"/>
  <c r="AG20" i="22"/>
  <c r="X31" i="25"/>
  <c r="U31" i="11"/>
  <c r="V13" i="22"/>
  <c r="V17" i="22" s="1"/>
  <c r="AG20" i="59"/>
  <c r="AG40" i="31"/>
  <c r="Y31" i="9"/>
  <c r="X31" i="33"/>
  <c r="U31" i="52"/>
  <c r="O13" i="24"/>
  <c r="O17" i="24" s="1"/>
  <c r="U31" i="39"/>
  <c r="X13" i="15"/>
  <c r="X17" i="15" s="1"/>
  <c r="C9" i="6"/>
  <c r="Z21" i="68"/>
  <c r="R20" i="69"/>
  <c r="Z20" i="69"/>
  <c r="P20" i="68"/>
  <c r="P13" i="15"/>
  <c r="P17" i="15" s="1"/>
  <c r="AA13" i="18"/>
  <c r="AE152" i="6"/>
  <c r="V31" i="39"/>
  <c r="Q13" i="9"/>
  <c r="Q17" i="9" s="1"/>
  <c r="T31" i="33"/>
  <c r="O31" i="25"/>
  <c r="AD19" i="63"/>
  <c r="Y13" i="34"/>
  <c r="Y17" i="34" s="1"/>
  <c r="Y31" i="51"/>
  <c r="C4" i="59"/>
  <c r="U31" i="9"/>
  <c r="P32" i="66"/>
  <c r="P31" i="18"/>
  <c r="W12" i="32"/>
  <c r="V13" i="37"/>
  <c r="Z31" i="30"/>
  <c r="AD20" i="9"/>
  <c r="W31" i="37"/>
  <c r="AG20" i="20"/>
  <c r="V12" i="54"/>
  <c r="O12" i="35"/>
  <c r="Z12" i="39"/>
  <c r="C4" i="53"/>
  <c r="U13" i="57"/>
  <c r="E4" i="32"/>
  <c r="X12" i="9"/>
  <c r="W13" i="26"/>
  <c r="P19" i="69"/>
  <c r="C9" i="16"/>
  <c r="AD20" i="32"/>
  <c r="Y31" i="52"/>
  <c r="R13" i="9"/>
  <c r="R17" i="9" s="1"/>
  <c r="B13" i="53"/>
  <c r="Q31" i="59"/>
  <c r="R20" i="70"/>
  <c r="X12" i="16"/>
  <c r="AD62" i="35"/>
  <c r="U31" i="24"/>
  <c r="AD32" i="35"/>
  <c r="W31" i="18"/>
  <c r="Z12" i="52"/>
  <c r="R31" i="9"/>
  <c r="X101" i="65"/>
  <c r="P31" i="53"/>
  <c r="U20" i="66"/>
  <c r="T31" i="17"/>
  <c r="Y31" i="6"/>
  <c r="V31" i="20"/>
  <c r="X31" i="35"/>
  <c r="Q13" i="29"/>
  <c r="Q17" i="29" s="1"/>
  <c r="AG20" i="16"/>
  <c r="W104" i="65"/>
  <c r="O31" i="27"/>
  <c r="W31" i="21"/>
  <c r="Y20" i="70"/>
  <c r="X12" i="4"/>
  <c r="P20" i="69"/>
  <c r="Q31" i="21"/>
  <c r="AG20" i="17"/>
  <c r="P31" i="58"/>
  <c r="T13" i="16"/>
  <c r="T17" i="16" s="1"/>
  <c r="R13" i="20"/>
  <c r="R17" i="20" s="1"/>
  <c r="N31" i="37"/>
  <c r="Z31" i="58"/>
  <c r="AA13" i="4"/>
  <c r="Z13" i="17"/>
  <c r="P12" i="19"/>
  <c r="AD152" i="6"/>
  <c r="V19" i="69"/>
  <c r="B13" i="17"/>
  <c r="S13" i="32"/>
  <c r="S17" i="32" s="1"/>
  <c r="AG19" i="28"/>
  <c r="W13" i="37"/>
  <c r="AA12" i="30"/>
  <c r="Z12" i="24"/>
  <c r="AD20" i="54"/>
  <c r="S12" i="9"/>
  <c r="R19" i="70"/>
  <c r="Z13" i="52"/>
  <c r="Z17" i="52" s="1"/>
  <c r="AA13" i="20"/>
  <c r="B13" i="57"/>
  <c r="P12" i="21"/>
  <c r="Z31" i="26"/>
  <c r="Y13" i="37"/>
  <c r="U12" i="26"/>
  <c r="U20" i="69"/>
  <c r="Y31" i="26"/>
  <c r="X19" i="65"/>
  <c r="Z13" i="31"/>
  <c r="S31" i="51"/>
  <c r="AA12" i="21"/>
  <c r="AJ31" i="28"/>
  <c r="V31" i="22"/>
  <c r="P31" i="51"/>
  <c r="Q31" i="26"/>
  <c r="AA12" i="59"/>
  <c r="O20" i="67"/>
  <c r="O31" i="19"/>
  <c r="X31" i="58"/>
  <c r="B13" i="15"/>
  <c r="C9" i="9"/>
  <c r="P32" i="69"/>
  <c r="AK31" i="37"/>
  <c r="O13" i="52"/>
  <c r="O17" i="52" s="1"/>
  <c r="AA12" i="18"/>
  <c r="O31" i="34"/>
  <c r="AD19" i="55"/>
  <c r="AD38" i="32"/>
  <c r="O20" i="69"/>
  <c r="AA13" i="35"/>
  <c r="AJ31" i="22"/>
  <c r="U13" i="26"/>
  <c r="P19" i="65"/>
  <c r="P31" i="9"/>
  <c r="U13" i="51"/>
  <c r="U17" i="51" s="1"/>
  <c r="AD19" i="34"/>
  <c r="Y31" i="32"/>
  <c r="AD20" i="34"/>
  <c r="V31" i="15"/>
  <c r="W31" i="11"/>
  <c r="AA21" i="68"/>
  <c r="AA12" i="11"/>
  <c r="X20" i="69"/>
  <c r="T13" i="4"/>
  <c r="T17" i="4" s="1"/>
  <c r="AD19" i="57"/>
  <c r="Z31" i="32"/>
  <c r="X13" i="9"/>
  <c r="X17" i="9" s="1"/>
  <c r="R31" i="27"/>
  <c r="AG20" i="56"/>
  <c r="N29" i="11"/>
  <c r="V31" i="25"/>
  <c r="W13" i="36"/>
  <c r="W17" i="36" s="1"/>
  <c r="R31" i="30"/>
  <c r="R31" i="36"/>
  <c r="X31" i="56"/>
  <c r="AD19" i="23"/>
  <c r="Q13" i="4"/>
  <c r="Q17" i="4" s="1"/>
  <c r="AA12" i="25"/>
  <c r="AA13" i="56"/>
  <c r="AD101" i="65"/>
  <c r="Q32" i="68"/>
  <c r="Y31" i="31"/>
  <c r="Q12" i="4"/>
  <c r="AG21" i="68"/>
  <c r="C9" i="7"/>
  <c r="N29" i="29"/>
  <c r="Q13" i="31"/>
  <c r="X31" i="11"/>
  <c r="AD20" i="36"/>
  <c r="Z19" i="65"/>
  <c r="W31" i="28"/>
  <c r="U21" i="68"/>
  <c r="P31" i="35"/>
  <c r="AG104" i="65"/>
  <c r="R31" i="58"/>
  <c r="AG20" i="52"/>
  <c r="AD19" i="11"/>
  <c r="U19" i="66"/>
  <c r="AD20" i="33"/>
  <c r="V13" i="36"/>
  <c r="V17" i="36" s="1"/>
  <c r="C4" i="11"/>
  <c r="Q31" i="56"/>
  <c r="AG19" i="23"/>
  <c r="R31" i="39"/>
  <c r="R31" i="52"/>
  <c r="W31" i="53"/>
  <c r="U31" i="20"/>
  <c r="AA13" i="51"/>
  <c r="R31" i="6"/>
  <c r="S12" i="31"/>
  <c r="P13" i="17"/>
  <c r="AD20" i="67"/>
  <c r="U31" i="36"/>
  <c r="V31" i="52"/>
  <c r="P12" i="4"/>
  <c r="C4" i="34"/>
  <c r="Y12" i="21"/>
  <c r="AD20" i="62"/>
  <c r="W21" i="68"/>
  <c r="O31" i="9"/>
  <c r="AD19" i="20"/>
  <c r="P31" i="54"/>
  <c r="AD19" i="6"/>
  <c r="AJ31" i="30"/>
  <c r="N13" i="37"/>
  <c r="T20" i="69"/>
  <c r="Z12" i="22"/>
  <c r="Z20" i="65"/>
  <c r="S31" i="26"/>
  <c r="U31" i="7"/>
  <c r="Z13" i="59"/>
  <c r="U13" i="22"/>
  <c r="U17" i="22" s="1"/>
  <c r="Y12" i="26"/>
  <c r="V31" i="53"/>
  <c r="W12" i="39"/>
  <c r="Y19" i="66"/>
  <c r="Y20" i="67"/>
  <c r="W20" i="67"/>
  <c r="V31" i="4"/>
  <c r="C4" i="64"/>
  <c r="AD19" i="56"/>
  <c r="O11" i="63"/>
  <c r="X31" i="37"/>
  <c r="R13" i="4"/>
  <c r="R17" i="4" s="1"/>
  <c r="R13" i="22"/>
  <c r="R17" i="22" s="1"/>
  <c r="C9" i="26"/>
  <c r="W19" i="70"/>
  <c r="AD19" i="54"/>
  <c r="AD19" i="64"/>
  <c r="E4" i="55"/>
  <c r="O31" i="17"/>
  <c r="V31" i="26"/>
  <c r="W31" i="31"/>
  <c r="P19" i="67"/>
  <c r="Q12" i="23"/>
  <c r="X19" i="70"/>
  <c r="Q19" i="70"/>
  <c r="AH146" i="6"/>
  <c r="AD19" i="7"/>
  <c r="O31" i="16"/>
  <c r="Z31" i="36"/>
  <c r="Q20" i="66"/>
  <c r="V20" i="69"/>
  <c r="P31" i="17"/>
  <c r="V12" i="9"/>
  <c r="X31" i="39"/>
  <c r="W107" i="65"/>
  <c r="R12" i="29"/>
  <c r="Q31" i="9"/>
  <c r="R31" i="54"/>
  <c r="P32" i="70"/>
  <c r="R31" i="31"/>
  <c r="W31" i="54"/>
  <c r="O31" i="24"/>
  <c r="O13" i="17"/>
  <c r="AC19" i="37"/>
  <c r="R31" i="16"/>
  <c r="AJ31" i="34"/>
  <c r="Z19" i="70"/>
  <c r="AD20" i="16"/>
  <c r="B13" i="26"/>
  <c r="S31" i="11"/>
  <c r="O32" i="70"/>
  <c r="V12" i="32"/>
  <c r="V12" i="34"/>
  <c r="W12" i="58"/>
  <c r="R21" i="68"/>
  <c r="Y12" i="34"/>
  <c r="AA12" i="16"/>
  <c r="AD20" i="25"/>
  <c r="P31" i="22"/>
  <c r="B13" i="37"/>
  <c r="Q31" i="53"/>
  <c r="S13" i="24"/>
  <c r="S17" i="24" s="1"/>
  <c r="U12" i="22"/>
  <c r="Y31" i="55"/>
  <c r="Y12" i="9"/>
  <c r="W12" i="15"/>
  <c r="O12" i="4"/>
  <c r="AA12" i="28"/>
  <c r="Z31" i="17"/>
  <c r="X20" i="70"/>
  <c r="AA12" i="39"/>
  <c r="U12" i="15"/>
  <c r="Z13" i="11"/>
  <c r="Z17" i="11" s="1"/>
  <c r="R19" i="68"/>
  <c r="P13" i="31"/>
  <c r="R107" i="65"/>
  <c r="B13" i="29"/>
  <c r="C9" i="58"/>
  <c r="AG19" i="4"/>
  <c r="AA13" i="11"/>
  <c r="O21" i="68"/>
  <c r="AH152" i="6"/>
  <c r="P31" i="15"/>
  <c r="AA13" i="23"/>
  <c r="O31" i="6"/>
  <c r="T31" i="28"/>
  <c r="AD19" i="59"/>
  <c r="U13" i="35"/>
  <c r="U17" i="35" s="1"/>
  <c r="R12" i="4"/>
  <c r="T20" i="70"/>
  <c r="P20" i="67"/>
  <c r="P31" i="30"/>
  <c r="T13" i="39"/>
  <c r="Z13" i="55"/>
  <c r="W31" i="51"/>
  <c r="AD104" i="65"/>
  <c r="U19" i="68"/>
  <c r="V31" i="56"/>
  <c r="AA12" i="53"/>
  <c r="U31" i="37"/>
  <c r="Y13" i="4"/>
  <c r="Y17" i="4" s="1"/>
  <c r="Z31" i="6"/>
  <c r="S12" i="52"/>
  <c r="AD19" i="69"/>
  <c r="N29" i="69"/>
  <c r="B13" i="52"/>
  <c r="C4" i="29"/>
  <c r="AD19" i="36"/>
  <c r="AD32" i="39"/>
  <c r="Q12" i="55"/>
  <c r="T21" i="68"/>
  <c r="AA12" i="58"/>
  <c r="R12" i="35"/>
  <c r="V13" i="17"/>
  <c r="O31" i="11"/>
  <c r="Y13" i="25"/>
  <c r="Y31" i="17"/>
  <c r="R13" i="57"/>
  <c r="T13" i="25"/>
  <c r="C4" i="21"/>
  <c r="S31" i="15"/>
  <c r="P31" i="28"/>
  <c r="V21" i="68"/>
  <c r="R31" i="34"/>
  <c r="V19" i="65"/>
  <c r="B13" i="21"/>
  <c r="AJ31" i="53"/>
  <c r="AF19" i="24"/>
  <c r="E4" i="25"/>
  <c r="AC60" i="24"/>
  <c r="P13" i="57"/>
  <c r="U13" i="4"/>
  <c r="U17" i="4" s="1"/>
  <c r="U31" i="33"/>
  <c r="U31" i="32"/>
  <c r="Q12" i="56"/>
  <c r="O13" i="9"/>
  <c r="O17" i="9" s="1"/>
  <c r="Q31" i="32"/>
  <c r="S31" i="55"/>
  <c r="Z31" i="52"/>
  <c r="O12" i="37"/>
  <c r="AH121" i="6"/>
  <c r="W31" i="23"/>
  <c r="AJ31" i="36"/>
  <c r="AD21" i="33"/>
  <c r="X12" i="29"/>
  <c r="P12" i="25"/>
  <c r="W20" i="70"/>
  <c r="AA12" i="54"/>
  <c r="W31" i="25"/>
  <c r="Z31" i="21"/>
  <c r="X13" i="7"/>
  <c r="X17" i="7" s="1"/>
  <c r="V31" i="11"/>
  <c r="Q31" i="30"/>
  <c r="S31" i="28"/>
  <c r="AJ31" i="9"/>
  <c r="C9" i="65"/>
  <c r="P31" i="55"/>
  <c r="O12" i="36"/>
  <c r="Q13" i="22"/>
  <c r="Q17" i="22" s="1"/>
  <c r="X31" i="30"/>
  <c r="T31" i="58"/>
  <c r="O12" i="51"/>
  <c r="T19" i="65"/>
  <c r="X12" i="20"/>
  <c r="AD20" i="31"/>
  <c r="AD32" i="51"/>
  <c r="U31" i="19"/>
  <c r="R31" i="33"/>
  <c r="U13" i="27"/>
  <c r="U17" i="27" s="1"/>
  <c r="AJ31" i="33"/>
  <c r="W31" i="57"/>
  <c r="AG19" i="56"/>
  <c r="Z12" i="33"/>
  <c r="W19" i="65"/>
  <c r="W12" i="4"/>
  <c r="Y31" i="20"/>
  <c r="T19" i="67"/>
  <c r="Q32" i="65"/>
  <c r="AA13" i="25"/>
  <c r="X12" i="18"/>
  <c r="AD19" i="26"/>
  <c r="S19" i="66"/>
  <c r="AA12" i="15"/>
  <c r="AG20" i="23"/>
  <c r="S31" i="36"/>
  <c r="Q12" i="30"/>
  <c r="O31" i="56"/>
  <c r="Q31" i="17"/>
  <c r="R12" i="31"/>
  <c r="X13" i="55"/>
  <c r="O20" i="70"/>
  <c r="AD20" i="53"/>
  <c r="Q12" i="27"/>
  <c r="S20" i="65"/>
  <c r="AA13" i="57"/>
  <c r="V20" i="70"/>
  <c r="AJ31" i="7"/>
  <c r="R12" i="34"/>
  <c r="P31" i="23"/>
  <c r="M29" i="37"/>
  <c r="R31" i="25"/>
  <c r="V31" i="32"/>
  <c r="X20" i="67"/>
  <c r="B13" i="24"/>
  <c r="N29" i="4"/>
  <c r="P13" i="34"/>
  <c r="P17" i="34" s="1"/>
  <c r="Z31" i="9"/>
  <c r="X31" i="52"/>
  <c r="W13" i="4"/>
  <c r="W17" i="4" s="1"/>
  <c r="O13" i="31"/>
  <c r="V31" i="58"/>
  <c r="E4" i="61"/>
  <c r="Q31" i="31"/>
  <c r="V13" i="59"/>
  <c r="V31" i="37"/>
  <c r="AD32" i="22"/>
  <c r="T12" i="26"/>
  <c r="W31" i="4"/>
  <c r="AJ31" i="25"/>
  <c r="AG20" i="26"/>
  <c r="R13" i="34"/>
  <c r="R17" i="34" s="1"/>
  <c r="P20" i="66"/>
  <c r="AD20" i="19"/>
  <c r="N27" i="55"/>
  <c r="U101" i="65"/>
  <c r="V31" i="34"/>
  <c r="C9" i="66"/>
  <c r="Q31" i="25"/>
  <c r="R101" i="65"/>
  <c r="AD20" i="61"/>
  <c r="R13" i="51"/>
  <c r="R17" i="51" s="1"/>
  <c r="T31" i="53"/>
  <c r="V31" i="59"/>
  <c r="Y13" i="52"/>
  <c r="Y17" i="52" s="1"/>
  <c r="S13" i="4"/>
  <c r="S17" i="4" s="1"/>
  <c r="AD32" i="29"/>
  <c r="R12" i="15"/>
  <c r="P12" i="59"/>
  <c r="O31" i="51"/>
  <c r="Y31" i="7"/>
  <c r="N29" i="16"/>
  <c r="W12" i="52"/>
  <c r="S20" i="66"/>
  <c r="R32" i="69"/>
  <c r="W12" i="16"/>
  <c r="O31" i="52"/>
  <c r="V20" i="67"/>
  <c r="P31" i="19"/>
  <c r="R31" i="55"/>
  <c r="R12" i="53"/>
  <c r="B13" i="30"/>
  <c r="O12" i="31"/>
  <c r="AJ31" i="19"/>
  <c r="AD52" i="25"/>
  <c r="AH131" i="6"/>
  <c r="B13" i="11"/>
  <c r="O20" i="66"/>
  <c r="W31" i="9"/>
  <c r="U31" i="22"/>
  <c r="U31" i="23"/>
  <c r="E4" i="26"/>
  <c r="E4" i="17"/>
  <c r="Z12" i="17"/>
  <c r="AD63" i="34"/>
  <c r="X31" i="20"/>
  <c r="R31" i="23"/>
  <c r="AD32" i="66"/>
  <c r="AA101" i="65"/>
  <c r="S31" i="4"/>
  <c r="AA12" i="31"/>
  <c r="AD19" i="19"/>
  <c r="V31" i="31"/>
  <c r="R20" i="67"/>
  <c r="T31" i="54"/>
  <c r="S13" i="19"/>
  <c r="S17" i="19" s="1"/>
  <c r="AD32" i="31"/>
  <c r="Z13" i="37"/>
  <c r="R31" i="59"/>
  <c r="U31" i="55"/>
  <c r="T20" i="66"/>
  <c r="R31" i="53"/>
  <c r="E4" i="18"/>
  <c r="R31" i="15"/>
  <c r="AD20" i="17"/>
  <c r="X13" i="31"/>
  <c r="P31" i="52"/>
  <c r="P31" i="36"/>
  <c r="Y31" i="4"/>
  <c r="V31" i="6"/>
  <c r="AA13" i="55"/>
  <c r="P20" i="65"/>
  <c r="S31" i="33"/>
  <c r="AJ31" i="32"/>
  <c r="AA13" i="22"/>
  <c r="T19" i="68"/>
  <c r="Y104" i="65"/>
  <c r="E4" i="33"/>
  <c r="Y13" i="35"/>
  <c r="Y17" i="35" s="1"/>
  <c r="Z13" i="33"/>
  <c r="Z17" i="33" s="1"/>
  <c r="O31" i="31"/>
  <c r="P31" i="29"/>
  <c r="X13" i="37"/>
  <c r="AA13" i="19"/>
  <c r="X31" i="16"/>
  <c r="AA12" i="56"/>
  <c r="C9" i="15"/>
  <c r="O31" i="54"/>
  <c r="X13" i="22"/>
  <c r="X17" i="22" s="1"/>
  <c r="X31" i="9"/>
  <c r="AG20" i="66"/>
  <c r="AD20" i="4"/>
  <c r="S12" i="11"/>
  <c r="U20" i="70"/>
  <c r="Y31" i="33"/>
  <c r="B13" i="35"/>
  <c r="T13" i="27"/>
  <c r="T17" i="27" s="1"/>
  <c r="X12" i="31"/>
  <c r="O12" i="15"/>
  <c r="P31" i="32"/>
  <c r="O13" i="32"/>
  <c r="O17" i="32" s="1"/>
  <c r="T12" i="51"/>
  <c r="T13" i="52"/>
  <c r="T17" i="52" s="1"/>
  <c r="X12" i="55"/>
  <c r="AG19" i="31"/>
  <c r="AD32" i="65"/>
  <c r="Y31" i="25"/>
  <c r="R31" i="24"/>
  <c r="V31" i="35"/>
  <c r="Y19" i="68"/>
  <c r="Y20" i="68"/>
  <c r="V31" i="57"/>
  <c r="O19" i="70"/>
  <c r="E4" i="53"/>
  <c r="AD20" i="65"/>
  <c r="N12" i="24"/>
  <c r="AD20" i="56"/>
  <c r="X12" i="6"/>
  <c r="T31" i="20"/>
  <c r="AG19" i="59"/>
  <c r="X31" i="15"/>
  <c r="AD19" i="66"/>
  <c r="W31" i="29"/>
  <c r="V20" i="68"/>
  <c r="AH151" i="6"/>
  <c r="AI31" i="24"/>
  <c r="B13" i="27"/>
  <c r="Q12" i="20"/>
  <c r="S12" i="59"/>
  <c r="V31" i="21"/>
  <c r="R12" i="37"/>
  <c r="O19" i="69"/>
  <c r="AA12" i="51"/>
  <c r="V13" i="26"/>
  <c r="V17" i="26" s="1"/>
  <c r="U31" i="51"/>
  <c r="X13" i="24"/>
  <c r="X17" i="24" s="1"/>
  <c r="X13" i="4"/>
  <c r="X17" i="4" s="1"/>
  <c r="AG20" i="28"/>
  <c r="AA13" i="53"/>
  <c r="AD20" i="57"/>
  <c r="AG19" i="69"/>
  <c r="AG19" i="68"/>
  <c r="R31" i="20"/>
  <c r="O19" i="68"/>
  <c r="Q13" i="30"/>
  <c r="Q17" i="30" s="1"/>
  <c r="X31" i="36"/>
  <c r="AD20" i="27"/>
  <c r="AG62" i="35"/>
  <c r="U12" i="37"/>
  <c r="U12" i="27"/>
  <c r="N12" i="37"/>
  <c r="Q13" i="25"/>
  <c r="Q17" i="25" s="1"/>
  <c r="P31" i="6"/>
  <c r="W13" i="16"/>
  <c r="W17" i="16" s="1"/>
  <c r="T31" i="57"/>
  <c r="Q31" i="22"/>
  <c r="X19" i="68"/>
  <c r="S19" i="67"/>
  <c r="Z31" i="25"/>
  <c r="P31" i="20"/>
  <c r="N27" i="56"/>
  <c r="Q12" i="53"/>
  <c r="S13" i="16"/>
  <c r="S17" i="16" s="1"/>
  <c r="T31" i="29"/>
  <c r="Z20" i="70"/>
  <c r="Z13" i="35"/>
  <c r="Z17" i="35" s="1"/>
  <c r="P31" i="34"/>
  <c r="B13" i="20"/>
  <c r="S31" i="17"/>
  <c r="R31" i="21"/>
  <c r="V31" i="18"/>
  <c r="Z104" i="65"/>
  <c r="AD32" i="68"/>
  <c r="R19" i="66"/>
  <c r="Q12" i="36"/>
  <c r="Q13" i="57"/>
  <c r="O31" i="4"/>
  <c r="X31" i="24"/>
  <c r="AD19" i="28"/>
  <c r="AA13" i="6"/>
  <c r="P12" i="7"/>
  <c r="W13" i="52"/>
  <c r="W17" i="52" s="1"/>
  <c r="W13" i="55"/>
  <c r="P13" i="37"/>
  <c r="Z31" i="23"/>
  <c r="T20" i="67"/>
  <c r="X31" i="7"/>
  <c r="AA12" i="36"/>
  <c r="Z12" i="37"/>
  <c r="AG19" i="67"/>
  <c r="O12" i="17"/>
  <c r="R12" i="17"/>
  <c r="Z31" i="56"/>
  <c r="AG20" i="29"/>
  <c r="U31" i="35"/>
  <c r="R31" i="51"/>
  <c r="Q31" i="20"/>
  <c r="V12" i="37"/>
  <c r="Y21" i="68"/>
  <c r="Z12" i="4"/>
  <c r="AA13" i="26"/>
  <c r="W31" i="55"/>
  <c r="W31" i="15"/>
  <c r="U31" i="59"/>
  <c r="O12" i="28"/>
  <c r="C4" i="57"/>
  <c r="AD19" i="70"/>
  <c r="Q20" i="68"/>
  <c r="R31" i="56"/>
  <c r="AD19" i="32"/>
  <c r="AJ31" i="27"/>
  <c r="R12" i="19"/>
  <c r="AA13" i="30"/>
  <c r="T31" i="24"/>
  <c r="U31" i="34"/>
  <c r="P31" i="21"/>
  <c r="AD20" i="63"/>
  <c r="AD19" i="17"/>
  <c r="AD20" i="29"/>
  <c r="N29" i="7"/>
  <c r="AD22" i="7"/>
  <c r="Y31" i="24"/>
  <c r="Y31" i="34"/>
  <c r="T31" i="36"/>
  <c r="Q20" i="65"/>
  <c r="Q31" i="35"/>
  <c r="B13" i="32"/>
  <c r="AJ31" i="31"/>
  <c r="T31" i="30"/>
  <c r="X31" i="28"/>
  <c r="Z13" i="4"/>
  <c r="Z17" i="4" s="1"/>
  <c r="AD19" i="53"/>
  <c r="AD19" i="33"/>
  <c r="O12" i="55"/>
  <c r="S31" i="27"/>
  <c r="X31" i="59"/>
  <c r="AJ31" i="15"/>
  <c r="AA13" i="16"/>
  <c r="T31" i="11"/>
  <c r="AA13" i="15"/>
  <c r="AD50" i="35"/>
  <c r="O31" i="39"/>
  <c r="X31" i="23"/>
  <c r="U31" i="25"/>
  <c r="Y19" i="67"/>
  <c r="W19" i="69"/>
  <c r="T31" i="34"/>
  <c r="AA12" i="17"/>
  <c r="S31" i="34"/>
  <c r="P31" i="11"/>
  <c r="AD20" i="59"/>
  <c r="P12" i="31"/>
  <c r="AJ31" i="26"/>
  <c r="X31" i="57"/>
  <c r="V31" i="16"/>
  <c r="Y31" i="22"/>
  <c r="Q31" i="15"/>
  <c r="Y12" i="6"/>
  <c r="AA12" i="4"/>
  <c r="AG20" i="9"/>
  <c r="AJ31" i="20"/>
  <c r="AD107" i="65"/>
  <c r="T31" i="27"/>
  <c r="R12" i="39"/>
  <c r="Y12" i="35"/>
  <c r="AJ31" i="29"/>
  <c r="W31" i="16"/>
  <c r="AA13" i="36"/>
  <c r="O13" i="25"/>
  <c r="O17" i="25" s="1"/>
  <c r="U12" i="16"/>
  <c r="B13" i="34"/>
  <c r="AJ31" i="23"/>
  <c r="AD19" i="4"/>
  <c r="V31" i="36"/>
  <c r="Q31" i="39"/>
  <c r="C9" i="25"/>
  <c r="Z13" i="19"/>
  <c r="Z17" i="19" s="1"/>
  <c r="O13" i="16"/>
  <c r="O17" i="16" s="1"/>
  <c r="Z31" i="28"/>
  <c r="S31" i="39"/>
  <c r="AG20" i="58"/>
  <c r="U31" i="27"/>
  <c r="V12" i="16"/>
  <c r="Y31" i="35"/>
  <c r="S31" i="31"/>
  <c r="T31" i="25"/>
  <c r="AD20" i="23"/>
  <c r="Q31" i="58"/>
  <c r="W31" i="20"/>
  <c r="R31" i="17"/>
  <c r="AI31" i="37"/>
  <c r="U31" i="58"/>
  <c r="P13" i="22"/>
  <c r="P17" i="22" s="1"/>
  <c r="X31" i="17"/>
  <c r="AD19" i="27"/>
  <c r="V31" i="54"/>
  <c r="W31" i="27"/>
  <c r="AA13" i="34"/>
  <c r="Z13" i="29"/>
  <c r="Z17" i="29" s="1"/>
  <c r="V31" i="17"/>
  <c r="W31" i="35"/>
  <c r="Y12" i="37"/>
  <c r="Z31" i="22"/>
  <c r="AA13" i="29"/>
  <c r="W31" i="6"/>
  <c r="O20" i="65"/>
  <c r="P12" i="35"/>
  <c r="AC19" i="24"/>
  <c r="AA13" i="59"/>
  <c r="R31" i="22"/>
  <c r="Y31" i="21"/>
  <c r="AD19" i="68"/>
  <c r="AA12" i="9"/>
  <c r="U107" i="65"/>
  <c r="T31" i="16"/>
  <c r="N27" i="57"/>
  <c r="O31" i="23"/>
  <c r="AA13" i="27"/>
  <c r="Y31" i="11"/>
  <c r="U13" i="16"/>
  <c r="U17" i="16" s="1"/>
  <c r="U31" i="16"/>
  <c r="T31" i="18"/>
  <c r="O31" i="32"/>
  <c r="B13" i="31"/>
  <c r="W31" i="30"/>
  <c r="X31" i="21"/>
  <c r="Q19" i="65"/>
  <c r="W31" i="36"/>
  <c r="Z31" i="34"/>
  <c r="O31" i="55"/>
  <c r="O31" i="15"/>
  <c r="AD20" i="35"/>
  <c r="Z31" i="51"/>
  <c r="Z31" i="31"/>
  <c r="P32" i="65"/>
  <c r="X31" i="34"/>
  <c r="S31" i="56"/>
  <c r="AG19" i="30"/>
  <c r="W31" i="34"/>
  <c r="Z12" i="26"/>
  <c r="W31" i="26"/>
  <c r="Q13" i="26"/>
  <c r="Q17" i="26" s="1"/>
  <c r="W12" i="31"/>
  <c r="B13" i="4"/>
  <c r="AA12" i="7"/>
  <c r="R31" i="19"/>
  <c r="AA13" i="17"/>
  <c r="AJ31" i="52"/>
  <c r="AJ31" i="4"/>
  <c r="N29" i="67"/>
  <c r="Y20" i="69"/>
  <c r="AD20" i="20"/>
  <c r="V31" i="55"/>
  <c r="Q31" i="18"/>
  <c r="V31" i="27"/>
  <c r="Y31" i="28"/>
  <c r="O19" i="66"/>
  <c r="O31" i="59"/>
  <c r="AA13" i="58"/>
  <c r="V31" i="30"/>
  <c r="AA12" i="26"/>
  <c r="B13" i="16"/>
  <c r="T31" i="9"/>
  <c r="P12" i="52"/>
  <c r="R31" i="37"/>
  <c r="Y12" i="22"/>
  <c r="V13" i="4"/>
  <c r="V17" i="4" s="1"/>
  <c r="T31" i="4"/>
  <c r="S12" i="37"/>
  <c r="R19" i="67"/>
  <c r="AA12" i="29"/>
  <c r="R31" i="26"/>
  <c r="S19" i="70"/>
  <c r="X31" i="19"/>
  <c r="O31" i="37"/>
  <c r="R31" i="29"/>
  <c r="Z20" i="66"/>
  <c r="Y12" i="19"/>
  <c r="Q31" i="11"/>
  <c r="S31" i="7"/>
  <c r="S13" i="37"/>
  <c r="Q19" i="68"/>
  <c r="S31" i="30"/>
  <c r="X31" i="22"/>
  <c r="E4" i="31"/>
  <c r="AD19" i="39"/>
  <c r="W31" i="17"/>
  <c r="U31" i="26"/>
  <c r="B13" i="22"/>
  <c r="T31" i="59"/>
  <c r="AA13" i="28"/>
  <c r="AD40" i="31"/>
  <c r="AD20" i="22"/>
  <c r="AA13" i="21"/>
  <c r="AD21" i="68"/>
  <c r="B13" i="59"/>
  <c r="AH120" i="6"/>
  <c r="U19" i="69"/>
  <c r="Z31" i="19"/>
  <c r="Q31" i="23"/>
  <c r="B13" i="23"/>
  <c r="N29" i="31"/>
  <c r="S31" i="9"/>
  <c r="U31" i="53"/>
  <c r="AD20" i="7"/>
  <c r="W12" i="17"/>
  <c r="AG50" i="35"/>
  <c r="U12" i="18"/>
  <c r="AA12" i="55"/>
  <c r="N29" i="53"/>
  <c r="T12" i="4"/>
  <c r="O32" i="67"/>
  <c r="U31" i="28"/>
  <c r="Z13" i="26"/>
  <c r="Z17" i="26" s="1"/>
  <c r="Q12" i="21"/>
  <c r="U17" i="26"/>
  <c r="W17" i="26"/>
  <c r="Y17" i="26"/>
  <c r="T17" i="26"/>
  <c r="R17" i="26"/>
  <c r="P17" i="26"/>
  <c r="S17" i="26"/>
  <c r="O17" i="26"/>
  <c r="X17" i="26"/>
  <c r="V17" i="35"/>
  <c r="R17" i="35"/>
  <c r="Q17" i="35"/>
  <c r="W17" i="35"/>
  <c r="S17" i="35"/>
  <c r="P17" i="35"/>
  <c r="X17" i="31"/>
  <c r="O17" i="31"/>
  <c r="P17" i="31"/>
  <c r="Q17" i="31"/>
  <c r="Z17" i="31"/>
  <c r="R17" i="31"/>
  <c r="V17" i="31"/>
  <c r="U17" i="31"/>
  <c r="Y17" i="31"/>
  <c r="S17" i="31"/>
  <c r="T17" i="31"/>
  <c r="W17" i="31"/>
  <c r="Z17" i="22"/>
  <c r="Y17" i="22"/>
  <c r="S17" i="22"/>
  <c r="W17" i="22"/>
  <c r="O17" i="22"/>
  <c r="V17" i="19"/>
  <c r="Y17" i="19"/>
  <c r="X17" i="19"/>
  <c r="Q17" i="19"/>
  <c r="R17" i="19"/>
  <c r="S17" i="27"/>
  <c r="Z17" i="27"/>
  <c r="Q17" i="27"/>
  <c r="X17" i="27"/>
  <c r="Q17" i="11"/>
  <c r="O17" i="11"/>
  <c r="U17" i="11"/>
  <c r="R17" i="11"/>
  <c r="S17" i="11"/>
  <c r="Y17" i="11"/>
  <c r="W17" i="11"/>
  <c r="O17" i="28"/>
  <c r="X17" i="28"/>
  <c r="V17" i="28"/>
  <c r="U17" i="28"/>
  <c r="T17" i="28"/>
  <c r="Y17" i="28"/>
  <c r="P17" i="28"/>
  <c r="Z17" i="28"/>
  <c r="R17" i="28"/>
  <c r="S17" i="28"/>
  <c r="Q17" i="28"/>
  <c r="W17" i="28"/>
  <c r="Z17" i="34"/>
  <c r="W17" i="34"/>
  <c r="S17" i="34"/>
  <c r="V17" i="34"/>
  <c r="U17" i="32"/>
  <c r="T17" i="32"/>
  <c r="W17" i="32"/>
  <c r="V17" i="32"/>
  <c r="Q17" i="32"/>
  <c r="X17" i="32"/>
  <c r="P17" i="32"/>
  <c r="Z17" i="32"/>
  <c r="Y17" i="32"/>
  <c r="R17" i="32"/>
  <c r="V17" i="15"/>
  <c r="O17" i="15"/>
  <c r="Q17" i="15"/>
  <c r="Z17" i="15"/>
  <c r="Y17" i="15"/>
  <c r="W17" i="15"/>
  <c r="W17" i="23"/>
  <c r="P17" i="23"/>
  <c r="Z17" i="23"/>
  <c r="V17" i="23"/>
  <c r="Q17" i="23"/>
  <c r="T17" i="23"/>
  <c r="S17" i="23"/>
  <c r="X17" i="23"/>
  <c r="Y17" i="23"/>
  <c r="U17" i="23"/>
  <c r="T17" i="25"/>
  <c r="Y17" i="25"/>
  <c r="R17" i="25"/>
  <c r="W17" i="25"/>
  <c r="X17" i="25"/>
  <c r="U17" i="25"/>
  <c r="S17" i="25"/>
  <c r="V17" i="25"/>
  <c r="P17" i="25"/>
  <c r="Z17" i="25"/>
  <c r="Y17" i="33"/>
  <c r="Q17" i="33"/>
  <c r="W17" i="33"/>
  <c r="P17" i="33"/>
  <c r="R17" i="33"/>
  <c r="X17" i="33"/>
  <c r="S17" i="33"/>
  <c r="V17" i="33"/>
  <c r="U17" i="33"/>
  <c r="T17" i="33"/>
  <c r="O17" i="33"/>
  <c r="T17" i="24"/>
  <c r="U17" i="24"/>
  <c r="N17" i="24"/>
  <c r="V17" i="24"/>
  <c r="P17" i="24"/>
  <c r="Q17" i="24"/>
  <c r="Y17" i="24"/>
  <c r="R17" i="24"/>
  <c r="U17" i="20"/>
  <c r="Z17" i="20"/>
  <c r="V17" i="20"/>
  <c r="S17" i="20"/>
  <c r="X17" i="20"/>
  <c r="P17" i="20"/>
  <c r="Y17" i="20"/>
  <c r="R17" i="30"/>
  <c r="Y17" i="30"/>
  <c r="T17" i="30"/>
  <c r="Z17" i="30"/>
  <c r="X17" i="30"/>
  <c r="U17" i="30"/>
  <c r="S17" i="30"/>
  <c r="V17" i="30"/>
  <c r="P17" i="30"/>
  <c r="W17" i="30"/>
  <c r="O17" i="30"/>
  <c r="X17" i="36"/>
  <c r="P17" i="36"/>
  <c r="O17" i="36"/>
  <c r="Y17" i="36"/>
  <c r="S17" i="7"/>
  <c r="U17" i="7"/>
  <c r="R17" i="7"/>
  <c r="Y17" i="7"/>
  <c r="O17" i="7"/>
  <c r="P17" i="7"/>
  <c r="V17" i="7"/>
  <c r="Q17" i="7"/>
  <c r="T17" i="7"/>
  <c r="Z17" i="7"/>
  <c r="S17" i="21"/>
  <c r="Z17" i="21"/>
  <c r="Q17" i="21"/>
  <c r="P17" i="21"/>
  <c r="Y17" i="21"/>
  <c r="T17" i="21"/>
  <c r="R17" i="21"/>
  <c r="X17" i="21"/>
  <c r="U17" i="21"/>
  <c r="W17" i="21"/>
  <c r="P17" i="18"/>
  <c r="R17" i="18"/>
  <c r="U17" i="18"/>
  <c r="V17" i="18"/>
  <c r="O17" i="18"/>
  <c r="Y17" i="18"/>
  <c r="S17" i="18"/>
  <c r="Q17" i="18"/>
  <c r="T17" i="18"/>
  <c r="Z17" i="18"/>
  <c r="W17" i="18"/>
  <c r="X17" i="18"/>
  <c r="S17" i="9"/>
  <c r="W17" i="9"/>
  <c r="P17" i="9"/>
  <c r="Z17" i="9"/>
  <c r="V17" i="9"/>
  <c r="U17" i="9"/>
  <c r="Y17" i="9"/>
  <c r="P17" i="51"/>
  <c r="Y17" i="51"/>
  <c r="T17" i="51"/>
  <c r="Q17" i="51"/>
  <c r="Z17" i="51"/>
  <c r="W17" i="51"/>
  <c r="X17" i="51"/>
  <c r="V17" i="51"/>
  <c r="R17" i="52"/>
  <c r="S17" i="52"/>
  <c r="X17" i="52"/>
  <c r="Q17" i="52"/>
  <c r="U17" i="52"/>
  <c r="V17" i="52"/>
  <c r="U17" i="53"/>
  <c r="Y17" i="53"/>
  <c r="Z17" i="53"/>
  <c r="O17" i="53"/>
  <c r="V17" i="53"/>
  <c r="S17" i="53"/>
  <c r="R17" i="53"/>
  <c r="P17" i="53"/>
  <c r="Q17" i="53"/>
  <c r="T17" i="53"/>
  <c r="W17" i="53"/>
  <c r="X17" i="53"/>
  <c r="Y17" i="61"/>
  <c r="Z17" i="61"/>
  <c r="Q17" i="61"/>
  <c r="O17" i="61"/>
  <c r="U17" i="61"/>
  <c r="P17" i="61"/>
  <c r="X17" i="61"/>
  <c r="R17" i="61"/>
  <c r="W17" i="61"/>
  <c r="S17" i="61"/>
  <c r="V17" i="61"/>
  <c r="T17" i="61"/>
  <c r="P17" i="63"/>
  <c r="O17" i="63"/>
  <c r="T17" i="63"/>
  <c r="Z17" i="63"/>
  <c r="X17" i="63"/>
  <c r="R17" i="63"/>
  <c r="U17" i="63"/>
  <c r="Q17" i="63"/>
  <c r="Y17" i="63"/>
  <c r="S17" i="63"/>
  <c r="W17" i="63"/>
  <c r="V17" i="63"/>
  <c r="U17" i="54"/>
  <c r="Y17" i="54"/>
  <c r="AE61" i="7" l="1"/>
  <c r="AE58" i="7"/>
  <c r="AH67" i="30"/>
  <c r="AH59" i="30"/>
  <c r="AH51" i="30"/>
  <c r="AH40" i="30"/>
  <c r="AH66" i="30"/>
  <c r="AH58" i="30"/>
  <c r="AH47" i="30"/>
  <c r="AH39" i="30"/>
  <c r="AH65" i="30"/>
  <c r="AH57" i="30"/>
  <c r="AH46" i="30"/>
  <c r="AH45" i="30"/>
  <c r="AH63" i="30"/>
  <c r="AN63" i="30" s="1"/>
  <c r="AH44" i="30"/>
  <c r="AH54" i="30"/>
  <c r="AH61" i="30"/>
  <c r="AH55" i="30"/>
  <c r="AH64" i="30"/>
  <c r="AH56" i="30"/>
  <c r="AH70" i="30"/>
  <c r="AH42" i="30"/>
  <c r="AH43" i="30"/>
  <c r="AH69" i="30"/>
  <c r="AH62" i="30"/>
  <c r="AH68" i="30"/>
  <c r="AH60" i="30"/>
  <c r="AH52" i="30"/>
  <c r="AH41" i="30"/>
  <c r="AH53" i="30"/>
  <c r="AN53" i="30" s="1"/>
  <c r="AH38" i="30"/>
  <c r="AH50" i="30"/>
  <c r="AH35" i="30"/>
  <c r="AH73" i="30"/>
  <c r="AH71" i="30"/>
  <c r="AH74" i="30"/>
  <c r="AD39" i="24"/>
  <c r="AD40" i="24"/>
  <c r="AE35" i="27"/>
  <c r="AE37" i="27"/>
  <c r="AE39" i="27"/>
  <c r="AE43" i="27"/>
  <c r="AE34" i="27"/>
  <c r="AE38" i="27"/>
  <c r="AE40" i="27"/>
  <c r="AE42" i="27"/>
  <c r="AE45" i="27"/>
  <c r="AH87" i="58"/>
  <c r="AE97" i="4"/>
  <c r="AE74" i="4"/>
  <c r="AE76" i="4"/>
  <c r="AE78" i="4"/>
  <c r="AE82" i="4"/>
  <c r="AE86" i="4"/>
  <c r="AE88" i="4"/>
  <c r="AE90" i="4"/>
  <c r="AE94" i="4"/>
  <c r="AE59" i="4"/>
  <c r="AE63" i="4"/>
  <c r="AE65" i="4"/>
  <c r="AE67" i="4"/>
  <c r="AE69" i="4"/>
  <c r="AE35" i="4"/>
  <c r="AE37" i="4"/>
  <c r="AE39" i="4"/>
  <c r="AE43" i="4"/>
  <c r="AE45" i="4"/>
  <c r="AE47" i="4"/>
  <c r="AE49" i="4"/>
  <c r="AE51" i="4"/>
  <c r="AE95" i="4"/>
  <c r="AE98" i="4"/>
  <c r="AE73" i="4"/>
  <c r="AE75" i="4"/>
  <c r="AE77" i="4"/>
  <c r="AE79" i="4"/>
  <c r="AE83" i="4"/>
  <c r="AE85" i="4"/>
  <c r="AE87" i="4"/>
  <c r="AE89" i="4"/>
  <c r="AE91" i="4"/>
  <c r="AE93" i="4"/>
  <c r="AE58" i="4"/>
  <c r="AE60" i="4"/>
  <c r="AE62" i="4"/>
  <c r="AE64" i="4"/>
  <c r="AE66" i="4"/>
  <c r="AE68" i="4"/>
  <c r="AE55" i="4"/>
  <c r="AE36" i="4"/>
  <c r="AE38" i="4"/>
  <c r="AE40" i="4"/>
  <c r="AE42" i="4"/>
  <c r="AE46" i="4"/>
  <c r="AE50" i="4"/>
  <c r="AE40" i="33"/>
  <c r="AE44" i="33"/>
  <c r="AE48" i="33"/>
  <c r="AE52" i="33"/>
  <c r="AE54" i="33"/>
  <c r="AE41" i="33"/>
  <c r="AE43" i="33"/>
  <c r="AE45" i="33"/>
  <c r="AE51" i="33"/>
  <c r="AE53" i="33"/>
  <c r="AE55" i="33"/>
  <c r="AE96" i="17"/>
  <c r="AE95" i="17"/>
  <c r="AE102" i="17"/>
  <c r="AE97" i="17"/>
  <c r="AE147" i="17"/>
  <c r="AE148" i="17"/>
  <c r="AE35" i="32"/>
  <c r="AE34" i="32"/>
  <c r="AE36" i="32"/>
  <c r="AH51" i="67"/>
  <c r="AH43" i="67"/>
  <c r="AN43" i="67" s="1"/>
  <c r="AH50" i="67"/>
  <c r="AH42" i="67"/>
  <c r="AN42" i="67" s="1"/>
  <c r="AH53" i="67"/>
  <c r="AN53" i="67" s="1"/>
  <c r="AH40" i="67"/>
  <c r="AH45" i="67"/>
  <c r="AN45" i="67" s="1"/>
  <c r="AH52" i="67"/>
  <c r="AH36" i="67"/>
  <c r="AN36" i="67" s="1"/>
  <c r="AH48" i="67"/>
  <c r="AH55" i="67"/>
  <c r="AH39" i="67"/>
  <c r="AN39" i="67" s="1"/>
  <c r="AH46" i="67"/>
  <c r="AN46" i="67" s="1"/>
  <c r="AH44" i="67"/>
  <c r="AN44" i="67" s="1"/>
  <c r="AH56" i="67"/>
  <c r="AH38" i="67"/>
  <c r="AH37" i="67"/>
  <c r="AN37" i="67" s="1"/>
  <c r="AH35" i="67"/>
  <c r="AE65" i="28"/>
  <c r="AE61" i="28"/>
  <c r="AE50" i="28"/>
  <c r="AE52" i="28"/>
  <c r="AE40" i="28"/>
  <c r="AE51" i="28"/>
  <c r="AE47" i="28"/>
  <c r="AE58" i="28"/>
  <c r="AE64" i="28"/>
  <c r="AE39" i="28"/>
  <c r="AE43" i="28"/>
  <c r="AE49" i="28"/>
  <c r="AE62" i="28"/>
  <c r="AE53" i="28"/>
  <c r="AE44" i="28"/>
  <c r="AH38" i="68"/>
  <c r="AH89" i="68"/>
  <c r="AH88" i="68"/>
  <c r="AH105" i="68"/>
  <c r="AH36" i="68"/>
  <c r="AH46" i="68"/>
  <c r="AH68" i="68"/>
  <c r="AH97" i="68"/>
  <c r="AH65" i="68"/>
  <c r="AH57" i="68"/>
  <c r="AH102" i="68"/>
  <c r="AH108" i="68"/>
  <c r="AH55" i="68"/>
  <c r="AH67" i="68"/>
  <c r="AH90" i="68"/>
  <c r="AH59" i="68"/>
  <c r="AH66" i="68"/>
  <c r="AH99" i="68"/>
  <c r="AH82" i="68"/>
  <c r="AH35" i="68"/>
  <c r="AH91" i="68"/>
  <c r="AH48" i="68"/>
  <c r="AH69" i="68"/>
  <c r="AH103" i="68"/>
  <c r="AH92" i="68"/>
  <c r="AH74" i="68"/>
  <c r="AH39" i="68"/>
  <c r="AH56" i="68"/>
  <c r="AH45" i="68"/>
  <c r="AH96" i="68"/>
  <c r="AH110" i="68"/>
  <c r="AH47" i="68"/>
  <c r="AH75" i="68"/>
  <c r="AH49" i="68"/>
  <c r="AH109" i="68"/>
  <c r="AH111" i="68"/>
  <c r="AH106" i="68"/>
  <c r="AH58" i="68"/>
  <c r="AH98" i="68"/>
  <c r="AH112" i="68"/>
  <c r="AH104" i="68"/>
  <c r="AH52" i="69"/>
  <c r="AN52" i="69" s="1"/>
  <c r="AH44" i="69"/>
  <c r="AN44" i="69" s="1"/>
  <c r="AH51" i="69"/>
  <c r="AN51" i="69" s="1"/>
  <c r="AH50" i="69"/>
  <c r="AN50" i="69" s="1"/>
  <c r="AH56" i="69"/>
  <c r="AN56" i="69" s="1"/>
  <c r="AH40" i="69"/>
  <c r="AN40" i="69" s="1"/>
  <c r="AH55" i="69"/>
  <c r="AN55" i="69" s="1"/>
  <c r="AH45" i="69"/>
  <c r="AN45" i="69" s="1"/>
  <c r="AH48" i="69"/>
  <c r="AN48" i="69" s="1"/>
  <c r="AH39" i="69"/>
  <c r="AN39" i="69" s="1"/>
  <c r="AH46" i="69"/>
  <c r="AN46" i="69" s="1"/>
  <c r="AH37" i="69"/>
  <c r="AN37" i="69" s="1"/>
  <c r="AH53" i="69"/>
  <c r="AN53" i="69" s="1"/>
  <c r="AH35" i="69"/>
  <c r="AN35" i="69" s="1"/>
  <c r="AH35" i="31"/>
  <c r="AH36" i="31"/>
  <c r="AH34" i="31"/>
  <c r="AH38" i="31"/>
  <c r="AH84" i="66"/>
  <c r="AE60" i="26"/>
  <c r="AE44" i="26"/>
  <c r="AE69" i="26"/>
  <c r="AE72" i="26"/>
  <c r="AE51" i="26"/>
  <c r="AE53" i="26"/>
  <c r="AE55" i="26"/>
  <c r="AE61" i="26"/>
  <c r="AE63" i="26"/>
  <c r="AE65" i="26"/>
  <c r="AE67" i="26"/>
  <c r="AE39" i="26"/>
  <c r="AE41" i="26"/>
  <c r="AE43" i="26"/>
  <c r="AE45" i="26"/>
  <c r="AE47" i="26"/>
  <c r="AE54" i="26"/>
  <c r="AE62" i="26"/>
  <c r="AE42" i="26"/>
  <c r="AE56" i="26"/>
  <c r="AE46" i="26"/>
  <c r="AE50" i="26"/>
  <c r="AE64" i="26"/>
  <c r="AE40" i="26"/>
  <c r="AE35" i="26"/>
  <c r="AE68" i="26"/>
  <c r="AE52" i="26"/>
  <c r="AE38" i="26"/>
  <c r="AE71" i="26"/>
  <c r="AE58" i="26"/>
  <c r="AG39" i="24"/>
  <c r="AG37" i="24"/>
  <c r="AM37" i="24" s="1"/>
  <c r="AG40" i="24"/>
  <c r="AE55" i="36"/>
  <c r="AE57" i="36"/>
  <c r="AE59" i="36"/>
  <c r="AE61" i="36"/>
  <c r="AE48" i="36"/>
  <c r="AE50" i="36"/>
  <c r="AE36" i="36"/>
  <c r="AE38" i="36"/>
  <c r="AE64" i="36"/>
  <c r="AE54" i="36"/>
  <c r="AE58" i="36"/>
  <c r="AE60" i="36"/>
  <c r="AE62" i="36"/>
  <c r="AE47" i="36"/>
  <c r="AE49" i="36"/>
  <c r="AE37" i="36"/>
  <c r="AE39" i="36"/>
  <c r="AE41" i="36"/>
  <c r="AH88" i="4"/>
  <c r="AH80" i="4"/>
  <c r="AH69" i="4"/>
  <c r="AH86" i="4"/>
  <c r="AH59" i="4"/>
  <c r="AH77" i="4"/>
  <c r="AH63" i="4"/>
  <c r="AH87" i="4"/>
  <c r="AH79" i="4"/>
  <c r="AH68" i="4"/>
  <c r="AH60" i="4"/>
  <c r="AH94" i="4"/>
  <c r="AH67" i="4"/>
  <c r="AH85" i="4"/>
  <c r="AH66" i="4"/>
  <c r="AH83" i="4"/>
  <c r="AH78" i="4"/>
  <c r="AH91" i="4"/>
  <c r="AH64" i="4"/>
  <c r="AH82" i="4"/>
  <c r="AH93" i="4"/>
  <c r="AH84" i="4"/>
  <c r="AH65" i="4"/>
  <c r="AH75" i="4"/>
  <c r="AH76" i="4"/>
  <c r="AH90" i="4"/>
  <c r="AH89" i="4"/>
  <c r="AH81" i="4"/>
  <c r="AH73" i="4"/>
  <c r="AH62" i="4"/>
  <c r="AH74" i="4"/>
  <c r="AH50" i="4"/>
  <c r="AH42" i="4"/>
  <c r="AH40" i="4"/>
  <c r="AH38" i="4"/>
  <c r="AH49" i="4"/>
  <c r="AH39" i="4"/>
  <c r="AH46" i="4"/>
  <c r="AH47" i="4"/>
  <c r="AH37" i="4"/>
  <c r="AH36" i="4"/>
  <c r="AH51" i="4"/>
  <c r="AH43" i="4"/>
  <c r="AH58" i="4"/>
  <c r="AH98" i="4"/>
  <c r="AH97" i="4"/>
  <c r="AH55" i="4"/>
  <c r="AH35" i="4"/>
  <c r="AH95" i="4"/>
  <c r="AD40" i="37"/>
  <c r="AD42" i="37"/>
  <c r="AD39" i="37"/>
  <c r="AD41" i="37"/>
  <c r="AD43" i="37"/>
  <c r="AE41" i="7"/>
  <c r="AE45" i="7"/>
  <c r="AE48" i="7"/>
  <c r="AE38" i="7"/>
  <c r="AE47" i="7"/>
  <c r="AE54" i="6"/>
  <c r="AE56" i="6"/>
  <c r="AE58" i="6"/>
  <c r="AE62" i="6"/>
  <c r="AE64" i="6"/>
  <c r="AE68" i="6"/>
  <c r="AE36" i="6"/>
  <c r="AE38" i="6"/>
  <c r="AE40" i="6"/>
  <c r="AE42" i="6"/>
  <c r="AE44" i="6"/>
  <c r="AE46" i="6"/>
  <c r="AE48" i="6"/>
  <c r="AE50" i="6"/>
  <c r="AE52" i="6"/>
  <c r="AE37" i="6"/>
  <c r="AE39" i="6"/>
  <c r="AE41" i="6"/>
  <c r="AE45" i="6"/>
  <c r="AE47" i="6"/>
  <c r="AE49" i="6"/>
  <c r="AE51" i="6"/>
  <c r="AE35" i="6"/>
  <c r="AE61" i="6"/>
  <c r="AE65" i="6"/>
  <c r="AE55" i="6"/>
  <c r="AE59" i="6"/>
  <c r="AE69" i="6"/>
  <c r="AE34" i="6"/>
  <c r="AE57" i="6"/>
  <c r="AE67" i="6"/>
  <c r="AH36" i="23"/>
  <c r="AH38" i="23"/>
  <c r="AH53" i="23"/>
  <c r="AH96" i="23"/>
  <c r="AH98" i="23"/>
  <c r="AH34" i="23"/>
  <c r="AE98" i="23"/>
  <c r="AE34" i="23"/>
  <c r="AE36" i="23"/>
  <c r="AE38" i="23"/>
  <c r="AE53" i="23"/>
  <c r="AE96" i="23"/>
  <c r="AH48" i="28"/>
  <c r="AH59" i="28"/>
  <c r="AH52" i="28"/>
  <c r="AH51" i="28"/>
  <c r="AH58" i="28"/>
  <c r="AH49" i="28"/>
  <c r="AH50" i="28"/>
  <c r="AH61" i="28"/>
  <c r="AH43" i="28"/>
  <c r="AH40" i="28"/>
  <c r="AH53" i="28"/>
  <c r="AH44" i="28"/>
  <c r="AH47" i="28"/>
  <c r="AH39" i="28"/>
  <c r="AH65" i="28"/>
  <c r="AH62" i="28"/>
  <c r="AH64" i="28"/>
  <c r="AH104" i="17"/>
  <c r="AE44" i="16"/>
  <c r="AE53" i="16"/>
  <c r="AE118" i="16"/>
  <c r="AE121" i="16"/>
  <c r="AE94" i="16"/>
  <c r="AE38" i="16"/>
  <c r="AE120" i="16"/>
  <c r="AE39" i="16"/>
  <c r="AE47" i="16"/>
  <c r="AE54" i="16"/>
  <c r="AE45" i="16"/>
  <c r="AE56" i="16"/>
  <c r="AE70" i="16"/>
  <c r="AH68" i="29"/>
  <c r="AH52" i="29"/>
  <c r="AN52" i="29" s="1"/>
  <c r="AH41" i="29"/>
  <c r="AH59" i="29"/>
  <c r="AH40" i="29"/>
  <c r="AH58" i="29"/>
  <c r="AN58" i="29" s="1"/>
  <c r="AH39" i="29"/>
  <c r="AH57" i="29"/>
  <c r="AH64" i="29"/>
  <c r="AH67" i="29"/>
  <c r="AH66" i="29"/>
  <c r="AN66" i="29" s="1"/>
  <c r="AH47" i="29"/>
  <c r="AH46" i="29"/>
  <c r="AH72" i="29"/>
  <c r="AH45" i="29"/>
  <c r="AH63" i="29"/>
  <c r="AN63" i="29" s="1"/>
  <c r="AH70" i="29"/>
  <c r="AN70" i="29" s="1"/>
  <c r="AH71" i="29"/>
  <c r="AH62" i="29"/>
  <c r="AH56" i="29"/>
  <c r="AH55" i="29"/>
  <c r="AH54" i="29"/>
  <c r="AH69" i="29"/>
  <c r="AH61" i="29"/>
  <c r="AH53" i="29"/>
  <c r="AH42" i="29"/>
  <c r="AH44" i="29"/>
  <c r="AH43" i="29"/>
  <c r="AH35" i="29"/>
  <c r="AH75" i="29"/>
  <c r="AH38" i="29"/>
  <c r="AH76" i="29"/>
  <c r="AH50" i="29"/>
  <c r="AH73" i="29"/>
  <c r="AE73" i="6"/>
  <c r="AE75" i="6"/>
  <c r="AE77" i="6"/>
  <c r="AE79" i="6"/>
  <c r="AE83" i="6"/>
  <c r="AE85" i="6"/>
  <c r="AE87" i="6"/>
  <c r="AE89" i="6"/>
  <c r="AE93" i="6"/>
  <c r="AE95" i="6"/>
  <c r="AE97" i="6"/>
  <c r="AE99" i="6"/>
  <c r="AE103" i="6"/>
  <c r="AE105" i="6"/>
  <c r="AE80" i="6"/>
  <c r="AE92" i="6"/>
  <c r="AE74" i="6"/>
  <c r="AE86" i="6"/>
  <c r="AE96" i="6"/>
  <c r="AE90" i="6"/>
  <c r="AE72" i="6"/>
  <c r="AE84" i="6"/>
  <c r="AE76" i="6"/>
  <c r="AE88" i="6"/>
  <c r="AE109" i="6"/>
  <c r="AE82" i="6"/>
  <c r="AE107" i="6"/>
  <c r="AE116" i="6"/>
  <c r="AE102" i="6"/>
  <c r="AE78" i="6"/>
  <c r="AE100" i="6"/>
  <c r="AE115" i="6"/>
  <c r="AE94" i="6"/>
  <c r="AE65" i="15"/>
  <c r="AM65" i="15" s="1"/>
  <c r="AE68" i="15"/>
  <c r="AE35" i="15"/>
  <c r="AE39" i="15"/>
  <c r="AE41" i="15"/>
  <c r="AE67" i="15"/>
  <c r="AE38" i="15"/>
  <c r="AE63" i="15"/>
  <c r="AM63" i="15" s="1"/>
  <c r="AE36" i="15"/>
  <c r="AE51" i="15"/>
  <c r="AE36" i="25"/>
  <c r="AE38" i="25"/>
  <c r="AE46" i="25"/>
  <c r="AE50" i="25"/>
  <c r="AE37" i="25"/>
  <c r="AE35" i="25"/>
  <c r="AE34" i="31"/>
  <c r="AE36" i="31"/>
  <c r="AE35" i="31"/>
  <c r="AE37" i="31"/>
  <c r="AE38" i="31"/>
  <c r="AE73" i="29"/>
  <c r="AE76" i="29"/>
  <c r="AE51" i="29"/>
  <c r="AM51" i="29" s="1"/>
  <c r="AE53" i="29"/>
  <c r="AE55" i="29"/>
  <c r="AE57" i="29"/>
  <c r="AE59" i="29"/>
  <c r="AE61" i="29"/>
  <c r="AE65" i="29"/>
  <c r="AE67" i="29"/>
  <c r="AE69" i="29"/>
  <c r="AE71" i="29"/>
  <c r="AE38" i="29"/>
  <c r="AE40" i="29"/>
  <c r="AE42" i="29"/>
  <c r="AE44" i="29"/>
  <c r="AE46" i="29"/>
  <c r="AE35" i="29"/>
  <c r="AE75" i="29"/>
  <c r="AE50" i="29"/>
  <c r="AE54" i="29"/>
  <c r="AE56" i="29"/>
  <c r="AE62" i="29"/>
  <c r="AE64" i="29"/>
  <c r="AE68" i="29"/>
  <c r="AE72" i="29"/>
  <c r="AE39" i="29"/>
  <c r="AE41" i="29"/>
  <c r="AE43" i="29"/>
  <c r="AE45" i="29"/>
  <c r="AE47" i="29"/>
  <c r="AH87" i="51"/>
  <c r="AN87" i="51" s="1"/>
  <c r="AH92" i="51"/>
  <c r="AN92" i="51" s="1"/>
  <c r="AH83" i="51"/>
  <c r="AH82" i="51"/>
  <c r="AH89" i="51"/>
  <c r="AN89" i="51" s="1"/>
  <c r="AH93" i="51"/>
  <c r="AN93" i="51" s="1"/>
  <c r="AH81" i="51"/>
  <c r="AH91" i="51"/>
  <c r="AN91" i="51" s="1"/>
  <c r="AH80" i="51"/>
  <c r="AH90" i="51"/>
  <c r="AN90" i="51" s="1"/>
  <c r="AH88" i="51"/>
  <c r="AN88" i="51" s="1"/>
  <c r="AH48" i="51"/>
  <c r="AH40" i="51"/>
  <c r="AH54" i="51"/>
  <c r="AH37" i="51"/>
  <c r="AN37" i="51" s="1"/>
  <c r="AH55" i="51"/>
  <c r="AH47" i="51"/>
  <c r="AH44" i="51"/>
  <c r="AN44" i="51" s="1"/>
  <c r="AH58" i="51"/>
  <c r="AH42" i="51"/>
  <c r="AN42" i="51" s="1"/>
  <c r="AH36" i="51"/>
  <c r="AH43" i="51"/>
  <c r="AH57" i="51"/>
  <c r="AH49" i="51"/>
  <c r="AH96" i="51"/>
  <c r="AH86" i="51"/>
  <c r="AH94" i="51"/>
  <c r="AH79" i="51"/>
  <c r="AH35" i="51"/>
  <c r="AN35" i="51" s="1"/>
  <c r="AH72" i="51"/>
  <c r="AH97" i="51"/>
  <c r="AH69" i="70"/>
  <c r="AH106" i="70"/>
  <c r="AH66" i="70"/>
  <c r="AH55" i="70"/>
  <c r="AH91" i="70"/>
  <c r="AH112" i="70"/>
  <c r="AH58" i="70"/>
  <c r="AH90" i="70"/>
  <c r="AH99" i="70"/>
  <c r="AH97" i="70"/>
  <c r="AH39" i="70"/>
  <c r="AH82" i="70"/>
  <c r="AH92" i="70"/>
  <c r="AH104" i="70"/>
  <c r="AH65" i="70"/>
  <c r="AH111" i="70"/>
  <c r="AH59" i="70"/>
  <c r="AH57" i="70"/>
  <c r="AH56" i="70"/>
  <c r="AH35" i="70"/>
  <c r="AH110" i="70"/>
  <c r="AH97" i="6"/>
  <c r="AH113" i="6"/>
  <c r="AH106" i="6"/>
  <c r="AH95" i="6"/>
  <c r="AH80" i="6"/>
  <c r="AH107" i="6"/>
  <c r="AH115" i="6"/>
  <c r="AH82" i="6"/>
  <c r="AH73" i="6"/>
  <c r="AH93" i="6"/>
  <c r="AH85" i="6"/>
  <c r="AH114" i="6"/>
  <c r="AH92" i="6"/>
  <c r="AH111" i="6"/>
  <c r="AH84" i="6"/>
  <c r="AH103" i="6"/>
  <c r="AH96" i="6"/>
  <c r="AH94" i="6"/>
  <c r="AH79" i="6"/>
  <c r="AH75" i="6"/>
  <c r="AH72" i="6"/>
  <c r="AH109" i="6"/>
  <c r="AH76" i="6"/>
  <c r="AH86" i="6"/>
  <c r="AH89" i="6"/>
  <c r="AH87" i="6"/>
  <c r="AH90" i="6"/>
  <c r="AH78" i="6"/>
  <c r="AH102" i="6"/>
  <c r="AH105" i="6"/>
  <c r="AH83" i="6"/>
  <c r="AH74" i="6"/>
  <c r="AH88" i="6"/>
  <c r="AH77" i="6"/>
  <c r="AH45" i="66"/>
  <c r="AH68" i="66"/>
  <c r="AH98" i="66"/>
  <c r="AH49" i="66"/>
  <c r="AH55" i="66"/>
  <c r="AH65" i="66"/>
  <c r="AH75" i="66"/>
  <c r="AH57" i="66"/>
  <c r="AH100" i="66"/>
  <c r="AH56" i="66"/>
  <c r="AH69" i="66"/>
  <c r="AH99" i="66"/>
  <c r="AH67" i="66"/>
  <c r="AH46" i="66"/>
  <c r="AH36" i="66"/>
  <c r="AH114" i="66"/>
  <c r="AH48" i="66"/>
  <c r="AH108" i="66"/>
  <c r="AH59" i="66"/>
  <c r="AH113" i="66"/>
  <c r="AH102" i="66"/>
  <c r="AH39" i="66"/>
  <c r="AH120" i="66"/>
  <c r="AH74" i="66"/>
  <c r="AH115" i="66"/>
  <c r="AH121" i="66"/>
  <c r="AH66" i="66"/>
  <c r="AH82" i="66"/>
  <c r="AH118" i="66"/>
  <c r="AH112" i="66"/>
  <c r="AH101" i="66"/>
  <c r="AH122" i="66"/>
  <c r="AH38" i="66"/>
  <c r="AH35" i="66"/>
  <c r="AH106" i="66"/>
  <c r="AH109" i="66"/>
  <c r="AH47" i="66"/>
  <c r="AH58" i="66"/>
  <c r="AH119" i="66"/>
  <c r="AH116" i="66"/>
  <c r="AH107" i="66"/>
  <c r="AH87" i="39"/>
  <c r="AE71" i="30"/>
  <c r="AE74" i="30"/>
  <c r="AE51" i="30"/>
  <c r="AE53" i="30"/>
  <c r="AM53" i="30" s="1"/>
  <c r="AE55" i="30"/>
  <c r="AE57" i="30"/>
  <c r="AE73" i="30"/>
  <c r="AE50" i="30"/>
  <c r="AE52" i="30"/>
  <c r="AE54" i="30"/>
  <c r="AE56" i="30"/>
  <c r="AE58" i="30"/>
  <c r="AE59" i="30"/>
  <c r="AE60" i="30"/>
  <c r="AE62" i="30"/>
  <c r="AE64" i="30"/>
  <c r="AE66" i="30"/>
  <c r="AE68" i="30"/>
  <c r="AE70" i="30"/>
  <c r="AE39" i="30"/>
  <c r="AE41" i="30"/>
  <c r="AE43" i="30"/>
  <c r="AE45" i="30"/>
  <c r="AE47" i="30"/>
  <c r="AE61" i="30"/>
  <c r="AE63" i="30"/>
  <c r="AM63" i="30" s="1"/>
  <c r="AE65" i="30"/>
  <c r="AE67" i="30"/>
  <c r="AE69" i="30"/>
  <c r="AE38" i="30"/>
  <c r="AE42" i="30"/>
  <c r="AE44" i="30"/>
  <c r="AE46" i="30"/>
  <c r="AE35" i="30"/>
  <c r="AH41" i="7"/>
  <c r="AH38" i="7"/>
  <c r="AH45" i="7"/>
  <c r="AH48" i="7"/>
  <c r="AH47" i="7"/>
  <c r="AH115" i="9"/>
  <c r="AN115" i="9" s="1"/>
  <c r="AH107" i="9"/>
  <c r="AN107" i="9" s="1"/>
  <c r="AH99" i="9"/>
  <c r="AN99" i="9" s="1"/>
  <c r="AH88" i="9"/>
  <c r="AH80" i="9"/>
  <c r="AH106" i="9"/>
  <c r="AN106" i="9" s="1"/>
  <c r="AH98" i="9"/>
  <c r="AN98" i="9" s="1"/>
  <c r="AH87" i="9"/>
  <c r="AH77" i="9"/>
  <c r="AN77" i="9" s="1"/>
  <c r="AH96" i="9"/>
  <c r="AN96" i="9" s="1"/>
  <c r="AH84" i="9"/>
  <c r="AN84" i="9" s="1"/>
  <c r="AH102" i="9"/>
  <c r="AH114" i="9"/>
  <c r="AN114" i="9" s="1"/>
  <c r="AH113" i="9"/>
  <c r="AN113" i="9" s="1"/>
  <c r="AH86" i="9"/>
  <c r="AH111" i="9"/>
  <c r="AH95" i="9"/>
  <c r="AN95" i="9" s="1"/>
  <c r="AH101" i="9"/>
  <c r="AN101" i="9" s="1"/>
  <c r="AH97" i="9"/>
  <c r="AN97" i="9" s="1"/>
  <c r="AH104" i="9"/>
  <c r="AH85" i="9"/>
  <c r="AH103" i="9"/>
  <c r="AH83" i="9"/>
  <c r="AH112" i="9"/>
  <c r="AN112" i="9" s="1"/>
  <c r="AH118" i="9"/>
  <c r="AN118" i="9" s="1"/>
  <c r="AH110" i="9"/>
  <c r="AH90" i="9"/>
  <c r="AH94" i="9"/>
  <c r="AN94" i="9" s="1"/>
  <c r="AH109" i="9"/>
  <c r="AH116" i="9"/>
  <c r="AH108" i="9"/>
  <c r="AN108" i="9" s="1"/>
  <c r="AH100" i="9"/>
  <c r="AH89" i="9"/>
  <c r="AH81" i="9"/>
  <c r="AH117" i="9"/>
  <c r="AN117" i="9" s="1"/>
  <c r="AH82" i="9"/>
  <c r="AH42" i="9"/>
  <c r="AH37" i="9"/>
  <c r="AH58" i="9"/>
  <c r="AH48" i="9"/>
  <c r="AN48" i="9" s="1"/>
  <c r="AH57" i="9"/>
  <c r="AH49" i="9"/>
  <c r="AH40" i="9"/>
  <c r="AH55" i="9"/>
  <c r="AH47" i="9"/>
  <c r="AH54" i="9"/>
  <c r="AH44" i="9"/>
  <c r="AN44" i="9" s="1"/>
  <c r="AH119" i="9"/>
  <c r="AH93" i="9"/>
  <c r="AN93" i="9" s="1"/>
  <c r="AH121" i="9"/>
  <c r="AH35" i="9"/>
  <c r="AH72" i="9"/>
  <c r="AH76" i="9"/>
  <c r="AN76" i="9" s="1"/>
  <c r="AH79" i="9"/>
  <c r="AH122" i="9"/>
  <c r="AH34" i="32"/>
  <c r="AH36" i="32"/>
  <c r="AH44" i="21"/>
  <c r="AN44" i="21" s="1"/>
  <c r="AH35" i="21"/>
  <c r="AN35" i="21" s="1"/>
  <c r="AH58" i="21"/>
  <c r="AN58" i="21" s="1"/>
  <c r="AH74" i="21"/>
  <c r="AN74" i="21" s="1"/>
  <c r="AH56" i="36"/>
  <c r="AH45" i="36"/>
  <c r="AH41" i="36"/>
  <c r="AH54" i="36"/>
  <c r="AH50" i="36"/>
  <c r="AH60" i="36"/>
  <c r="AH38" i="36"/>
  <c r="AH47" i="36"/>
  <c r="AH55" i="36"/>
  <c r="AH62" i="36"/>
  <c r="AH40" i="36"/>
  <c r="AH36" i="36"/>
  <c r="AH59" i="36"/>
  <c r="AH58" i="36"/>
  <c r="AH61" i="36"/>
  <c r="AH39" i="36"/>
  <c r="AH49" i="36"/>
  <c r="AH37" i="36"/>
  <c r="AH48" i="36"/>
  <c r="AH57" i="36"/>
  <c r="AH46" i="36"/>
  <c r="AH53" i="36"/>
  <c r="AN53" i="36" s="1"/>
  <c r="AH64" i="36"/>
  <c r="AH44" i="36"/>
  <c r="AH95" i="54"/>
  <c r="AN95" i="54" s="1"/>
  <c r="AH84" i="54"/>
  <c r="AH89" i="54"/>
  <c r="AN89" i="54" s="1"/>
  <c r="AH94" i="54"/>
  <c r="AN94" i="54" s="1"/>
  <c r="AH83" i="54"/>
  <c r="AH93" i="54"/>
  <c r="AN93" i="54" s="1"/>
  <c r="AH82" i="54"/>
  <c r="AH92" i="54"/>
  <c r="AN92" i="54" s="1"/>
  <c r="AH81" i="54"/>
  <c r="AH91" i="54"/>
  <c r="AN91" i="54" s="1"/>
  <c r="AH80" i="54"/>
  <c r="AH96" i="54"/>
  <c r="AN96" i="54" s="1"/>
  <c r="AH85" i="54"/>
  <c r="AH90" i="54"/>
  <c r="AN90" i="54" s="1"/>
  <c r="AH43" i="54"/>
  <c r="AN43" i="54" s="1"/>
  <c r="AH57" i="54"/>
  <c r="AH48" i="54"/>
  <c r="AN48" i="54" s="1"/>
  <c r="AH54" i="54"/>
  <c r="AH58" i="54"/>
  <c r="AH49" i="54"/>
  <c r="AH40" i="54"/>
  <c r="AH47" i="54"/>
  <c r="AH38" i="54"/>
  <c r="AH45" i="54"/>
  <c r="AH55" i="54"/>
  <c r="AH88" i="54"/>
  <c r="AN88" i="54" s="1"/>
  <c r="AH35" i="54"/>
  <c r="AN35" i="54" s="1"/>
  <c r="AH79" i="54"/>
  <c r="AH97" i="54"/>
  <c r="AN97" i="54" s="1"/>
  <c r="AH100" i="54"/>
  <c r="AH72" i="54"/>
  <c r="AH99" i="54"/>
  <c r="AH110" i="16"/>
  <c r="AH102" i="16"/>
  <c r="AH94" i="16"/>
  <c r="AH83" i="16"/>
  <c r="AH109" i="16"/>
  <c r="AH101" i="16"/>
  <c r="AH93" i="16"/>
  <c r="AN93" i="16" s="1"/>
  <c r="AH108" i="16"/>
  <c r="AH100" i="16"/>
  <c r="AN100" i="16" s="1"/>
  <c r="AH107" i="16"/>
  <c r="AN107" i="16" s="1"/>
  <c r="AH99" i="16"/>
  <c r="AH80" i="16"/>
  <c r="AH98" i="16"/>
  <c r="AN98" i="16" s="1"/>
  <c r="AH75" i="16"/>
  <c r="AN75" i="16" s="1"/>
  <c r="AH117" i="16"/>
  <c r="AN117" i="16" s="1"/>
  <c r="AH82" i="16"/>
  <c r="AN82" i="16" s="1"/>
  <c r="AH92" i="16"/>
  <c r="AN92" i="16" s="1"/>
  <c r="AH78" i="16"/>
  <c r="AH116" i="16"/>
  <c r="AN116" i="16" s="1"/>
  <c r="AH81" i="16"/>
  <c r="AH88" i="16"/>
  <c r="AH114" i="16"/>
  <c r="AH87" i="16"/>
  <c r="AH113" i="16"/>
  <c r="AN113" i="16" s="1"/>
  <c r="AH97" i="16"/>
  <c r="AN97" i="16" s="1"/>
  <c r="AH96" i="16"/>
  <c r="AN96" i="16" s="1"/>
  <c r="AH95" i="16"/>
  <c r="AN95" i="16" s="1"/>
  <c r="AH115" i="16"/>
  <c r="AH106" i="16"/>
  <c r="AN106" i="16" s="1"/>
  <c r="AH79" i="16"/>
  <c r="AH85" i="16"/>
  <c r="AH103" i="16"/>
  <c r="AH86" i="16"/>
  <c r="AH112" i="16"/>
  <c r="AN112" i="16" s="1"/>
  <c r="AH111" i="16"/>
  <c r="AN111" i="16" s="1"/>
  <c r="AH105" i="16"/>
  <c r="AN105" i="16" s="1"/>
  <c r="AH84" i="16"/>
  <c r="AH121" i="16"/>
  <c r="AH91" i="16"/>
  <c r="AN91" i="16" s="1"/>
  <c r="AH49" i="16"/>
  <c r="AH56" i="16"/>
  <c r="AH45" i="16"/>
  <c r="AH50" i="16"/>
  <c r="AH37" i="16"/>
  <c r="AH44" i="16"/>
  <c r="AH54" i="16"/>
  <c r="AH74" i="16"/>
  <c r="AN74" i="16" s="1"/>
  <c r="AH120" i="16"/>
  <c r="AH47" i="16"/>
  <c r="AH77" i="16"/>
  <c r="AH39" i="16"/>
  <c r="AH52" i="16"/>
  <c r="AH118" i="16"/>
  <c r="AH46" i="16"/>
  <c r="AH43" i="16"/>
  <c r="AN43" i="16" s="1"/>
  <c r="AH70" i="16"/>
  <c r="AH53" i="16"/>
  <c r="AH35" i="16"/>
  <c r="AH38" i="16"/>
  <c r="AH41" i="16"/>
  <c r="AH38" i="25"/>
  <c r="AH35" i="25"/>
  <c r="AH46" i="25"/>
  <c r="AH37" i="25"/>
  <c r="AH36" i="25"/>
  <c r="AH50" i="25"/>
  <c r="AG39" i="37"/>
  <c r="AG41" i="37"/>
  <c r="AG43" i="37"/>
  <c r="AG40" i="37"/>
  <c r="AG42" i="37"/>
  <c r="AH59" i="6"/>
  <c r="AH44" i="6"/>
  <c r="AH48" i="6"/>
  <c r="AH65" i="6"/>
  <c r="AH40" i="6"/>
  <c r="AH68" i="6"/>
  <c r="AH42" i="6"/>
  <c r="AH55" i="6"/>
  <c r="AH51" i="6"/>
  <c r="AH34" i="6"/>
  <c r="AH57" i="6"/>
  <c r="AH67" i="6"/>
  <c r="AH64" i="6"/>
  <c r="AH49" i="6"/>
  <c r="AH36" i="6"/>
  <c r="AH52" i="6"/>
  <c r="AH39" i="6"/>
  <c r="AH47" i="6"/>
  <c r="AH45" i="6"/>
  <c r="AH41" i="6"/>
  <c r="AH46" i="6"/>
  <c r="AH35" i="6"/>
  <c r="AH56" i="6"/>
  <c r="AH54" i="6"/>
  <c r="AH37" i="6"/>
  <c r="AH58" i="6"/>
  <c r="AH69" i="6"/>
  <c r="AH50" i="6"/>
  <c r="AH38" i="6"/>
  <c r="AH116" i="55"/>
  <c r="AH107" i="55"/>
  <c r="AH55" i="55"/>
  <c r="AH46" i="55"/>
  <c r="AH99" i="55"/>
  <c r="AH103" i="55"/>
  <c r="AH39" i="55"/>
  <c r="AH45" i="55"/>
  <c r="AH108" i="55"/>
  <c r="AH126" i="55"/>
  <c r="AH100" i="55"/>
  <c r="AH122" i="55"/>
  <c r="AH57" i="55"/>
  <c r="AH98" i="55"/>
  <c r="AH48" i="55"/>
  <c r="AH85" i="55"/>
  <c r="AH58" i="55"/>
  <c r="AH35" i="55"/>
  <c r="AH59" i="55"/>
  <c r="AH119" i="55"/>
  <c r="AH36" i="55"/>
  <c r="AH121" i="55"/>
  <c r="AH49" i="55"/>
  <c r="AH111" i="55"/>
  <c r="AH83" i="55"/>
  <c r="AH47" i="55"/>
  <c r="AH123" i="55"/>
  <c r="AH56" i="55"/>
  <c r="AH115" i="55"/>
  <c r="AH58" i="7"/>
  <c r="AH61" i="7"/>
  <c r="AH53" i="33"/>
  <c r="AH45" i="33"/>
  <c r="AH37" i="33"/>
  <c r="AH52" i="33"/>
  <c r="AH44" i="33"/>
  <c r="AH51" i="33"/>
  <c r="AH35" i="33"/>
  <c r="AH48" i="33"/>
  <c r="AH43" i="33"/>
  <c r="AH40" i="33"/>
  <c r="AH55" i="33"/>
  <c r="AH54" i="33"/>
  <c r="AH41" i="33"/>
  <c r="AH39" i="33"/>
  <c r="AH43" i="27"/>
  <c r="AH35" i="27"/>
  <c r="AH42" i="27"/>
  <c r="AH40" i="27"/>
  <c r="AH39" i="27"/>
  <c r="AH38" i="27"/>
  <c r="AH36" i="27"/>
  <c r="AN36" i="27" s="1"/>
  <c r="AH44" i="27"/>
  <c r="AN44" i="27" s="1"/>
  <c r="AH37" i="27"/>
  <c r="AH34" i="27"/>
  <c r="AH45" i="27"/>
  <c r="AH39" i="15"/>
  <c r="AH41" i="15"/>
  <c r="AH38" i="15"/>
  <c r="AH36" i="15"/>
  <c r="AH37" i="15"/>
  <c r="AN37" i="15" s="1"/>
  <c r="AH65" i="15"/>
  <c r="AN65" i="15" s="1"/>
  <c r="AH51" i="15"/>
  <c r="AH67" i="15"/>
  <c r="AH63" i="15"/>
  <c r="AN63" i="15" s="1"/>
  <c r="AH68" i="15"/>
  <c r="AH35" i="15"/>
  <c r="AH87" i="55"/>
  <c r="AH61" i="26"/>
  <c r="AH53" i="26"/>
  <c r="AH42" i="26"/>
  <c r="AH52" i="26"/>
  <c r="AH41" i="26"/>
  <c r="AH51" i="26"/>
  <c r="AH65" i="26"/>
  <c r="AH60" i="26"/>
  <c r="AH67" i="26"/>
  <c r="AH40" i="26"/>
  <c r="AH58" i="26"/>
  <c r="AH56" i="26"/>
  <c r="AH44" i="26"/>
  <c r="AH43" i="26"/>
  <c r="AH59" i="26"/>
  <c r="AH47" i="26"/>
  <c r="AH64" i="26"/>
  <c r="AH55" i="26"/>
  <c r="AH54" i="26"/>
  <c r="AH46" i="26"/>
  <c r="AH45" i="26"/>
  <c r="AH63" i="26"/>
  <c r="AH72" i="26"/>
  <c r="AH69" i="26"/>
  <c r="AH50" i="26"/>
  <c r="AH68" i="26"/>
  <c r="AH38" i="26"/>
  <c r="AH71" i="26"/>
  <c r="AH35" i="26"/>
  <c r="AH89" i="17"/>
  <c r="AH120" i="17"/>
  <c r="AH55" i="17"/>
  <c r="AH62" i="17"/>
  <c r="AH116" i="17"/>
  <c r="AH115" i="17"/>
  <c r="AH127" i="17"/>
  <c r="AH134" i="17"/>
  <c r="AH45" i="17"/>
  <c r="AH80" i="17"/>
  <c r="AH54" i="17"/>
  <c r="AH135" i="17"/>
  <c r="AH48" i="17"/>
  <c r="AH121" i="17"/>
  <c r="AH39" i="17"/>
  <c r="AH125" i="17"/>
  <c r="AH99" i="17"/>
  <c r="AH81" i="17"/>
  <c r="AH96" i="17"/>
  <c r="AH141" i="17"/>
  <c r="AH139" i="17"/>
  <c r="AH38" i="17"/>
  <c r="AH144" i="17"/>
  <c r="AH124" i="17"/>
  <c r="AH142" i="17"/>
  <c r="AH84" i="17"/>
  <c r="AH102" i="17"/>
  <c r="AH118" i="17"/>
  <c r="AH138" i="17"/>
  <c r="AH148" i="17"/>
  <c r="AH57" i="17"/>
  <c r="AH46" i="17"/>
  <c r="AH66" i="17"/>
  <c r="AH146" i="17"/>
  <c r="AH83" i="17"/>
  <c r="AH129" i="17"/>
  <c r="AH36" i="17"/>
  <c r="AH64" i="17"/>
  <c r="AH130" i="17"/>
  <c r="AH117" i="17"/>
  <c r="AH56" i="17"/>
  <c r="AH53" i="17"/>
  <c r="AH97" i="17"/>
  <c r="AH90" i="17"/>
  <c r="AH37" i="17"/>
  <c r="AH147" i="17"/>
  <c r="AH35" i="17"/>
  <c r="AH63" i="17"/>
  <c r="AH133" i="17"/>
  <c r="AH82" i="17"/>
  <c r="AH65" i="17"/>
  <c r="AH47" i="17"/>
  <c r="AH126" i="17"/>
  <c r="AH143" i="17"/>
  <c r="AH136" i="17"/>
  <c r="AH44" i="17"/>
  <c r="AH95" i="17"/>
  <c r="AH83" i="70"/>
  <c r="AH87" i="65"/>
  <c r="AN87" i="65" s="1"/>
  <c r="AH86" i="65"/>
  <c r="AN86" i="65" s="1"/>
  <c r="AH82" i="65"/>
  <c r="AH79" i="65"/>
  <c r="AH80" i="65"/>
  <c r="AN80" i="65" s="1"/>
  <c r="AH78" i="65"/>
  <c r="AH88" i="65"/>
  <c r="AN88" i="65" s="1"/>
  <c r="AH81" i="65"/>
  <c r="AH90" i="65"/>
  <c r="AH89" i="65"/>
  <c r="AN89" i="65" s="1"/>
  <c r="AH53" i="65"/>
  <c r="AN53" i="65" s="1"/>
  <c r="AH45" i="65"/>
  <c r="AN45" i="65" s="1"/>
  <c r="AH37" i="65"/>
  <c r="AN37" i="65" s="1"/>
  <c r="AH52" i="65"/>
  <c r="AH44" i="65"/>
  <c r="AN44" i="65" s="1"/>
  <c r="AH36" i="65"/>
  <c r="AN36" i="65" s="1"/>
  <c r="AH43" i="65"/>
  <c r="AN43" i="65" s="1"/>
  <c r="AH50" i="65"/>
  <c r="AH55" i="65"/>
  <c r="AH39" i="65"/>
  <c r="AN39" i="65" s="1"/>
  <c r="AH56" i="65"/>
  <c r="AH51" i="65"/>
  <c r="AH42" i="65"/>
  <c r="AN42" i="65" s="1"/>
  <c r="AH46" i="65"/>
  <c r="AN46" i="65" s="1"/>
  <c r="AH38" i="65"/>
  <c r="AH48" i="65"/>
  <c r="AH40" i="65"/>
  <c r="AH93" i="65"/>
  <c r="AH70" i="65"/>
  <c r="AH91" i="65"/>
  <c r="AH35" i="65"/>
  <c r="AH77" i="65"/>
  <c r="AH94" i="65"/>
  <c r="AH85" i="65"/>
  <c r="AN85" i="65" s="1"/>
  <c r="AB70" i="65"/>
  <c r="AH111" i="39"/>
  <c r="AH85" i="39"/>
  <c r="AH57" i="39"/>
  <c r="AH114" i="39"/>
  <c r="AH123" i="39"/>
  <c r="AH103" i="39"/>
  <c r="AH39" i="39"/>
  <c r="AH126" i="39"/>
  <c r="AH116" i="39"/>
  <c r="AH106" i="39"/>
  <c r="AH37" i="39"/>
  <c r="AH108" i="39"/>
  <c r="AH83" i="39"/>
  <c r="AH36" i="39"/>
  <c r="AH59" i="39"/>
  <c r="AH98" i="39"/>
  <c r="AH35" i="39"/>
  <c r="AH58" i="39"/>
  <c r="AH55" i="39"/>
  <c r="AH38" i="39"/>
  <c r="AH100" i="39"/>
  <c r="AH119" i="39"/>
  <c r="AH121" i="39"/>
  <c r="AH56" i="39"/>
  <c r="AH109" i="58"/>
  <c r="AH85" i="58"/>
  <c r="AH111" i="58"/>
  <c r="AH117" i="58"/>
  <c r="AH35" i="58"/>
  <c r="AH126" i="58"/>
  <c r="AH83" i="58"/>
  <c r="AH101" i="58"/>
  <c r="AH66" i="58"/>
  <c r="AH39" i="58"/>
  <c r="AH122" i="58"/>
  <c r="AH107" i="58"/>
  <c r="AH119" i="58"/>
  <c r="AH65" i="58"/>
  <c r="AH49" i="58"/>
  <c r="AH115" i="58"/>
  <c r="AH47" i="58"/>
  <c r="AH69" i="58"/>
  <c r="AH103" i="58"/>
  <c r="AH67" i="58"/>
  <c r="AH48" i="58"/>
  <c r="AH124" i="58"/>
  <c r="AH68" i="58"/>
  <c r="AK91" i="54"/>
  <c r="AK80" i="54"/>
  <c r="AK90" i="54"/>
  <c r="AK89" i="54"/>
  <c r="AK93" i="54"/>
  <c r="AK77" i="54"/>
  <c r="AK84" i="54"/>
  <c r="AK85" i="54"/>
  <c r="AK83" i="54"/>
  <c r="AK96" i="54"/>
  <c r="AK81" i="54"/>
  <c r="AK95" i="54"/>
  <c r="AK94" i="54"/>
  <c r="AK82" i="54"/>
  <c r="AK92" i="54"/>
  <c r="AK67" i="54"/>
  <c r="AK55" i="54"/>
  <c r="AK47" i="54"/>
  <c r="AK39" i="54"/>
  <c r="AK66" i="54"/>
  <c r="AK54" i="54"/>
  <c r="AK46" i="54"/>
  <c r="AK38" i="54"/>
  <c r="AK36" i="54"/>
  <c r="AK65" i="54"/>
  <c r="AK53" i="54"/>
  <c r="AK45" i="54"/>
  <c r="AK37" i="54"/>
  <c r="AK64" i="54"/>
  <c r="AK52" i="54"/>
  <c r="AK44" i="54"/>
  <c r="AK63" i="54"/>
  <c r="AK51" i="54"/>
  <c r="AK43" i="54"/>
  <c r="AK70" i="54"/>
  <c r="AK58" i="54"/>
  <c r="AK50" i="54"/>
  <c r="AK42" i="54"/>
  <c r="AK69" i="54"/>
  <c r="AK57" i="54"/>
  <c r="AK49" i="54"/>
  <c r="AK41" i="54"/>
  <c r="AK68" i="54"/>
  <c r="AK56" i="54"/>
  <c r="AK48" i="54"/>
  <c r="AK40" i="54"/>
  <c r="AL90" i="54"/>
  <c r="AL77" i="54"/>
  <c r="AL89" i="54"/>
  <c r="AL85" i="54"/>
  <c r="AL81" i="54"/>
  <c r="AL84" i="54"/>
  <c r="AL96" i="54"/>
  <c r="AL95" i="54"/>
  <c r="AL83" i="54"/>
  <c r="AL92" i="54"/>
  <c r="AL94" i="54"/>
  <c r="AL93" i="54"/>
  <c r="AL82" i="54"/>
  <c r="AL91" i="54"/>
  <c r="AL80" i="54"/>
  <c r="AL66" i="54"/>
  <c r="AL54" i="54"/>
  <c r="AL46" i="54"/>
  <c r="AL38" i="54"/>
  <c r="AL65" i="54"/>
  <c r="AL53" i="54"/>
  <c r="AL45" i="54"/>
  <c r="AL37" i="54"/>
  <c r="AL64" i="54"/>
  <c r="AL52" i="54"/>
  <c r="AL44" i="54"/>
  <c r="AL36" i="54"/>
  <c r="AL63" i="54"/>
  <c r="AL51" i="54"/>
  <c r="AL43" i="54"/>
  <c r="AL70" i="54"/>
  <c r="AL58" i="54"/>
  <c r="AL50" i="54"/>
  <c r="AL42" i="54"/>
  <c r="AL69" i="54"/>
  <c r="AL57" i="54"/>
  <c r="AL49" i="54"/>
  <c r="AL41" i="54"/>
  <c r="AL68" i="54"/>
  <c r="AL56" i="54"/>
  <c r="AL48" i="54"/>
  <c r="AL40" i="54"/>
  <c r="AL67" i="54"/>
  <c r="AL55" i="54"/>
  <c r="AL47" i="54"/>
  <c r="AL39" i="54"/>
  <c r="AA17" i="54"/>
  <c r="AA17" i="63"/>
  <c r="AK80" i="63"/>
  <c r="AK77" i="63"/>
  <c r="AK84" i="63"/>
  <c r="AK63" i="63"/>
  <c r="AK51" i="63"/>
  <c r="AK43" i="63"/>
  <c r="AK39" i="63"/>
  <c r="AK70" i="63"/>
  <c r="AK58" i="63"/>
  <c r="AK50" i="63"/>
  <c r="AK42" i="63"/>
  <c r="AK41" i="63"/>
  <c r="AK69" i="63"/>
  <c r="AK57" i="63"/>
  <c r="AK49" i="63"/>
  <c r="AK68" i="63"/>
  <c r="AK56" i="63"/>
  <c r="AK48" i="63"/>
  <c r="AK40" i="63"/>
  <c r="AK67" i="63"/>
  <c r="AK55" i="63"/>
  <c r="AK47" i="63"/>
  <c r="AK37" i="63"/>
  <c r="AK66" i="63"/>
  <c r="AK54" i="63"/>
  <c r="AK46" i="63"/>
  <c r="AK38" i="63"/>
  <c r="AK65" i="63"/>
  <c r="AK53" i="63"/>
  <c r="AK45" i="63"/>
  <c r="AK64" i="63"/>
  <c r="AK52" i="63"/>
  <c r="AK44" i="63"/>
  <c r="AK36" i="63"/>
  <c r="AL77" i="63"/>
  <c r="AL84" i="63"/>
  <c r="AL80" i="63"/>
  <c r="AL70" i="63"/>
  <c r="AL58" i="63"/>
  <c r="AL50" i="63"/>
  <c r="AL42" i="63"/>
  <c r="AL41" i="63"/>
  <c r="AL39" i="63"/>
  <c r="AL69" i="63"/>
  <c r="AL57" i="63"/>
  <c r="AL49" i="63"/>
  <c r="AL37" i="63"/>
  <c r="AL68" i="63"/>
  <c r="AL56" i="63"/>
  <c r="AL48" i="63"/>
  <c r="AL40" i="63"/>
  <c r="AL38" i="63"/>
  <c r="AL67" i="63"/>
  <c r="AL55" i="63"/>
  <c r="AL47" i="63"/>
  <c r="AL66" i="63"/>
  <c r="AL54" i="63"/>
  <c r="AL46" i="63"/>
  <c r="AL36" i="63"/>
  <c r="AL65" i="63"/>
  <c r="AL53" i="63"/>
  <c r="AL45" i="63"/>
  <c r="AL64" i="63"/>
  <c r="AL52" i="63"/>
  <c r="AL44" i="63"/>
  <c r="AL63" i="63"/>
  <c r="AL51" i="63"/>
  <c r="AL43" i="63"/>
  <c r="AA17" i="61"/>
  <c r="AK80" i="61"/>
  <c r="AK77" i="61"/>
  <c r="AK84" i="61"/>
  <c r="AK63" i="61"/>
  <c r="AK51" i="61"/>
  <c r="AK43" i="61"/>
  <c r="AK40" i="61"/>
  <c r="AK70" i="61"/>
  <c r="AK58" i="61"/>
  <c r="AK50" i="61"/>
  <c r="AK42" i="61"/>
  <c r="AK69" i="61"/>
  <c r="AK57" i="61"/>
  <c r="AK49" i="61"/>
  <c r="AK41" i="61"/>
  <c r="AK68" i="61"/>
  <c r="AK56" i="61"/>
  <c r="AK48" i="61"/>
  <c r="AK39" i="61"/>
  <c r="AK67" i="61"/>
  <c r="AK55" i="61"/>
  <c r="AK47" i="61"/>
  <c r="AK37" i="61"/>
  <c r="AK66" i="61"/>
  <c r="AK54" i="61"/>
  <c r="AK46" i="61"/>
  <c r="AK38" i="61"/>
  <c r="AK65" i="61"/>
  <c r="AK53" i="61"/>
  <c r="AK45" i="61"/>
  <c r="AK64" i="61"/>
  <c r="AK52" i="61"/>
  <c r="AK44" i="61"/>
  <c r="AK36" i="61"/>
  <c r="AL77" i="61"/>
  <c r="AL84" i="61"/>
  <c r="AL80" i="61"/>
  <c r="AL70" i="61"/>
  <c r="AL58" i="61"/>
  <c r="AL50" i="61"/>
  <c r="AL42" i="61"/>
  <c r="AL38" i="61"/>
  <c r="AL69" i="61"/>
  <c r="AL57" i="61"/>
  <c r="AL49" i="61"/>
  <c r="AL41" i="61"/>
  <c r="AL68" i="61"/>
  <c r="AL56" i="61"/>
  <c r="AL48" i="61"/>
  <c r="AL40" i="61"/>
  <c r="AL39" i="61"/>
  <c r="AL67" i="61"/>
  <c r="AL55" i="61"/>
  <c r="AL47" i="61"/>
  <c r="AL36" i="61"/>
  <c r="AL66" i="61"/>
  <c r="AL54" i="61"/>
  <c r="AL46" i="61"/>
  <c r="AL65" i="61"/>
  <c r="AL53" i="61"/>
  <c r="AL45" i="61"/>
  <c r="AL37" i="61"/>
  <c r="AL64" i="61"/>
  <c r="AL52" i="61"/>
  <c r="AL44" i="61"/>
  <c r="AL63" i="61"/>
  <c r="AL51" i="61"/>
  <c r="AL43" i="61"/>
  <c r="AA17" i="53"/>
  <c r="AK80" i="53"/>
  <c r="AK77" i="53"/>
  <c r="AK84" i="53"/>
  <c r="AK63" i="53"/>
  <c r="AK51" i="53"/>
  <c r="AK43" i="53"/>
  <c r="AK42" i="53"/>
  <c r="AK40" i="53"/>
  <c r="AK39" i="53"/>
  <c r="AK70" i="53"/>
  <c r="AK58" i="53"/>
  <c r="AK50" i="53"/>
  <c r="AK38" i="53"/>
  <c r="AK69" i="53"/>
  <c r="AK57" i="53"/>
  <c r="AK49" i="53"/>
  <c r="AK41" i="53"/>
  <c r="AK68" i="53"/>
  <c r="AK56" i="53"/>
  <c r="AK48" i="53"/>
  <c r="AK67" i="53"/>
  <c r="AK55" i="53"/>
  <c r="AK47" i="53"/>
  <c r="AK37" i="53"/>
  <c r="AK66" i="53"/>
  <c r="AK54" i="53"/>
  <c r="AK46" i="53"/>
  <c r="AK65" i="53"/>
  <c r="AK53" i="53"/>
  <c r="AK45" i="53"/>
  <c r="AK64" i="53"/>
  <c r="AK52" i="53"/>
  <c r="AK44" i="53"/>
  <c r="AK36" i="53"/>
  <c r="AL77" i="53"/>
  <c r="AL80" i="53"/>
  <c r="AL84" i="53"/>
  <c r="AL70" i="53"/>
  <c r="AL58" i="53"/>
  <c r="AL50" i="53"/>
  <c r="AL42" i="53"/>
  <c r="AL45" i="53"/>
  <c r="AL69" i="53"/>
  <c r="AL57" i="53"/>
  <c r="AL49" i="53"/>
  <c r="AL41" i="53"/>
  <c r="AL68" i="53"/>
  <c r="AL56" i="53"/>
  <c r="AL48" i="53"/>
  <c r="AL40" i="53"/>
  <c r="AL67" i="53"/>
  <c r="AL55" i="53"/>
  <c r="AL47" i="53"/>
  <c r="AL39" i="53"/>
  <c r="AL38" i="53"/>
  <c r="AL36" i="53"/>
  <c r="AL66" i="53"/>
  <c r="AL54" i="53"/>
  <c r="AL46" i="53"/>
  <c r="AL65" i="53"/>
  <c r="AL53" i="53"/>
  <c r="AL37" i="53"/>
  <c r="AL64" i="53"/>
  <c r="AL52" i="53"/>
  <c r="AL44" i="53"/>
  <c r="AL63" i="53"/>
  <c r="AL51" i="53"/>
  <c r="AL43" i="53"/>
  <c r="AL77" i="52"/>
  <c r="AL80" i="52"/>
  <c r="AL84" i="52"/>
  <c r="AL70" i="52"/>
  <c r="AL58" i="52"/>
  <c r="AL50" i="52"/>
  <c r="AL42" i="52"/>
  <c r="AL69" i="52"/>
  <c r="AL57" i="52"/>
  <c r="AL49" i="52"/>
  <c r="AL41" i="52"/>
  <c r="AL68" i="52"/>
  <c r="AL56" i="52"/>
  <c r="AL48" i="52"/>
  <c r="AL40" i="52"/>
  <c r="AL67" i="52"/>
  <c r="AL55" i="52"/>
  <c r="AL47" i="52"/>
  <c r="AL39" i="52"/>
  <c r="AL38" i="52"/>
  <c r="AL37" i="52"/>
  <c r="AL66" i="52"/>
  <c r="AL54" i="52"/>
  <c r="AL46" i="52"/>
  <c r="AL65" i="52"/>
  <c r="AL53" i="52"/>
  <c r="AL45" i="52"/>
  <c r="AL36" i="52"/>
  <c r="AL64" i="52"/>
  <c r="AL52" i="52"/>
  <c r="AL44" i="52"/>
  <c r="AL63" i="52"/>
  <c r="AL51" i="52"/>
  <c r="AL43" i="52"/>
  <c r="AA17" i="52"/>
  <c r="AK80" i="52"/>
  <c r="AK77" i="52"/>
  <c r="AK84" i="52"/>
  <c r="AK63" i="52"/>
  <c r="AK51" i="52"/>
  <c r="AK43" i="52"/>
  <c r="AK70" i="52"/>
  <c r="AK58" i="52"/>
  <c r="AK50" i="52"/>
  <c r="AK42" i="52"/>
  <c r="AK38" i="52"/>
  <c r="AK37" i="52"/>
  <c r="AK69" i="52"/>
  <c r="AK57" i="52"/>
  <c r="AK49" i="52"/>
  <c r="AK41" i="52"/>
  <c r="AK39" i="52"/>
  <c r="AK68" i="52"/>
  <c r="AK56" i="52"/>
  <c r="AK48" i="52"/>
  <c r="AK40" i="52"/>
  <c r="AK67" i="52"/>
  <c r="AK55" i="52"/>
  <c r="AK47" i="52"/>
  <c r="AK66" i="52"/>
  <c r="AK54" i="52"/>
  <c r="AK46" i="52"/>
  <c r="AK65" i="52"/>
  <c r="AK53" i="52"/>
  <c r="AK45" i="52"/>
  <c r="AK64" i="52"/>
  <c r="AK52" i="52"/>
  <c r="AK44" i="52"/>
  <c r="AK36" i="52"/>
  <c r="AA17" i="51"/>
  <c r="AL91" i="51"/>
  <c r="AL80" i="51"/>
  <c r="AL90" i="51"/>
  <c r="AL77" i="51"/>
  <c r="AL83" i="51"/>
  <c r="AL89" i="51"/>
  <c r="AL81" i="51"/>
  <c r="AL88" i="51"/>
  <c r="AL87" i="51"/>
  <c r="AL82" i="51"/>
  <c r="AL93" i="51"/>
  <c r="AL92" i="51"/>
  <c r="AL65" i="51"/>
  <c r="AL53" i="51"/>
  <c r="AL45" i="51"/>
  <c r="AL37" i="51"/>
  <c r="AL52" i="51"/>
  <c r="AL44" i="51"/>
  <c r="AL42" i="51"/>
  <c r="AL64" i="51"/>
  <c r="AL36" i="51"/>
  <c r="AL40" i="51"/>
  <c r="AL63" i="51"/>
  <c r="AL51" i="51"/>
  <c r="AL43" i="51"/>
  <c r="AL70" i="51"/>
  <c r="AL58" i="51"/>
  <c r="AL50" i="51"/>
  <c r="AL69" i="51"/>
  <c r="AL57" i="51"/>
  <c r="AL49" i="51"/>
  <c r="AL41" i="51"/>
  <c r="AL68" i="51"/>
  <c r="AL56" i="51"/>
  <c r="AL48" i="51"/>
  <c r="AL67" i="51"/>
  <c r="AL55" i="51"/>
  <c r="AL47" i="51"/>
  <c r="AL66" i="51"/>
  <c r="AL54" i="51"/>
  <c r="AL46" i="51"/>
  <c r="AL38" i="51"/>
  <c r="AL39" i="51"/>
  <c r="AK92" i="51"/>
  <c r="AK81" i="51"/>
  <c r="AK80" i="51"/>
  <c r="AK87" i="51"/>
  <c r="AK83" i="51"/>
  <c r="AK91" i="51"/>
  <c r="AK90" i="51"/>
  <c r="AK77" i="51"/>
  <c r="AK89" i="51"/>
  <c r="AK88" i="51"/>
  <c r="AK93" i="51"/>
  <c r="AK82" i="51"/>
  <c r="AK66" i="51"/>
  <c r="AK54" i="51"/>
  <c r="AK46" i="51"/>
  <c r="AK38" i="51"/>
  <c r="AK45" i="51"/>
  <c r="AK65" i="51"/>
  <c r="AK53" i="51"/>
  <c r="AK37" i="51"/>
  <c r="AK64" i="51"/>
  <c r="AK52" i="51"/>
  <c r="AK44" i="51"/>
  <c r="AK36" i="51"/>
  <c r="AK63" i="51"/>
  <c r="AK51" i="51"/>
  <c r="AK43" i="51"/>
  <c r="AK70" i="51"/>
  <c r="AK58" i="51"/>
  <c r="AK50" i="51"/>
  <c r="AK42" i="51"/>
  <c r="AK69" i="51"/>
  <c r="AK57" i="51"/>
  <c r="AK49" i="51"/>
  <c r="AK41" i="51"/>
  <c r="AK68" i="51"/>
  <c r="AK56" i="51"/>
  <c r="AK48" i="51"/>
  <c r="AK67" i="51"/>
  <c r="AK55" i="51"/>
  <c r="AK47" i="51"/>
  <c r="AK39" i="51"/>
  <c r="AK40" i="51"/>
  <c r="AA17" i="9"/>
  <c r="AL116" i="9"/>
  <c r="AL108" i="9"/>
  <c r="AL100" i="9"/>
  <c r="AL89" i="9"/>
  <c r="AL81" i="9"/>
  <c r="AL115" i="9"/>
  <c r="AL107" i="9"/>
  <c r="AL99" i="9"/>
  <c r="AL88" i="9"/>
  <c r="AL80" i="9"/>
  <c r="AL114" i="9"/>
  <c r="AL106" i="9"/>
  <c r="AL98" i="9"/>
  <c r="AL87" i="9"/>
  <c r="AL77" i="9"/>
  <c r="AL83" i="9"/>
  <c r="AL113" i="9"/>
  <c r="AL105" i="9"/>
  <c r="AL97" i="9"/>
  <c r="AL86" i="9"/>
  <c r="AL112" i="9"/>
  <c r="AL104" i="9"/>
  <c r="AL96" i="9"/>
  <c r="AL85" i="9"/>
  <c r="AL111" i="9"/>
  <c r="AL103" i="9"/>
  <c r="AL95" i="9"/>
  <c r="AL84" i="9"/>
  <c r="AL118" i="9"/>
  <c r="AL110" i="9"/>
  <c r="AL102" i="9"/>
  <c r="AL94" i="9"/>
  <c r="AL117" i="9"/>
  <c r="AL109" i="9"/>
  <c r="AL101" i="9"/>
  <c r="AL90" i="9"/>
  <c r="AL82" i="9"/>
  <c r="AL68" i="9"/>
  <c r="AL56" i="9"/>
  <c r="AL48" i="9"/>
  <c r="AL40" i="9"/>
  <c r="AL36" i="9"/>
  <c r="AL67" i="9"/>
  <c r="AL55" i="9"/>
  <c r="AL47" i="9"/>
  <c r="AL39" i="9"/>
  <c r="AL66" i="9"/>
  <c r="AL54" i="9"/>
  <c r="AL46" i="9"/>
  <c r="AL38" i="9"/>
  <c r="AL37" i="9"/>
  <c r="AL65" i="9"/>
  <c r="AL53" i="9"/>
  <c r="AL45" i="9"/>
  <c r="AL64" i="9"/>
  <c r="AL52" i="9"/>
  <c r="AL44" i="9"/>
  <c r="AL63" i="9"/>
  <c r="AL51" i="9"/>
  <c r="AL43" i="9"/>
  <c r="AL70" i="9"/>
  <c r="AL58" i="9"/>
  <c r="AL50" i="9"/>
  <c r="AL42" i="9"/>
  <c r="AL69" i="9"/>
  <c r="AL57" i="9"/>
  <c r="AL49" i="9"/>
  <c r="AL41" i="9"/>
  <c r="AK117" i="9"/>
  <c r="AK109" i="9"/>
  <c r="AK101" i="9"/>
  <c r="AK90" i="9"/>
  <c r="AK82" i="9"/>
  <c r="AK116" i="9"/>
  <c r="AK108" i="9"/>
  <c r="AK100" i="9"/>
  <c r="AK89" i="9"/>
  <c r="AK81" i="9"/>
  <c r="AK115" i="9"/>
  <c r="AK107" i="9"/>
  <c r="AK99" i="9"/>
  <c r="AK88" i="9"/>
  <c r="AK80" i="9"/>
  <c r="AK114" i="9"/>
  <c r="AK106" i="9"/>
  <c r="AK98" i="9"/>
  <c r="AK87" i="9"/>
  <c r="AK77" i="9"/>
  <c r="AK113" i="9"/>
  <c r="AK105" i="9"/>
  <c r="AK97" i="9"/>
  <c r="AK86" i="9"/>
  <c r="AK84" i="9"/>
  <c r="AK112" i="9"/>
  <c r="AK104" i="9"/>
  <c r="AK96" i="9"/>
  <c r="AK85" i="9"/>
  <c r="AK111" i="9"/>
  <c r="AK103" i="9"/>
  <c r="AK95" i="9"/>
  <c r="AK118" i="9"/>
  <c r="AK110" i="9"/>
  <c r="AK102" i="9"/>
  <c r="AK94" i="9"/>
  <c r="AK83" i="9"/>
  <c r="AK69" i="9"/>
  <c r="AK57" i="9"/>
  <c r="AK49" i="9"/>
  <c r="AK41" i="9"/>
  <c r="AK36" i="9"/>
  <c r="AK68" i="9"/>
  <c r="AK56" i="9"/>
  <c r="AK48" i="9"/>
  <c r="AK40" i="9"/>
  <c r="AK44" i="9"/>
  <c r="AK67" i="9"/>
  <c r="AK55" i="9"/>
  <c r="AK47" i="9"/>
  <c r="AK39" i="9"/>
  <c r="AK45" i="9"/>
  <c r="AK37" i="9"/>
  <c r="AK66" i="9"/>
  <c r="AK54" i="9"/>
  <c r="AK46" i="9"/>
  <c r="AK38" i="9"/>
  <c r="AK65" i="9"/>
  <c r="AK53" i="9"/>
  <c r="AK64" i="9"/>
  <c r="AK52" i="9"/>
  <c r="AK63" i="9"/>
  <c r="AK51" i="9"/>
  <c r="AK43" i="9"/>
  <c r="AK70" i="9"/>
  <c r="AK58" i="9"/>
  <c r="AK50" i="9"/>
  <c r="AK42" i="9"/>
  <c r="AA17" i="18"/>
  <c r="AK68" i="29"/>
  <c r="AK60" i="29"/>
  <c r="AK52" i="29"/>
  <c r="AK41" i="29"/>
  <c r="AK67" i="29"/>
  <c r="AK59" i="29"/>
  <c r="AK51" i="29"/>
  <c r="AK40" i="29"/>
  <c r="AK39" i="29"/>
  <c r="AK66" i="29"/>
  <c r="AK58" i="29"/>
  <c r="AK47" i="29"/>
  <c r="AK65" i="29"/>
  <c r="AK57" i="29"/>
  <c r="AK46" i="29"/>
  <c r="AK36" i="29"/>
  <c r="AK72" i="29"/>
  <c r="AK64" i="29"/>
  <c r="AK56" i="29"/>
  <c r="AK45" i="29"/>
  <c r="AK71" i="29"/>
  <c r="AK63" i="29"/>
  <c r="AK55" i="29"/>
  <c r="AK44" i="29"/>
  <c r="AK70" i="29"/>
  <c r="AK62" i="29"/>
  <c r="AK54" i="29"/>
  <c r="AK43" i="29"/>
  <c r="AK69" i="29"/>
  <c r="AK61" i="29"/>
  <c r="AK53" i="29"/>
  <c r="AK42" i="29"/>
  <c r="AL67" i="29"/>
  <c r="AL59" i="29"/>
  <c r="AL51" i="29"/>
  <c r="AL40" i="29"/>
  <c r="AL66" i="29"/>
  <c r="AL58" i="29"/>
  <c r="AL47" i="29"/>
  <c r="AL39" i="29"/>
  <c r="AL36" i="29"/>
  <c r="AL44" i="29"/>
  <c r="AL65" i="29"/>
  <c r="AL57" i="29"/>
  <c r="AL46" i="29"/>
  <c r="AL72" i="29"/>
  <c r="AL64" i="29"/>
  <c r="AL56" i="29"/>
  <c r="AL45" i="29"/>
  <c r="AL71" i="29"/>
  <c r="AL63" i="29"/>
  <c r="AL55" i="29"/>
  <c r="AL70" i="29"/>
  <c r="AL62" i="29"/>
  <c r="AL54" i="29"/>
  <c r="AL43" i="29"/>
  <c r="AL69" i="29"/>
  <c r="AL61" i="29"/>
  <c r="AL53" i="29"/>
  <c r="AL42" i="29"/>
  <c r="AL68" i="29"/>
  <c r="AL60" i="29"/>
  <c r="AL52" i="29"/>
  <c r="AL41" i="29"/>
  <c r="AK93" i="4"/>
  <c r="AK85" i="4"/>
  <c r="AK77" i="4"/>
  <c r="AK66" i="4"/>
  <c r="AK56" i="4"/>
  <c r="AK75" i="4"/>
  <c r="AK92" i="4"/>
  <c r="AK84" i="4"/>
  <c r="AK76" i="4"/>
  <c r="AK65" i="4"/>
  <c r="AK83" i="4"/>
  <c r="AK91" i="4"/>
  <c r="AK64" i="4"/>
  <c r="AK90" i="4"/>
  <c r="AK82" i="4"/>
  <c r="AK74" i="4"/>
  <c r="AK63" i="4"/>
  <c r="AK89" i="4"/>
  <c r="AK81" i="4"/>
  <c r="AK73" i="4"/>
  <c r="AK62" i="4"/>
  <c r="AK87" i="4"/>
  <c r="AK79" i="4"/>
  <c r="AK68" i="4"/>
  <c r="AK60" i="4"/>
  <c r="AK94" i="4"/>
  <c r="AK69" i="4"/>
  <c r="AK86" i="4"/>
  <c r="AK80" i="4"/>
  <c r="AK61" i="4"/>
  <c r="AK78" i="4"/>
  <c r="AK88" i="4"/>
  <c r="AK59" i="4"/>
  <c r="AK67" i="4"/>
  <c r="AK48" i="4"/>
  <c r="AK40" i="4"/>
  <c r="AK39" i="4"/>
  <c r="AK47" i="4"/>
  <c r="AK51" i="4"/>
  <c r="AK46" i="4"/>
  <c r="AK38" i="4"/>
  <c r="AK37" i="4"/>
  <c r="AK43" i="4"/>
  <c r="AK45" i="4"/>
  <c r="AK36" i="4"/>
  <c r="AK44" i="4"/>
  <c r="AK50" i="4"/>
  <c r="AK42" i="4"/>
  <c r="AK49" i="4"/>
  <c r="AK41" i="4"/>
  <c r="AM91" i="4"/>
  <c r="AM83" i="4"/>
  <c r="AM75" i="4"/>
  <c r="AM64" i="4"/>
  <c r="AM73" i="4"/>
  <c r="AM90" i="4"/>
  <c r="AM82" i="4"/>
  <c r="AM74" i="4"/>
  <c r="AM63" i="4"/>
  <c r="AM81" i="4"/>
  <c r="AM62" i="4"/>
  <c r="AM89" i="4"/>
  <c r="AM88" i="4"/>
  <c r="AM80" i="4"/>
  <c r="AM69" i="4"/>
  <c r="AM61" i="4"/>
  <c r="AM87" i="4"/>
  <c r="AM79" i="4"/>
  <c r="AM68" i="4"/>
  <c r="AM60" i="4"/>
  <c r="AM93" i="4"/>
  <c r="AM85" i="4"/>
  <c r="AM77" i="4"/>
  <c r="AM66" i="4"/>
  <c r="AM56" i="4"/>
  <c r="AM86" i="4"/>
  <c r="AM65" i="4"/>
  <c r="AM59" i="4"/>
  <c r="AM92" i="4"/>
  <c r="AM76" i="4"/>
  <c r="AM94" i="4"/>
  <c r="AM84" i="4"/>
  <c r="AM67" i="4"/>
  <c r="AM78" i="4"/>
  <c r="AM46" i="4"/>
  <c r="AM38" i="4"/>
  <c r="AM37" i="4"/>
  <c r="AM45" i="4"/>
  <c r="AM49" i="4"/>
  <c r="AM44" i="4"/>
  <c r="AM36" i="4"/>
  <c r="AM43" i="4"/>
  <c r="AM42" i="4"/>
  <c r="AM51" i="4"/>
  <c r="AM40" i="4"/>
  <c r="AM50" i="4"/>
  <c r="AM41" i="4"/>
  <c r="AM48" i="4"/>
  <c r="AM47" i="4"/>
  <c r="AM39" i="4"/>
  <c r="AA17" i="21"/>
  <c r="AK66" i="21"/>
  <c r="AK63" i="21"/>
  <c r="AK70" i="21"/>
  <c r="AK49" i="21"/>
  <c r="AK38" i="21"/>
  <c r="AK35" i="21"/>
  <c r="AK56" i="21"/>
  <c r="AK48" i="21"/>
  <c r="AK37" i="21"/>
  <c r="AK55" i="21"/>
  <c r="AK44" i="21"/>
  <c r="AK36" i="21"/>
  <c r="AK42" i="21"/>
  <c r="AK54" i="21"/>
  <c r="AK43" i="21"/>
  <c r="AK53" i="21"/>
  <c r="AK52" i="21"/>
  <c r="AK41" i="21"/>
  <c r="AK51" i="21"/>
  <c r="AK40" i="21"/>
  <c r="AK50" i="21"/>
  <c r="AK39" i="21"/>
  <c r="AL63" i="21"/>
  <c r="AL70" i="21"/>
  <c r="AL66" i="21"/>
  <c r="AL56" i="21"/>
  <c r="AL48" i="21"/>
  <c r="AL37" i="21"/>
  <c r="AL44" i="21"/>
  <c r="AL36" i="21"/>
  <c r="AL35" i="21"/>
  <c r="AL40" i="21"/>
  <c r="AL55" i="21"/>
  <c r="AL54" i="21"/>
  <c r="AL43" i="21"/>
  <c r="AL52" i="21"/>
  <c r="AL41" i="21"/>
  <c r="AL53" i="21"/>
  <c r="AL42" i="21"/>
  <c r="AL51" i="21"/>
  <c r="AL50" i="21"/>
  <c r="AL49" i="21"/>
  <c r="AL38" i="21"/>
  <c r="AL39" i="21"/>
  <c r="AK41" i="7"/>
  <c r="AK37" i="7"/>
  <c r="AK36" i="7"/>
  <c r="AK40" i="7"/>
  <c r="AK38" i="7"/>
  <c r="AK39" i="7"/>
  <c r="AK43" i="7"/>
  <c r="AK35" i="7"/>
  <c r="AK45" i="7"/>
  <c r="AK44" i="7"/>
  <c r="AK42" i="7"/>
  <c r="AM39" i="7"/>
  <c r="AM38" i="7"/>
  <c r="AM35" i="7"/>
  <c r="AM41" i="7"/>
  <c r="AM43" i="7"/>
  <c r="AM42" i="7"/>
  <c r="AM45" i="7"/>
  <c r="AM37" i="7"/>
  <c r="AM36" i="7"/>
  <c r="AM44" i="7"/>
  <c r="AM40" i="7"/>
  <c r="AK62" i="36"/>
  <c r="AK54" i="36"/>
  <c r="AK40" i="36"/>
  <c r="AK61" i="36"/>
  <c r="AK50" i="36"/>
  <c r="AK39" i="36"/>
  <c r="AK47" i="36"/>
  <c r="AK65" i="36"/>
  <c r="AK60" i="36"/>
  <c r="AK49" i="36"/>
  <c r="AK38" i="36"/>
  <c r="AK37" i="36"/>
  <c r="AK59" i="36"/>
  <c r="AK48" i="36"/>
  <c r="AK36" i="36"/>
  <c r="AK58" i="36"/>
  <c r="AK57" i="36"/>
  <c r="AK46" i="36"/>
  <c r="AK56" i="36"/>
  <c r="AK45" i="36"/>
  <c r="AK55" i="36"/>
  <c r="AK41" i="36"/>
  <c r="AL61" i="36"/>
  <c r="AL50" i="36"/>
  <c r="AL39" i="36"/>
  <c r="AL38" i="36"/>
  <c r="AL46" i="36"/>
  <c r="AL65" i="36"/>
  <c r="AL60" i="36"/>
  <c r="AL49" i="36"/>
  <c r="AL36" i="36"/>
  <c r="AL59" i="36"/>
  <c r="AL48" i="36"/>
  <c r="AL37" i="36"/>
  <c r="AL58" i="36"/>
  <c r="AL47" i="36"/>
  <c r="AL57" i="36"/>
  <c r="AL56" i="36"/>
  <c r="AL45" i="36"/>
  <c r="AL55" i="36"/>
  <c r="AL41" i="36"/>
  <c r="AL62" i="36"/>
  <c r="AL54" i="36"/>
  <c r="AL40" i="36"/>
  <c r="AK69" i="30"/>
  <c r="AK61" i="30"/>
  <c r="AK53" i="30"/>
  <c r="AK42" i="30"/>
  <c r="AK68" i="30"/>
  <c r="AK60" i="30"/>
  <c r="AK52" i="30"/>
  <c r="AK41" i="30"/>
  <c r="AK67" i="30"/>
  <c r="AK59" i="30"/>
  <c r="AK51" i="30"/>
  <c r="AK40" i="30"/>
  <c r="AK66" i="30"/>
  <c r="AK58" i="30"/>
  <c r="AK47" i="30"/>
  <c r="AK39" i="30"/>
  <c r="AK65" i="30"/>
  <c r="AK57" i="30"/>
  <c r="AK46" i="30"/>
  <c r="AK36" i="30"/>
  <c r="AK64" i="30"/>
  <c r="AK56" i="30"/>
  <c r="AK45" i="30"/>
  <c r="AK63" i="30"/>
  <c r="AK55" i="30"/>
  <c r="AK44" i="30"/>
  <c r="AK70" i="30"/>
  <c r="AK62" i="30"/>
  <c r="AK54" i="30"/>
  <c r="AK43" i="30"/>
  <c r="AL68" i="30"/>
  <c r="AL60" i="30"/>
  <c r="AL52" i="30"/>
  <c r="AL41" i="30"/>
  <c r="AL67" i="30"/>
  <c r="AL59" i="30"/>
  <c r="AL51" i="30"/>
  <c r="AL40" i="30"/>
  <c r="AL39" i="30"/>
  <c r="AL66" i="30"/>
  <c r="AL58" i="30"/>
  <c r="AL47" i="30"/>
  <c r="AL65" i="30"/>
  <c r="AL57" i="30"/>
  <c r="AL46" i="30"/>
  <c r="AL36" i="30"/>
  <c r="AL64" i="30"/>
  <c r="AL56" i="30"/>
  <c r="AL45" i="30"/>
  <c r="AL43" i="30"/>
  <c r="AL63" i="30"/>
  <c r="AL55" i="30"/>
  <c r="AL44" i="30"/>
  <c r="AL42" i="30"/>
  <c r="AL70" i="30"/>
  <c r="AL62" i="30"/>
  <c r="AL54" i="30"/>
  <c r="AL69" i="30"/>
  <c r="AL61" i="30"/>
  <c r="AL53" i="30"/>
  <c r="AA17" i="20"/>
  <c r="AK52" i="20"/>
  <c r="AK49" i="20"/>
  <c r="AK56" i="20"/>
  <c r="AK38" i="20"/>
  <c r="AK37" i="20"/>
  <c r="AK42" i="20"/>
  <c r="AK36" i="20"/>
  <c r="AK35" i="20"/>
  <c r="AL49" i="20"/>
  <c r="AL56" i="20"/>
  <c r="AL52" i="20"/>
  <c r="AL42" i="20"/>
  <c r="AL36" i="20"/>
  <c r="AL35" i="20"/>
  <c r="AL38" i="20"/>
  <c r="AL37" i="20"/>
  <c r="AJ35" i="24"/>
  <c r="AJ38" i="24"/>
  <c r="AJ56" i="24"/>
  <c r="AJ54" i="24"/>
  <c r="AJ48" i="24"/>
  <c r="AJ44" i="24"/>
  <c r="AJ36" i="24"/>
  <c r="AJ37" i="24"/>
  <c r="AJ45" i="24"/>
  <c r="AJ39" i="24"/>
  <c r="AJ57" i="24"/>
  <c r="AJ55" i="24"/>
  <c r="AJ53" i="24"/>
  <c r="AJ46" i="24"/>
  <c r="AJ47" i="24"/>
  <c r="AK48" i="24"/>
  <c r="AK44" i="24"/>
  <c r="AK37" i="24"/>
  <c r="AK47" i="24"/>
  <c r="AK39" i="24"/>
  <c r="AK45" i="24"/>
  <c r="AK35" i="24"/>
  <c r="AK38" i="24"/>
  <c r="AK36" i="24"/>
  <c r="AK57" i="24"/>
  <c r="AK55" i="24"/>
  <c r="AK53" i="24"/>
  <c r="AK46" i="24"/>
  <c r="AK54" i="24"/>
  <c r="AK56" i="24"/>
  <c r="AK64" i="33"/>
  <c r="AK56" i="33"/>
  <c r="AK48" i="33"/>
  <c r="AK40" i="33"/>
  <c r="AK37" i="33"/>
  <c r="AK42" i="33"/>
  <c r="AK63" i="33"/>
  <c r="AK55" i="33"/>
  <c r="AK47" i="33"/>
  <c r="AK39" i="33"/>
  <c r="AK43" i="33"/>
  <c r="AK35" i="33"/>
  <c r="AK62" i="33"/>
  <c r="AK54" i="33"/>
  <c r="AK46" i="33"/>
  <c r="AK38" i="33"/>
  <c r="AK36" i="33"/>
  <c r="AK61" i="33"/>
  <c r="AK53" i="33"/>
  <c r="AK45" i="33"/>
  <c r="AK60" i="33"/>
  <c r="AK52" i="33"/>
  <c r="AK44" i="33"/>
  <c r="AK59" i="33"/>
  <c r="AK51" i="33"/>
  <c r="AK58" i="33"/>
  <c r="AK50" i="33"/>
  <c r="AK65" i="33"/>
  <c r="AK57" i="33"/>
  <c r="AK49" i="33"/>
  <c r="AK41" i="33"/>
  <c r="AL63" i="33"/>
  <c r="AL55" i="33"/>
  <c r="AL47" i="33"/>
  <c r="AL39" i="33"/>
  <c r="AL38" i="33"/>
  <c r="AL62" i="33"/>
  <c r="AL54" i="33"/>
  <c r="AL46" i="33"/>
  <c r="AL37" i="33"/>
  <c r="AL61" i="33"/>
  <c r="AL53" i="33"/>
  <c r="AL45" i="33"/>
  <c r="AL60" i="33"/>
  <c r="AL52" i="33"/>
  <c r="AL44" i="33"/>
  <c r="AL36" i="33"/>
  <c r="AL59" i="33"/>
  <c r="AL51" i="33"/>
  <c r="AL43" i="33"/>
  <c r="AL35" i="33"/>
  <c r="AL41" i="33"/>
  <c r="AL58" i="33"/>
  <c r="AL50" i="33"/>
  <c r="AL42" i="33"/>
  <c r="AL65" i="33"/>
  <c r="AL57" i="33"/>
  <c r="AL49" i="33"/>
  <c r="AL64" i="33"/>
  <c r="AL56" i="33"/>
  <c r="AL48" i="33"/>
  <c r="AL40" i="33"/>
  <c r="AK49" i="25"/>
  <c r="AK41" i="25"/>
  <c r="AK48" i="25"/>
  <c r="AK40" i="25"/>
  <c r="AK47" i="25"/>
  <c r="AK39" i="25"/>
  <c r="AK46" i="25"/>
  <c r="AK38" i="25"/>
  <c r="AK37" i="25"/>
  <c r="AK36" i="25"/>
  <c r="AK45" i="25"/>
  <c r="AK44" i="25"/>
  <c r="AK43" i="25"/>
  <c r="AK35" i="25"/>
  <c r="AK50" i="25"/>
  <c r="AK42" i="25"/>
  <c r="AL48" i="25"/>
  <c r="AL40" i="25"/>
  <c r="AL37" i="25"/>
  <c r="AL44" i="25"/>
  <c r="AL43" i="25"/>
  <c r="AL35" i="25"/>
  <c r="AL47" i="25"/>
  <c r="AL39" i="25"/>
  <c r="AL46" i="25"/>
  <c r="AL38" i="25"/>
  <c r="AL36" i="25"/>
  <c r="AL45" i="25"/>
  <c r="AL42" i="25"/>
  <c r="AL50" i="25"/>
  <c r="AL49" i="25"/>
  <c r="AL41" i="25"/>
  <c r="AA18" i="23"/>
  <c r="AK93" i="23"/>
  <c r="AK80" i="23"/>
  <c r="AK79" i="23"/>
  <c r="AK73" i="23"/>
  <c r="AK65" i="23"/>
  <c r="AK57" i="23"/>
  <c r="AK46" i="23"/>
  <c r="AK38" i="23"/>
  <c r="AK37" i="23"/>
  <c r="AK82" i="23"/>
  <c r="AK81" i="23"/>
  <c r="AK72" i="23"/>
  <c r="AK64" i="23"/>
  <c r="AK53" i="23"/>
  <c r="AK45" i="23"/>
  <c r="AK84" i="23"/>
  <c r="AK83" i="23"/>
  <c r="AK71" i="23"/>
  <c r="AK63" i="23"/>
  <c r="AK52" i="23"/>
  <c r="AK44" i="23"/>
  <c r="AK36" i="23"/>
  <c r="AK86" i="23"/>
  <c r="AK85" i="23"/>
  <c r="AK70" i="23"/>
  <c r="AK62" i="23"/>
  <c r="AK51" i="23"/>
  <c r="AK43" i="23"/>
  <c r="AK35" i="23"/>
  <c r="AK88" i="23"/>
  <c r="AK87" i="23"/>
  <c r="AK69" i="23"/>
  <c r="AK61" i="23"/>
  <c r="AK50" i="23"/>
  <c r="AK42" i="23"/>
  <c r="AK90" i="23"/>
  <c r="AK89" i="23"/>
  <c r="AK68" i="23"/>
  <c r="AK60" i="23"/>
  <c r="AK49" i="23"/>
  <c r="AK41" i="23"/>
  <c r="AK92" i="23"/>
  <c r="AK91" i="23"/>
  <c r="AK67" i="23"/>
  <c r="AK59" i="23"/>
  <c r="AK48" i="23"/>
  <c r="AK78" i="23"/>
  <c r="AK94" i="23"/>
  <c r="AK74" i="23"/>
  <c r="AK66" i="23"/>
  <c r="AK58" i="23"/>
  <c r="AK47" i="23"/>
  <c r="AK39" i="23"/>
  <c r="AK40" i="23"/>
  <c r="AL82" i="23"/>
  <c r="AL78" i="23"/>
  <c r="AL84" i="23"/>
  <c r="AL81" i="23"/>
  <c r="AL79" i="23"/>
  <c r="AL86" i="23"/>
  <c r="AL80" i="23"/>
  <c r="AL94" i="23"/>
  <c r="AL92" i="23"/>
  <c r="AL90" i="23"/>
  <c r="AL88" i="23"/>
  <c r="AL72" i="23"/>
  <c r="AL64" i="23"/>
  <c r="AL53" i="23"/>
  <c r="AL45" i="23"/>
  <c r="AL37" i="23"/>
  <c r="AL43" i="23"/>
  <c r="AL35" i="23"/>
  <c r="AL93" i="23"/>
  <c r="AL71" i="23"/>
  <c r="AL63" i="23"/>
  <c r="AL52" i="23"/>
  <c r="AL44" i="23"/>
  <c r="AL36" i="23"/>
  <c r="AL83" i="23"/>
  <c r="AL70" i="23"/>
  <c r="AL62" i="23"/>
  <c r="AL51" i="23"/>
  <c r="AL85" i="23"/>
  <c r="AL69" i="23"/>
  <c r="AL61" i="23"/>
  <c r="AL50" i="23"/>
  <c r="AL42" i="23"/>
  <c r="AL87" i="23"/>
  <c r="AL68" i="23"/>
  <c r="AL60" i="23"/>
  <c r="AL49" i="23"/>
  <c r="AL41" i="23"/>
  <c r="AL89" i="23"/>
  <c r="AL67" i="23"/>
  <c r="AL59" i="23"/>
  <c r="AL48" i="23"/>
  <c r="AL40" i="23"/>
  <c r="AL91" i="23"/>
  <c r="AL74" i="23"/>
  <c r="AL66" i="23"/>
  <c r="AL58" i="23"/>
  <c r="AL73" i="23"/>
  <c r="AL65" i="23"/>
  <c r="AL57" i="23"/>
  <c r="AL46" i="23"/>
  <c r="AL38" i="23"/>
  <c r="AL39" i="23"/>
  <c r="AL47" i="23"/>
  <c r="AA17" i="15"/>
  <c r="AK56" i="15"/>
  <c r="AK60" i="15"/>
  <c r="AK59" i="15"/>
  <c r="AK64" i="15"/>
  <c r="AK41" i="15"/>
  <c r="AK40" i="15"/>
  <c r="AK38" i="15"/>
  <c r="AK49" i="15"/>
  <c r="AK48" i="15"/>
  <c r="AK47" i="15"/>
  <c r="AK39" i="15"/>
  <c r="AK37" i="15"/>
  <c r="AK36" i="15"/>
  <c r="AK46" i="15"/>
  <c r="AL60" i="15"/>
  <c r="AL59" i="15"/>
  <c r="AL64" i="15"/>
  <c r="AL56" i="15"/>
  <c r="AL40" i="15"/>
  <c r="AL39" i="15"/>
  <c r="AL37" i="15"/>
  <c r="AL36" i="15"/>
  <c r="AL38" i="15"/>
  <c r="AL46" i="15"/>
  <c r="AL49" i="15"/>
  <c r="AL48" i="15"/>
  <c r="AL47" i="15"/>
  <c r="AL41" i="15"/>
  <c r="AK35" i="32"/>
  <c r="AL35" i="32"/>
  <c r="AK57" i="34"/>
  <c r="AK43" i="34"/>
  <c r="AK39" i="34"/>
  <c r="AK36" i="34"/>
  <c r="AL57" i="34"/>
  <c r="AL39" i="34"/>
  <c r="AL43" i="34"/>
  <c r="AL36" i="34"/>
  <c r="AL50" i="28"/>
  <c r="AL61" i="28"/>
  <c r="AL49" i="28"/>
  <c r="AL48" i="28"/>
  <c r="AL57" i="28"/>
  <c r="AL52" i="28"/>
  <c r="AL60" i="28"/>
  <c r="AL59" i="28"/>
  <c r="AL58" i="28"/>
  <c r="AL51" i="28"/>
  <c r="AL36" i="28"/>
  <c r="AL42" i="28"/>
  <c r="AL40" i="28"/>
  <c r="AL43" i="28"/>
  <c r="AL41" i="28"/>
  <c r="AK51" i="28"/>
  <c r="AK50" i="28"/>
  <c r="AK49" i="28"/>
  <c r="AK61" i="28"/>
  <c r="AK60" i="28"/>
  <c r="AK48" i="28"/>
  <c r="AK59" i="28"/>
  <c r="AK58" i="28"/>
  <c r="AK57" i="28"/>
  <c r="AK52" i="28"/>
  <c r="AK40" i="28"/>
  <c r="AK36" i="28"/>
  <c r="AK42" i="28"/>
  <c r="AK43" i="28"/>
  <c r="AK41" i="28"/>
  <c r="AA17" i="11"/>
  <c r="AK68" i="11"/>
  <c r="AK75" i="11"/>
  <c r="AK71" i="11"/>
  <c r="AK50" i="11"/>
  <c r="AK42" i="11"/>
  <c r="AK39" i="11"/>
  <c r="AK38" i="11"/>
  <c r="AK61" i="11"/>
  <c r="AK49" i="11"/>
  <c r="AK41" i="11"/>
  <c r="AK37" i="11"/>
  <c r="AK60" i="11"/>
  <c r="AK48" i="11"/>
  <c r="AK40" i="11"/>
  <c r="AK59" i="11"/>
  <c r="AK47" i="11"/>
  <c r="AK58" i="11"/>
  <c r="AK46" i="11"/>
  <c r="AK45" i="11"/>
  <c r="AK57" i="11"/>
  <c r="AK36" i="11"/>
  <c r="AK56" i="11"/>
  <c r="AK44" i="11"/>
  <c r="AK51" i="11"/>
  <c r="AK43" i="11"/>
  <c r="AL71" i="11"/>
  <c r="AL68" i="11"/>
  <c r="AL75" i="11"/>
  <c r="AL61" i="11"/>
  <c r="AL49" i="11"/>
  <c r="AL41" i="11"/>
  <c r="AL44" i="11"/>
  <c r="AL60" i="11"/>
  <c r="AL48" i="11"/>
  <c r="AL40" i="11"/>
  <c r="AL38" i="11"/>
  <c r="AL37" i="11"/>
  <c r="AL59" i="11"/>
  <c r="AL47" i="11"/>
  <c r="AL39" i="11"/>
  <c r="AL58" i="11"/>
  <c r="AL46" i="11"/>
  <c r="AL57" i="11"/>
  <c r="AL45" i="11"/>
  <c r="AL36" i="11"/>
  <c r="AL56" i="11"/>
  <c r="AL51" i="11"/>
  <c r="AL43" i="11"/>
  <c r="AL50" i="11"/>
  <c r="AL42" i="11"/>
  <c r="AK42" i="27"/>
  <c r="AK41" i="27"/>
  <c r="AK37" i="27"/>
  <c r="AK35" i="27"/>
  <c r="AK40" i="27"/>
  <c r="AK39" i="27"/>
  <c r="AK38" i="27"/>
  <c r="AK36" i="27"/>
  <c r="AK44" i="27"/>
  <c r="AK43" i="27"/>
  <c r="AL41" i="27"/>
  <c r="AL37" i="27"/>
  <c r="AL36" i="27"/>
  <c r="AL40" i="27"/>
  <c r="AL35" i="27"/>
  <c r="AL39" i="27"/>
  <c r="AL38" i="27"/>
  <c r="AL44" i="27"/>
  <c r="AL43" i="27"/>
  <c r="AL42" i="27"/>
  <c r="AA17" i="19"/>
  <c r="AK59" i="19"/>
  <c r="AK56" i="19"/>
  <c r="AK63" i="19"/>
  <c r="AK39" i="19"/>
  <c r="AK36" i="19"/>
  <c r="AK35" i="19"/>
  <c r="AK49" i="19"/>
  <c r="AK38" i="19"/>
  <c r="AK43" i="19"/>
  <c r="AK48" i="19"/>
  <c r="AK37" i="19"/>
  <c r="AK41" i="19"/>
  <c r="AK44" i="19"/>
  <c r="AK42" i="19"/>
  <c r="AK40" i="19"/>
  <c r="AL56" i="19"/>
  <c r="AL63" i="19"/>
  <c r="AL59" i="19"/>
  <c r="AL49" i="19"/>
  <c r="AL38" i="19"/>
  <c r="AL36" i="19"/>
  <c r="AL48" i="19"/>
  <c r="AL37" i="19"/>
  <c r="AL41" i="19"/>
  <c r="AL44" i="19"/>
  <c r="AL43" i="19"/>
  <c r="AL35" i="19"/>
  <c r="AL42" i="19"/>
  <c r="AL40" i="19"/>
  <c r="AL39" i="19"/>
  <c r="AA17" i="22"/>
  <c r="AK64" i="22"/>
  <c r="AK61" i="22"/>
  <c r="AK68" i="22"/>
  <c r="AK47" i="22"/>
  <c r="AK36" i="22"/>
  <c r="AK54" i="22"/>
  <c r="AK43" i="22"/>
  <c r="AK35" i="22"/>
  <c r="AK53" i="22"/>
  <c r="AK42" i="22"/>
  <c r="AK52" i="22"/>
  <c r="AK41" i="22"/>
  <c r="AK38" i="22"/>
  <c r="AK51" i="22"/>
  <c r="AK40" i="22"/>
  <c r="AK50" i="22"/>
  <c r="AK39" i="22"/>
  <c r="AK49" i="22"/>
  <c r="AK48" i="22"/>
  <c r="AK37" i="22"/>
  <c r="AL64" i="22"/>
  <c r="AL61" i="22"/>
  <c r="AL68" i="22"/>
  <c r="AL54" i="22"/>
  <c r="AL43" i="22"/>
  <c r="AL35" i="22"/>
  <c r="AL39" i="22"/>
  <c r="AL53" i="22"/>
  <c r="AL42" i="22"/>
  <c r="AL52" i="22"/>
  <c r="AL41" i="22"/>
  <c r="AL51" i="22"/>
  <c r="AL40" i="22"/>
  <c r="AL37" i="22"/>
  <c r="AL50" i="22"/>
  <c r="AL49" i="22"/>
  <c r="AL38" i="22"/>
  <c r="AL48" i="22"/>
  <c r="AL47" i="22"/>
  <c r="AL36" i="22"/>
  <c r="AK110" i="16"/>
  <c r="AK102" i="16"/>
  <c r="AK94" i="16"/>
  <c r="AK83" i="16"/>
  <c r="AK117" i="16"/>
  <c r="AK109" i="16"/>
  <c r="AK101" i="16"/>
  <c r="AK93" i="16"/>
  <c r="AK82" i="16"/>
  <c r="AK112" i="16"/>
  <c r="AK116" i="16"/>
  <c r="AK108" i="16"/>
  <c r="AK100" i="16"/>
  <c r="AK92" i="16"/>
  <c r="AK81" i="16"/>
  <c r="AK79" i="16"/>
  <c r="AK115" i="16"/>
  <c r="AK107" i="16"/>
  <c r="AK99" i="16"/>
  <c r="AK88" i="16"/>
  <c r="AK80" i="16"/>
  <c r="AK114" i="16"/>
  <c r="AK106" i="16"/>
  <c r="AK98" i="16"/>
  <c r="AK87" i="16"/>
  <c r="AK104" i="16"/>
  <c r="AK113" i="16"/>
  <c r="AK105" i="16"/>
  <c r="AK97" i="16"/>
  <c r="AK86" i="16"/>
  <c r="AK78" i="16"/>
  <c r="AK111" i="16"/>
  <c r="AK103" i="16"/>
  <c r="AK95" i="16"/>
  <c r="AK84" i="16"/>
  <c r="AK96" i="16"/>
  <c r="AK85" i="16"/>
  <c r="AK75" i="16"/>
  <c r="AK62" i="16"/>
  <c r="AK61" i="16"/>
  <c r="AK64" i="16"/>
  <c r="AK68" i="16"/>
  <c r="AK67" i="16"/>
  <c r="AK65" i="16"/>
  <c r="AK66" i="16"/>
  <c r="AK63" i="16"/>
  <c r="AL117" i="16"/>
  <c r="AL109" i="16"/>
  <c r="AL101" i="16"/>
  <c r="AL93" i="16"/>
  <c r="AL82" i="16"/>
  <c r="AL116" i="16"/>
  <c r="AL108" i="16"/>
  <c r="AL100" i="16"/>
  <c r="AL92" i="16"/>
  <c r="AL81" i="16"/>
  <c r="AL115" i="16"/>
  <c r="AL107" i="16"/>
  <c r="AL99" i="16"/>
  <c r="AL88" i="16"/>
  <c r="AL80" i="16"/>
  <c r="AL75" i="16"/>
  <c r="AL114" i="16"/>
  <c r="AL106" i="16"/>
  <c r="AL98" i="16"/>
  <c r="AL87" i="16"/>
  <c r="AL79" i="16"/>
  <c r="AL78" i="16"/>
  <c r="AL113" i="16"/>
  <c r="AL105" i="16"/>
  <c r="AL97" i="16"/>
  <c r="AL86" i="16"/>
  <c r="AL111" i="16"/>
  <c r="AL112" i="16"/>
  <c r="AL104" i="16"/>
  <c r="AL96" i="16"/>
  <c r="AL85" i="16"/>
  <c r="AL110" i="16"/>
  <c r="AL102" i="16"/>
  <c r="AL94" i="16"/>
  <c r="AL83" i="16"/>
  <c r="AL84" i="16"/>
  <c r="AL95" i="16"/>
  <c r="AL103" i="16"/>
  <c r="AL61" i="16"/>
  <c r="AL65" i="16"/>
  <c r="AL68" i="16"/>
  <c r="AL67" i="16"/>
  <c r="AL64" i="16"/>
  <c r="AL66" i="16"/>
  <c r="AL63" i="16"/>
  <c r="AL62" i="16"/>
  <c r="AA17" i="16"/>
  <c r="AK37" i="31"/>
  <c r="AK35" i="31"/>
  <c r="AK36" i="31"/>
  <c r="AL36" i="31"/>
  <c r="AL35" i="31"/>
  <c r="AL37" i="31"/>
  <c r="AK56" i="35"/>
  <c r="AK45" i="35"/>
  <c r="AK41" i="35"/>
  <c r="AK39" i="35"/>
  <c r="AK35" i="35"/>
  <c r="AL56" i="35"/>
  <c r="AL41" i="35"/>
  <c r="AL39" i="35"/>
  <c r="AL35" i="35"/>
  <c r="AL45" i="35"/>
  <c r="AL50" i="69"/>
  <c r="AL42" i="69"/>
  <c r="AL39" i="69"/>
  <c r="AL37" i="69"/>
  <c r="AL49" i="69"/>
  <c r="AL41" i="69"/>
  <c r="AL56" i="69"/>
  <c r="AL48" i="69"/>
  <c r="AL40" i="69"/>
  <c r="AL45" i="69"/>
  <c r="AL55" i="69"/>
  <c r="AL47" i="69"/>
  <c r="AL54" i="69"/>
  <c r="AL46" i="69"/>
  <c r="AL38" i="69"/>
  <c r="AL53" i="69"/>
  <c r="AL52" i="69"/>
  <c r="AL44" i="69"/>
  <c r="AL36" i="69"/>
  <c r="AL51" i="69"/>
  <c r="AL43" i="69"/>
  <c r="AK51" i="69"/>
  <c r="AK43" i="69"/>
  <c r="AK38" i="69"/>
  <c r="AK50" i="69"/>
  <c r="AK42" i="69"/>
  <c r="AK54" i="69"/>
  <c r="AK46" i="69"/>
  <c r="AK49" i="69"/>
  <c r="AK41" i="69"/>
  <c r="AK39" i="69"/>
  <c r="AK56" i="69"/>
  <c r="AK48" i="69"/>
  <c r="AK40" i="69"/>
  <c r="AK44" i="69"/>
  <c r="AK55" i="69"/>
  <c r="AK47" i="69"/>
  <c r="AK36" i="69"/>
  <c r="AK53" i="69"/>
  <c r="AK45" i="69"/>
  <c r="AK37" i="69"/>
  <c r="AK52" i="69"/>
  <c r="AK56" i="67"/>
  <c r="AK48" i="67"/>
  <c r="AK40" i="67"/>
  <c r="AK47" i="67"/>
  <c r="AK39" i="67"/>
  <c r="AK42" i="67"/>
  <c r="AK41" i="67"/>
  <c r="AK55" i="67"/>
  <c r="AK54" i="67"/>
  <c r="AK46" i="67"/>
  <c r="AK38" i="67"/>
  <c r="AK44" i="67"/>
  <c r="AK36" i="67"/>
  <c r="AK53" i="67"/>
  <c r="AK45" i="67"/>
  <c r="AK37" i="67"/>
  <c r="AK50" i="67"/>
  <c r="AK52" i="67"/>
  <c r="AK51" i="67"/>
  <c r="AK43" i="67"/>
  <c r="AK49" i="67"/>
  <c r="AL55" i="67"/>
  <c r="AL47" i="67"/>
  <c r="AL39" i="67"/>
  <c r="AL46" i="67"/>
  <c r="AL38" i="67"/>
  <c r="AL49" i="67"/>
  <c r="AL54" i="67"/>
  <c r="AL41" i="67"/>
  <c r="AL53" i="67"/>
  <c r="AL45" i="67"/>
  <c r="AL37" i="67"/>
  <c r="AL50" i="67"/>
  <c r="AL42" i="67"/>
  <c r="AL40" i="67"/>
  <c r="AL52" i="67"/>
  <c r="AL44" i="67"/>
  <c r="AL36" i="67"/>
  <c r="AL43" i="67"/>
  <c r="AL51" i="67"/>
  <c r="AL56" i="67"/>
  <c r="AL48" i="67"/>
  <c r="AK90" i="65"/>
  <c r="AK79" i="65"/>
  <c r="AK86" i="65"/>
  <c r="AK82" i="65"/>
  <c r="AK89" i="65"/>
  <c r="AK78" i="65"/>
  <c r="AK75" i="65"/>
  <c r="AK88" i="65"/>
  <c r="AK80" i="65"/>
  <c r="AK87" i="65"/>
  <c r="AK81" i="65"/>
  <c r="AK61" i="65"/>
  <c r="AK49" i="65"/>
  <c r="AK41" i="65"/>
  <c r="AK68" i="65"/>
  <c r="AK56" i="65"/>
  <c r="AK48" i="65"/>
  <c r="AK40" i="65"/>
  <c r="AK38" i="65"/>
  <c r="AK67" i="65"/>
  <c r="AK55" i="65"/>
  <c r="AK47" i="65"/>
  <c r="AK39" i="65"/>
  <c r="AK37" i="65"/>
  <c r="AK51" i="65"/>
  <c r="AK66" i="65"/>
  <c r="AK54" i="65"/>
  <c r="AK46" i="65"/>
  <c r="AK36" i="65"/>
  <c r="AK65" i="65"/>
  <c r="AK53" i="65"/>
  <c r="AK45" i="65"/>
  <c r="AK64" i="65"/>
  <c r="AK52" i="65"/>
  <c r="AK44" i="65"/>
  <c r="AK63" i="65"/>
  <c r="AK62" i="65"/>
  <c r="AK50" i="65"/>
  <c r="AK42" i="65"/>
  <c r="AK43" i="65"/>
  <c r="AL89" i="65"/>
  <c r="AL78" i="65"/>
  <c r="AL82" i="65"/>
  <c r="AL88" i="65"/>
  <c r="AL75" i="65"/>
  <c r="AL87" i="65"/>
  <c r="AL80" i="65"/>
  <c r="AL86" i="65"/>
  <c r="AL79" i="65"/>
  <c r="AL81" i="65"/>
  <c r="AL90" i="65"/>
  <c r="AL68" i="65"/>
  <c r="AL56" i="65"/>
  <c r="AL48" i="65"/>
  <c r="AL40" i="65"/>
  <c r="AL36" i="65"/>
  <c r="AL67" i="65"/>
  <c r="AL55" i="65"/>
  <c r="AL47" i="65"/>
  <c r="AL39" i="65"/>
  <c r="AL37" i="65"/>
  <c r="AL66" i="65"/>
  <c r="AL54" i="65"/>
  <c r="AL46" i="65"/>
  <c r="AL38" i="65"/>
  <c r="AL65" i="65"/>
  <c r="AL53" i="65"/>
  <c r="AL45" i="65"/>
  <c r="AL64" i="65"/>
  <c r="AL52" i="65"/>
  <c r="AL44" i="65"/>
  <c r="AL62" i="65"/>
  <c r="AL63" i="65"/>
  <c r="AL51" i="65"/>
  <c r="AL43" i="65"/>
  <c r="AL42" i="65"/>
  <c r="AL61" i="65"/>
  <c r="AL49" i="65"/>
  <c r="AL41" i="65"/>
  <c r="AL50" i="65"/>
  <c r="AL63" i="26"/>
  <c r="AL55" i="26"/>
  <c r="AL44" i="26"/>
  <c r="AL62" i="26"/>
  <c r="AL54" i="26"/>
  <c r="AL43" i="26"/>
  <c r="AL61" i="26"/>
  <c r="AL53" i="26"/>
  <c r="AL42" i="26"/>
  <c r="AL60" i="26"/>
  <c r="AL52" i="26"/>
  <c r="AL41" i="26"/>
  <c r="AL67" i="26"/>
  <c r="AL59" i="26"/>
  <c r="AL51" i="26"/>
  <c r="AL40" i="26"/>
  <c r="AL66" i="26"/>
  <c r="AL58" i="26"/>
  <c r="AL47" i="26"/>
  <c r="AL39" i="26"/>
  <c r="AL65" i="26"/>
  <c r="AL57" i="26"/>
  <c r="AL46" i="26"/>
  <c r="AL36" i="26"/>
  <c r="AL64" i="26"/>
  <c r="AL56" i="26"/>
  <c r="AL45" i="26"/>
  <c r="AK64" i="26"/>
  <c r="AK56" i="26"/>
  <c r="AK45" i="26"/>
  <c r="AK63" i="26"/>
  <c r="AK55" i="26"/>
  <c r="AK44" i="26"/>
  <c r="AK62" i="26"/>
  <c r="AK54" i="26"/>
  <c r="AK43" i="26"/>
  <c r="AK61" i="26"/>
  <c r="AK53" i="26"/>
  <c r="AK42" i="26"/>
  <c r="AK60" i="26"/>
  <c r="AK52" i="26"/>
  <c r="AK41" i="26"/>
  <c r="AK67" i="26"/>
  <c r="AK59" i="26"/>
  <c r="AK51" i="26"/>
  <c r="AK40" i="26"/>
  <c r="AK66" i="26"/>
  <c r="AK58" i="26"/>
  <c r="AK47" i="26"/>
  <c r="AK39" i="26"/>
  <c r="AK65" i="26"/>
  <c r="AK57" i="26"/>
  <c r="AK46" i="26"/>
  <c r="AK36" i="26"/>
  <c r="AL50" i="35"/>
  <c r="AG52" i="35"/>
  <c r="AH50" i="35"/>
  <c r="AK71" i="22"/>
  <c r="AK72" i="22"/>
  <c r="AK69" i="22"/>
  <c r="AK60" i="22"/>
  <c r="AK46" i="22"/>
  <c r="AK34" i="22"/>
  <c r="AK56" i="22"/>
  <c r="AK62" i="22"/>
  <c r="AK67" i="22"/>
  <c r="AK63" i="22"/>
  <c r="AK55" i="22"/>
  <c r="Q115" i="68"/>
  <c r="AA19" i="66"/>
  <c r="AK59" i="20"/>
  <c r="AK51" i="20"/>
  <c r="AK60" i="20"/>
  <c r="AK34" i="20"/>
  <c r="AK41" i="20"/>
  <c r="AK57" i="20"/>
  <c r="AK44" i="20"/>
  <c r="AK48" i="20"/>
  <c r="AK50" i="20"/>
  <c r="AK43" i="20"/>
  <c r="AK55" i="20"/>
  <c r="AK34" i="35"/>
  <c r="AK38" i="35"/>
  <c r="AK48" i="35"/>
  <c r="AK40" i="35"/>
  <c r="AK44" i="35"/>
  <c r="AK57" i="35"/>
  <c r="AK55" i="35"/>
  <c r="AK46" i="35"/>
  <c r="AD115" i="68"/>
  <c r="AA20" i="65"/>
  <c r="AK96" i="23"/>
  <c r="AK56" i="23"/>
  <c r="AK34" i="23"/>
  <c r="AK98" i="23"/>
  <c r="AK77" i="23"/>
  <c r="AK95" i="23"/>
  <c r="AL78" i="9"/>
  <c r="AL35" i="9"/>
  <c r="AL121" i="9"/>
  <c r="AL119" i="9"/>
  <c r="AL93" i="9"/>
  <c r="AL122" i="9"/>
  <c r="AL72" i="9"/>
  <c r="AL79" i="9"/>
  <c r="AL62" i="9"/>
  <c r="AL76" i="9"/>
  <c r="AD52" i="35"/>
  <c r="AE50" i="35"/>
  <c r="AK50" i="35"/>
  <c r="AK48" i="7"/>
  <c r="AK47" i="7"/>
  <c r="AK34" i="7"/>
  <c r="AK50" i="7"/>
  <c r="AK51" i="7"/>
  <c r="AK38" i="29"/>
  <c r="AK76" i="29"/>
  <c r="AK75" i="29"/>
  <c r="AK35" i="29"/>
  <c r="AK73" i="29"/>
  <c r="AK50" i="29"/>
  <c r="AK37" i="29"/>
  <c r="AK78" i="63"/>
  <c r="AK79" i="63"/>
  <c r="AK85" i="63"/>
  <c r="AK88" i="63"/>
  <c r="AK76" i="63"/>
  <c r="AK83" i="63"/>
  <c r="AK35" i="63"/>
  <c r="AK72" i="63"/>
  <c r="AK62" i="63"/>
  <c r="AK87" i="63"/>
  <c r="AL50" i="29"/>
  <c r="AL35" i="29"/>
  <c r="AL76" i="29"/>
  <c r="AL38" i="29"/>
  <c r="AL75" i="29"/>
  <c r="AL37" i="29"/>
  <c r="AL73" i="29"/>
  <c r="X115" i="68"/>
  <c r="AK34" i="27"/>
  <c r="AK45" i="27"/>
  <c r="O115" i="68"/>
  <c r="AA19" i="68"/>
  <c r="AG115" i="68"/>
  <c r="AL35" i="28"/>
  <c r="AL44" i="28"/>
  <c r="AL47" i="28"/>
  <c r="AL62" i="28"/>
  <c r="AL64" i="28"/>
  <c r="AL53" i="28"/>
  <c r="AL65" i="28"/>
  <c r="AL56" i="28"/>
  <c r="AL39" i="28"/>
  <c r="AA19" i="69"/>
  <c r="AK35" i="65"/>
  <c r="AK77" i="65"/>
  <c r="AK85" i="65"/>
  <c r="AK60" i="65"/>
  <c r="AK76" i="65"/>
  <c r="AK93" i="65"/>
  <c r="AK94" i="65"/>
  <c r="AK91" i="65"/>
  <c r="AK69" i="65"/>
  <c r="AK74" i="65"/>
  <c r="AK70" i="65"/>
  <c r="AA19" i="70"/>
  <c r="Y115" i="68"/>
  <c r="AK32" i="65"/>
  <c r="AK57" i="4"/>
  <c r="AK97" i="4"/>
  <c r="AK58" i="4"/>
  <c r="AK55" i="4"/>
  <c r="AK72" i="4"/>
  <c r="AK35" i="4"/>
  <c r="AK95" i="4"/>
  <c r="AK98" i="4"/>
  <c r="T115" i="68"/>
  <c r="AK32" i="31"/>
  <c r="AA20" i="66"/>
  <c r="AB84" i="66" s="1"/>
  <c r="AD54" i="25"/>
  <c r="AK52" i="25"/>
  <c r="AE52" i="25"/>
  <c r="AK32" i="29"/>
  <c r="AK62" i="61"/>
  <c r="AK76" i="61"/>
  <c r="AK72" i="61"/>
  <c r="AK87" i="61"/>
  <c r="AK79" i="61"/>
  <c r="AK88" i="61"/>
  <c r="AK83" i="61"/>
  <c r="AK78" i="61"/>
  <c r="AK35" i="61"/>
  <c r="AK85" i="61"/>
  <c r="AK64" i="19"/>
  <c r="AK34" i="19"/>
  <c r="AK51" i="19"/>
  <c r="AK50" i="19"/>
  <c r="AK67" i="19"/>
  <c r="AK58" i="19"/>
  <c r="AK47" i="19"/>
  <c r="AK57" i="19"/>
  <c r="AK66" i="19"/>
  <c r="AK55" i="19"/>
  <c r="AK62" i="19"/>
  <c r="AL72" i="26"/>
  <c r="AL68" i="26"/>
  <c r="AL38" i="26"/>
  <c r="AL71" i="26"/>
  <c r="AL37" i="26"/>
  <c r="AL35" i="26"/>
  <c r="AL50" i="26"/>
  <c r="AL69" i="26"/>
  <c r="AK32" i="22"/>
  <c r="AK72" i="53"/>
  <c r="AK87" i="53"/>
  <c r="AK76" i="53"/>
  <c r="AK88" i="53"/>
  <c r="AK83" i="53"/>
  <c r="AK85" i="53"/>
  <c r="AK62" i="53"/>
  <c r="AK78" i="53"/>
  <c r="AK79" i="53"/>
  <c r="AK35" i="53"/>
  <c r="AA20" i="70"/>
  <c r="AL77" i="23"/>
  <c r="AL95" i="23"/>
  <c r="AL96" i="23"/>
  <c r="AL34" i="23"/>
  <c r="AL98" i="23"/>
  <c r="AL56" i="23"/>
  <c r="AK32" i="51"/>
  <c r="AK34" i="31"/>
  <c r="AK38" i="31"/>
  <c r="AK34" i="33"/>
  <c r="AD60" i="24"/>
  <c r="AJ60" i="24"/>
  <c r="AC62" i="24"/>
  <c r="U115" i="68"/>
  <c r="R115" i="68"/>
  <c r="AK34" i="25"/>
  <c r="AK55" i="16"/>
  <c r="AK44" i="16"/>
  <c r="AK40" i="16"/>
  <c r="AK56" i="16"/>
  <c r="AK42" i="16"/>
  <c r="AK53" i="16"/>
  <c r="AK54" i="16"/>
  <c r="AK46" i="16"/>
  <c r="AK37" i="16"/>
  <c r="AK41" i="16"/>
  <c r="AK38" i="16"/>
  <c r="AK52" i="16"/>
  <c r="AK76" i="16"/>
  <c r="AK48" i="16"/>
  <c r="AK50" i="16"/>
  <c r="AK120" i="16"/>
  <c r="AK74" i="16"/>
  <c r="AK45" i="16"/>
  <c r="AK43" i="16"/>
  <c r="AK77" i="16"/>
  <c r="AK35" i="16"/>
  <c r="AK121" i="16"/>
  <c r="AK49" i="16"/>
  <c r="AK60" i="16"/>
  <c r="AK70" i="16"/>
  <c r="AK39" i="16"/>
  <c r="AK47" i="16"/>
  <c r="AK91" i="16"/>
  <c r="AK118" i="16"/>
  <c r="AK36" i="16"/>
  <c r="AK51" i="16"/>
  <c r="AK35" i="67"/>
  <c r="AD66" i="33"/>
  <c r="AL85" i="52"/>
  <c r="AL88" i="52"/>
  <c r="AL83" i="52"/>
  <c r="AL76" i="52"/>
  <c r="AL87" i="52"/>
  <c r="AL78" i="52"/>
  <c r="AL72" i="52"/>
  <c r="AL62" i="52"/>
  <c r="AL35" i="52"/>
  <c r="AL79" i="52"/>
  <c r="AK64" i="36"/>
  <c r="AK44" i="36"/>
  <c r="AK53" i="36"/>
  <c r="AK35" i="36"/>
  <c r="AK46" i="34"/>
  <c r="AK35" i="34"/>
  <c r="AK37" i="34"/>
  <c r="AK53" i="34"/>
  <c r="AK38" i="34"/>
  <c r="AK49" i="34"/>
  <c r="AK56" i="34"/>
  <c r="AK42" i="34"/>
  <c r="AK51" i="34"/>
  <c r="AK58" i="34"/>
  <c r="AK50" i="34"/>
  <c r="AK44" i="34"/>
  <c r="AA20" i="69"/>
  <c r="AA20" i="67"/>
  <c r="AK76" i="54"/>
  <c r="AK79" i="54"/>
  <c r="AK35" i="54"/>
  <c r="AK97" i="54"/>
  <c r="AK99" i="54"/>
  <c r="AK100" i="54"/>
  <c r="AK62" i="54"/>
  <c r="AK78" i="54"/>
  <c r="AK72" i="54"/>
  <c r="AK88" i="54"/>
  <c r="AK71" i="54"/>
  <c r="AL37" i="16"/>
  <c r="AL54" i="16"/>
  <c r="AL46" i="16"/>
  <c r="AL53" i="16"/>
  <c r="AL55" i="16"/>
  <c r="AL39" i="16"/>
  <c r="AL91" i="16"/>
  <c r="AL44" i="16"/>
  <c r="AL121" i="16"/>
  <c r="AL77" i="16"/>
  <c r="AL35" i="16"/>
  <c r="AL70" i="16"/>
  <c r="AL52" i="16"/>
  <c r="AL41" i="16"/>
  <c r="AL40" i="16"/>
  <c r="AL118" i="16"/>
  <c r="AL56" i="16"/>
  <c r="AL36" i="16"/>
  <c r="AL49" i="16"/>
  <c r="AL43" i="16"/>
  <c r="AL76" i="16"/>
  <c r="AL51" i="16"/>
  <c r="AL60" i="16"/>
  <c r="AL45" i="16"/>
  <c r="AL38" i="16"/>
  <c r="AL48" i="16"/>
  <c r="AL47" i="16"/>
  <c r="AL50" i="16"/>
  <c r="AL74" i="16"/>
  <c r="AL120" i="16"/>
  <c r="AL42" i="16"/>
  <c r="AK32" i="35"/>
  <c r="AK36" i="32"/>
  <c r="AK34" i="32"/>
  <c r="AL41" i="20"/>
  <c r="AL48" i="20"/>
  <c r="AL59" i="20"/>
  <c r="AL60" i="20"/>
  <c r="AL44" i="20"/>
  <c r="AL51" i="20"/>
  <c r="AL57" i="20"/>
  <c r="AL55" i="20"/>
  <c r="AL50" i="20"/>
  <c r="AL43" i="20"/>
  <c r="AL34" i="20"/>
  <c r="AK35" i="9"/>
  <c r="AK79" i="9"/>
  <c r="AK72" i="9"/>
  <c r="AK62" i="9"/>
  <c r="AK121" i="9"/>
  <c r="AK78" i="9"/>
  <c r="AK119" i="9"/>
  <c r="AK76" i="9"/>
  <c r="AK122" i="9"/>
  <c r="AK93" i="9"/>
  <c r="AL55" i="22"/>
  <c r="AL69" i="22"/>
  <c r="AL71" i="22"/>
  <c r="AL72" i="22"/>
  <c r="AL67" i="22"/>
  <c r="AL46" i="22"/>
  <c r="AL34" i="22"/>
  <c r="AL63" i="22"/>
  <c r="AL60" i="22"/>
  <c r="AL56" i="22"/>
  <c r="AL62" i="22"/>
  <c r="AL76" i="61"/>
  <c r="AL88" i="61"/>
  <c r="AL72" i="61"/>
  <c r="AL79" i="61"/>
  <c r="AL78" i="61"/>
  <c r="AL83" i="61"/>
  <c r="AL35" i="61"/>
  <c r="AL85" i="61"/>
  <c r="AL62" i="61"/>
  <c r="AL87" i="61"/>
  <c r="AK51" i="15"/>
  <c r="AK50" i="15"/>
  <c r="AK65" i="15"/>
  <c r="AK68" i="15"/>
  <c r="AK55" i="15"/>
  <c r="AK57" i="15"/>
  <c r="AK45" i="15"/>
  <c r="AK58" i="15"/>
  <c r="AK67" i="15"/>
  <c r="AK63" i="15"/>
  <c r="AK35" i="15"/>
  <c r="AK32" i="11"/>
  <c r="Z115" i="68"/>
  <c r="AA19" i="67"/>
  <c r="S115" i="68"/>
  <c r="AK32" i="16"/>
  <c r="AL35" i="67"/>
  <c r="AK76" i="52"/>
  <c r="AK85" i="52"/>
  <c r="AK62" i="52"/>
  <c r="AK83" i="52"/>
  <c r="AK87" i="52"/>
  <c r="AK35" i="52"/>
  <c r="AK72" i="52"/>
  <c r="AK78" i="52"/>
  <c r="AK88" i="52"/>
  <c r="AK79" i="52"/>
  <c r="AL35" i="34"/>
  <c r="AL46" i="34"/>
  <c r="AL51" i="34"/>
  <c r="AL38" i="34"/>
  <c r="AL58" i="34"/>
  <c r="AL56" i="34"/>
  <c r="AL49" i="34"/>
  <c r="AL42" i="34"/>
  <c r="AL37" i="34"/>
  <c r="AL53" i="34"/>
  <c r="AL44" i="34"/>
  <c r="AL50" i="34"/>
  <c r="AK37" i="26"/>
  <c r="AK69" i="26"/>
  <c r="AK38" i="26"/>
  <c r="AK72" i="26"/>
  <c r="AK35" i="26"/>
  <c r="AK71" i="26"/>
  <c r="AK50" i="26"/>
  <c r="AK68" i="26"/>
  <c r="AK70" i="11"/>
  <c r="AK63" i="11"/>
  <c r="AK76" i="11"/>
  <c r="AK55" i="11"/>
  <c r="AK62" i="11"/>
  <c r="AK79" i="11"/>
  <c r="AK35" i="11"/>
  <c r="AK78" i="11"/>
  <c r="AK69" i="11"/>
  <c r="AK67" i="11"/>
  <c r="AK74" i="11"/>
  <c r="AG66" i="33"/>
  <c r="AL94" i="65"/>
  <c r="AL93" i="65"/>
  <c r="AL70" i="65"/>
  <c r="AL91" i="65"/>
  <c r="AL60" i="65"/>
  <c r="AL85" i="65"/>
  <c r="AL35" i="65"/>
  <c r="AL69" i="65"/>
  <c r="AL74" i="65"/>
  <c r="AL77" i="65"/>
  <c r="AL76" i="65"/>
  <c r="AK37" i="30"/>
  <c r="AK74" i="30"/>
  <c r="AK35" i="30"/>
  <c r="AK38" i="30"/>
  <c r="AK71" i="30"/>
  <c r="AK50" i="30"/>
  <c r="AK73" i="30"/>
  <c r="P115" i="68"/>
  <c r="AK44" i="28"/>
  <c r="AK39" i="28"/>
  <c r="AK62" i="28"/>
  <c r="AK56" i="28"/>
  <c r="AK65" i="28"/>
  <c r="AK47" i="28"/>
  <c r="AK35" i="28"/>
  <c r="AK64" i="28"/>
  <c r="AK53" i="28"/>
  <c r="AJ43" i="24"/>
  <c r="AJ49" i="24"/>
  <c r="AJ40" i="24"/>
  <c r="AJ34" i="24"/>
  <c r="AJ52" i="24"/>
  <c r="AJ58" i="24"/>
  <c r="AK32" i="15"/>
  <c r="AK32" i="53"/>
  <c r="AL35" i="69"/>
  <c r="AL62" i="51"/>
  <c r="AL97" i="51"/>
  <c r="AL79" i="51"/>
  <c r="AL94" i="51"/>
  <c r="AL35" i="51"/>
  <c r="AL86" i="51"/>
  <c r="AL78" i="51"/>
  <c r="AL72" i="51"/>
  <c r="AL96" i="51"/>
  <c r="AL76" i="51"/>
  <c r="AA20" i="68"/>
  <c r="AH116" i="6"/>
  <c r="AK32" i="9"/>
  <c r="AK32" i="34"/>
  <c r="AK32" i="27"/>
  <c r="AL52" i="25"/>
  <c r="AH52" i="25"/>
  <c r="AG54" i="25"/>
  <c r="AG63" i="7"/>
  <c r="AG67" i="7" s="1"/>
  <c r="AL51" i="19"/>
  <c r="AL58" i="19"/>
  <c r="AL55" i="19"/>
  <c r="AL64" i="19"/>
  <c r="AL66" i="19"/>
  <c r="AL34" i="19"/>
  <c r="AL57" i="19"/>
  <c r="AL47" i="19"/>
  <c r="AL50" i="19"/>
  <c r="AL67" i="19"/>
  <c r="AL62" i="19"/>
  <c r="AK32" i="52"/>
  <c r="AK35" i="69"/>
  <c r="AK32" i="7"/>
  <c r="AK32" i="20"/>
  <c r="AK34" i="21"/>
  <c r="AK47" i="21"/>
  <c r="AK73" i="21"/>
  <c r="AK58" i="21"/>
  <c r="AK71" i="21"/>
  <c r="AK74" i="21"/>
  <c r="AK69" i="21"/>
  <c r="AK62" i="21"/>
  <c r="AK65" i="21"/>
  <c r="AK64" i="21"/>
  <c r="AF62" i="24"/>
  <c r="AK60" i="24"/>
  <c r="AG60" i="24"/>
  <c r="AK32" i="28"/>
  <c r="AL100" i="54"/>
  <c r="AL99" i="54"/>
  <c r="AL78" i="54"/>
  <c r="AL88" i="54"/>
  <c r="AL62" i="54"/>
  <c r="AL72" i="54"/>
  <c r="AL71" i="54"/>
  <c r="AL35" i="54"/>
  <c r="AL79" i="54"/>
  <c r="AL97" i="54"/>
  <c r="AL76" i="54"/>
  <c r="AK32" i="61"/>
  <c r="AL38" i="31"/>
  <c r="AL34" i="31"/>
  <c r="AK32" i="25"/>
  <c r="AM55" i="4"/>
  <c r="AM57" i="4"/>
  <c r="AM95" i="4"/>
  <c r="AM72" i="4"/>
  <c r="AM58" i="4"/>
  <c r="AM35" i="4"/>
  <c r="AM98" i="4"/>
  <c r="AM97" i="4"/>
  <c r="AL76" i="53"/>
  <c r="AL72" i="53"/>
  <c r="AL88" i="53"/>
  <c r="AL79" i="53"/>
  <c r="AL83" i="53"/>
  <c r="AL85" i="53"/>
  <c r="AL87" i="53"/>
  <c r="AL62" i="53"/>
  <c r="AL35" i="53"/>
  <c r="AL78" i="53"/>
  <c r="AK32" i="32"/>
  <c r="V115" i="68"/>
  <c r="AK32" i="69"/>
  <c r="AK52" i="24"/>
  <c r="AK34" i="24"/>
  <c r="AK49" i="24"/>
  <c r="AK58" i="24"/>
  <c r="AK43" i="24"/>
  <c r="AK40" i="24"/>
  <c r="AL50" i="30"/>
  <c r="AL35" i="30"/>
  <c r="AL37" i="30"/>
  <c r="AL73" i="30"/>
  <c r="AL74" i="30"/>
  <c r="AL71" i="30"/>
  <c r="AL38" i="30"/>
  <c r="AK32" i="33"/>
  <c r="AK32" i="23"/>
  <c r="AL34" i="25"/>
  <c r="AK32" i="21"/>
  <c r="AL63" i="15"/>
  <c r="AL67" i="15"/>
  <c r="AL58" i="15"/>
  <c r="AL65" i="15"/>
  <c r="AL55" i="15"/>
  <c r="AL50" i="15"/>
  <c r="AL45" i="15"/>
  <c r="AL35" i="15"/>
  <c r="AL57" i="15"/>
  <c r="AL51" i="15"/>
  <c r="AL68" i="15"/>
  <c r="AL79" i="11"/>
  <c r="AL78" i="11"/>
  <c r="AL70" i="11"/>
  <c r="AL62" i="11"/>
  <c r="AL55" i="11"/>
  <c r="AL35" i="11"/>
  <c r="AL63" i="11"/>
  <c r="AL74" i="11"/>
  <c r="AL67" i="11"/>
  <c r="AL76" i="11"/>
  <c r="AL69" i="11"/>
  <c r="AK32" i="19"/>
  <c r="AD63" i="7"/>
  <c r="AD67" i="7" s="1"/>
  <c r="AL34" i="27"/>
  <c r="AL45" i="27"/>
  <c r="AL69" i="21"/>
  <c r="AL62" i="21"/>
  <c r="AL71" i="21"/>
  <c r="AL64" i="21"/>
  <c r="AL47" i="21"/>
  <c r="AL65" i="21"/>
  <c r="AL58" i="21"/>
  <c r="AL34" i="21"/>
  <c r="AL74" i="21"/>
  <c r="AL73" i="21"/>
  <c r="AM51" i="7"/>
  <c r="AM48" i="7"/>
  <c r="AM50" i="7"/>
  <c r="AM34" i="7"/>
  <c r="AM47" i="7"/>
  <c r="AL35" i="36"/>
  <c r="AL44" i="36"/>
  <c r="AL64" i="36"/>
  <c r="AL53" i="36"/>
  <c r="W115" i="68"/>
  <c r="AJ32" i="24"/>
  <c r="AK86" i="51"/>
  <c r="AK62" i="51"/>
  <c r="AK35" i="51"/>
  <c r="AK79" i="51"/>
  <c r="AK94" i="51"/>
  <c r="AK97" i="51"/>
  <c r="AK96" i="51"/>
  <c r="AK78" i="51"/>
  <c r="AK72" i="51"/>
  <c r="AK76" i="51"/>
  <c r="AK32" i="36"/>
  <c r="AK32" i="67"/>
  <c r="AL87" i="63"/>
  <c r="AL35" i="63"/>
  <c r="AL88" i="63"/>
  <c r="AL83" i="63"/>
  <c r="AL62" i="63"/>
  <c r="AL72" i="63"/>
  <c r="AL76" i="63"/>
  <c r="AL85" i="63"/>
  <c r="AL78" i="63"/>
  <c r="AL79" i="63"/>
  <c r="AK32" i="63"/>
  <c r="AK32" i="26"/>
  <c r="AL57" i="35"/>
  <c r="AL46" i="35"/>
  <c r="AL48" i="35"/>
  <c r="AL40" i="35"/>
  <c r="AL34" i="35"/>
  <c r="AL44" i="35"/>
  <c r="AL55" i="35"/>
  <c r="AL38" i="35"/>
  <c r="AK32" i="4"/>
  <c r="AL34" i="33"/>
  <c r="AL34" i="32"/>
  <c r="AL36" i="32"/>
  <c r="AK32" i="30"/>
  <c r="AK32" i="54"/>
  <c r="I21" i="7"/>
  <c r="AA19" i="65"/>
  <c r="AB56" i="23"/>
  <c r="AB58" i="23"/>
  <c r="AB74" i="23"/>
  <c r="V11" i="4"/>
  <c r="AD109" i="65"/>
  <c r="X11" i="24"/>
  <c r="T11" i="27"/>
  <c r="Z11" i="33"/>
  <c r="U102" i="65"/>
  <c r="O11" i="31"/>
  <c r="U11" i="27"/>
  <c r="Y11" i="25"/>
  <c r="Z11" i="55"/>
  <c r="AG106" i="65"/>
  <c r="W11" i="36"/>
  <c r="U11" i="26"/>
  <c r="Y17" i="37"/>
  <c r="Y94" i="37" s="1"/>
  <c r="W11" i="37"/>
  <c r="T11" i="16"/>
  <c r="X103" i="65"/>
  <c r="W11" i="26"/>
  <c r="U11" i="17"/>
  <c r="Q17" i="37"/>
  <c r="Q94" i="37" s="1"/>
  <c r="W11" i="19"/>
  <c r="O11" i="51"/>
  <c r="P11" i="4"/>
  <c r="X11" i="28"/>
  <c r="Y17" i="17"/>
  <c r="Z102" i="65"/>
  <c r="W11" i="7"/>
  <c r="V11" i="27"/>
  <c r="R17" i="37"/>
  <c r="R94" i="37" s="1"/>
  <c r="W11" i="25"/>
  <c r="U11" i="56"/>
  <c r="Y17" i="57"/>
  <c r="V11" i="21"/>
  <c r="Q11" i="33"/>
  <c r="Q11" i="17"/>
  <c r="W11" i="9"/>
  <c r="Y11" i="18"/>
  <c r="V11" i="58"/>
  <c r="W11" i="33"/>
  <c r="W11" i="59"/>
  <c r="W11" i="35"/>
  <c r="V11" i="53"/>
  <c r="T11" i="23"/>
  <c r="S17" i="39"/>
  <c r="R106" i="65"/>
  <c r="Q109" i="65"/>
  <c r="U11" i="20"/>
  <c r="V11" i="19"/>
  <c r="Y11" i="56"/>
  <c r="U17" i="64"/>
  <c r="Q11" i="6"/>
  <c r="Y11" i="21"/>
  <c r="T17" i="56"/>
  <c r="V11" i="9"/>
  <c r="X11" i="36"/>
  <c r="W11" i="51"/>
  <c r="X17" i="62"/>
  <c r="R17" i="62"/>
  <c r="O11" i="11"/>
  <c r="W11" i="53"/>
  <c r="S11" i="27"/>
  <c r="T17" i="55"/>
  <c r="R11" i="32"/>
  <c r="X11" i="30"/>
  <c r="W103" i="65"/>
  <c r="Y17" i="55"/>
  <c r="Z11" i="34"/>
  <c r="X17" i="56"/>
  <c r="V102" i="65"/>
  <c r="X11" i="20"/>
  <c r="S11" i="30"/>
  <c r="O109" i="65"/>
  <c r="V17" i="57"/>
  <c r="S103" i="65"/>
  <c r="Z17" i="57"/>
  <c r="Q17" i="58"/>
  <c r="Y17" i="59"/>
  <c r="Y11" i="59"/>
  <c r="Z11" i="26"/>
  <c r="AD108" i="65"/>
  <c r="Z11" i="4"/>
  <c r="Q11" i="57"/>
  <c r="Q11" i="30"/>
  <c r="V17" i="59"/>
  <c r="X11" i="7"/>
  <c r="V17" i="17"/>
  <c r="Z17" i="55"/>
  <c r="P11" i="31"/>
  <c r="R11" i="4"/>
  <c r="V11" i="36"/>
  <c r="Q11" i="31"/>
  <c r="X11" i="9"/>
  <c r="W17" i="37"/>
  <c r="W94" i="37" s="1"/>
  <c r="X102" i="65"/>
  <c r="P11" i="15"/>
  <c r="U17" i="17"/>
  <c r="Q11" i="37"/>
  <c r="Y11" i="26"/>
  <c r="Y11" i="29"/>
  <c r="O11" i="20"/>
  <c r="X11" i="35"/>
  <c r="Y11" i="17"/>
  <c r="U11" i="15"/>
  <c r="X17" i="17"/>
  <c r="V11" i="35"/>
  <c r="Z17" i="39"/>
  <c r="Y11" i="57"/>
  <c r="R11" i="36"/>
  <c r="S11" i="57"/>
  <c r="S11" i="58"/>
  <c r="P109" i="65"/>
  <c r="V11" i="18"/>
  <c r="P11" i="23"/>
  <c r="Q105" i="65"/>
  <c r="P11" i="29"/>
  <c r="T11" i="51"/>
  <c r="Q11" i="21"/>
  <c r="V11" i="32"/>
  <c r="S11" i="18"/>
  <c r="V11" i="54"/>
  <c r="Z11" i="9"/>
  <c r="U11" i="25"/>
  <c r="V11" i="11"/>
  <c r="S11" i="39"/>
  <c r="Q11" i="36"/>
  <c r="T11" i="6"/>
  <c r="O11" i="7"/>
  <c r="S11" i="52"/>
  <c r="Y11" i="28"/>
  <c r="Q11" i="52"/>
  <c r="Y17" i="56"/>
  <c r="O17" i="64"/>
  <c r="Q17" i="6"/>
  <c r="S11" i="23"/>
  <c r="P11" i="32"/>
  <c r="T11" i="56"/>
  <c r="S11" i="22"/>
  <c r="U11" i="6"/>
  <c r="V11" i="7"/>
  <c r="Q11" i="11"/>
  <c r="Q17" i="62"/>
  <c r="O17" i="62"/>
  <c r="U11" i="29"/>
  <c r="V108" i="65"/>
  <c r="Y11" i="39"/>
  <c r="X11" i="56"/>
  <c r="S11" i="28"/>
  <c r="Q11" i="39"/>
  <c r="Y11" i="6"/>
  <c r="V11" i="57"/>
  <c r="Y11" i="11"/>
  <c r="S102" i="65"/>
  <c r="Z11" i="57"/>
  <c r="U11" i="54"/>
  <c r="U11" i="21"/>
  <c r="R11" i="29"/>
  <c r="S17" i="6"/>
  <c r="Z11" i="29"/>
  <c r="Q17" i="57"/>
  <c r="Y11" i="35"/>
  <c r="V11" i="59"/>
  <c r="W11" i="4"/>
  <c r="X17" i="55"/>
  <c r="V11" i="17"/>
  <c r="T17" i="39"/>
  <c r="O17" i="17"/>
  <c r="Z11" i="52"/>
  <c r="S11" i="32"/>
  <c r="W106" i="65"/>
  <c r="U11" i="57"/>
  <c r="R11" i="16"/>
  <c r="R17" i="56"/>
  <c r="W11" i="27"/>
  <c r="X11" i="17"/>
  <c r="T11" i="54"/>
  <c r="Z11" i="39"/>
  <c r="T11" i="11"/>
  <c r="P11" i="11"/>
  <c r="S17" i="57"/>
  <c r="S11" i="15"/>
  <c r="S17" i="58"/>
  <c r="P108" i="65"/>
  <c r="Y11" i="51"/>
  <c r="P11" i="9"/>
  <c r="Q106" i="65"/>
  <c r="T11" i="32"/>
  <c r="Z11" i="36"/>
  <c r="R11" i="7"/>
  <c r="R11" i="52"/>
  <c r="Q11" i="32"/>
  <c r="P105" i="65"/>
  <c r="T17" i="6"/>
  <c r="P11" i="19"/>
  <c r="V11" i="15"/>
  <c r="O17" i="39"/>
  <c r="S11" i="53"/>
  <c r="X17" i="59"/>
  <c r="W17" i="17"/>
  <c r="R11" i="33"/>
  <c r="T17" i="64"/>
  <c r="Q11" i="15"/>
  <c r="P11" i="7"/>
  <c r="U17" i="6"/>
  <c r="V11" i="25"/>
  <c r="X11" i="19"/>
  <c r="P11" i="59"/>
  <c r="X106" i="65"/>
  <c r="W17" i="62"/>
  <c r="S17" i="62"/>
  <c r="P11" i="36"/>
  <c r="Q11" i="7"/>
  <c r="U11" i="52"/>
  <c r="V11" i="33"/>
  <c r="V109" i="65"/>
  <c r="Y17" i="39"/>
  <c r="Z11" i="18"/>
  <c r="Q11" i="27"/>
  <c r="Z11" i="15"/>
  <c r="W11" i="58"/>
  <c r="R11" i="19"/>
  <c r="S11" i="29"/>
  <c r="X11" i="27"/>
  <c r="Q17" i="39"/>
  <c r="P11" i="20"/>
  <c r="Y17" i="6"/>
  <c r="S11" i="34"/>
  <c r="R11" i="17"/>
  <c r="U11" i="58"/>
  <c r="W11" i="18"/>
  <c r="W11" i="11"/>
  <c r="S17" i="55"/>
  <c r="S11" i="55"/>
  <c r="O11" i="16"/>
  <c r="P17" i="37"/>
  <c r="P94" i="37" s="1"/>
  <c r="Z106" i="65"/>
  <c r="W11" i="16"/>
  <c r="V11" i="26"/>
  <c r="T11" i="52"/>
  <c r="S11" i="19"/>
  <c r="P11" i="34"/>
  <c r="X11" i="55"/>
  <c r="O11" i="9"/>
  <c r="T11" i="39"/>
  <c r="O11" i="17"/>
  <c r="U11" i="22"/>
  <c r="AD102" i="65"/>
  <c r="O11" i="52"/>
  <c r="W105" i="65"/>
  <c r="U17" i="57"/>
  <c r="V11" i="37"/>
  <c r="Y108" i="65"/>
  <c r="U11" i="37"/>
  <c r="U105" i="65"/>
  <c r="R11" i="56"/>
  <c r="S11" i="51"/>
  <c r="Y11" i="53"/>
  <c r="AG108" i="65"/>
  <c r="R11" i="25"/>
  <c r="U11" i="55"/>
  <c r="X109" i="65"/>
  <c r="R11" i="35"/>
  <c r="P11" i="54"/>
  <c r="O11" i="54"/>
  <c r="O11" i="19"/>
  <c r="Y11" i="33"/>
  <c r="Y11" i="30"/>
  <c r="Z11" i="53"/>
  <c r="V11" i="31"/>
  <c r="W17" i="56"/>
  <c r="O11" i="57"/>
  <c r="R11" i="27"/>
  <c r="O11" i="53"/>
  <c r="O102" i="65"/>
  <c r="AA108" i="65"/>
  <c r="R11" i="15"/>
  <c r="T11" i="34"/>
  <c r="T11" i="22"/>
  <c r="P106" i="65"/>
  <c r="Q11" i="55"/>
  <c r="W17" i="6"/>
  <c r="O11" i="39"/>
  <c r="X11" i="59"/>
  <c r="W11" i="17"/>
  <c r="O11" i="15"/>
  <c r="Q17" i="64"/>
  <c r="X11" i="32"/>
  <c r="Z11" i="30"/>
  <c r="V11" i="29"/>
  <c r="P11" i="53"/>
  <c r="S11" i="25"/>
  <c r="X11" i="33"/>
  <c r="V11" i="55"/>
  <c r="P17" i="59"/>
  <c r="X105" i="65"/>
  <c r="V17" i="62"/>
  <c r="P17" i="62"/>
  <c r="R11" i="21"/>
  <c r="S11" i="31"/>
  <c r="V17" i="56"/>
  <c r="P11" i="24"/>
  <c r="W17" i="58"/>
  <c r="V11" i="6"/>
  <c r="X11" i="39"/>
  <c r="Q11" i="24"/>
  <c r="T17" i="17"/>
  <c r="R11" i="55"/>
  <c r="R17" i="17"/>
  <c r="T11" i="31"/>
  <c r="T11" i="29"/>
  <c r="W11" i="30"/>
  <c r="U17" i="58"/>
  <c r="X11" i="21"/>
  <c r="Z11" i="7"/>
  <c r="Y11" i="54"/>
  <c r="Y11" i="20"/>
  <c r="W11" i="39"/>
  <c r="Q11" i="59"/>
  <c r="P11" i="22"/>
  <c r="Z11" i="19"/>
  <c r="P11" i="37"/>
  <c r="Z105" i="65"/>
  <c r="Y105" i="65"/>
  <c r="AA102" i="65"/>
  <c r="S11" i="4"/>
  <c r="R11" i="34"/>
  <c r="T11" i="25"/>
  <c r="Y11" i="4"/>
  <c r="Z11" i="11"/>
  <c r="W109" i="65"/>
  <c r="Z17" i="59"/>
  <c r="AD103" i="65"/>
  <c r="T11" i="4"/>
  <c r="Z11" i="17"/>
  <c r="R11" i="9"/>
  <c r="V17" i="37"/>
  <c r="V94" i="37" s="1"/>
  <c r="X11" i="15"/>
  <c r="Y109" i="65"/>
  <c r="O11" i="4"/>
  <c r="U17" i="37"/>
  <c r="U94" i="37" s="1"/>
  <c r="P11" i="52"/>
  <c r="U106" i="65"/>
  <c r="AG102" i="65"/>
  <c r="R17" i="39"/>
  <c r="S11" i="54"/>
  <c r="Q11" i="34"/>
  <c r="AG109" i="65"/>
  <c r="R11" i="31"/>
  <c r="U17" i="55"/>
  <c r="X108" i="65"/>
  <c r="Y102" i="65"/>
  <c r="X11" i="25"/>
  <c r="S11" i="36"/>
  <c r="Z109" i="65"/>
  <c r="V11" i="28"/>
  <c r="R11" i="18"/>
  <c r="U11" i="18"/>
  <c r="W11" i="24"/>
  <c r="W11" i="23"/>
  <c r="W11" i="56"/>
  <c r="O17" i="57"/>
  <c r="T11" i="30"/>
  <c r="Z11" i="21"/>
  <c r="Z11" i="23"/>
  <c r="O103" i="65"/>
  <c r="AA109" i="65"/>
  <c r="Q11" i="51"/>
  <c r="U11" i="31"/>
  <c r="Q102" i="65"/>
  <c r="Z11" i="22"/>
  <c r="T11" i="59"/>
  <c r="T11" i="24"/>
  <c r="Q17" i="55"/>
  <c r="W11" i="6"/>
  <c r="U11" i="59"/>
  <c r="Y11" i="22"/>
  <c r="Z11" i="51"/>
  <c r="V17" i="64"/>
  <c r="X17" i="64"/>
  <c r="N11" i="24"/>
  <c r="S105" i="65"/>
  <c r="S11" i="26"/>
  <c r="P103" i="65"/>
  <c r="Y11" i="58"/>
  <c r="V106" i="65"/>
  <c r="Q11" i="53"/>
  <c r="V17" i="55"/>
  <c r="P11" i="55"/>
  <c r="U11" i="39"/>
  <c r="T11" i="53"/>
  <c r="R17" i="6"/>
  <c r="U17" i="62"/>
  <c r="X11" i="6"/>
  <c r="O11" i="55"/>
  <c r="O11" i="26"/>
  <c r="Z11" i="32"/>
  <c r="Y11" i="23"/>
  <c r="X11" i="54"/>
  <c r="Y11" i="32"/>
  <c r="S11" i="33"/>
  <c r="U11" i="11"/>
  <c r="V11" i="56"/>
  <c r="Z11" i="28"/>
  <c r="X11" i="51"/>
  <c r="V11" i="51"/>
  <c r="O11" i="36"/>
  <c r="V17" i="6"/>
  <c r="X17" i="39"/>
  <c r="T11" i="17"/>
  <c r="Y11" i="16"/>
  <c r="R17" i="55"/>
  <c r="Q11" i="56"/>
  <c r="S11" i="37"/>
  <c r="U11" i="16"/>
  <c r="W11" i="55"/>
  <c r="Q11" i="25"/>
  <c r="O11" i="32"/>
  <c r="X11" i="22"/>
  <c r="Y106" i="65"/>
  <c r="AA103" i="65"/>
  <c r="Y11" i="52"/>
  <c r="R102" i="65"/>
  <c r="U11" i="4"/>
  <c r="R11" i="57"/>
  <c r="U11" i="35"/>
  <c r="W108" i="65"/>
  <c r="Z11" i="59"/>
  <c r="Q11" i="4"/>
  <c r="Z17" i="17"/>
  <c r="T11" i="9"/>
  <c r="S11" i="17"/>
  <c r="AG103" i="65"/>
  <c r="R11" i="39"/>
  <c r="Z11" i="58"/>
  <c r="Y103" i="65"/>
  <c r="R11" i="30"/>
  <c r="X11" i="58"/>
  <c r="Z108" i="65"/>
  <c r="X11" i="29"/>
  <c r="Q11" i="20"/>
  <c r="T105" i="65"/>
  <c r="T11" i="20"/>
  <c r="U11" i="19"/>
  <c r="R11" i="58"/>
  <c r="O11" i="18"/>
  <c r="S109" i="65"/>
  <c r="Q11" i="23"/>
  <c r="P11" i="33"/>
  <c r="P11" i="27"/>
  <c r="Q103" i="65"/>
  <c r="T17" i="59"/>
  <c r="O17" i="6"/>
  <c r="U17" i="59"/>
  <c r="X11" i="52"/>
  <c r="R11" i="53"/>
  <c r="Y11" i="31"/>
  <c r="P17" i="64"/>
  <c r="R17" i="64"/>
  <c r="S106" i="65"/>
  <c r="P102" i="65"/>
  <c r="Y17" i="58"/>
  <c r="V105" i="65"/>
  <c r="V11" i="24"/>
  <c r="P11" i="58"/>
  <c r="V11" i="39"/>
  <c r="P17" i="55"/>
  <c r="U17" i="39"/>
  <c r="R11" i="6"/>
  <c r="Z17" i="62"/>
  <c r="X17" i="6"/>
  <c r="O17" i="55"/>
  <c r="V11" i="20"/>
  <c r="O105" i="65"/>
  <c r="P11" i="25"/>
  <c r="P11" i="35"/>
  <c r="X11" i="53"/>
  <c r="U11" i="30"/>
  <c r="Z11" i="56"/>
  <c r="P11" i="6"/>
  <c r="Y11" i="36"/>
  <c r="P11" i="30"/>
  <c r="Y11" i="15"/>
  <c r="V11" i="34"/>
  <c r="V11" i="52"/>
  <c r="Q17" i="56"/>
  <c r="W17" i="39"/>
  <c r="O11" i="33"/>
  <c r="W11" i="21"/>
  <c r="Z11" i="6"/>
  <c r="Q11" i="28"/>
  <c r="Y11" i="9"/>
  <c r="W11" i="31"/>
  <c r="Q17" i="59"/>
  <c r="W11" i="28"/>
  <c r="W11" i="15"/>
  <c r="S17" i="37"/>
  <c r="S94" i="37" s="1"/>
  <c r="Q11" i="26"/>
  <c r="U109" i="65"/>
  <c r="W17" i="55"/>
  <c r="Z11" i="35"/>
  <c r="X11" i="4"/>
  <c r="X17" i="37"/>
  <c r="X94" i="37" s="1"/>
  <c r="R103" i="65"/>
  <c r="P11" i="57"/>
  <c r="R17" i="57"/>
  <c r="AD106" i="65"/>
  <c r="R108" i="65"/>
  <c r="S11" i="24"/>
  <c r="N11" i="37"/>
  <c r="P17" i="17"/>
  <c r="U11" i="51"/>
  <c r="Z11" i="31"/>
  <c r="A45" i="29"/>
  <c r="Y11" i="34"/>
  <c r="O11" i="24"/>
  <c r="O11" i="34"/>
  <c r="S17" i="17"/>
  <c r="O11" i="28"/>
  <c r="O11" i="27"/>
  <c r="T11" i="37"/>
  <c r="O17" i="37"/>
  <c r="O94" i="37" s="1"/>
  <c r="Z17" i="58"/>
  <c r="O11" i="56"/>
  <c r="O11" i="35"/>
  <c r="T11" i="26"/>
  <c r="S11" i="9"/>
  <c r="P17" i="56"/>
  <c r="X17" i="58"/>
  <c r="R11" i="23"/>
  <c r="S11" i="7"/>
  <c r="T11" i="58"/>
  <c r="U11" i="28"/>
  <c r="T106" i="65"/>
  <c r="O11" i="23"/>
  <c r="Q11" i="35"/>
  <c r="P11" i="39"/>
  <c r="R17" i="58"/>
  <c r="X11" i="16"/>
  <c r="S11" i="21"/>
  <c r="S108" i="65"/>
  <c r="W11" i="20"/>
  <c r="T11" i="36"/>
  <c r="W11" i="32"/>
  <c r="S17" i="59"/>
  <c r="P11" i="21"/>
  <c r="Q11" i="18"/>
  <c r="U11" i="36"/>
  <c r="O11" i="29"/>
  <c r="O11" i="6"/>
  <c r="X11" i="57"/>
  <c r="Z11" i="20"/>
  <c r="T11" i="18"/>
  <c r="Y11" i="19"/>
  <c r="Z17" i="64"/>
  <c r="Y17" i="64"/>
  <c r="Q11" i="16"/>
  <c r="P11" i="26"/>
  <c r="T109" i="65"/>
  <c r="T102" i="65"/>
  <c r="T11" i="57"/>
  <c r="AA106" i="65"/>
  <c r="P17" i="58"/>
  <c r="V17" i="39"/>
  <c r="R17" i="59"/>
  <c r="Y17" i="62"/>
  <c r="Z11" i="54"/>
  <c r="O106" i="65"/>
  <c r="O11" i="59"/>
  <c r="U11" i="34"/>
  <c r="W11" i="29"/>
  <c r="U11" i="33"/>
  <c r="Z11" i="27"/>
  <c r="T11" i="33"/>
  <c r="S11" i="20"/>
  <c r="Z17" i="56"/>
  <c r="T11" i="7"/>
  <c r="P17" i="6"/>
  <c r="W11" i="34"/>
  <c r="R11" i="11"/>
  <c r="V11" i="30"/>
  <c r="O17" i="58"/>
  <c r="V11" i="16"/>
  <c r="W11" i="57"/>
  <c r="V21" i="7"/>
  <c r="X21" i="7"/>
  <c r="O21" i="7"/>
  <c r="P21" i="7"/>
  <c r="T21" i="7"/>
  <c r="S21" i="7"/>
  <c r="Q21" i="7"/>
  <c r="Z21" i="7"/>
  <c r="U21" i="7"/>
  <c r="R21" i="7"/>
  <c r="Y21" i="7"/>
  <c r="W21" i="7"/>
  <c r="S11" i="56"/>
  <c r="S11" i="6"/>
  <c r="U108" i="65"/>
  <c r="O11" i="25"/>
  <c r="W11" i="52"/>
  <c r="S11" i="16"/>
  <c r="X11" i="37"/>
  <c r="X11" i="31"/>
  <c r="R11" i="51"/>
  <c r="U103" i="65"/>
  <c r="Q11" i="22"/>
  <c r="P17" i="57"/>
  <c r="AD105" i="65"/>
  <c r="R109" i="65"/>
  <c r="R11" i="22"/>
  <c r="N17" i="37"/>
  <c r="N94" i="37" s="1"/>
  <c r="P11" i="17"/>
  <c r="AG105" i="65"/>
  <c r="Y11" i="37"/>
  <c r="R11" i="20"/>
  <c r="Q11" i="29"/>
  <c r="Q11" i="9"/>
  <c r="V11" i="22"/>
  <c r="T11" i="15"/>
  <c r="U11" i="53"/>
  <c r="T11" i="35"/>
  <c r="A75" i="4"/>
  <c r="T17" i="37"/>
  <c r="T94" i="37" s="1"/>
  <c r="O11" i="37"/>
  <c r="W11" i="54"/>
  <c r="O17" i="56"/>
  <c r="Z103" i="65"/>
  <c r="A44" i="7"/>
  <c r="R11" i="37"/>
  <c r="P11" i="56"/>
  <c r="P11" i="18"/>
  <c r="U17" i="56"/>
  <c r="T17" i="58"/>
  <c r="O11" i="21"/>
  <c r="U11" i="7"/>
  <c r="T11" i="19"/>
  <c r="X11" i="11"/>
  <c r="P11" i="51"/>
  <c r="P17" i="39"/>
  <c r="Q17" i="17"/>
  <c r="R11" i="26"/>
  <c r="U11" i="32"/>
  <c r="T11" i="28"/>
  <c r="V17" i="58"/>
  <c r="V11" i="23"/>
  <c r="W17" i="59"/>
  <c r="Y11" i="27"/>
  <c r="S11" i="59"/>
  <c r="Q11" i="54"/>
  <c r="Y11" i="7"/>
  <c r="R105" i="65"/>
  <c r="Q108" i="65"/>
  <c r="X17" i="57"/>
  <c r="U11" i="24"/>
  <c r="P11" i="28"/>
  <c r="S17" i="64"/>
  <c r="W17" i="64"/>
  <c r="A45" i="26"/>
  <c r="T108" i="65"/>
  <c r="T103" i="65"/>
  <c r="T17" i="57"/>
  <c r="T11" i="21"/>
  <c r="AA105" i="65"/>
  <c r="Z11" i="16"/>
  <c r="R11" i="54"/>
  <c r="S11" i="35"/>
  <c r="R11" i="59"/>
  <c r="X11" i="23"/>
  <c r="T17" i="62"/>
  <c r="W11" i="22"/>
  <c r="T11" i="55"/>
  <c r="O17" i="59"/>
  <c r="Q11" i="19"/>
  <c r="X11" i="34"/>
  <c r="W102" i="65"/>
  <c r="Y11" i="55"/>
  <c r="O11" i="22"/>
  <c r="A45" i="34"/>
  <c r="Z11" i="25"/>
  <c r="R11" i="28"/>
  <c r="V103" i="65"/>
  <c r="A45" i="30"/>
  <c r="U11" i="23"/>
  <c r="S11" i="11"/>
  <c r="X11" i="26"/>
  <c r="O108" i="65"/>
  <c r="O11" i="58"/>
  <c r="P11" i="16"/>
  <c r="W17" i="57"/>
  <c r="U11" i="9"/>
  <c r="Y11" i="24"/>
  <c r="Q11" i="58"/>
  <c r="X11" i="18"/>
  <c r="R11" i="24"/>
  <c r="S17" i="56"/>
  <c r="A91" i="28"/>
  <c r="O11" i="30"/>
  <c r="Z17" i="6"/>
  <c r="Z19" i="26"/>
  <c r="Z32" i="26"/>
  <c r="Z20" i="26"/>
  <c r="W19" i="52"/>
  <c r="W20" i="52"/>
  <c r="W32" i="52"/>
  <c r="S19" i="16"/>
  <c r="S20" i="16"/>
  <c r="S32" i="16"/>
  <c r="X40" i="31"/>
  <c r="X32" i="31"/>
  <c r="X20" i="31"/>
  <c r="X19" i="31"/>
  <c r="R20" i="51"/>
  <c r="R19" i="51"/>
  <c r="R32" i="51"/>
  <c r="W20" i="61"/>
  <c r="W32" i="61"/>
  <c r="W19" i="61"/>
  <c r="X19" i="7"/>
  <c r="X20" i="7"/>
  <c r="X22" i="7"/>
  <c r="X32" i="7"/>
  <c r="P19" i="31"/>
  <c r="P40" i="31"/>
  <c r="P20" i="31"/>
  <c r="P32" i="31"/>
  <c r="R19" i="4"/>
  <c r="R20" i="4"/>
  <c r="R32" i="4"/>
  <c r="V32" i="36"/>
  <c r="V20" i="36"/>
  <c r="V19" i="36"/>
  <c r="Y19" i="37"/>
  <c r="Y32" i="37"/>
  <c r="Q32" i="9"/>
  <c r="Q20" i="9"/>
  <c r="Q19" i="9"/>
  <c r="V20" i="22"/>
  <c r="V19" i="22"/>
  <c r="V32" i="22"/>
  <c r="Q19" i="37"/>
  <c r="Q32" i="37"/>
  <c r="U32" i="53"/>
  <c r="U20" i="53"/>
  <c r="U19" i="53"/>
  <c r="O19" i="20"/>
  <c r="O20" i="20"/>
  <c r="O32" i="20"/>
  <c r="W19" i="54"/>
  <c r="W32" i="54"/>
  <c r="W20" i="54"/>
  <c r="Y32" i="17"/>
  <c r="Y19" i="17"/>
  <c r="Y20" i="17"/>
  <c r="R19" i="37"/>
  <c r="R32" i="37"/>
  <c r="V19" i="35"/>
  <c r="V62" i="35"/>
  <c r="V50" i="35"/>
  <c r="V20" i="35"/>
  <c r="V32" i="35"/>
  <c r="P19" i="18"/>
  <c r="P32" i="18"/>
  <c r="Y32" i="57"/>
  <c r="Y19" i="57"/>
  <c r="Y20" i="57"/>
  <c r="R32" i="36"/>
  <c r="R19" i="36"/>
  <c r="R20" i="36"/>
  <c r="U22" i="7"/>
  <c r="U32" i="7"/>
  <c r="U20" i="7"/>
  <c r="U19" i="7"/>
  <c r="T20" i="19"/>
  <c r="T19" i="19"/>
  <c r="T32" i="19"/>
  <c r="X20" i="11"/>
  <c r="X19" i="11"/>
  <c r="X32" i="11"/>
  <c r="V19" i="18"/>
  <c r="V32" i="18"/>
  <c r="R32" i="26"/>
  <c r="R20" i="26"/>
  <c r="R19" i="26"/>
  <c r="U38" i="32"/>
  <c r="U20" i="32"/>
  <c r="U32" i="32"/>
  <c r="U19" i="32"/>
  <c r="P19" i="29"/>
  <c r="P20" i="29"/>
  <c r="P32" i="29"/>
  <c r="V32" i="23"/>
  <c r="V19" i="23"/>
  <c r="V20" i="23"/>
  <c r="V19" i="54"/>
  <c r="V32" i="54"/>
  <c r="V20" i="54"/>
  <c r="Z20" i="9"/>
  <c r="Z19" i="9"/>
  <c r="Z32" i="9"/>
  <c r="V32" i="11"/>
  <c r="V20" i="11"/>
  <c r="V19" i="11"/>
  <c r="S19" i="39"/>
  <c r="S32" i="39"/>
  <c r="S20" i="39"/>
  <c r="O19" i="7"/>
  <c r="O22" i="7"/>
  <c r="O32" i="7"/>
  <c r="O20" i="7"/>
  <c r="S19" i="52"/>
  <c r="S20" i="52"/>
  <c r="S32" i="52"/>
  <c r="Y32" i="28"/>
  <c r="Y20" i="28"/>
  <c r="Y19" i="28"/>
  <c r="Q19" i="52"/>
  <c r="Q20" i="52"/>
  <c r="Q32" i="52"/>
  <c r="U32" i="64"/>
  <c r="U20" i="64"/>
  <c r="U19" i="64"/>
  <c r="S20" i="23"/>
  <c r="S32" i="23"/>
  <c r="S19" i="23"/>
  <c r="P20" i="32"/>
  <c r="P32" i="32"/>
  <c r="P38" i="32"/>
  <c r="P19" i="32"/>
  <c r="T19" i="56"/>
  <c r="T20" i="56"/>
  <c r="T32" i="56"/>
  <c r="S20" i="22"/>
  <c r="S32" i="22"/>
  <c r="S19" i="22"/>
  <c r="Z19" i="16"/>
  <c r="Z32" i="16"/>
  <c r="Z20" i="16"/>
  <c r="V20" i="7"/>
  <c r="V32" i="7"/>
  <c r="V22" i="7"/>
  <c r="V19" i="7"/>
  <c r="Q19" i="11"/>
  <c r="Q32" i="11"/>
  <c r="Q20" i="11"/>
  <c r="X32" i="62"/>
  <c r="X19" i="62"/>
  <c r="X20" i="62"/>
  <c r="R32" i="62"/>
  <c r="R20" i="62"/>
  <c r="R19" i="62"/>
  <c r="T32" i="55"/>
  <c r="T19" i="55"/>
  <c r="T20" i="55"/>
  <c r="Q20" i="19"/>
  <c r="Q19" i="19"/>
  <c r="X20" i="34"/>
  <c r="X63" i="34"/>
  <c r="X19" i="34"/>
  <c r="X32" i="34"/>
  <c r="Y19" i="55"/>
  <c r="Y32" i="55"/>
  <c r="Y20" i="55"/>
  <c r="X32" i="63"/>
  <c r="X19" i="63"/>
  <c r="X20" i="63"/>
  <c r="O32" i="22"/>
  <c r="O20" i="22"/>
  <c r="O19" i="22"/>
  <c r="Z20" i="25"/>
  <c r="Z52" i="25"/>
  <c r="Z19" i="25"/>
  <c r="Z32" i="25"/>
  <c r="X20" i="56"/>
  <c r="X32" i="56"/>
  <c r="X19" i="56"/>
  <c r="R20" i="28"/>
  <c r="R32" i="28"/>
  <c r="R19" i="28"/>
  <c r="U19" i="23"/>
  <c r="U20" i="23"/>
  <c r="U32" i="23"/>
  <c r="S19" i="11"/>
  <c r="S32" i="11"/>
  <c r="S20" i="11"/>
  <c r="X32" i="26"/>
  <c r="X19" i="26"/>
  <c r="X20" i="26"/>
  <c r="V20" i="57"/>
  <c r="V32" i="57"/>
  <c r="V19" i="57"/>
  <c r="Y32" i="11"/>
  <c r="Y19" i="11"/>
  <c r="Y20" i="11"/>
  <c r="Z20" i="57"/>
  <c r="Z32" i="57"/>
  <c r="Z19" i="57"/>
  <c r="U20" i="54"/>
  <c r="U19" i="54"/>
  <c r="U32" i="54"/>
  <c r="Q32" i="58"/>
  <c r="Q20" i="58"/>
  <c r="Q19" i="58"/>
  <c r="R32" i="29"/>
  <c r="R19" i="29"/>
  <c r="R20" i="29"/>
  <c r="Y32" i="59"/>
  <c r="Y20" i="59"/>
  <c r="Y19" i="59"/>
  <c r="O32" i="30"/>
  <c r="O20" i="30"/>
  <c r="O19" i="30"/>
  <c r="W19" i="15"/>
  <c r="W32" i="15"/>
  <c r="W20" i="15"/>
  <c r="Y19" i="9"/>
  <c r="Y32" i="9"/>
  <c r="Y20" i="9"/>
  <c r="X20" i="24"/>
  <c r="X32" i="24"/>
  <c r="X19" i="24"/>
  <c r="X60" i="24"/>
  <c r="Z19" i="33"/>
  <c r="Z21" i="33"/>
  <c r="Z32" i="33"/>
  <c r="Z20" i="33"/>
  <c r="V20" i="59"/>
  <c r="V19" i="59"/>
  <c r="V32" i="59"/>
  <c r="Q32" i="61"/>
  <c r="Q20" i="61"/>
  <c r="Q19" i="61"/>
  <c r="W20" i="4"/>
  <c r="W32" i="4"/>
  <c r="W19" i="4"/>
  <c r="U32" i="27"/>
  <c r="U19" i="27"/>
  <c r="U20" i="27"/>
  <c r="V19" i="17"/>
  <c r="V32" i="17"/>
  <c r="V20" i="17"/>
  <c r="Z32" i="55"/>
  <c r="Z19" i="55"/>
  <c r="Z20" i="55"/>
  <c r="Z19" i="52"/>
  <c r="Z32" i="52"/>
  <c r="Z20" i="52"/>
  <c r="W19" i="37"/>
  <c r="W32" i="37"/>
  <c r="T32" i="16"/>
  <c r="T19" i="16"/>
  <c r="T20" i="16"/>
  <c r="W20" i="26"/>
  <c r="W32" i="26"/>
  <c r="W19" i="26"/>
  <c r="U32" i="17"/>
  <c r="U19" i="17"/>
  <c r="U20" i="17"/>
  <c r="W32" i="19"/>
  <c r="W19" i="19"/>
  <c r="W20" i="19"/>
  <c r="R20" i="16"/>
  <c r="R32" i="16"/>
  <c r="R19" i="16"/>
  <c r="X32" i="28"/>
  <c r="X19" i="28"/>
  <c r="X20" i="28"/>
  <c r="W20" i="27"/>
  <c r="W32" i="27"/>
  <c r="W19" i="27"/>
  <c r="X20" i="17"/>
  <c r="X19" i="17"/>
  <c r="X32" i="17"/>
  <c r="T20" i="54"/>
  <c r="T19" i="54"/>
  <c r="T32" i="54"/>
  <c r="Z19" i="39"/>
  <c r="Z32" i="39"/>
  <c r="Z20" i="39"/>
  <c r="T32" i="11"/>
  <c r="T19" i="11"/>
  <c r="T20" i="11"/>
  <c r="P19" i="11"/>
  <c r="P20" i="11"/>
  <c r="P32" i="11"/>
  <c r="S20" i="15"/>
  <c r="S19" i="15"/>
  <c r="S32" i="15"/>
  <c r="Y20" i="51"/>
  <c r="Y19" i="51"/>
  <c r="Y32" i="51"/>
  <c r="P19" i="9"/>
  <c r="P32" i="9"/>
  <c r="P20" i="9"/>
  <c r="T20" i="32"/>
  <c r="T38" i="32"/>
  <c r="T32" i="32"/>
  <c r="T19" i="32"/>
  <c r="Z32" i="36"/>
  <c r="Z20" i="36"/>
  <c r="Z19" i="36"/>
  <c r="R22" i="7"/>
  <c r="R20" i="7"/>
  <c r="R32" i="7"/>
  <c r="R19" i="7"/>
  <c r="T20" i="23"/>
  <c r="T32" i="23"/>
  <c r="T19" i="23"/>
  <c r="P19" i="19"/>
  <c r="P20" i="19"/>
  <c r="P32" i="19"/>
  <c r="U20" i="20"/>
  <c r="U19" i="20"/>
  <c r="V20" i="19"/>
  <c r="V19" i="19"/>
  <c r="V32" i="19"/>
  <c r="Y20" i="56"/>
  <c r="Y32" i="56"/>
  <c r="Y19" i="56"/>
  <c r="O20" i="64"/>
  <c r="O19" i="64"/>
  <c r="O32" i="64"/>
  <c r="Q152" i="6"/>
  <c r="Q32" i="6"/>
  <c r="Q20" i="6"/>
  <c r="Q19" i="6"/>
  <c r="Y20" i="21"/>
  <c r="Y19" i="21"/>
  <c r="Y32" i="21"/>
  <c r="V20" i="9"/>
  <c r="V19" i="9"/>
  <c r="V32" i="9"/>
  <c r="X20" i="36"/>
  <c r="X32" i="36"/>
  <c r="X19" i="36"/>
  <c r="W20" i="51"/>
  <c r="W19" i="51"/>
  <c r="W32" i="51"/>
  <c r="Q19" i="62"/>
  <c r="Q20" i="62"/>
  <c r="Q32" i="62"/>
  <c r="O19" i="62"/>
  <c r="O32" i="62"/>
  <c r="O20" i="62"/>
  <c r="O32" i="11"/>
  <c r="O20" i="11"/>
  <c r="O19" i="11"/>
  <c r="Q19" i="7"/>
  <c r="Q32" i="7"/>
  <c r="Q20" i="7"/>
  <c r="Q22" i="7"/>
  <c r="U19" i="52"/>
  <c r="U20" i="52"/>
  <c r="U32" i="52"/>
  <c r="V32" i="33"/>
  <c r="V19" i="33"/>
  <c r="V21" i="33"/>
  <c r="V20" i="33"/>
  <c r="Z19" i="18"/>
  <c r="Z32" i="18"/>
  <c r="W32" i="63"/>
  <c r="W19" i="63"/>
  <c r="W20" i="63"/>
  <c r="Q19" i="27"/>
  <c r="Q20" i="27"/>
  <c r="Q32" i="27"/>
  <c r="Z20" i="15"/>
  <c r="Z32" i="15"/>
  <c r="Z19" i="15"/>
  <c r="R20" i="19"/>
  <c r="R32" i="19"/>
  <c r="R19" i="19"/>
  <c r="S32" i="29"/>
  <c r="S20" i="29"/>
  <c r="S19" i="29"/>
  <c r="X20" i="27"/>
  <c r="X19" i="27"/>
  <c r="X32" i="27"/>
  <c r="P20" i="20"/>
  <c r="P32" i="20"/>
  <c r="P19" i="20"/>
  <c r="S63" i="34"/>
  <c r="S20" i="34"/>
  <c r="S32" i="34"/>
  <c r="S19" i="34"/>
  <c r="S152" i="6"/>
  <c r="S19" i="6"/>
  <c r="S32" i="6"/>
  <c r="S20" i="6"/>
  <c r="O32" i="16"/>
  <c r="O20" i="16"/>
  <c r="O19" i="16"/>
  <c r="Z19" i="4"/>
  <c r="Z20" i="4"/>
  <c r="Z32" i="4"/>
  <c r="Q20" i="57"/>
  <c r="Q19" i="57"/>
  <c r="Q32" i="57"/>
  <c r="W19" i="16"/>
  <c r="W32" i="16"/>
  <c r="W20" i="16"/>
  <c r="Q32" i="30"/>
  <c r="Q19" i="30"/>
  <c r="Q20" i="30"/>
  <c r="V32" i="26"/>
  <c r="V20" i="26"/>
  <c r="V19" i="26"/>
  <c r="S32" i="19"/>
  <c r="S20" i="19"/>
  <c r="S19" i="19"/>
  <c r="S20" i="61"/>
  <c r="S32" i="61"/>
  <c r="S19" i="61"/>
  <c r="X32" i="55"/>
  <c r="X19" i="55"/>
  <c r="X20" i="55"/>
  <c r="O19" i="9"/>
  <c r="O32" i="9"/>
  <c r="O20" i="9"/>
  <c r="T19" i="39"/>
  <c r="T20" i="39"/>
  <c r="T32" i="39"/>
  <c r="O20" i="17"/>
  <c r="O19" i="17"/>
  <c r="O32" i="17"/>
  <c r="U32" i="22"/>
  <c r="U19" i="22"/>
  <c r="U20" i="22"/>
  <c r="Q19" i="31"/>
  <c r="Q40" i="31"/>
  <c r="Q20" i="31"/>
  <c r="Q32" i="31"/>
  <c r="X32" i="9"/>
  <c r="X20" i="9"/>
  <c r="X19" i="9"/>
  <c r="O32" i="52"/>
  <c r="O19" i="52"/>
  <c r="O20" i="52"/>
  <c r="P20" i="15"/>
  <c r="P19" i="15"/>
  <c r="P32" i="15"/>
  <c r="Y19" i="26"/>
  <c r="Y32" i="26"/>
  <c r="Y20" i="26"/>
  <c r="Y19" i="29"/>
  <c r="Y20" i="29"/>
  <c r="Y32" i="29"/>
  <c r="R19" i="56"/>
  <c r="R20" i="56"/>
  <c r="R32" i="56"/>
  <c r="S32" i="51"/>
  <c r="S20" i="51"/>
  <c r="S19" i="51"/>
  <c r="X20" i="35"/>
  <c r="X62" i="35"/>
  <c r="X50" i="35"/>
  <c r="X19" i="35"/>
  <c r="X32" i="35"/>
  <c r="Y20" i="53"/>
  <c r="Y32" i="53"/>
  <c r="Y19" i="53"/>
  <c r="U20" i="15"/>
  <c r="U19" i="15"/>
  <c r="U32" i="15"/>
  <c r="R20" i="25"/>
  <c r="R32" i="25"/>
  <c r="R52" i="25"/>
  <c r="R19" i="25"/>
  <c r="R50" i="35"/>
  <c r="R20" i="35"/>
  <c r="R19" i="35"/>
  <c r="R62" i="35"/>
  <c r="R32" i="35"/>
  <c r="O20" i="54"/>
  <c r="O19" i="54"/>
  <c r="O32" i="54"/>
  <c r="O32" i="19"/>
  <c r="O20" i="19"/>
  <c r="O19" i="19"/>
  <c r="Y19" i="33"/>
  <c r="Y21" i="33"/>
  <c r="Y20" i="33"/>
  <c r="Y32" i="33"/>
  <c r="S32" i="57"/>
  <c r="S19" i="57"/>
  <c r="S20" i="57"/>
  <c r="S20" i="58"/>
  <c r="S32" i="58"/>
  <c r="S19" i="58"/>
  <c r="Z19" i="53"/>
  <c r="Z20" i="53"/>
  <c r="Z32" i="53"/>
  <c r="V19" i="31"/>
  <c r="V32" i="31"/>
  <c r="V20" i="31"/>
  <c r="V40" i="31"/>
  <c r="P19" i="23"/>
  <c r="P32" i="23"/>
  <c r="P20" i="23"/>
  <c r="T19" i="51"/>
  <c r="T20" i="51"/>
  <c r="T32" i="51"/>
  <c r="Q32" i="21"/>
  <c r="Q20" i="21"/>
  <c r="Q19" i="21"/>
  <c r="V32" i="32"/>
  <c r="V20" i="32"/>
  <c r="V19" i="32"/>
  <c r="S19" i="18"/>
  <c r="T20" i="34"/>
  <c r="T19" i="34"/>
  <c r="T63" i="34"/>
  <c r="T32" i="34"/>
  <c r="T32" i="22"/>
  <c r="T20" i="22"/>
  <c r="T19" i="22"/>
  <c r="U32" i="25"/>
  <c r="U52" i="25"/>
  <c r="U20" i="25"/>
  <c r="U19" i="25"/>
  <c r="Q19" i="36"/>
  <c r="Q32" i="36"/>
  <c r="T152" i="6"/>
  <c r="T20" i="6"/>
  <c r="T19" i="6"/>
  <c r="T32" i="6"/>
  <c r="O32" i="39"/>
  <c r="O19" i="39"/>
  <c r="O20" i="39"/>
  <c r="X19" i="59"/>
  <c r="X20" i="59"/>
  <c r="X32" i="59"/>
  <c r="W32" i="17"/>
  <c r="W19" i="17"/>
  <c r="W20" i="17"/>
  <c r="O20" i="15"/>
  <c r="O32" i="15"/>
  <c r="O19" i="15"/>
  <c r="T32" i="64"/>
  <c r="T19" i="64"/>
  <c r="T20" i="64"/>
  <c r="X32" i="32"/>
  <c r="X20" i="32"/>
  <c r="X19" i="32"/>
  <c r="X38" i="32"/>
  <c r="Z20" i="30"/>
  <c r="Z32" i="30"/>
  <c r="Z19" i="30"/>
  <c r="V20" i="29"/>
  <c r="V19" i="29"/>
  <c r="V32" i="29"/>
  <c r="P20" i="53"/>
  <c r="P32" i="53"/>
  <c r="P19" i="53"/>
  <c r="S32" i="25"/>
  <c r="S19" i="25"/>
  <c r="S20" i="25"/>
  <c r="S52" i="25"/>
  <c r="X19" i="33"/>
  <c r="X20" i="33"/>
  <c r="X32" i="33"/>
  <c r="X21" i="33"/>
  <c r="U20" i="6"/>
  <c r="U32" i="6"/>
  <c r="U152" i="6"/>
  <c r="U19" i="6"/>
  <c r="W20" i="62"/>
  <c r="W32" i="62"/>
  <c r="W19" i="62"/>
  <c r="S19" i="62"/>
  <c r="S20" i="62"/>
  <c r="S32" i="62"/>
  <c r="R32" i="21"/>
  <c r="R19" i="21"/>
  <c r="R20" i="21"/>
  <c r="U20" i="29"/>
  <c r="U19" i="29"/>
  <c r="U32" i="29"/>
  <c r="S40" i="31"/>
  <c r="S19" i="31"/>
  <c r="S20" i="31"/>
  <c r="S32" i="31"/>
  <c r="Y32" i="39"/>
  <c r="Y20" i="39"/>
  <c r="Y19" i="39"/>
  <c r="T19" i="63"/>
  <c r="T32" i="63"/>
  <c r="T20" i="63"/>
  <c r="S32" i="28"/>
  <c r="S19" i="28"/>
  <c r="S20" i="28"/>
  <c r="Q32" i="39"/>
  <c r="Q19" i="39"/>
  <c r="Q20" i="39"/>
  <c r="Y19" i="6"/>
  <c r="Y152" i="6"/>
  <c r="Y20" i="6"/>
  <c r="Y32" i="6"/>
  <c r="T19" i="31"/>
  <c r="T32" i="31"/>
  <c r="T20" i="31"/>
  <c r="T40" i="31"/>
  <c r="T20" i="29"/>
  <c r="T19" i="29"/>
  <c r="T32" i="29"/>
  <c r="W32" i="30"/>
  <c r="W19" i="30"/>
  <c r="W20" i="30"/>
  <c r="X19" i="21"/>
  <c r="X20" i="21"/>
  <c r="X32" i="21"/>
  <c r="U32" i="21"/>
  <c r="U20" i="21"/>
  <c r="U19" i="21"/>
  <c r="Y20" i="54"/>
  <c r="Y32" i="54"/>
  <c r="Y19" i="54"/>
  <c r="S32" i="55"/>
  <c r="S19" i="55"/>
  <c r="S20" i="55"/>
  <c r="Y20" i="20"/>
  <c r="Y32" i="20"/>
  <c r="Y19" i="20"/>
  <c r="V20" i="52"/>
  <c r="V19" i="52"/>
  <c r="V32" i="52"/>
  <c r="W20" i="31"/>
  <c r="W32" i="31"/>
  <c r="W40" i="31"/>
  <c r="W19" i="31"/>
  <c r="Z32" i="29"/>
  <c r="Z19" i="29"/>
  <c r="Z20" i="29"/>
  <c r="P32" i="37"/>
  <c r="P19" i="37"/>
  <c r="Y19" i="35"/>
  <c r="Y32" i="35"/>
  <c r="Y62" i="35"/>
  <c r="Y50" i="35"/>
  <c r="Y20" i="35"/>
  <c r="S20" i="4"/>
  <c r="S32" i="4"/>
  <c r="S19" i="4"/>
  <c r="R20" i="34"/>
  <c r="R32" i="34"/>
  <c r="R19" i="34"/>
  <c r="R63" i="34"/>
  <c r="R32" i="61"/>
  <c r="R19" i="61"/>
  <c r="R20" i="61"/>
  <c r="X20" i="61"/>
  <c r="X19" i="61"/>
  <c r="X32" i="61"/>
  <c r="T20" i="25"/>
  <c r="T52" i="25"/>
  <c r="T19" i="25"/>
  <c r="T32" i="25"/>
  <c r="Y19" i="4"/>
  <c r="Y20" i="4"/>
  <c r="Y32" i="4"/>
  <c r="Z20" i="11"/>
  <c r="Z32" i="11"/>
  <c r="Z19" i="11"/>
  <c r="T20" i="4"/>
  <c r="T32" i="4"/>
  <c r="T19" i="4"/>
  <c r="S38" i="32"/>
  <c r="S19" i="32"/>
  <c r="S20" i="32"/>
  <c r="S32" i="32"/>
  <c r="R19" i="9"/>
  <c r="R32" i="9"/>
  <c r="R20" i="9"/>
  <c r="U19" i="57"/>
  <c r="U20" i="57"/>
  <c r="U32" i="57"/>
  <c r="X20" i="15"/>
  <c r="X19" i="15"/>
  <c r="X32" i="15"/>
  <c r="O19" i="4"/>
  <c r="O20" i="4"/>
  <c r="O32" i="4"/>
  <c r="P32" i="52"/>
  <c r="P20" i="52"/>
  <c r="P19" i="52"/>
  <c r="S32" i="54"/>
  <c r="S20" i="54"/>
  <c r="S19" i="54"/>
  <c r="R20" i="31"/>
  <c r="R32" i="31"/>
  <c r="R40" i="31"/>
  <c r="R19" i="31"/>
  <c r="X52" i="25"/>
  <c r="X19" i="25"/>
  <c r="X20" i="25"/>
  <c r="X32" i="25"/>
  <c r="S32" i="36"/>
  <c r="S19" i="36"/>
  <c r="S20" i="36"/>
  <c r="R32" i="18"/>
  <c r="R19" i="18"/>
  <c r="U19" i="18"/>
  <c r="U32" i="18"/>
  <c r="W60" i="24"/>
  <c r="W19" i="24"/>
  <c r="W20" i="24"/>
  <c r="W32" i="24"/>
  <c r="W19" i="56"/>
  <c r="W20" i="56"/>
  <c r="W32" i="56"/>
  <c r="T19" i="30"/>
  <c r="T32" i="30"/>
  <c r="T20" i="30"/>
  <c r="Z20" i="23"/>
  <c r="Z32" i="23"/>
  <c r="Z19" i="23"/>
  <c r="Q32" i="51"/>
  <c r="Q20" i="51"/>
  <c r="Q19" i="51"/>
  <c r="U32" i="31"/>
  <c r="U40" i="31"/>
  <c r="U20" i="31"/>
  <c r="U19" i="31"/>
  <c r="R19" i="52"/>
  <c r="R32" i="52"/>
  <c r="R20" i="52"/>
  <c r="Q38" i="32"/>
  <c r="Q20" i="32"/>
  <c r="Q32" i="32"/>
  <c r="Q19" i="32"/>
  <c r="T32" i="24"/>
  <c r="T20" i="24"/>
  <c r="T60" i="24"/>
  <c r="T19" i="24"/>
  <c r="W19" i="6"/>
  <c r="W20" i="6"/>
  <c r="W32" i="6"/>
  <c r="W152" i="6"/>
  <c r="V32" i="15"/>
  <c r="V20" i="15"/>
  <c r="S32" i="53"/>
  <c r="S20" i="53"/>
  <c r="S19" i="53"/>
  <c r="R20" i="33"/>
  <c r="R32" i="33"/>
  <c r="R19" i="33"/>
  <c r="R21" i="33"/>
  <c r="Q19" i="64"/>
  <c r="Q20" i="64"/>
  <c r="Q20" i="15"/>
  <c r="Q19" i="15"/>
  <c r="Q32" i="15"/>
  <c r="P22" i="7"/>
  <c r="P20" i="7"/>
  <c r="P19" i="7"/>
  <c r="P32" i="7"/>
  <c r="V20" i="25"/>
  <c r="V19" i="25"/>
  <c r="V32" i="25"/>
  <c r="V52" i="25"/>
  <c r="X20" i="19"/>
  <c r="X19" i="19"/>
  <c r="X32" i="19"/>
  <c r="P19" i="59"/>
  <c r="P20" i="59"/>
  <c r="P32" i="59"/>
  <c r="V20" i="62"/>
  <c r="V19" i="62"/>
  <c r="V32" i="62"/>
  <c r="P19" i="62"/>
  <c r="P32" i="62"/>
  <c r="P20" i="62"/>
  <c r="P20" i="36"/>
  <c r="P32" i="36"/>
  <c r="P19" i="36"/>
  <c r="Z38" i="32"/>
  <c r="Z32" i="32"/>
  <c r="Z19" i="32"/>
  <c r="Z20" i="32"/>
  <c r="Y32" i="23"/>
  <c r="Y20" i="23"/>
  <c r="Y19" i="23"/>
  <c r="Y20" i="32"/>
  <c r="Y32" i="32"/>
  <c r="Y19" i="32"/>
  <c r="Y38" i="32"/>
  <c r="S20" i="33"/>
  <c r="S19" i="33"/>
  <c r="S32" i="33"/>
  <c r="S21" i="33"/>
  <c r="U32" i="11"/>
  <c r="U19" i="11"/>
  <c r="U20" i="11"/>
  <c r="V20" i="56"/>
  <c r="V19" i="56"/>
  <c r="V32" i="56"/>
  <c r="Z19" i="28"/>
  <c r="Z32" i="28"/>
  <c r="Z20" i="28"/>
  <c r="O32" i="63"/>
  <c r="O19" i="63"/>
  <c r="O20" i="63"/>
  <c r="R20" i="63"/>
  <c r="R32" i="63"/>
  <c r="R19" i="63"/>
  <c r="X32" i="51"/>
  <c r="X20" i="51"/>
  <c r="X19" i="51"/>
  <c r="W19" i="58"/>
  <c r="W20" i="58"/>
  <c r="W32" i="58"/>
  <c r="V20" i="51"/>
  <c r="V19" i="51"/>
  <c r="V32" i="51"/>
  <c r="O20" i="36"/>
  <c r="O19" i="36"/>
  <c r="O32" i="36"/>
  <c r="T32" i="17"/>
  <c r="T19" i="17"/>
  <c r="T20" i="17"/>
  <c r="Y20" i="16"/>
  <c r="Y32" i="16"/>
  <c r="Y19" i="16"/>
  <c r="R32" i="17"/>
  <c r="R19" i="17"/>
  <c r="R20" i="17"/>
  <c r="U20" i="58"/>
  <c r="U19" i="58"/>
  <c r="U32" i="58"/>
  <c r="W19" i="18"/>
  <c r="W32" i="18"/>
  <c r="W19" i="11"/>
  <c r="W20" i="11"/>
  <c r="W32" i="11"/>
  <c r="U32" i="16"/>
  <c r="U20" i="16"/>
  <c r="U19" i="16"/>
  <c r="Q32" i="25"/>
  <c r="Q19" i="25"/>
  <c r="Q20" i="25"/>
  <c r="Q52" i="25"/>
  <c r="T32" i="52"/>
  <c r="T20" i="52"/>
  <c r="T19" i="52"/>
  <c r="X32" i="22"/>
  <c r="X19" i="22"/>
  <c r="X20" i="22"/>
  <c r="V19" i="61"/>
  <c r="V20" i="61"/>
  <c r="V32" i="61"/>
  <c r="T20" i="61"/>
  <c r="T19" i="61"/>
  <c r="T32" i="61"/>
  <c r="P63" i="34"/>
  <c r="P32" i="34"/>
  <c r="P20" i="34"/>
  <c r="P19" i="34"/>
  <c r="U32" i="4"/>
  <c r="U20" i="4"/>
  <c r="U19" i="4"/>
  <c r="U32" i="35"/>
  <c r="U19" i="35"/>
  <c r="U50" i="35"/>
  <c r="U62" i="35"/>
  <c r="U20" i="35"/>
  <c r="Z19" i="59"/>
  <c r="Z32" i="59"/>
  <c r="Z20" i="59"/>
  <c r="V32" i="37"/>
  <c r="V19" i="37"/>
  <c r="U32" i="37"/>
  <c r="U19" i="37"/>
  <c r="R19" i="39"/>
  <c r="R20" i="39"/>
  <c r="R32" i="39"/>
  <c r="U19" i="55"/>
  <c r="U32" i="55"/>
  <c r="U20" i="55"/>
  <c r="R32" i="30"/>
  <c r="R19" i="30"/>
  <c r="R20" i="30"/>
  <c r="P32" i="54"/>
  <c r="P19" i="54"/>
  <c r="P20" i="54"/>
  <c r="X20" i="29"/>
  <c r="X32" i="29"/>
  <c r="X19" i="29"/>
  <c r="Y20" i="30"/>
  <c r="Y19" i="30"/>
  <c r="Y32" i="30"/>
  <c r="T20" i="20"/>
  <c r="T19" i="20"/>
  <c r="T32" i="20"/>
  <c r="U20" i="19"/>
  <c r="U32" i="19"/>
  <c r="U19" i="19"/>
  <c r="O19" i="57"/>
  <c r="O32" i="57"/>
  <c r="O20" i="57"/>
  <c r="R19" i="27"/>
  <c r="R20" i="27"/>
  <c r="R32" i="27"/>
  <c r="O19" i="53"/>
  <c r="O32" i="53"/>
  <c r="O20" i="53"/>
  <c r="R19" i="15"/>
  <c r="R20" i="15"/>
  <c r="R32" i="15"/>
  <c r="P20" i="27"/>
  <c r="P19" i="27"/>
  <c r="P32" i="27"/>
  <c r="Q20" i="55"/>
  <c r="Q32" i="55"/>
  <c r="Q19" i="55"/>
  <c r="X20" i="52"/>
  <c r="X19" i="52"/>
  <c r="X32" i="52"/>
  <c r="R19" i="53"/>
  <c r="R32" i="53"/>
  <c r="R20" i="53"/>
  <c r="Y20" i="31"/>
  <c r="Y32" i="31"/>
  <c r="Y40" i="31"/>
  <c r="Y19" i="31"/>
  <c r="V19" i="64"/>
  <c r="V32" i="64"/>
  <c r="V20" i="64"/>
  <c r="X20" i="64"/>
  <c r="X19" i="64"/>
  <c r="X32" i="64"/>
  <c r="V60" i="24"/>
  <c r="V32" i="24"/>
  <c r="V19" i="24"/>
  <c r="V20" i="24"/>
  <c r="V19" i="55"/>
  <c r="V32" i="55"/>
  <c r="V20" i="55"/>
  <c r="R19" i="6"/>
  <c r="R20" i="6"/>
  <c r="R152" i="6"/>
  <c r="R32" i="6"/>
  <c r="U20" i="62"/>
  <c r="U32" i="62"/>
  <c r="U19" i="62"/>
  <c r="Y20" i="63"/>
  <c r="Y19" i="63"/>
  <c r="Y32" i="63"/>
  <c r="P32" i="63"/>
  <c r="P20" i="63"/>
  <c r="P19" i="63"/>
  <c r="P20" i="24"/>
  <c r="P60" i="24"/>
  <c r="P19" i="24"/>
  <c r="P32" i="24"/>
  <c r="V19" i="6"/>
  <c r="V20" i="6"/>
  <c r="V152" i="6"/>
  <c r="V32" i="6"/>
  <c r="X19" i="39"/>
  <c r="X32" i="39"/>
  <c r="X20" i="39"/>
  <c r="Q19" i="24"/>
  <c r="Q20" i="24"/>
  <c r="Q60" i="24"/>
  <c r="Q32" i="24"/>
  <c r="R19" i="55"/>
  <c r="R20" i="55"/>
  <c r="R32" i="55"/>
  <c r="Y32" i="15"/>
  <c r="Y20" i="15"/>
  <c r="Y19" i="15"/>
  <c r="V20" i="34"/>
  <c r="V19" i="34"/>
  <c r="V32" i="34"/>
  <c r="V63" i="34"/>
  <c r="Q19" i="28"/>
  <c r="Q20" i="28"/>
  <c r="Q32" i="28"/>
  <c r="Q19" i="26"/>
  <c r="Q32" i="26"/>
  <c r="Q20" i="26"/>
  <c r="P19" i="22"/>
  <c r="P20" i="22"/>
  <c r="P32" i="22"/>
  <c r="Z32" i="19"/>
  <c r="Z20" i="19"/>
  <c r="Z19" i="19"/>
  <c r="Z50" i="35"/>
  <c r="Z19" i="35"/>
  <c r="Z62" i="35"/>
  <c r="Z20" i="35"/>
  <c r="Z32" i="35"/>
  <c r="P32" i="61"/>
  <c r="P20" i="61"/>
  <c r="P19" i="61"/>
  <c r="Y20" i="61"/>
  <c r="Y32" i="61"/>
  <c r="Y19" i="61"/>
  <c r="S20" i="24"/>
  <c r="S19" i="24"/>
  <c r="S60" i="24"/>
  <c r="S32" i="24"/>
  <c r="U19" i="51"/>
  <c r="U32" i="51"/>
  <c r="U20" i="51"/>
  <c r="Z20" i="31"/>
  <c r="Z40" i="31"/>
  <c r="Z19" i="31"/>
  <c r="Z32" i="31"/>
  <c r="Z19" i="17"/>
  <c r="Z20" i="17"/>
  <c r="Z32" i="17"/>
  <c r="Y20" i="34"/>
  <c r="Y63" i="34"/>
  <c r="Y19" i="34"/>
  <c r="Y32" i="34"/>
  <c r="O20" i="24"/>
  <c r="O19" i="24"/>
  <c r="O60" i="24"/>
  <c r="O32" i="24"/>
  <c r="O32" i="28"/>
  <c r="O20" i="28"/>
  <c r="O19" i="28"/>
  <c r="Q32" i="34"/>
  <c r="Q20" i="34"/>
  <c r="Q19" i="34"/>
  <c r="Q63" i="34"/>
  <c r="O32" i="35"/>
  <c r="O62" i="35"/>
  <c r="O50" i="35"/>
  <c r="O19" i="35"/>
  <c r="O20" i="35"/>
  <c r="T32" i="26"/>
  <c r="T20" i="26"/>
  <c r="T19" i="26"/>
  <c r="R19" i="23"/>
  <c r="R32" i="23"/>
  <c r="R20" i="23"/>
  <c r="S22" i="7"/>
  <c r="S19" i="7"/>
  <c r="S20" i="7"/>
  <c r="S32" i="7"/>
  <c r="V19" i="28"/>
  <c r="V20" i="28"/>
  <c r="V32" i="28"/>
  <c r="U20" i="28"/>
  <c r="U19" i="28"/>
  <c r="U32" i="28"/>
  <c r="O32" i="23"/>
  <c r="O20" i="23"/>
  <c r="O19" i="23"/>
  <c r="W32" i="23"/>
  <c r="W20" i="23"/>
  <c r="W19" i="23"/>
  <c r="X20" i="16"/>
  <c r="X19" i="16"/>
  <c r="X32" i="16"/>
  <c r="S19" i="21"/>
  <c r="S32" i="21"/>
  <c r="S20" i="21"/>
  <c r="Z19" i="21"/>
  <c r="Z32" i="21"/>
  <c r="Z20" i="21"/>
  <c r="W20" i="20"/>
  <c r="W19" i="20"/>
  <c r="W32" i="20"/>
  <c r="T19" i="36"/>
  <c r="T32" i="36"/>
  <c r="T20" i="36"/>
  <c r="W20" i="32"/>
  <c r="W38" i="32"/>
  <c r="W32" i="32"/>
  <c r="W19" i="32"/>
  <c r="P32" i="21"/>
  <c r="P20" i="21"/>
  <c r="P19" i="21"/>
  <c r="Z32" i="22"/>
  <c r="Z19" i="22"/>
  <c r="Z20" i="22"/>
  <c r="T20" i="59"/>
  <c r="T32" i="59"/>
  <c r="T19" i="59"/>
  <c r="O20" i="29"/>
  <c r="O32" i="29"/>
  <c r="O19" i="29"/>
  <c r="O152" i="6"/>
  <c r="O20" i="6"/>
  <c r="O32" i="6"/>
  <c r="O19" i="6"/>
  <c r="U32" i="59"/>
  <c r="U20" i="59"/>
  <c r="U19" i="59"/>
  <c r="Y20" i="22"/>
  <c r="Y19" i="22"/>
  <c r="Y32" i="22"/>
  <c r="Z20" i="51"/>
  <c r="Z19" i="51"/>
  <c r="Z32" i="51"/>
  <c r="P20" i="64"/>
  <c r="P32" i="64"/>
  <c r="P19" i="64"/>
  <c r="R19" i="64"/>
  <c r="R20" i="64"/>
  <c r="N19" i="24"/>
  <c r="N20" i="24"/>
  <c r="N60" i="24"/>
  <c r="N32" i="24"/>
  <c r="S32" i="26"/>
  <c r="S19" i="26"/>
  <c r="S20" i="26"/>
  <c r="Y19" i="58"/>
  <c r="Y20" i="58"/>
  <c r="Y32" i="58"/>
  <c r="Q32" i="53"/>
  <c r="Q19" i="53"/>
  <c r="Q20" i="53"/>
  <c r="P19" i="55"/>
  <c r="P20" i="55"/>
  <c r="P32" i="55"/>
  <c r="U20" i="39"/>
  <c r="U32" i="39"/>
  <c r="U19" i="39"/>
  <c r="T20" i="53"/>
  <c r="T19" i="53"/>
  <c r="T32" i="53"/>
  <c r="Z32" i="62"/>
  <c r="Z19" i="62"/>
  <c r="Z20" i="62"/>
  <c r="X32" i="6"/>
  <c r="X152" i="6"/>
  <c r="X19" i="6"/>
  <c r="X20" i="6"/>
  <c r="O19" i="55"/>
  <c r="O32" i="55"/>
  <c r="O20" i="55"/>
  <c r="O20" i="26"/>
  <c r="O32" i="26"/>
  <c r="O19" i="26"/>
  <c r="X32" i="54"/>
  <c r="X20" i="54"/>
  <c r="X19" i="54"/>
  <c r="U20" i="34"/>
  <c r="U63" i="34"/>
  <c r="U32" i="34"/>
  <c r="U19" i="34"/>
  <c r="W20" i="29"/>
  <c r="W32" i="29"/>
  <c r="W19" i="29"/>
  <c r="U20" i="33"/>
  <c r="U32" i="33"/>
  <c r="U21" i="33"/>
  <c r="U19" i="33"/>
  <c r="Z19" i="27"/>
  <c r="Z20" i="27"/>
  <c r="Z32" i="27"/>
  <c r="V20" i="63"/>
  <c r="V32" i="63"/>
  <c r="V19" i="63"/>
  <c r="Z32" i="63"/>
  <c r="Z20" i="63"/>
  <c r="Z19" i="63"/>
  <c r="T20" i="33"/>
  <c r="T32" i="33"/>
  <c r="T21" i="33"/>
  <c r="T19" i="33"/>
  <c r="T22" i="7"/>
  <c r="T20" i="7"/>
  <c r="T32" i="7"/>
  <c r="T19" i="7"/>
  <c r="W32" i="34"/>
  <c r="W20" i="34"/>
  <c r="W63" i="34"/>
  <c r="W19" i="34"/>
  <c r="R32" i="11"/>
  <c r="R19" i="11"/>
  <c r="R20" i="11"/>
  <c r="V32" i="30"/>
  <c r="V19" i="30"/>
  <c r="V20" i="30"/>
  <c r="Q32" i="56"/>
  <c r="Q19" i="56"/>
  <c r="Q20" i="56"/>
  <c r="W19" i="39"/>
  <c r="W32" i="39"/>
  <c r="W20" i="39"/>
  <c r="Q19" i="59"/>
  <c r="Q32" i="59"/>
  <c r="Q20" i="59"/>
  <c r="Z32" i="7"/>
  <c r="Z19" i="7"/>
  <c r="Z20" i="7"/>
  <c r="Z22" i="7"/>
  <c r="S19" i="37"/>
  <c r="S32" i="37"/>
  <c r="O19" i="25"/>
  <c r="O20" i="25"/>
  <c r="O52" i="25"/>
  <c r="O32" i="25"/>
  <c r="W19" i="55"/>
  <c r="W20" i="55"/>
  <c r="W32" i="55"/>
  <c r="O19" i="32"/>
  <c r="O32" i="32"/>
  <c r="O38" i="32"/>
  <c r="O20" i="32"/>
  <c r="X32" i="37"/>
  <c r="X19" i="37"/>
  <c r="Y32" i="52"/>
  <c r="Y19" i="52"/>
  <c r="Y20" i="52"/>
  <c r="U32" i="61"/>
  <c r="U20" i="61"/>
  <c r="U19" i="61"/>
  <c r="Z32" i="61"/>
  <c r="Z20" i="61"/>
  <c r="Z19" i="61"/>
  <c r="Q19" i="22"/>
  <c r="Q32" i="22"/>
  <c r="Q20" i="22"/>
  <c r="R32" i="57"/>
  <c r="R20" i="57"/>
  <c r="R19" i="57"/>
  <c r="R20" i="22"/>
  <c r="R19" i="22"/>
  <c r="R32" i="22"/>
  <c r="P32" i="17"/>
  <c r="P19" i="17"/>
  <c r="P20" i="17"/>
  <c r="Q32" i="4"/>
  <c r="Q20" i="4"/>
  <c r="Q19" i="4"/>
  <c r="R20" i="20"/>
  <c r="R32" i="20"/>
  <c r="R19" i="20"/>
  <c r="Q19" i="29"/>
  <c r="Q20" i="29"/>
  <c r="Q32" i="29"/>
  <c r="T20" i="15"/>
  <c r="T32" i="15"/>
  <c r="T19" i="15"/>
  <c r="T20" i="9"/>
  <c r="T19" i="9"/>
  <c r="T32" i="9"/>
  <c r="S19" i="17"/>
  <c r="S20" i="17"/>
  <c r="S32" i="17"/>
  <c r="T19" i="35"/>
  <c r="T50" i="35"/>
  <c r="T32" i="35"/>
  <c r="T62" i="35"/>
  <c r="T20" i="35"/>
  <c r="O32" i="37"/>
  <c r="O19" i="37"/>
  <c r="Z19" i="58"/>
  <c r="Z20" i="58"/>
  <c r="Z32" i="58"/>
  <c r="P19" i="56"/>
  <c r="P32" i="56"/>
  <c r="P20" i="56"/>
  <c r="X32" i="58"/>
  <c r="X19" i="58"/>
  <c r="X20" i="58"/>
  <c r="O32" i="21"/>
  <c r="O19" i="21"/>
  <c r="O20" i="21"/>
  <c r="Q20" i="20"/>
  <c r="Q32" i="20"/>
  <c r="Q19" i="20"/>
  <c r="P19" i="51"/>
  <c r="P32" i="51"/>
  <c r="P20" i="51"/>
  <c r="R19" i="58"/>
  <c r="R20" i="58"/>
  <c r="R32" i="58"/>
  <c r="O32" i="18"/>
  <c r="O19" i="18"/>
  <c r="T20" i="28"/>
  <c r="T32" i="28"/>
  <c r="T19" i="28"/>
  <c r="Q19" i="23"/>
  <c r="Q20" i="23"/>
  <c r="Q32" i="23"/>
  <c r="P21" i="33"/>
  <c r="P20" i="33"/>
  <c r="P32" i="33"/>
  <c r="P19" i="33"/>
  <c r="Y32" i="27"/>
  <c r="Y20" i="27"/>
  <c r="Y19" i="27"/>
  <c r="S20" i="59"/>
  <c r="S32" i="59"/>
  <c r="S19" i="59"/>
  <c r="Q20" i="54"/>
  <c r="Q32" i="54"/>
  <c r="Q19" i="54"/>
  <c r="Y22" i="7"/>
  <c r="Y20" i="7"/>
  <c r="Y32" i="7"/>
  <c r="Y19" i="7"/>
  <c r="U60" i="24"/>
  <c r="U20" i="24"/>
  <c r="U19" i="24"/>
  <c r="U32" i="24"/>
  <c r="P20" i="28"/>
  <c r="P19" i="28"/>
  <c r="P32" i="28"/>
  <c r="Z32" i="64"/>
  <c r="Z20" i="64"/>
  <c r="Z19" i="64"/>
  <c r="Y32" i="64"/>
  <c r="Y19" i="64"/>
  <c r="T19" i="21"/>
  <c r="T20" i="21"/>
  <c r="T32" i="21"/>
  <c r="P20" i="58"/>
  <c r="P19" i="58"/>
  <c r="P32" i="58"/>
  <c r="V20" i="39"/>
  <c r="V19" i="39"/>
  <c r="V32" i="39"/>
  <c r="R32" i="54"/>
  <c r="R19" i="54"/>
  <c r="R20" i="54"/>
  <c r="S19" i="35"/>
  <c r="S32" i="35"/>
  <c r="S62" i="35"/>
  <c r="S50" i="35"/>
  <c r="S20" i="35"/>
  <c r="R19" i="59"/>
  <c r="R32" i="59"/>
  <c r="R20" i="59"/>
  <c r="X19" i="23"/>
  <c r="X20" i="23"/>
  <c r="X32" i="23"/>
  <c r="Y32" i="62"/>
  <c r="Y20" i="62"/>
  <c r="Y19" i="62"/>
  <c r="W20" i="22"/>
  <c r="W32" i="22"/>
  <c r="W19" i="22"/>
  <c r="V19" i="20"/>
  <c r="V32" i="20"/>
  <c r="V20" i="20"/>
  <c r="P20" i="25"/>
  <c r="P32" i="25"/>
  <c r="P19" i="25"/>
  <c r="P52" i="25"/>
  <c r="P50" i="35"/>
  <c r="P19" i="35"/>
  <c r="P62" i="35"/>
  <c r="P32" i="35"/>
  <c r="P20" i="35"/>
  <c r="U32" i="63"/>
  <c r="U20" i="63"/>
  <c r="U19" i="63"/>
  <c r="S19" i="63"/>
  <c r="S20" i="63"/>
  <c r="S32" i="63"/>
  <c r="X32" i="53"/>
  <c r="X20" i="53"/>
  <c r="X19" i="53"/>
  <c r="U20" i="30"/>
  <c r="U19" i="30"/>
  <c r="U32" i="30"/>
  <c r="Z32" i="56"/>
  <c r="Z19" i="56"/>
  <c r="Z20" i="56"/>
  <c r="P19" i="6"/>
  <c r="P20" i="6"/>
  <c r="P152" i="6"/>
  <c r="P32" i="6"/>
  <c r="Y32" i="36"/>
  <c r="Y20" i="36"/>
  <c r="Y19" i="36"/>
  <c r="P32" i="30"/>
  <c r="P19" i="30"/>
  <c r="P20" i="30"/>
  <c r="O19" i="58"/>
  <c r="O32" i="58"/>
  <c r="O20" i="58"/>
  <c r="P20" i="16"/>
  <c r="P19" i="16"/>
  <c r="P32" i="16"/>
  <c r="U19" i="9"/>
  <c r="U32" i="9"/>
  <c r="U20" i="9"/>
  <c r="Y60" i="24"/>
  <c r="Y20" i="24"/>
  <c r="Y32" i="24"/>
  <c r="Y19" i="24"/>
  <c r="W20" i="21"/>
  <c r="W19" i="21"/>
  <c r="W32" i="21"/>
  <c r="X19" i="18"/>
  <c r="X32" i="18"/>
  <c r="R19" i="24"/>
  <c r="R60" i="24"/>
  <c r="R32" i="24"/>
  <c r="R20" i="24"/>
  <c r="O19" i="33"/>
  <c r="O21" i="33"/>
  <c r="O32" i="33"/>
  <c r="O20" i="33"/>
  <c r="V19" i="4"/>
  <c r="V20" i="4"/>
  <c r="V32" i="4"/>
  <c r="X19" i="4"/>
  <c r="X32" i="4"/>
  <c r="X20" i="4"/>
  <c r="T19" i="27"/>
  <c r="T32" i="27"/>
  <c r="T20" i="27"/>
  <c r="O32" i="61"/>
  <c r="O20" i="61"/>
  <c r="O19" i="61"/>
  <c r="O40" i="31"/>
  <c r="O20" i="31"/>
  <c r="O32" i="31"/>
  <c r="O19" i="31"/>
  <c r="P20" i="57"/>
  <c r="P19" i="57"/>
  <c r="P32" i="57"/>
  <c r="Y20" i="25"/>
  <c r="Y19" i="25"/>
  <c r="Y32" i="25"/>
  <c r="Y52" i="25"/>
  <c r="N32" i="37"/>
  <c r="N19" i="37"/>
  <c r="W19" i="36"/>
  <c r="W20" i="36"/>
  <c r="W32" i="36"/>
  <c r="U20" i="26"/>
  <c r="U32" i="26"/>
  <c r="U19" i="26"/>
  <c r="O20" i="34"/>
  <c r="O32" i="34"/>
  <c r="O19" i="34"/>
  <c r="O63" i="34"/>
  <c r="O32" i="51"/>
  <c r="O19" i="51"/>
  <c r="O20" i="51"/>
  <c r="P20" i="4"/>
  <c r="P19" i="4"/>
  <c r="P32" i="4"/>
  <c r="O19" i="27"/>
  <c r="O32" i="27"/>
  <c r="O20" i="27"/>
  <c r="T32" i="37"/>
  <c r="T19" i="37"/>
  <c r="O19" i="56"/>
  <c r="O20" i="56"/>
  <c r="O32" i="56"/>
  <c r="W22" i="7"/>
  <c r="W32" i="7"/>
  <c r="W19" i="7"/>
  <c r="W20" i="7"/>
  <c r="V19" i="27"/>
  <c r="V20" i="27"/>
  <c r="V32" i="27"/>
  <c r="S20" i="9"/>
  <c r="S19" i="9"/>
  <c r="S32" i="9"/>
  <c r="W52" i="25"/>
  <c r="W19" i="25"/>
  <c r="W20" i="25"/>
  <c r="W32" i="25"/>
  <c r="U32" i="56"/>
  <c r="U20" i="56"/>
  <c r="U19" i="56"/>
  <c r="T20" i="58"/>
  <c r="T32" i="58"/>
  <c r="T19" i="58"/>
  <c r="V20" i="21"/>
  <c r="V19" i="21"/>
  <c r="V32" i="21"/>
  <c r="Q19" i="33"/>
  <c r="Q32" i="33"/>
  <c r="Q21" i="33"/>
  <c r="Q20" i="33"/>
  <c r="Q20" i="35"/>
  <c r="Q19" i="35"/>
  <c r="Q32" i="35"/>
  <c r="Q50" i="35"/>
  <c r="Q62" i="35"/>
  <c r="P19" i="39"/>
  <c r="P20" i="39"/>
  <c r="P32" i="39"/>
  <c r="Q32" i="17"/>
  <c r="Q20" i="17"/>
  <c r="Q19" i="17"/>
  <c r="W32" i="9"/>
  <c r="W20" i="9"/>
  <c r="W19" i="9"/>
  <c r="Y32" i="18"/>
  <c r="Y19" i="18"/>
  <c r="V32" i="58"/>
  <c r="V19" i="58"/>
  <c r="V20" i="58"/>
  <c r="W32" i="33"/>
  <c r="W19" i="33"/>
  <c r="W20" i="33"/>
  <c r="W21" i="33"/>
  <c r="W20" i="59"/>
  <c r="W19" i="59"/>
  <c r="W32" i="59"/>
  <c r="W32" i="35"/>
  <c r="W62" i="35"/>
  <c r="W50" i="35"/>
  <c r="W20" i="35"/>
  <c r="W19" i="35"/>
  <c r="V19" i="53"/>
  <c r="V20" i="53"/>
  <c r="V32" i="53"/>
  <c r="Q32" i="18"/>
  <c r="Q19" i="18"/>
  <c r="U32" i="36"/>
  <c r="U19" i="36"/>
  <c r="U20" i="36"/>
  <c r="X32" i="57"/>
  <c r="X19" i="57"/>
  <c r="X20" i="57"/>
  <c r="Z32" i="20"/>
  <c r="Z19" i="20"/>
  <c r="Z20" i="20"/>
  <c r="T32" i="18"/>
  <c r="T19" i="18"/>
  <c r="Y32" i="19"/>
  <c r="Y19" i="19"/>
  <c r="Y20" i="19"/>
  <c r="S19" i="64"/>
  <c r="S20" i="64"/>
  <c r="S32" i="64"/>
  <c r="W32" i="64"/>
  <c r="W19" i="64"/>
  <c r="W20" i="64"/>
  <c r="Q19" i="16"/>
  <c r="Q20" i="16"/>
  <c r="Q32" i="16"/>
  <c r="P19" i="26"/>
  <c r="P32" i="26"/>
  <c r="P20" i="26"/>
  <c r="T20" i="57"/>
  <c r="T19" i="57"/>
  <c r="T32" i="57"/>
  <c r="T32" i="62"/>
  <c r="T19" i="62"/>
  <c r="T20" i="62"/>
  <c r="Z19" i="54"/>
  <c r="Z32" i="54"/>
  <c r="Z20" i="54"/>
  <c r="W20" i="53"/>
  <c r="W32" i="53"/>
  <c r="W19" i="53"/>
  <c r="S32" i="27"/>
  <c r="S20" i="27"/>
  <c r="S19" i="27"/>
  <c r="O20" i="59"/>
  <c r="O19" i="59"/>
  <c r="O32" i="59"/>
  <c r="R32" i="32"/>
  <c r="R38" i="32"/>
  <c r="R20" i="32"/>
  <c r="R19" i="32"/>
  <c r="X19" i="30"/>
  <c r="X32" i="30"/>
  <c r="X20" i="30"/>
  <c r="Q20" i="63"/>
  <c r="Q19" i="63"/>
  <c r="Q32" i="63"/>
  <c r="Z20" i="34"/>
  <c r="Z32" i="34"/>
  <c r="Z63" i="34"/>
  <c r="Z19" i="34"/>
  <c r="S32" i="20"/>
  <c r="S19" i="20"/>
  <c r="S20" i="20"/>
  <c r="X20" i="20"/>
  <c r="X32" i="20"/>
  <c r="X19" i="20"/>
  <c r="S32" i="30"/>
  <c r="S20" i="30"/>
  <c r="S19" i="30"/>
  <c r="V32" i="16"/>
  <c r="V19" i="16"/>
  <c r="V20" i="16"/>
  <c r="W32" i="57"/>
  <c r="W20" i="57"/>
  <c r="W19" i="57"/>
  <c r="S32" i="56"/>
  <c r="S20" i="56"/>
  <c r="S19" i="56"/>
  <c r="W20" i="28"/>
  <c r="W19" i="28"/>
  <c r="W32" i="28"/>
  <c r="Z19" i="6"/>
  <c r="Z32" i="6"/>
  <c r="Z20" i="6"/>
  <c r="Z152" i="6"/>
  <c r="A14" i="37"/>
  <c r="A44" i="37"/>
  <c r="T95" i="37" l="1"/>
  <c r="T71" i="37" s="1"/>
  <c r="T72" i="37" s="1"/>
  <c r="T74" i="37" s="1"/>
  <c r="Z94" i="37"/>
  <c r="AE94" i="37" s="1"/>
  <c r="N95" i="37"/>
  <c r="O95" i="37"/>
  <c r="O71" i="37" s="1"/>
  <c r="O72" i="37" s="1"/>
  <c r="O74" i="37" s="1"/>
  <c r="X95" i="37"/>
  <c r="X71" i="37" s="1"/>
  <c r="X72" i="37" s="1"/>
  <c r="X74" i="37" s="1"/>
  <c r="S95" i="37"/>
  <c r="S71" i="37" s="1"/>
  <c r="S72" i="37" s="1"/>
  <c r="S74" i="37" s="1"/>
  <c r="U95" i="37"/>
  <c r="U71" i="37" s="1"/>
  <c r="U72" i="37" s="1"/>
  <c r="U74" i="37" s="1"/>
  <c r="V95" i="37"/>
  <c r="V71" i="37" s="1"/>
  <c r="V72" i="37" s="1"/>
  <c r="V74" i="37" s="1"/>
  <c r="P95" i="37"/>
  <c r="P71" i="37" s="1"/>
  <c r="P72" i="37" s="1"/>
  <c r="P74" i="37" s="1"/>
  <c r="W95" i="37"/>
  <c r="W71" i="37" s="1"/>
  <c r="W72" i="37" s="1"/>
  <c r="W74" i="37" s="1"/>
  <c r="R95" i="37"/>
  <c r="R71" i="37" s="1"/>
  <c r="R72" i="37" s="1"/>
  <c r="R74" i="37" s="1"/>
  <c r="Q95" i="37"/>
  <c r="Q71" i="37" s="1"/>
  <c r="Q72" i="37" s="1"/>
  <c r="Q74" i="37" s="1"/>
  <c r="Y95" i="37"/>
  <c r="Y71" i="37" s="1"/>
  <c r="Y72" i="37" s="1"/>
  <c r="Y74" i="37" s="1"/>
  <c r="AM74" i="23"/>
  <c r="AN74" i="23"/>
  <c r="AM58" i="23"/>
  <c r="AN58" i="23"/>
  <c r="AN56" i="23"/>
  <c r="AM56" i="23"/>
  <c r="AB49" i="67"/>
  <c r="AB40" i="67"/>
  <c r="AB52" i="67"/>
  <c r="AB51" i="67"/>
  <c r="AB38" i="67"/>
  <c r="AB48" i="67"/>
  <c r="AB50" i="67"/>
  <c r="AB41" i="67"/>
  <c r="AB56" i="67"/>
  <c r="AB55" i="67"/>
  <c r="AB35" i="67"/>
  <c r="AB41" i="69"/>
  <c r="AB49" i="69"/>
  <c r="AA115" i="68"/>
  <c r="AB75" i="68"/>
  <c r="AB39" i="68"/>
  <c r="AB35" i="68"/>
  <c r="AB82" i="68"/>
  <c r="AB74" i="68"/>
  <c r="AD20" i="68"/>
  <c r="AG20" i="68" s="1"/>
  <c r="AH83" i="68" s="1"/>
  <c r="AB83" i="68"/>
  <c r="AB79" i="65"/>
  <c r="AB78" i="65"/>
  <c r="AB82" i="65"/>
  <c r="AB90" i="65"/>
  <c r="AB81" i="65"/>
  <c r="AB51" i="65"/>
  <c r="AB55" i="65"/>
  <c r="AB52" i="65"/>
  <c r="AB40" i="65"/>
  <c r="AB48" i="65"/>
  <c r="AB41" i="65"/>
  <c r="AB38" i="65"/>
  <c r="AB56" i="65"/>
  <c r="AB50" i="65"/>
  <c r="AB49" i="65"/>
  <c r="AB77" i="65"/>
  <c r="AB91" i="65"/>
  <c r="AB93" i="65"/>
  <c r="AB35" i="65"/>
  <c r="AB94" i="65"/>
  <c r="AM70" i="65"/>
  <c r="AN70" i="65"/>
  <c r="AB82" i="66"/>
  <c r="AB35" i="66"/>
  <c r="AB39" i="66"/>
  <c r="AB75" i="66"/>
  <c r="AB74" i="66"/>
  <c r="AJ36" i="69"/>
  <c r="AJ47" i="69"/>
  <c r="AJ49" i="69"/>
  <c r="AJ56" i="69"/>
  <c r="AJ48" i="69"/>
  <c r="AJ37" i="69"/>
  <c r="AJ50" i="69"/>
  <c r="AJ43" i="69"/>
  <c r="AJ41" i="69"/>
  <c r="AJ45" i="69"/>
  <c r="AJ55" i="69"/>
  <c r="AJ40" i="69"/>
  <c r="AJ42" i="69"/>
  <c r="AJ44" i="69"/>
  <c r="AJ39" i="69"/>
  <c r="AJ53" i="69"/>
  <c r="AJ46" i="69"/>
  <c r="AJ38" i="69"/>
  <c r="AJ54" i="69"/>
  <c r="AJ52" i="69"/>
  <c r="AJ51" i="69"/>
  <c r="AJ41" i="67"/>
  <c r="AJ40" i="67"/>
  <c r="AJ56" i="67"/>
  <c r="AJ38" i="67"/>
  <c r="AJ53" i="67"/>
  <c r="AJ46" i="67"/>
  <c r="AJ52" i="67"/>
  <c r="AJ39" i="67"/>
  <c r="AJ42" i="67"/>
  <c r="AJ50" i="67"/>
  <c r="AJ37" i="67"/>
  <c r="AJ51" i="67"/>
  <c r="AJ43" i="67"/>
  <c r="AJ45" i="67"/>
  <c r="AJ48" i="67"/>
  <c r="AJ44" i="67"/>
  <c r="AJ55" i="67"/>
  <c r="AJ54" i="67"/>
  <c r="AJ47" i="67"/>
  <c r="AJ49" i="67"/>
  <c r="AJ36" i="67"/>
  <c r="AJ87" i="65"/>
  <c r="AJ81" i="65"/>
  <c r="AJ75" i="65"/>
  <c r="AJ88" i="65"/>
  <c r="AJ89" i="65"/>
  <c r="AJ79" i="65"/>
  <c r="AJ78" i="65"/>
  <c r="AJ82" i="65"/>
  <c r="AJ86" i="65"/>
  <c r="AJ80" i="65"/>
  <c r="AJ90" i="65"/>
  <c r="AJ41" i="65"/>
  <c r="AJ56" i="65"/>
  <c r="AJ44" i="65"/>
  <c r="AJ38" i="65"/>
  <c r="AJ62" i="65"/>
  <c r="AJ64" i="65"/>
  <c r="AJ65" i="65"/>
  <c r="AJ36" i="65"/>
  <c r="AJ63" i="65"/>
  <c r="AJ53" i="65"/>
  <c r="AJ42" i="65"/>
  <c r="AJ48" i="65"/>
  <c r="AJ68" i="65"/>
  <c r="AJ50" i="65"/>
  <c r="AJ54" i="65"/>
  <c r="AJ66" i="65"/>
  <c r="AJ46" i="65"/>
  <c r="AJ55" i="65"/>
  <c r="AJ52" i="65"/>
  <c r="AJ49" i="65"/>
  <c r="AJ47" i="65"/>
  <c r="AJ39" i="65"/>
  <c r="AJ45" i="65"/>
  <c r="AJ61" i="65"/>
  <c r="AJ37" i="65"/>
  <c r="AJ43" i="65"/>
  <c r="AJ51" i="65"/>
  <c r="AJ67" i="65"/>
  <c r="AJ40" i="65"/>
  <c r="AJ32" i="34"/>
  <c r="AA19" i="59"/>
  <c r="AA20" i="59"/>
  <c r="AJ32" i="54"/>
  <c r="AJ32" i="20"/>
  <c r="W52" i="35"/>
  <c r="W59" i="35" s="1"/>
  <c r="W66" i="33"/>
  <c r="Q52" i="35"/>
  <c r="Q59" i="35" s="1"/>
  <c r="Q66" i="33"/>
  <c r="W54" i="25"/>
  <c r="AA20" i="56"/>
  <c r="AA19" i="56"/>
  <c r="AA20" i="27"/>
  <c r="AA19" i="27"/>
  <c r="AA20" i="51"/>
  <c r="AA19" i="51"/>
  <c r="AA63" i="34"/>
  <c r="AA19" i="34"/>
  <c r="AB37" i="34" s="1"/>
  <c r="AA20" i="34"/>
  <c r="Z19" i="37"/>
  <c r="Y54" i="25"/>
  <c r="AA19" i="31"/>
  <c r="AA20" i="31"/>
  <c r="AA40" i="31"/>
  <c r="AA19" i="61"/>
  <c r="AA20" i="61"/>
  <c r="O66" i="33"/>
  <c r="AA20" i="33"/>
  <c r="AA21" i="33"/>
  <c r="AA19" i="33"/>
  <c r="R62" i="24"/>
  <c r="AI32" i="24"/>
  <c r="Y62" i="24"/>
  <c r="AA20" i="58"/>
  <c r="AB87" i="58" s="1"/>
  <c r="AA19" i="58"/>
  <c r="P52" i="35"/>
  <c r="P59" i="35" s="1"/>
  <c r="P54" i="25"/>
  <c r="S52" i="35"/>
  <c r="S59" i="35" s="1"/>
  <c r="U62" i="24"/>
  <c r="P66" i="33"/>
  <c r="AA19" i="18"/>
  <c r="AA20" i="21"/>
  <c r="AA19" i="21"/>
  <c r="AB64" i="21" s="1"/>
  <c r="T52" i="35"/>
  <c r="T59" i="35" s="1"/>
  <c r="AJ32" i="61"/>
  <c r="AA20" i="32"/>
  <c r="AJ35" i="32" s="1"/>
  <c r="AA19" i="32"/>
  <c r="O54" i="25"/>
  <c r="AA52" i="25"/>
  <c r="AA20" i="25"/>
  <c r="AA19" i="25"/>
  <c r="AJ32" i="7"/>
  <c r="T66" i="33"/>
  <c r="AJ32" i="63"/>
  <c r="AJ32" i="27"/>
  <c r="U66" i="33"/>
  <c r="AA19" i="26"/>
  <c r="AA20" i="26"/>
  <c r="AA20" i="55"/>
  <c r="AB87" i="55" s="1"/>
  <c r="AA19" i="55"/>
  <c r="Z60" i="24"/>
  <c r="N62" i="24"/>
  <c r="Z20" i="24"/>
  <c r="Z19" i="24"/>
  <c r="AJ32" i="51"/>
  <c r="AA19" i="6"/>
  <c r="AA20" i="6"/>
  <c r="AA19" i="29"/>
  <c r="AA20" i="29"/>
  <c r="AJ32" i="22"/>
  <c r="AJ32" i="21"/>
  <c r="AA19" i="23"/>
  <c r="AA20" i="23"/>
  <c r="AA20" i="35"/>
  <c r="AA19" i="35"/>
  <c r="AA50" i="35"/>
  <c r="O52" i="35"/>
  <c r="AA62" i="35"/>
  <c r="AA19" i="28"/>
  <c r="AA20" i="28"/>
  <c r="O62" i="24"/>
  <c r="AJ32" i="31"/>
  <c r="S62" i="24"/>
  <c r="AJ32" i="35"/>
  <c r="Z52" i="35"/>
  <c r="Z59" i="35" s="1"/>
  <c r="AJ32" i="19"/>
  <c r="Q62" i="24"/>
  <c r="P62" i="24"/>
  <c r="V62" i="24"/>
  <c r="AA20" i="53"/>
  <c r="AA19" i="53"/>
  <c r="AA20" i="57"/>
  <c r="AA19" i="57"/>
  <c r="U52" i="35"/>
  <c r="U59" i="35" s="1"/>
  <c r="Q54" i="25"/>
  <c r="AA19" i="36"/>
  <c r="AA20" i="63"/>
  <c r="AA19" i="63"/>
  <c r="AJ32" i="28"/>
  <c r="S66" i="33"/>
  <c r="AJ32" i="32"/>
  <c r="V54" i="25"/>
  <c r="R66" i="33"/>
  <c r="T62" i="24"/>
  <c r="AJ32" i="23"/>
  <c r="W62" i="24"/>
  <c r="X54" i="25"/>
  <c r="AA20" i="4"/>
  <c r="AA19" i="4"/>
  <c r="AJ32" i="11"/>
  <c r="T54" i="25"/>
  <c r="Y52" i="35"/>
  <c r="Y59" i="35" s="1"/>
  <c r="AJ32" i="29"/>
  <c r="X66" i="33"/>
  <c r="S54" i="25"/>
  <c r="AJ32" i="30"/>
  <c r="AA20" i="15"/>
  <c r="AA20" i="39"/>
  <c r="AB87" i="39" s="1"/>
  <c r="AA19" i="39"/>
  <c r="U54" i="25"/>
  <c r="AJ32" i="53"/>
  <c r="Y66" i="33"/>
  <c r="AA19" i="19"/>
  <c r="AB57" i="19" s="1"/>
  <c r="AA20" i="19"/>
  <c r="AA19" i="54"/>
  <c r="AA20" i="54"/>
  <c r="R52" i="35"/>
  <c r="R59" i="35" s="1"/>
  <c r="R54" i="25"/>
  <c r="X52" i="35"/>
  <c r="X59" i="35" s="1"/>
  <c r="AA20" i="52"/>
  <c r="AA19" i="52"/>
  <c r="AA19" i="17"/>
  <c r="AA20" i="17"/>
  <c r="AB104" i="17" s="1"/>
  <c r="AA20" i="9"/>
  <c r="AA19" i="9"/>
  <c r="AJ32" i="4"/>
  <c r="AA19" i="16"/>
  <c r="AA20" i="16"/>
  <c r="AJ32" i="15"/>
  <c r="V66" i="33"/>
  <c r="AA19" i="11"/>
  <c r="AA20" i="11"/>
  <c r="AA20" i="62"/>
  <c r="AA19" i="62"/>
  <c r="AA19" i="64"/>
  <c r="AJ32" i="36"/>
  <c r="AJ32" i="52"/>
  <c r="Z66" i="33"/>
  <c r="AJ32" i="33"/>
  <c r="X62" i="24"/>
  <c r="AA19" i="30"/>
  <c r="AA20" i="30"/>
  <c r="AJ32" i="25"/>
  <c r="Z54" i="25"/>
  <c r="AA19" i="22"/>
  <c r="AB62" i="22" s="1"/>
  <c r="AA20" i="22"/>
  <c r="AJ32" i="16"/>
  <c r="AA20" i="7"/>
  <c r="AA22" i="7"/>
  <c r="AA19" i="7"/>
  <c r="AJ32" i="9"/>
  <c r="V52" i="35"/>
  <c r="V59" i="35" s="1"/>
  <c r="AA20" i="20"/>
  <c r="AA19" i="20"/>
  <c r="AB50" i="20" s="1"/>
  <c r="AJ32" i="26"/>
  <c r="AA17" i="6"/>
  <c r="W63" i="7"/>
  <c r="W67" i="7" s="1"/>
  <c r="Y63" i="7"/>
  <c r="Y67" i="7" s="1"/>
  <c r="R63" i="7"/>
  <c r="R67" i="7" s="1"/>
  <c r="U63" i="7"/>
  <c r="U67" i="7" s="1"/>
  <c r="Z63" i="7"/>
  <c r="Z67" i="7" s="1"/>
  <c r="Q63" i="7"/>
  <c r="Q67" i="7" s="1"/>
  <c r="S63" i="7"/>
  <c r="S67" i="7" s="1"/>
  <c r="T63" i="7"/>
  <c r="T67" i="7" s="1"/>
  <c r="P63" i="7"/>
  <c r="P67" i="7" s="1"/>
  <c r="AA21" i="7"/>
  <c r="AA63" i="7" s="1"/>
  <c r="AA67" i="7" s="1"/>
  <c r="O63" i="7"/>
  <c r="O67" i="7" s="1"/>
  <c r="X63" i="7"/>
  <c r="X67" i="7" s="1"/>
  <c r="V63" i="7"/>
  <c r="V67" i="7" s="1"/>
  <c r="AA17" i="56"/>
  <c r="AA11" i="56" s="1"/>
  <c r="AA18" i="56" s="1"/>
  <c r="AA17" i="64"/>
  <c r="AA11" i="64" s="1"/>
  <c r="AA18" i="64" s="1"/>
  <c r="AA17" i="58"/>
  <c r="AA17" i="62"/>
  <c r="AA11" i="62" s="1"/>
  <c r="AA18" i="62" s="1"/>
  <c r="AA17" i="17"/>
  <c r="AA17" i="59"/>
  <c r="AA11" i="59" s="1"/>
  <c r="AA18" i="59" s="1"/>
  <c r="AA17" i="39"/>
  <c r="AA17" i="55"/>
  <c r="AA17" i="57"/>
  <c r="AA11" i="57" s="1"/>
  <c r="AA18" i="57" s="1"/>
  <c r="AB76" i="65"/>
  <c r="AK52" i="35"/>
  <c r="AD59" i="35"/>
  <c r="AE59" i="35" s="1"/>
  <c r="AE52" i="35"/>
  <c r="AG68" i="33"/>
  <c r="AH66" i="33"/>
  <c r="AL66" i="33"/>
  <c r="AG67" i="33"/>
  <c r="AJ35" i="67"/>
  <c r="AG59" i="35"/>
  <c r="AH59" i="35" s="1"/>
  <c r="AH52" i="35"/>
  <c r="AL52" i="35"/>
  <c r="AD68" i="33"/>
  <c r="AD67" i="33"/>
  <c r="AK66" i="33"/>
  <c r="AE66" i="33"/>
  <c r="AJ35" i="69"/>
  <c r="AJ85" i="65"/>
  <c r="AJ93" i="65"/>
  <c r="AJ70" i="65"/>
  <c r="AJ94" i="65"/>
  <c r="AJ91" i="65"/>
  <c r="AJ76" i="65"/>
  <c r="AJ60" i="65"/>
  <c r="AJ74" i="65"/>
  <c r="AJ69" i="65"/>
  <c r="AJ77" i="65"/>
  <c r="AJ35" i="65"/>
  <c r="A111" i="54"/>
  <c r="A14" i="64"/>
  <c r="A111" i="63"/>
  <c r="A14" i="62"/>
  <c r="A111" i="61"/>
  <c r="A14" i="57"/>
  <c r="A111" i="53"/>
  <c r="A14" i="56"/>
  <c r="A111" i="52"/>
  <c r="A111" i="51"/>
  <c r="A111" i="9"/>
  <c r="A103" i="18"/>
  <c r="A101" i="21"/>
  <c r="A102" i="20"/>
  <c r="A65" i="23"/>
  <c r="A109" i="15"/>
  <c r="A14" i="59"/>
  <c r="A111" i="11"/>
  <c r="A102" i="19"/>
  <c r="A102" i="22"/>
  <c r="A14" i="16"/>
  <c r="A100" i="16"/>
  <c r="U32" i="20"/>
  <c r="Y20" i="64"/>
  <c r="Q32" i="19"/>
  <c r="Q20" i="36"/>
  <c r="S32" i="18"/>
  <c r="Q32" i="64"/>
  <c r="V38" i="32"/>
  <c r="R32" i="64"/>
  <c r="V19" i="15"/>
  <c r="AB73" i="6" l="1"/>
  <c r="AB75" i="6"/>
  <c r="AB77" i="6"/>
  <c r="AB79" i="6"/>
  <c r="AB83" i="6"/>
  <c r="AB85" i="6"/>
  <c r="AB87" i="6"/>
  <c r="AB89" i="6"/>
  <c r="AB93" i="6"/>
  <c r="AB95" i="6"/>
  <c r="AB97" i="6"/>
  <c r="AB99" i="6"/>
  <c r="AB103" i="6"/>
  <c r="AB105" i="6"/>
  <c r="AB78" i="6"/>
  <c r="AB109" i="6"/>
  <c r="AB82" i="6"/>
  <c r="AB107" i="6"/>
  <c r="AB116" i="6"/>
  <c r="AB80" i="6"/>
  <c r="AB92" i="6"/>
  <c r="AB114" i="6"/>
  <c r="AB72" i="6"/>
  <c r="AB100" i="6"/>
  <c r="AB106" i="6"/>
  <c r="AB115" i="6"/>
  <c r="AB113" i="6"/>
  <c r="AB111" i="6"/>
  <c r="AB84" i="6"/>
  <c r="AB88" i="6"/>
  <c r="AB76" i="6"/>
  <c r="AB102" i="6"/>
  <c r="AB90" i="6"/>
  <c r="AB86" i="6"/>
  <c r="AB94" i="6"/>
  <c r="AB96" i="6"/>
  <c r="AB74" i="6"/>
  <c r="V82" i="37"/>
  <c r="V84" i="37" s="1"/>
  <c r="V85" i="37" s="1"/>
  <c r="V86" i="37"/>
  <c r="V88" i="37" s="1"/>
  <c r="V75" i="37"/>
  <c r="AB41" i="63"/>
  <c r="AB50" i="63"/>
  <c r="AN51" i="67"/>
  <c r="AM51" i="67"/>
  <c r="AB76" i="16"/>
  <c r="AN76" i="16" s="1"/>
  <c r="AB46" i="16"/>
  <c r="AB109" i="16"/>
  <c r="AB78" i="16"/>
  <c r="AB84" i="16"/>
  <c r="AB94" i="16"/>
  <c r="AB86" i="16"/>
  <c r="AB115" i="16"/>
  <c r="AB80" i="16"/>
  <c r="AB101" i="16"/>
  <c r="AB104" i="16"/>
  <c r="AB102" i="16"/>
  <c r="AB88" i="16"/>
  <c r="AB103" i="16"/>
  <c r="AB108" i="16"/>
  <c r="AB114" i="16"/>
  <c r="AB110" i="16"/>
  <c r="AB99" i="16"/>
  <c r="AB81" i="16"/>
  <c r="AB87" i="16"/>
  <c r="AB85" i="16"/>
  <c r="AB83" i="16"/>
  <c r="AB79" i="16"/>
  <c r="AB77" i="16"/>
  <c r="AB121" i="16"/>
  <c r="AB50" i="16"/>
  <c r="AB49" i="16"/>
  <c r="AB41" i="16"/>
  <c r="AB44" i="16"/>
  <c r="AB54" i="16"/>
  <c r="AB52" i="16"/>
  <c r="AB35" i="16"/>
  <c r="AB39" i="16"/>
  <c r="AB38" i="16"/>
  <c r="AB118" i="16"/>
  <c r="AB45" i="16"/>
  <c r="AB37" i="16"/>
  <c r="AB120" i="16"/>
  <c r="AB47" i="16"/>
  <c r="AB53" i="16"/>
  <c r="AB56" i="16"/>
  <c r="AB70" i="16"/>
  <c r="AB66" i="26"/>
  <c r="AB45" i="26"/>
  <c r="AB41" i="26"/>
  <c r="AB65" i="26"/>
  <c r="AB61" i="26"/>
  <c r="AB46" i="26"/>
  <c r="AB62" i="26"/>
  <c r="AB40" i="26"/>
  <c r="AB64" i="26"/>
  <c r="AB39" i="26"/>
  <c r="AB51" i="26"/>
  <c r="AB59" i="26"/>
  <c r="AB43" i="26"/>
  <c r="AB67" i="26"/>
  <c r="AB56" i="26"/>
  <c r="AB52" i="26"/>
  <c r="AB44" i="26"/>
  <c r="AB53" i="26"/>
  <c r="AB60" i="26"/>
  <c r="AB47" i="26"/>
  <c r="AB55" i="26"/>
  <c r="AB54" i="26"/>
  <c r="AB42" i="26"/>
  <c r="AB58" i="26"/>
  <c r="AB63" i="26"/>
  <c r="AB57" i="26"/>
  <c r="AB71" i="26"/>
  <c r="AB69" i="26"/>
  <c r="AB68" i="26"/>
  <c r="AB38" i="26"/>
  <c r="AB35" i="26"/>
  <c r="AB72" i="26"/>
  <c r="AB50" i="26"/>
  <c r="AB50" i="61"/>
  <c r="AB41" i="61"/>
  <c r="AN50" i="65"/>
  <c r="AM50" i="65"/>
  <c r="AM51" i="65"/>
  <c r="AN51" i="65"/>
  <c r="AM35" i="67"/>
  <c r="AN35" i="67"/>
  <c r="AN52" i="67"/>
  <c r="AM52" i="67"/>
  <c r="S86" i="37"/>
  <c r="S88" i="37" s="1"/>
  <c r="S75" i="37"/>
  <c r="S82" i="37"/>
  <c r="S84" i="37" s="1"/>
  <c r="S85" i="37" s="1"/>
  <c r="AB41" i="52"/>
  <c r="AB50" i="52"/>
  <c r="AB50" i="53"/>
  <c r="AB41" i="53"/>
  <c r="AB65" i="58"/>
  <c r="AB67" i="58"/>
  <c r="AB69" i="58"/>
  <c r="AB101" i="58"/>
  <c r="AB103" i="58"/>
  <c r="AB109" i="58"/>
  <c r="AB111" i="58"/>
  <c r="AB117" i="58"/>
  <c r="AB119" i="58"/>
  <c r="AB85" i="58"/>
  <c r="AB66" i="58"/>
  <c r="AB68" i="58"/>
  <c r="AB124" i="58"/>
  <c r="AB126" i="58"/>
  <c r="AB36" i="6"/>
  <c r="AB34" i="6"/>
  <c r="AB54" i="6"/>
  <c r="AB56" i="6"/>
  <c r="AB58" i="6"/>
  <c r="AB62" i="6"/>
  <c r="AB64" i="6"/>
  <c r="AB68" i="6"/>
  <c r="AB47" i="6"/>
  <c r="AB51" i="6"/>
  <c r="AB55" i="6"/>
  <c r="AB59" i="6"/>
  <c r="AB69" i="6"/>
  <c r="AB37" i="6"/>
  <c r="AB41" i="6"/>
  <c r="AB45" i="6"/>
  <c r="AB42" i="6"/>
  <c r="AB40" i="6"/>
  <c r="AB61" i="6"/>
  <c r="AB46" i="6"/>
  <c r="AB38" i="6"/>
  <c r="AB67" i="6"/>
  <c r="AB35" i="6"/>
  <c r="AB52" i="6"/>
  <c r="AB57" i="6"/>
  <c r="AB65" i="6"/>
  <c r="AB50" i="6"/>
  <c r="AB48" i="6"/>
  <c r="AB49" i="6"/>
  <c r="AB39" i="6"/>
  <c r="AB44" i="6"/>
  <c r="AN55" i="65"/>
  <c r="AM55" i="65"/>
  <c r="AA11" i="17"/>
  <c r="AB41" i="7"/>
  <c r="AB45" i="7"/>
  <c r="AB38" i="7"/>
  <c r="AB48" i="7"/>
  <c r="AB47" i="7"/>
  <c r="AB37" i="36"/>
  <c r="AB45" i="36"/>
  <c r="AB58" i="36"/>
  <c r="AB36" i="36"/>
  <c r="AB57" i="36"/>
  <c r="AB46" i="36"/>
  <c r="AB55" i="36"/>
  <c r="AB47" i="36"/>
  <c r="AB56" i="36"/>
  <c r="AB41" i="36"/>
  <c r="AB39" i="36"/>
  <c r="AB40" i="36"/>
  <c r="AB61" i="36"/>
  <c r="AB50" i="36"/>
  <c r="AB38" i="36"/>
  <c r="AB62" i="36"/>
  <c r="AB54" i="36"/>
  <c r="AB60" i="36"/>
  <c r="AB49" i="36"/>
  <c r="AB59" i="36"/>
  <c r="AB48" i="36"/>
  <c r="AB35" i="36"/>
  <c r="AB64" i="36"/>
  <c r="AB44" i="36"/>
  <c r="AB36" i="23"/>
  <c r="AB38" i="23"/>
  <c r="AB48" i="23"/>
  <c r="AB53" i="23"/>
  <c r="AB34" i="23"/>
  <c r="AB96" i="23"/>
  <c r="AB98" i="23"/>
  <c r="AA39" i="24"/>
  <c r="AA40" i="24"/>
  <c r="AB80" i="51"/>
  <c r="AB83" i="51"/>
  <c r="AB82" i="51"/>
  <c r="AB81" i="51"/>
  <c r="AB55" i="51"/>
  <c r="AB57" i="51"/>
  <c r="AB40" i="51"/>
  <c r="AB49" i="51"/>
  <c r="AB41" i="51"/>
  <c r="AB47" i="51"/>
  <c r="AB54" i="51"/>
  <c r="AB48" i="51"/>
  <c r="AB43" i="51"/>
  <c r="AB36" i="51"/>
  <c r="AB58" i="51"/>
  <c r="AB50" i="51"/>
  <c r="AB86" i="51"/>
  <c r="AB97" i="51"/>
  <c r="AB94" i="51"/>
  <c r="AB96" i="51"/>
  <c r="AB79" i="51"/>
  <c r="AB72" i="51"/>
  <c r="AN56" i="65"/>
  <c r="AM56" i="65"/>
  <c r="AM81" i="65"/>
  <c r="AN81" i="65"/>
  <c r="AM55" i="67"/>
  <c r="AN55" i="67"/>
  <c r="AM40" i="67"/>
  <c r="AN40" i="67"/>
  <c r="Y75" i="37"/>
  <c r="Y82" i="37"/>
  <c r="Y84" i="37" s="1"/>
  <c r="Y85" i="37" s="1"/>
  <c r="Y86" i="37"/>
  <c r="Y88" i="37" s="1"/>
  <c r="X75" i="37"/>
  <c r="X82" i="37"/>
  <c r="X84" i="37" s="1"/>
  <c r="X85" i="37" s="1"/>
  <c r="X86" i="37"/>
  <c r="X88" i="37" s="1"/>
  <c r="AB46" i="25"/>
  <c r="AB35" i="25"/>
  <c r="AB45" i="25"/>
  <c r="AB50" i="25"/>
  <c r="AB38" i="25"/>
  <c r="AB37" i="25"/>
  <c r="AB36" i="25"/>
  <c r="AB37" i="30"/>
  <c r="AM37" i="30" s="1"/>
  <c r="AB70" i="30"/>
  <c r="AB66" i="30"/>
  <c r="AB59" i="30"/>
  <c r="AB51" i="30"/>
  <c r="AB54" i="30"/>
  <c r="AB65" i="30"/>
  <c r="AB58" i="30"/>
  <c r="AB46" i="30"/>
  <c r="AB40" i="30"/>
  <c r="AB68" i="30"/>
  <c r="AB64" i="30"/>
  <c r="AB47" i="30"/>
  <c r="AB39" i="30"/>
  <c r="AB41" i="30"/>
  <c r="AB44" i="30"/>
  <c r="AB56" i="30"/>
  <c r="AB62" i="30"/>
  <c r="AB43" i="30"/>
  <c r="AB45" i="30"/>
  <c r="AB55" i="30"/>
  <c r="AB42" i="30"/>
  <c r="AB57" i="30"/>
  <c r="AB60" i="30"/>
  <c r="AB52" i="30"/>
  <c r="AB67" i="30"/>
  <c r="AB69" i="30"/>
  <c r="AB61" i="30"/>
  <c r="AB71" i="30"/>
  <c r="AB74" i="30"/>
  <c r="AB38" i="30"/>
  <c r="AB50" i="30"/>
  <c r="AB73" i="30"/>
  <c r="AB35" i="30"/>
  <c r="AB85" i="9"/>
  <c r="AB111" i="9"/>
  <c r="AB103" i="9"/>
  <c r="AB82" i="9"/>
  <c r="AB81" i="9"/>
  <c r="AB102" i="9"/>
  <c r="AB83" i="9"/>
  <c r="AB109" i="9"/>
  <c r="AB87" i="9"/>
  <c r="AB88" i="9"/>
  <c r="AB116" i="9"/>
  <c r="AB104" i="9"/>
  <c r="AB89" i="9"/>
  <c r="AB80" i="9"/>
  <c r="AB100" i="9"/>
  <c r="AB105" i="9"/>
  <c r="AB86" i="9"/>
  <c r="AB90" i="9"/>
  <c r="AB110" i="9"/>
  <c r="AB37" i="9"/>
  <c r="AB40" i="9"/>
  <c r="AB58" i="9"/>
  <c r="AB50" i="9"/>
  <c r="AB42" i="9"/>
  <c r="AB57" i="9"/>
  <c r="AB49" i="9"/>
  <c r="AB41" i="9"/>
  <c r="AB55" i="9"/>
  <c r="AB47" i="9"/>
  <c r="AB54" i="9"/>
  <c r="AB35" i="9"/>
  <c r="AB121" i="9"/>
  <c r="AB79" i="9"/>
  <c r="AB122" i="9"/>
  <c r="AB119" i="9"/>
  <c r="AB72" i="9"/>
  <c r="AB103" i="39"/>
  <c r="AB111" i="39"/>
  <c r="AB119" i="39"/>
  <c r="AB114" i="39"/>
  <c r="AB106" i="39"/>
  <c r="AB98" i="39"/>
  <c r="AB39" i="39"/>
  <c r="AB85" i="39"/>
  <c r="AB55" i="39"/>
  <c r="AB35" i="39"/>
  <c r="AB59" i="39"/>
  <c r="AB38" i="39"/>
  <c r="AB37" i="39"/>
  <c r="AB36" i="39"/>
  <c r="AB121" i="39"/>
  <c r="AB126" i="39"/>
  <c r="AB51" i="28"/>
  <c r="AB60" i="28"/>
  <c r="AB48" i="28"/>
  <c r="AB52" i="28"/>
  <c r="AB49" i="28"/>
  <c r="AB59" i="28"/>
  <c r="AB58" i="28"/>
  <c r="AB57" i="28"/>
  <c r="AB50" i="28"/>
  <c r="AB61" i="28"/>
  <c r="AB43" i="28"/>
  <c r="AB40" i="28"/>
  <c r="AB47" i="28"/>
  <c r="AB35" i="28"/>
  <c r="AN35" i="28" s="1"/>
  <c r="AB64" i="28"/>
  <c r="AB65" i="28"/>
  <c r="AB56" i="28"/>
  <c r="AB39" i="28"/>
  <c r="AB53" i="28"/>
  <c r="AB62" i="28"/>
  <c r="AB44" i="28"/>
  <c r="AB35" i="32"/>
  <c r="AB34" i="32"/>
  <c r="AB36" i="32"/>
  <c r="AN94" i="65"/>
  <c r="AM94" i="65"/>
  <c r="AN38" i="65"/>
  <c r="AM38" i="65"/>
  <c r="AN90" i="65"/>
  <c r="AM90" i="65"/>
  <c r="AN56" i="67"/>
  <c r="AM56" i="67"/>
  <c r="Q75" i="37"/>
  <c r="Q86" i="37"/>
  <c r="Q88" i="37" s="1"/>
  <c r="Q82" i="37"/>
  <c r="Q84" i="37" s="1"/>
  <c r="Q85" i="37" s="1"/>
  <c r="O75" i="37"/>
  <c r="O82" i="37"/>
  <c r="O84" i="37" s="1"/>
  <c r="O85" i="37" s="1"/>
  <c r="O86" i="37"/>
  <c r="O88" i="37" s="1"/>
  <c r="AM77" i="65"/>
  <c r="AN77" i="65"/>
  <c r="AN52" i="65"/>
  <c r="AM52" i="65"/>
  <c r="AM38" i="67"/>
  <c r="AN38" i="67"/>
  <c r="AA11" i="39"/>
  <c r="U82" i="37"/>
  <c r="U84" i="37" s="1"/>
  <c r="U85" i="37" s="1"/>
  <c r="U86" i="37"/>
  <c r="U88" i="37" s="1"/>
  <c r="U75" i="37"/>
  <c r="AA11" i="58"/>
  <c r="AB61" i="7"/>
  <c r="AB58" i="7"/>
  <c r="AB55" i="7"/>
  <c r="AB52" i="33"/>
  <c r="AB56" i="33"/>
  <c r="AB48" i="33"/>
  <c r="AB42" i="33"/>
  <c r="AB53" i="33"/>
  <c r="AB45" i="33"/>
  <c r="AB54" i="33"/>
  <c r="AB40" i="33"/>
  <c r="AB51" i="33"/>
  <c r="AB37" i="33"/>
  <c r="AB55" i="33"/>
  <c r="AB38" i="33"/>
  <c r="AB49" i="33"/>
  <c r="AB41" i="33"/>
  <c r="AB43" i="33"/>
  <c r="AB35" i="33"/>
  <c r="AB44" i="33"/>
  <c r="AB39" i="33"/>
  <c r="AB36" i="31"/>
  <c r="AB37" i="31"/>
  <c r="AB35" i="31"/>
  <c r="AB34" i="31"/>
  <c r="AB38" i="31"/>
  <c r="AB37" i="27"/>
  <c r="AB43" i="27"/>
  <c r="AB39" i="27"/>
  <c r="AB35" i="27"/>
  <c r="AB41" i="27"/>
  <c r="AB38" i="27"/>
  <c r="AB42" i="27"/>
  <c r="AB40" i="27"/>
  <c r="AB34" i="27"/>
  <c r="AB45" i="27"/>
  <c r="AN35" i="65"/>
  <c r="AM35" i="65"/>
  <c r="AN82" i="65"/>
  <c r="AM82" i="65"/>
  <c r="R75" i="37"/>
  <c r="R86" i="37"/>
  <c r="R88" i="37" s="1"/>
  <c r="R82" i="37"/>
  <c r="R84" i="37" s="1"/>
  <c r="R85" i="37" s="1"/>
  <c r="N71" i="37"/>
  <c r="Z95" i="37"/>
  <c r="AE95" i="37" s="1"/>
  <c r="AA11" i="55"/>
  <c r="AB39" i="11"/>
  <c r="AB46" i="11"/>
  <c r="AB82" i="4"/>
  <c r="AB74" i="4"/>
  <c r="AB63" i="4"/>
  <c r="AB90" i="4"/>
  <c r="AB89" i="4"/>
  <c r="AB81" i="4"/>
  <c r="AB73" i="4"/>
  <c r="AB62" i="4"/>
  <c r="AB83" i="4"/>
  <c r="AB80" i="4"/>
  <c r="AB69" i="4"/>
  <c r="AB94" i="4"/>
  <c r="AB88" i="4"/>
  <c r="AB87" i="4"/>
  <c r="AB79" i="4"/>
  <c r="AB68" i="4"/>
  <c r="AB60" i="4"/>
  <c r="AB78" i="4"/>
  <c r="AB67" i="4"/>
  <c r="AB59" i="4"/>
  <c r="AB92" i="4"/>
  <c r="AB84" i="4"/>
  <c r="AB76" i="4"/>
  <c r="AB65" i="4"/>
  <c r="AB86" i="4"/>
  <c r="AB61" i="4"/>
  <c r="AB66" i="4"/>
  <c r="AB77" i="4"/>
  <c r="AB64" i="4"/>
  <c r="AB75" i="4"/>
  <c r="AB85" i="4"/>
  <c r="AB93" i="4"/>
  <c r="AB91" i="4"/>
  <c r="AB41" i="4"/>
  <c r="AB51" i="4"/>
  <c r="AB50" i="4"/>
  <c r="AB36" i="4"/>
  <c r="AB38" i="4"/>
  <c r="AB37" i="4"/>
  <c r="AB45" i="4"/>
  <c r="AB49" i="4"/>
  <c r="AB47" i="4"/>
  <c r="AB46" i="4"/>
  <c r="AB42" i="4"/>
  <c r="AB39" i="4"/>
  <c r="AB43" i="4"/>
  <c r="AB40" i="4"/>
  <c r="AB35" i="4"/>
  <c r="AB58" i="4"/>
  <c r="AB95" i="4"/>
  <c r="AB97" i="4"/>
  <c r="AB98" i="4"/>
  <c r="AB72" i="4"/>
  <c r="AB55" i="4"/>
  <c r="AM93" i="65"/>
  <c r="AN93" i="65"/>
  <c r="AN48" i="65"/>
  <c r="AM48" i="65"/>
  <c r="AN78" i="65"/>
  <c r="AM78" i="65"/>
  <c r="AN50" i="67"/>
  <c r="AM50" i="67"/>
  <c r="W75" i="37"/>
  <c r="W82" i="37"/>
  <c r="W84" i="37" s="1"/>
  <c r="W85" i="37" s="1"/>
  <c r="W86" i="37"/>
  <c r="W88" i="37" s="1"/>
  <c r="AB85" i="54"/>
  <c r="AB82" i="54"/>
  <c r="AB84" i="54"/>
  <c r="AB83" i="54"/>
  <c r="AB80" i="54"/>
  <c r="AB81" i="54"/>
  <c r="AB45" i="54"/>
  <c r="AB38" i="54"/>
  <c r="AB41" i="54"/>
  <c r="AB40" i="54"/>
  <c r="AB55" i="54"/>
  <c r="AB57" i="54"/>
  <c r="AB49" i="54"/>
  <c r="AB47" i="54"/>
  <c r="AB54" i="54"/>
  <c r="AB50" i="54"/>
  <c r="AB58" i="54"/>
  <c r="AB100" i="54"/>
  <c r="AB99" i="54"/>
  <c r="AB79" i="54"/>
  <c r="AB72" i="54"/>
  <c r="AB89" i="17"/>
  <c r="AB62" i="17"/>
  <c r="AB64" i="17"/>
  <c r="AB66" i="17"/>
  <c r="AB116" i="17"/>
  <c r="AB118" i="17"/>
  <c r="AB124" i="17"/>
  <c r="AB130" i="17"/>
  <c r="AB134" i="17"/>
  <c r="AB136" i="17"/>
  <c r="AB46" i="17"/>
  <c r="AB90" i="17"/>
  <c r="AB57" i="17"/>
  <c r="AB44" i="17"/>
  <c r="AB53" i="17"/>
  <c r="AB48" i="17"/>
  <c r="AB133" i="17"/>
  <c r="AB39" i="17"/>
  <c r="AB97" i="17"/>
  <c r="AB45" i="17"/>
  <c r="AB36" i="17"/>
  <c r="AB99" i="17"/>
  <c r="AB95" i="17"/>
  <c r="AB37" i="17"/>
  <c r="AB125" i="17"/>
  <c r="AB38" i="17"/>
  <c r="AB96" i="17"/>
  <c r="AB47" i="17"/>
  <c r="AB65" i="17"/>
  <c r="AB121" i="17"/>
  <c r="AB63" i="17"/>
  <c r="AB35" i="17"/>
  <c r="AB115" i="17"/>
  <c r="AB139" i="17"/>
  <c r="AB127" i="17"/>
  <c r="AB102" i="17"/>
  <c r="AB144" i="17"/>
  <c r="AB147" i="17"/>
  <c r="AB141" i="17"/>
  <c r="AB142" i="17"/>
  <c r="AB148" i="17"/>
  <c r="AB37" i="29"/>
  <c r="AM37" i="29" s="1"/>
  <c r="AB54" i="29"/>
  <c r="AB45" i="29"/>
  <c r="AB72" i="29"/>
  <c r="AB47" i="29"/>
  <c r="AB67" i="29"/>
  <c r="AB60" i="29"/>
  <c r="AB71" i="29"/>
  <c r="AB46" i="29"/>
  <c r="AB42" i="29"/>
  <c r="AB65" i="29"/>
  <c r="AB43" i="29"/>
  <c r="AB64" i="29"/>
  <c r="AB61" i="29"/>
  <c r="AB69" i="29"/>
  <c r="AB40" i="29"/>
  <c r="AB39" i="29"/>
  <c r="AB41" i="29"/>
  <c r="AB68" i="29"/>
  <c r="AB62" i="29"/>
  <c r="AB55" i="29"/>
  <c r="AB56" i="29"/>
  <c r="AB57" i="29"/>
  <c r="AB59" i="29"/>
  <c r="AB53" i="29"/>
  <c r="AB44" i="29"/>
  <c r="AB38" i="29"/>
  <c r="AB73" i="29"/>
  <c r="AB35" i="29"/>
  <c r="AB75" i="29"/>
  <c r="AB50" i="29"/>
  <c r="AB76" i="29"/>
  <c r="AB85" i="55"/>
  <c r="AB45" i="55"/>
  <c r="AB47" i="55"/>
  <c r="AB49" i="55"/>
  <c r="AB99" i="55"/>
  <c r="AB119" i="55"/>
  <c r="AB115" i="55"/>
  <c r="AB111" i="55"/>
  <c r="AB107" i="55"/>
  <c r="AB103" i="55"/>
  <c r="AB83" i="55"/>
  <c r="AB46" i="55"/>
  <c r="AB48" i="55"/>
  <c r="AB122" i="55"/>
  <c r="AB126" i="55"/>
  <c r="AA40" i="37"/>
  <c r="AA42" i="37"/>
  <c r="AA41" i="37"/>
  <c r="AA39" i="37"/>
  <c r="AA43" i="37"/>
  <c r="AM91" i="65"/>
  <c r="AN91" i="65"/>
  <c r="AM40" i="65"/>
  <c r="AN40" i="65"/>
  <c r="AN79" i="65"/>
  <c r="AM79" i="65"/>
  <c r="AN48" i="67"/>
  <c r="AM48" i="67"/>
  <c r="P75" i="37"/>
  <c r="P82" i="37"/>
  <c r="P84" i="37" s="1"/>
  <c r="P85" i="37" s="1"/>
  <c r="P86" i="37"/>
  <c r="P88" i="37" s="1"/>
  <c r="T82" i="37"/>
  <c r="T84" i="37" s="1"/>
  <c r="T85" i="37" s="1"/>
  <c r="T86" i="37"/>
  <c r="T88" i="37" s="1"/>
  <c r="T75" i="37"/>
  <c r="AJ82" i="54"/>
  <c r="AJ96" i="54"/>
  <c r="AJ91" i="54"/>
  <c r="AJ89" i="54"/>
  <c r="AJ81" i="54"/>
  <c r="AJ92" i="54"/>
  <c r="AJ80" i="54"/>
  <c r="AJ77" i="54"/>
  <c r="AJ84" i="54"/>
  <c r="AJ85" i="54"/>
  <c r="AJ94" i="54"/>
  <c r="AJ93" i="54"/>
  <c r="AJ90" i="54"/>
  <c r="AJ95" i="54"/>
  <c r="AJ83" i="54"/>
  <c r="AJ58" i="54"/>
  <c r="AJ39" i="54"/>
  <c r="AJ56" i="54"/>
  <c r="AJ55" i="54"/>
  <c r="AJ46" i="54"/>
  <c r="AJ63" i="54"/>
  <c r="AJ45" i="54"/>
  <c r="AJ48" i="54"/>
  <c r="AJ41" i="54"/>
  <c r="AJ38" i="54"/>
  <c r="AJ36" i="54"/>
  <c r="AJ49" i="54"/>
  <c r="AJ47" i="54"/>
  <c r="AJ37" i="54"/>
  <c r="AJ43" i="54"/>
  <c r="AJ40" i="54"/>
  <c r="AJ52" i="54"/>
  <c r="AJ65" i="54"/>
  <c r="AJ70" i="54"/>
  <c r="AJ51" i="54"/>
  <c r="AJ54" i="54"/>
  <c r="AJ42" i="54"/>
  <c r="AJ69" i="54"/>
  <c r="AJ44" i="54"/>
  <c r="AJ53" i="54"/>
  <c r="AJ64" i="54"/>
  <c r="AJ66" i="54"/>
  <c r="AJ68" i="54"/>
  <c r="AJ67" i="54"/>
  <c r="AJ50" i="54"/>
  <c r="AJ57" i="54"/>
  <c r="AJ84" i="63"/>
  <c r="AJ80" i="63"/>
  <c r="AJ77" i="63"/>
  <c r="AJ70" i="63"/>
  <c r="AJ58" i="63"/>
  <c r="AJ67" i="63"/>
  <c r="AJ46" i="63"/>
  <c r="AJ47" i="63"/>
  <c r="AJ54" i="63"/>
  <c r="AJ53" i="63"/>
  <c r="AJ39" i="63"/>
  <c r="AJ42" i="63"/>
  <c r="AJ49" i="63"/>
  <c r="AJ68" i="63"/>
  <c r="AJ41" i="63"/>
  <c r="AJ64" i="63"/>
  <c r="AJ52" i="63"/>
  <c r="AJ55" i="63"/>
  <c r="AJ66" i="63"/>
  <c r="AJ36" i="63"/>
  <c r="AJ45" i="63"/>
  <c r="AJ37" i="63"/>
  <c r="AJ65" i="63"/>
  <c r="AJ69" i="63"/>
  <c r="AJ43" i="63"/>
  <c r="AJ38" i="63"/>
  <c r="AJ50" i="63"/>
  <c r="AJ63" i="63"/>
  <c r="AJ51" i="63"/>
  <c r="AJ40" i="63"/>
  <c r="AJ44" i="63"/>
  <c r="AJ57" i="63"/>
  <c r="AJ56" i="63"/>
  <c r="AJ48" i="63"/>
  <c r="AJ84" i="61"/>
  <c r="AJ77" i="61"/>
  <c r="AJ80" i="61"/>
  <c r="AJ58" i="61"/>
  <c r="AJ52" i="61"/>
  <c r="AJ66" i="61"/>
  <c r="AJ51" i="61"/>
  <c r="AJ63" i="61"/>
  <c r="AJ41" i="61"/>
  <c r="AJ56" i="61"/>
  <c r="AJ37" i="61"/>
  <c r="AJ40" i="61"/>
  <c r="AJ49" i="61"/>
  <c r="AJ67" i="61"/>
  <c r="AJ47" i="61"/>
  <c r="AJ68" i="61"/>
  <c r="AJ54" i="61"/>
  <c r="AJ42" i="61"/>
  <c r="AJ48" i="61"/>
  <c r="AJ65" i="61"/>
  <c r="AJ53" i="61"/>
  <c r="AJ39" i="61"/>
  <c r="AJ69" i="61"/>
  <c r="AJ38" i="61"/>
  <c r="AJ64" i="61"/>
  <c r="AJ36" i="61"/>
  <c r="AJ70" i="61"/>
  <c r="AJ43" i="61"/>
  <c r="AJ57" i="61"/>
  <c r="AJ55" i="61"/>
  <c r="AJ50" i="61"/>
  <c r="AJ46" i="61"/>
  <c r="AJ44" i="61"/>
  <c r="AJ45" i="61"/>
  <c r="AJ84" i="53"/>
  <c r="AJ77" i="53"/>
  <c r="AJ80" i="53"/>
  <c r="AJ51" i="53"/>
  <c r="AJ36" i="53"/>
  <c r="AJ43" i="53"/>
  <c r="AJ38" i="53"/>
  <c r="AJ42" i="53"/>
  <c r="AJ69" i="53"/>
  <c r="AJ56" i="53"/>
  <c r="AJ37" i="53"/>
  <c r="AJ68" i="53"/>
  <c r="AJ45" i="53"/>
  <c r="AJ48" i="53"/>
  <c r="AJ55" i="53"/>
  <c r="AJ63" i="53"/>
  <c r="AJ47" i="53"/>
  <c r="AJ64" i="53"/>
  <c r="AJ40" i="53"/>
  <c r="AJ39" i="53"/>
  <c r="AJ58" i="53"/>
  <c r="AJ52" i="53"/>
  <c r="AJ54" i="53"/>
  <c r="AJ67" i="53"/>
  <c r="AJ57" i="53"/>
  <c r="AJ53" i="53"/>
  <c r="AJ66" i="53"/>
  <c r="AJ50" i="53"/>
  <c r="AJ44" i="53"/>
  <c r="AJ70" i="53"/>
  <c r="AJ46" i="53"/>
  <c r="AJ49" i="53"/>
  <c r="AJ65" i="53"/>
  <c r="AJ41" i="53"/>
  <c r="AJ77" i="52"/>
  <c r="AJ84" i="52"/>
  <c r="AJ80" i="52"/>
  <c r="AJ54" i="52"/>
  <c r="AJ66" i="52"/>
  <c r="AJ37" i="52"/>
  <c r="AJ65" i="52"/>
  <c r="AJ53" i="52"/>
  <c r="AJ45" i="52"/>
  <c r="AJ50" i="52"/>
  <c r="AJ64" i="52"/>
  <c r="AJ70" i="52"/>
  <c r="AJ42" i="52"/>
  <c r="AJ52" i="52"/>
  <c r="AJ44" i="52"/>
  <c r="AJ51" i="52"/>
  <c r="AJ36" i="52"/>
  <c r="AJ56" i="52"/>
  <c r="AJ68" i="52"/>
  <c r="AJ38" i="52"/>
  <c r="AJ47" i="52"/>
  <c r="AJ67" i="52"/>
  <c r="AJ55" i="52"/>
  <c r="AJ46" i="52"/>
  <c r="AJ63" i="52"/>
  <c r="AJ58" i="52"/>
  <c r="AJ57" i="52"/>
  <c r="AJ39" i="52"/>
  <c r="AJ49" i="52"/>
  <c r="AJ48" i="52"/>
  <c r="AJ43" i="52"/>
  <c r="AJ40" i="52"/>
  <c r="AJ69" i="52"/>
  <c r="AJ41" i="52"/>
  <c r="AJ83" i="51"/>
  <c r="AJ90" i="51"/>
  <c r="AJ81" i="51"/>
  <c r="AJ91" i="51"/>
  <c r="AJ92" i="51"/>
  <c r="AJ82" i="51"/>
  <c r="AJ77" i="51"/>
  <c r="AJ80" i="51"/>
  <c r="AJ87" i="51"/>
  <c r="AJ89" i="51"/>
  <c r="AJ93" i="51"/>
  <c r="AJ88" i="51"/>
  <c r="AJ49" i="51"/>
  <c r="AJ65" i="51"/>
  <c r="AJ47" i="51"/>
  <c r="AJ37" i="51"/>
  <c r="AJ68" i="51"/>
  <c r="AJ56" i="51"/>
  <c r="AJ40" i="51"/>
  <c r="AJ52" i="51"/>
  <c r="AJ45" i="51"/>
  <c r="AJ55" i="51"/>
  <c r="AJ69" i="51"/>
  <c r="AJ43" i="51"/>
  <c r="AJ58" i="51"/>
  <c r="AJ53" i="51"/>
  <c r="AJ50" i="51"/>
  <c r="AJ70" i="51"/>
  <c r="AJ51" i="51"/>
  <c r="AJ41" i="51"/>
  <c r="AJ63" i="51"/>
  <c r="AJ54" i="51"/>
  <c r="AJ39" i="51"/>
  <c r="AJ57" i="51"/>
  <c r="AJ38" i="51"/>
  <c r="AJ67" i="51"/>
  <c r="AJ66" i="51"/>
  <c r="AJ64" i="51"/>
  <c r="AJ42" i="51"/>
  <c r="AJ36" i="51"/>
  <c r="AJ46" i="51"/>
  <c r="AJ44" i="51"/>
  <c r="AJ48" i="51"/>
  <c r="AJ111" i="9"/>
  <c r="AJ84" i="9"/>
  <c r="AJ103" i="9"/>
  <c r="AJ115" i="9"/>
  <c r="AJ105" i="9"/>
  <c r="AJ94" i="9"/>
  <c r="AJ108" i="9"/>
  <c r="AJ82" i="9"/>
  <c r="AJ83" i="9"/>
  <c r="AJ81" i="9"/>
  <c r="AJ102" i="9"/>
  <c r="AJ118" i="9"/>
  <c r="AJ116" i="9"/>
  <c r="AJ106" i="9"/>
  <c r="AJ96" i="9"/>
  <c r="AJ98" i="9"/>
  <c r="AJ99" i="9"/>
  <c r="AJ107" i="9"/>
  <c r="AJ100" i="9"/>
  <c r="AJ112" i="9"/>
  <c r="AJ86" i="9"/>
  <c r="AJ114" i="9"/>
  <c r="AJ88" i="9"/>
  <c r="AJ95" i="9"/>
  <c r="AJ89" i="9"/>
  <c r="AJ109" i="9"/>
  <c r="AJ110" i="9"/>
  <c r="AJ101" i="9"/>
  <c r="AJ117" i="9"/>
  <c r="AJ90" i="9"/>
  <c r="AJ77" i="9"/>
  <c r="AJ87" i="9"/>
  <c r="AJ97" i="9"/>
  <c r="AJ85" i="9"/>
  <c r="AJ113" i="9"/>
  <c r="AJ104" i="9"/>
  <c r="AJ80" i="9"/>
  <c r="AJ44" i="9"/>
  <c r="AJ65" i="9"/>
  <c r="AJ57" i="9"/>
  <c r="AJ42" i="9"/>
  <c r="AJ49" i="9"/>
  <c r="AJ58" i="9"/>
  <c r="AJ39" i="9"/>
  <c r="AJ45" i="9"/>
  <c r="AJ37" i="9"/>
  <c r="AJ63" i="9"/>
  <c r="AJ38" i="9"/>
  <c r="AJ40" i="9"/>
  <c r="AJ41" i="9"/>
  <c r="AJ70" i="9"/>
  <c r="AJ53" i="9"/>
  <c r="AJ67" i="9"/>
  <c r="AJ55" i="9"/>
  <c r="AJ36" i="9"/>
  <c r="AJ68" i="9"/>
  <c r="AJ69" i="9"/>
  <c r="AJ43" i="9"/>
  <c r="AJ46" i="9"/>
  <c r="AJ47" i="9"/>
  <c r="AJ66" i="9"/>
  <c r="AJ56" i="9"/>
  <c r="AJ50" i="9"/>
  <c r="AJ64" i="9"/>
  <c r="AJ48" i="9"/>
  <c r="AJ52" i="9"/>
  <c r="AJ54" i="9"/>
  <c r="AJ51" i="9"/>
  <c r="AJ67" i="29"/>
  <c r="AJ68" i="29"/>
  <c r="AJ41" i="29"/>
  <c r="AJ51" i="29"/>
  <c r="AJ42" i="29"/>
  <c r="AJ64" i="29"/>
  <c r="AJ62" i="29"/>
  <c r="AJ72" i="29"/>
  <c r="AJ45" i="29"/>
  <c r="AJ46" i="29"/>
  <c r="AJ66" i="29"/>
  <c r="AJ58" i="29"/>
  <c r="AJ57" i="29"/>
  <c r="AJ61" i="29"/>
  <c r="AJ40" i="29"/>
  <c r="AJ47" i="29"/>
  <c r="AJ44" i="29"/>
  <c r="AJ56" i="29"/>
  <c r="AJ55" i="29"/>
  <c r="AJ63" i="29"/>
  <c r="AJ52" i="29"/>
  <c r="AJ59" i="29"/>
  <c r="AJ53" i="29"/>
  <c r="AJ60" i="29"/>
  <c r="AJ69" i="29"/>
  <c r="AJ70" i="29"/>
  <c r="AJ43" i="29"/>
  <c r="AJ36" i="29"/>
  <c r="AJ65" i="29"/>
  <c r="AJ39" i="29"/>
  <c r="AJ71" i="29"/>
  <c r="AJ54" i="29"/>
  <c r="AJ92" i="4"/>
  <c r="AJ86" i="4"/>
  <c r="AJ84" i="4"/>
  <c r="AJ56" i="4"/>
  <c r="AJ76" i="4"/>
  <c r="AJ85" i="4"/>
  <c r="AJ73" i="4"/>
  <c r="AJ82" i="4"/>
  <c r="AJ64" i="4"/>
  <c r="AJ74" i="4"/>
  <c r="AJ75" i="4"/>
  <c r="AJ91" i="4"/>
  <c r="AJ81" i="4"/>
  <c r="AJ87" i="4"/>
  <c r="AJ79" i="4"/>
  <c r="AJ77" i="4"/>
  <c r="AJ78" i="4"/>
  <c r="AJ90" i="4"/>
  <c r="AJ69" i="4"/>
  <c r="AJ59" i="4"/>
  <c r="AJ94" i="4"/>
  <c r="AJ80" i="4"/>
  <c r="AJ89" i="4"/>
  <c r="AJ60" i="4"/>
  <c r="AJ63" i="4"/>
  <c r="AJ67" i="4"/>
  <c r="AJ66" i="4"/>
  <c r="AJ65" i="4"/>
  <c r="AJ93" i="4"/>
  <c r="AJ61" i="4"/>
  <c r="AJ83" i="4"/>
  <c r="AJ88" i="4"/>
  <c r="AJ62" i="4"/>
  <c r="AJ68" i="4"/>
  <c r="AJ40" i="4"/>
  <c r="AJ41" i="4"/>
  <c r="AJ48" i="4"/>
  <c r="AJ47" i="4"/>
  <c r="AJ36" i="4"/>
  <c r="AJ46" i="4"/>
  <c r="AJ39" i="4"/>
  <c r="AJ43" i="4"/>
  <c r="AJ51" i="4"/>
  <c r="AJ45" i="4"/>
  <c r="AJ44" i="4"/>
  <c r="AJ49" i="4"/>
  <c r="AJ37" i="4"/>
  <c r="AJ50" i="4"/>
  <c r="AJ42" i="4"/>
  <c r="AJ38" i="4"/>
  <c r="AJ66" i="21"/>
  <c r="AJ63" i="21"/>
  <c r="AJ70" i="21"/>
  <c r="AJ50" i="21"/>
  <c r="AJ37" i="21"/>
  <c r="AJ49" i="21"/>
  <c r="AJ38" i="21"/>
  <c r="AJ52" i="21"/>
  <c r="AJ36" i="21"/>
  <c r="AJ39" i="21"/>
  <c r="AJ35" i="21"/>
  <c r="AJ48" i="21"/>
  <c r="AJ55" i="21"/>
  <c r="AJ54" i="21"/>
  <c r="AJ56" i="21"/>
  <c r="AJ41" i="21"/>
  <c r="AJ42" i="21"/>
  <c r="AJ43" i="21"/>
  <c r="AJ53" i="21"/>
  <c r="AJ44" i="21"/>
  <c r="AJ40" i="21"/>
  <c r="AJ51" i="21"/>
  <c r="AJ42" i="7"/>
  <c r="AJ45" i="7"/>
  <c r="AJ37" i="7"/>
  <c r="AJ40" i="7"/>
  <c r="AJ41" i="7"/>
  <c r="AJ35" i="7"/>
  <c r="AJ44" i="7"/>
  <c r="AJ39" i="7"/>
  <c r="AJ38" i="7"/>
  <c r="AJ36" i="7"/>
  <c r="AJ43" i="7"/>
  <c r="AJ61" i="30"/>
  <c r="AJ70" i="30"/>
  <c r="AJ42" i="30"/>
  <c r="AJ43" i="30"/>
  <c r="AJ68" i="30"/>
  <c r="AJ62" i="30"/>
  <c r="AJ60" i="30"/>
  <c r="AJ69" i="30"/>
  <c r="AJ47" i="30"/>
  <c r="AJ52" i="30"/>
  <c r="AJ53" i="30"/>
  <c r="AJ59" i="30"/>
  <c r="AJ40" i="30"/>
  <c r="AJ63" i="30"/>
  <c r="AJ44" i="30"/>
  <c r="AJ55" i="30"/>
  <c r="AJ58" i="30"/>
  <c r="AJ51" i="30"/>
  <c r="AJ54" i="30"/>
  <c r="AJ41" i="30"/>
  <c r="AJ66" i="30"/>
  <c r="AJ57" i="30"/>
  <c r="AJ36" i="30"/>
  <c r="AJ46" i="30"/>
  <c r="AJ45" i="30"/>
  <c r="AJ65" i="30"/>
  <c r="AJ67" i="30"/>
  <c r="AJ39" i="30"/>
  <c r="AJ56" i="30"/>
  <c r="AJ64" i="30"/>
  <c r="AJ52" i="20"/>
  <c r="AJ56" i="20"/>
  <c r="AJ49" i="20"/>
  <c r="AJ37" i="20"/>
  <c r="AJ42" i="20"/>
  <c r="AJ38" i="20"/>
  <c r="AJ36" i="20"/>
  <c r="AJ35" i="20"/>
  <c r="AI47" i="24"/>
  <c r="AI38" i="24"/>
  <c r="AI44" i="24"/>
  <c r="AI36" i="24"/>
  <c r="AI54" i="24"/>
  <c r="AI46" i="24"/>
  <c r="AI48" i="24"/>
  <c r="AI56" i="24"/>
  <c r="AI57" i="24"/>
  <c r="AI55" i="24"/>
  <c r="AI53" i="24"/>
  <c r="AI45" i="24"/>
  <c r="AI39" i="24"/>
  <c r="AI35" i="24"/>
  <c r="AI37" i="24"/>
  <c r="AJ47" i="33"/>
  <c r="AJ39" i="33"/>
  <c r="AJ63" i="33"/>
  <c r="AJ40" i="33"/>
  <c r="AJ65" i="33"/>
  <c r="AJ37" i="33"/>
  <c r="AJ38" i="33"/>
  <c r="AJ46" i="33"/>
  <c r="AJ62" i="33"/>
  <c r="AJ57" i="33"/>
  <c r="AJ52" i="33"/>
  <c r="AJ36" i="33"/>
  <c r="AJ35" i="33"/>
  <c r="AJ44" i="33"/>
  <c r="AJ59" i="33"/>
  <c r="AJ60" i="33"/>
  <c r="AJ50" i="33"/>
  <c r="AJ42" i="33"/>
  <c r="AJ43" i="33"/>
  <c r="AJ48" i="33"/>
  <c r="AJ41" i="33"/>
  <c r="AJ55" i="33"/>
  <c r="AJ64" i="33"/>
  <c r="AJ49" i="33"/>
  <c r="AJ56" i="33"/>
  <c r="AJ54" i="33"/>
  <c r="AJ45" i="33"/>
  <c r="AJ53" i="33"/>
  <c r="AJ61" i="33"/>
  <c r="AJ51" i="33"/>
  <c r="AJ58" i="33"/>
  <c r="AJ49" i="25"/>
  <c r="AJ50" i="25"/>
  <c r="AJ42" i="25"/>
  <c r="AJ45" i="25"/>
  <c r="AJ44" i="25"/>
  <c r="AJ46" i="25"/>
  <c r="AJ47" i="25"/>
  <c r="AJ36" i="25"/>
  <c r="AJ41" i="25"/>
  <c r="AJ39" i="25"/>
  <c r="AJ43" i="25"/>
  <c r="AJ37" i="25"/>
  <c r="AJ35" i="25"/>
  <c r="AJ48" i="25"/>
  <c r="AJ38" i="25"/>
  <c r="AJ40" i="25"/>
  <c r="AJ93" i="23"/>
  <c r="AJ91" i="23"/>
  <c r="AJ89" i="23"/>
  <c r="AJ87" i="23"/>
  <c r="AJ85" i="23"/>
  <c r="AJ83" i="23"/>
  <c r="AJ81" i="23"/>
  <c r="AJ79" i="23"/>
  <c r="AJ92" i="23"/>
  <c r="AJ90" i="23"/>
  <c r="AJ88" i="23"/>
  <c r="AJ86" i="23"/>
  <c r="AJ84" i="23"/>
  <c r="AJ82" i="23"/>
  <c r="AJ80" i="23"/>
  <c r="AJ94" i="23"/>
  <c r="AJ78" i="23"/>
  <c r="AJ58" i="23"/>
  <c r="AJ53" i="23"/>
  <c r="AJ72" i="23"/>
  <c r="AJ60" i="23"/>
  <c r="AJ35" i="23"/>
  <c r="AJ46" i="23"/>
  <c r="AJ57" i="23"/>
  <c r="AJ70" i="23"/>
  <c r="AJ43" i="23"/>
  <c r="AJ73" i="23"/>
  <c r="AJ45" i="23"/>
  <c r="AJ36" i="23"/>
  <c r="AJ37" i="23"/>
  <c r="AJ47" i="23"/>
  <c r="AJ50" i="23"/>
  <c r="AJ74" i="23"/>
  <c r="AJ69" i="23"/>
  <c r="AJ48" i="23"/>
  <c r="AJ67" i="23"/>
  <c r="AJ71" i="23"/>
  <c r="AJ62" i="23"/>
  <c r="AJ61" i="23"/>
  <c r="AJ52" i="23"/>
  <c r="AJ59" i="23"/>
  <c r="AJ66" i="23"/>
  <c r="AJ64" i="23"/>
  <c r="AJ63" i="23"/>
  <c r="AJ51" i="23"/>
  <c r="AJ49" i="23"/>
  <c r="AJ40" i="23"/>
  <c r="AJ65" i="23"/>
  <c r="AJ42" i="23"/>
  <c r="AJ68" i="23"/>
  <c r="AJ38" i="23"/>
  <c r="AJ39" i="23"/>
  <c r="AJ41" i="23"/>
  <c r="AJ44" i="23"/>
  <c r="AJ64" i="15"/>
  <c r="AJ60" i="15"/>
  <c r="AJ59" i="15"/>
  <c r="AJ56" i="15"/>
  <c r="AJ49" i="15"/>
  <c r="AJ46" i="15"/>
  <c r="AJ38" i="15"/>
  <c r="AJ40" i="15"/>
  <c r="AJ48" i="15"/>
  <c r="AJ37" i="15"/>
  <c r="AJ41" i="15"/>
  <c r="AJ36" i="15"/>
  <c r="AJ47" i="15"/>
  <c r="AJ39" i="15"/>
  <c r="AJ57" i="34"/>
  <c r="AJ43" i="34"/>
  <c r="AJ36" i="34"/>
  <c r="AJ39" i="34"/>
  <c r="AJ57" i="28"/>
  <c r="AJ59" i="28"/>
  <c r="AJ49" i="28"/>
  <c r="AJ51" i="28"/>
  <c r="AJ60" i="28"/>
  <c r="AJ61" i="28"/>
  <c r="AJ48" i="28"/>
  <c r="AJ50" i="28"/>
  <c r="AJ58" i="28"/>
  <c r="AJ52" i="28"/>
  <c r="AJ36" i="28"/>
  <c r="AJ43" i="28"/>
  <c r="AJ40" i="28"/>
  <c r="AJ42" i="28"/>
  <c r="AJ41" i="28"/>
  <c r="AJ68" i="11"/>
  <c r="AJ75" i="11"/>
  <c r="AJ71" i="11"/>
  <c r="AJ51" i="11"/>
  <c r="AJ41" i="11"/>
  <c r="AJ58" i="11"/>
  <c r="AJ36" i="11"/>
  <c r="AJ37" i="11"/>
  <c r="AJ49" i="11"/>
  <c r="AJ47" i="11"/>
  <c r="AJ46" i="11"/>
  <c r="AJ40" i="11"/>
  <c r="AJ45" i="11"/>
  <c r="AJ60" i="11"/>
  <c r="AJ44" i="11"/>
  <c r="AJ61" i="11"/>
  <c r="AJ43" i="11"/>
  <c r="AJ39" i="11"/>
  <c r="AJ48" i="11"/>
  <c r="AJ42" i="11"/>
  <c r="AJ56" i="11"/>
  <c r="AJ57" i="11"/>
  <c r="AJ38" i="11"/>
  <c r="AJ50" i="11"/>
  <c r="AJ59" i="11"/>
  <c r="AJ41" i="27"/>
  <c r="AJ43" i="27"/>
  <c r="AJ44" i="27"/>
  <c r="AJ40" i="27"/>
  <c r="AJ36" i="27"/>
  <c r="AJ37" i="27"/>
  <c r="AJ42" i="27"/>
  <c r="AJ35" i="27"/>
  <c r="AJ38" i="27"/>
  <c r="AJ39" i="27"/>
  <c r="AJ63" i="19"/>
  <c r="AJ56" i="19"/>
  <c r="AJ59" i="19"/>
  <c r="AJ35" i="19"/>
  <c r="AJ49" i="19"/>
  <c r="AJ42" i="19"/>
  <c r="AJ44" i="19"/>
  <c r="AJ41" i="19"/>
  <c r="AJ40" i="19"/>
  <c r="AJ39" i="19"/>
  <c r="AJ48" i="19"/>
  <c r="AJ38" i="19"/>
  <c r="AJ37" i="19"/>
  <c r="AJ43" i="19"/>
  <c r="AJ36" i="19"/>
  <c r="AJ61" i="22"/>
  <c r="AJ64" i="22"/>
  <c r="AJ68" i="22"/>
  <c r="AJ48" i="22"/>
  <c r="AJ37" i="22"/>
  <c r="AJ43" i="22"/>
  <c r="AJ36" i="22"/>
  <c r="AJ49" i="22"/>
  <c r="AJ41" i="22"/>
  <c r="AJ47" i="22"/>
  <c r="AJ39" i="22"/>
  <c r="AJ35" i="22"/>
  <c r="AJ38" i="22"/>
  <c r="AJ51" i="22"/>
  <c r="AJ54" i="22"/>
  <c r="AJ50" i="22"/>
  <c r="AJ53" i="22"/>
  <c r="AJ52" i="22"/>
  <c r="AJ42" i="22"/>
  <c r="AJ40" i="22"/>
  <c r="AJ93" i="16"/>
  <c r="AJ95" i="16"/>
  <c r="AJ80" i="16"/>
  <c r="AJ102" i="16"/>
  <c r="AJ111" i="16"/>
  <c r="AJ117" i="16"/>
  <c r="AJ79" i="16"/>
  <c r="AJ97" i="16"/>
  <c r="AJ112" i="16"/>
  <c r="AJ99" i="16"/>
  <c r="AJ107" i="16"/>
  <c r="AJ113" i="16"/>
  <c r="AJ115" i="16"/>
  <c r="AJ92" i="16"/>
  <c r="AJ105" i="16"/>
  <c r="AJ116" i="16"/>
  <c r="AJ114" i="16"/>
  <c r="AJ109" i="16"/>
  <c r="AJ101" i="16"/>
  <c r="AJ94" i="16"/>
  <c r="AJ110" i="16"/>
  <c r="AJ108" i="16"/>
  <c r="AJ82" i="16"/>
  <c r="AJ85" i="16"/>
  <c r="AJ86" i="16"/>
  <c r="AJ104" i="16"/>
  <c r="AJ75" i="16"/>
  <c r="AJ84" i="16"/>
  <c r="AJ100" i="16"/>
  <c r="AJ103" i="16"/>
  <c r="AJ83" i="16"/>
  <c r="AJ88" i="16"/>
  <c r="AJ81" i="16"/>
  <c r="AJ98" i="16"/>
  <c r="AJ87" i="16"/>
  <c r="AJ106" i="16"/>
  <c r="AJ78" i="16"/>
  <c r="AJ96" i="16"/>
  <c r="AJ67" i="16"/>
  <c r="AJ66" i="16"/>
  <c r="AJ68" i="16"/>
  <c r="AJ65" i="16"/>
  <c r="AJ63" i="16"/>
  <c r="AJ61" i="16"/>
  <c r="AJ64" i="16"/>
  <c r="AJ62" i="16"/>
  <c r="AJ36" i="31"/>
  <c r="AJ35" i="31"/>
  <c r="AJ37" i="31"/>
  <c r="AJ56" i="35"/>
  <c r="AJ39" i="35"/>
  <c r="AJ41" i="35"/>
  <c r="AJ45" i="35"/>
  <c r="AJ35" i="35"/>
  <c r="AM41" i="69"/>
  <c r="AN41" i="69"/>
  <c r="AM49" i="69"/>
  <c r="AN49" i="69"/>
  <c r="AM41" i="67"/>
  <c r="AN41" i="67"/>
  <c r="AM49" i="67"/>
  <c r="AN49" i="67"/>
  <c r="AM49" i="65"/>
  <c r="AN49" i="65"/>
  <c r="AM41" i="65"/>
  <c r="AN41" i="65"/>
  <c r="AJ63" i="26"/>
  <c r="AJ45" i="26"/>
  <c r="AJ36" i="26"/>
  <c r="AJ64" i="26"/>
  <c r="AJ62" i="26"/>
  <c r="AJ54" i="26"/>
  <c r="AJ43" i="26"/>
  <c r="AJ51" i="26"/>
  <c r="AJ40" i="26"/>
  <c r="AJ52" i="26"/>
  <c r="AJ60" i="26"/>
  <c r="AJ67" i="26"/>
  <c r="AJ66" i="26"/>
  <c r="AJ39" i="26"/>
  <c r="AJ56" i="26"/>
  <c r="AJ65" i="26"/>
  <c r="AJ55" i="26"/>
  <c r="AJ57" i="26"/>
  <c r="AJ44" i="26"/>
  <c r="AJ46" i="26"/>
  <c r="AJ61" i="26"/>
  <c r="AJ53" i="26"/>
  <c r="AJ42" i="26"/>
  <c r="AJ59" i="26"/>
  <c r="AJ41" i="26"/>
  <c r="AJ58" i="26"/>
  <c r="AJ47" i="26"/>
  <c r="AA11" i="18"/>
  <c r="AA11" i="21"/>
  <c r="AA11" i="20"/>
  <c r="AA11" i="15"/>
  <c r="AA38" i="32"/>
  <c r="AA11" i="19"/>
  <c r="AA11" i="22"/>
  <c r="AA19" i="15"/>
  <c r="AA20" i="36"/>
  <c r="AA20" i="64"/>
  <c r="V68" i="33"/>
  <c r="V67" i="33"/>
  <c r="AJ66" i="19"/>
  <c r="AJ58" i="19"/>
  <c r="AJ51" i="19"/>
  <c r="AJ55" i="19"/>
  <c r="AJ57" i="19"/>
  <c r="AJ62" i="19"/>
  <c r="AJ64" i="19"/>
  <c r="AJ47" i="19"/>
  <c r="AJ34" i="19"/>
  <c r="AJ67" i="19"/>
  <c r="AJ50" i="19"/>
  <c r="AJ98" i="23"/>
  <c r="AJ77" i="23"/>
  <c r="AJ56" i="23"/>
  <c r="AJ34" i="23"/>
  <c r="AJ96" i="23"/>
  <c r="AJ95" i="23"/>
  <c r="AJ34" i="25"/>
  <c r="AJ34" i="33"/>
  <c r="AJ78" i="51"/>
  <c r="AJ96" i="51"/>
  <c r="AJ97" i="51"/>
  <c r="AJ76" i="51"/>
  <c r="AJ94" i="51"/>
  <c r="AJ62" i="51"/>
  <c r="AJ35" i="51"/>
  <c r="AJ79" i="51"/>
  <c r="AJ72" i="51"/>
  <c r="AJ86" i="51"/>
  <c r="AA18" i="6"/>
  <c r="AB78" i="52"/>
  <c r="AM57" i="19"/>
  <c r="AN57" i="19"/>
  <c r="AJ65" i="28"/>
  <c r="AJ39" i="28"/>
  <c r="AJ44" i="28"/>
  <c r="AJ47" i="28"/>
  <c r="AJ35" i="28"/>
  <c r="AJ56" i="28"/>
  <c r="AJ53" i="28"/>
  <c r="AJ64" i="28"/>
  <c r="AJ62" i="28"/>
  <c r="U68" i="33"/>
  <c r="U67" i="33"/>
  <c r="AB52" i="25"/>
  <c r="AI52" i="25"/>
  <c r="AF52" i="25"/>
  <c r="AA54" i="25"/>
  <c r="AJ52" i="25"/>
  <c r="AH94" i="37"/>
  <c r="W68" i="33"/>
  <c r="W67" i="33"/>
  <c r="AA11" i="51"/>
  <c r="AA11" i="54"/>
  <c r="AJ97" i="4"/>
  <c r="AJ72" i="4"/>
  <c r="AJ55" i="4"/>
  <c r="AJ95" i="4"/>
  <c r="AJ98" i="4"/>
  <c r="AJ35" i="4"/>
  <c r="AJ57" i="4"/>
  <c r="AJ58" i="4"/>
  <c r="AL67" i="33"/>
  <c r="AH67" i="33"/>
  <c r="AJ48" i="7"/>
  <c r="AJ50" i="7"/>
  <c r="AJ51" i="7"/>
  <c r="AJ47" i="7"/>
  <c r="AJ34" i="7"/>
  <c r="X68" i="33"/>
  <c r="X67" i="33"/>
  <c r="AJ69" i="21"/>
  <c r="AJ34" i="21"/>
  <c r="AJ65" i="21"/>
  <c r="AJ58" i="21"/>
  <c r="AJ47" i="21"/>
  <c r="AJ64" i="21"/>
  <c r="AJ74" i="21"/>
  <c r="AJ62" i="21"/>
  <c r="AJ73" i="21"/>
  <c r="AJ71" i="21"/>
  <c r="AJ72" i="61"/>
  <c r="AJ62" i="61"/>
  <c r="AJ79" i="61"/>
  <c r="AJ76" i="61"/>
  <c r="AJ83" i="61"/>
  <c r="AJ87" i="61"/>
  <c r="AJ85" i="61"/>
  <c r="AJ35" i="61"/>
  <c r="AJ78" i="61"/>
  <c r="AJ88" i="61"/>
  <c r="AA11" i="53"/>
  <c r="O68" i="33"/>
  <c r="O67" i="33"/>
  <c r="AA66" i="33"/>
  <c r="AK67" i="33"/>
  <c r="AE67" i="33"/>
  <c r="AM76" i="65"/>
  <c r="AN76" i="65"/>
  <c r="AA11" i="63"/>
  <c r="AB78" i="63"/>
  <c r="O59" i="35"/>
  <c r="AA59" i="35" s="1"/>
  <c r="AA52" i="35"/>
  <c r="AJ75" i="29"/>
  <c r="AJ35" i="29"/>
  <c r="AJ37" i="29"/>
  <c r="AJ73" i="29"/>
  <c r="AJ38" i="29"/>
  <c r="AJ76" i="29"/>
  <c r="AJ50" i="29"/>
  <c r="Z62" i="24"/>
  <c r="AE60" i="24"/>
  <c r="AH60" i="24"/>
  <c r="AA60" i="24"/>
  <c r="AI60" i="24"/>
  <c r="T68" i="33"/>
  <c r="T67" i="33"/>
  <c r="AB78" i="61"/>
  <c r="AJ49" i="34"/>
  <c r="AJ44" i="34"/>
  <c r="AJ56" i="34"/>
  <c r="AJ58" i="34"/>
  <c r="AJ37" i="34"/>
  <c r="AJ46" i="34"/>
  <c r="AJ50" i="34"/>
  <c r="AJ38" i="34"/>
  <c r="AJ51" i="34"/>
  <c r="AJ42" i="34"/>
  <c r="AJ35" i="34"/>
  <c r="AJ53" i="34"/>
  <c r="AJ74" i="30"/>
  <c r="AJ50" i="30"/>
  <c r="AJ71" i="30"/>
  <c r="AJ38" i="30"/>
  <c r="AJ37" i="30"/>
  <c r="AJ35" i="30"/>
  <c r="AJ73" i="30"/>
  <c r="AJ72" i="52"/>
  <c r="AJ87" i="52"/>
  <c r="AJ76" i="52"/>
  <c r="AJ78" i="52"/>
  <c r="AJ79" i="52"/>
  <c r="AJ88" i="52"/>
  <c r="AJ35" i="52"/>
  <c r="AJ62" i="52"/>
  <c r="AJ85" i="52"/>
  <c r="AJ83" i="52"/>
  <c r="AJ45" i="27"/>
  <c r="AJ34" i="27"/>
  <c r="AA11" i="52"/>
  <c r="AE68" i="33"/>
  <c r="AK68" i="33"/>
  <c r="AA11" i="9"/>
  <c r="AA11" i="61"/>
  <c r="AI67" i="7"/>
  <c r="AF67" i="7"/>
  <c r="AN50" i="20"/>
  <c r="AM50" i="20"/>
  <c r="AB78" i="9"/>
  <c r="AJ72" i="63"/>
  <c r="AJ78" i="63"/>
  <c r="AJ85" i="63"/>
  <c r="AJ62" i="63"/>
  <c r="AJ83" i="63"/>
  <c r="AJ35" i="63"/>
  <c r="AJ79" i="63"/>
  <c r="AJ76" i="63"/>
  <c r="AJ87" i="63"/>
  <c r="AJ88" i="63"/>
  <c r="AJ50" i="35"/>
  <c r="AB50" i="35"/>
  <c r="AI50" i="35"/>
  <c r="AF50" i="35"/>
  <c r="AJ34" i="32"/>
  <c r="AJ36" i="32"/>
  <c r="P68" i="33"/>
  <c r="P67" i="33"/>
  <c r="AM37" i="34"/>
  <c r="AN37" i="34"/>
  <c r="AJ37" i="16"/>
  <c r="AJ48" i="16"/>
  <c r="AJ74" i="16"/>
  <c r="AJ45" i="16"/>
  <c r="AJ53" i="16"/>
  <c r="AJ118" i="16"/>
  <c r="AJ56" i="16"/>
  <c r="AJ51" i="16"/>
  <c r="AJ47" i="16"/>
  <c r="AJ77" i="16"/>
  <c r="AJ44" i="16"/>
  <c r="AJ70" i="16"/>
  <c r="AJ49" i="16"/>
  <c r="AJ41" i="16"/>
  <c r="AJ40" i="16"/>
  <c r="AJ54" i="16"/>
  <c r="AJ36" i="16"/>
  <c r="AJ46" i="16"/>
  <c r="AJ39" i="16"/>
  <c r="AJ121" i="16"/>
  <c r="AJ55" i="16"/>
  <c r="AJ35" i="16"/>
  <c r="AJ76" i="16"/>
  <c r="AJ43" i="16"/>
  <c r="AJ50" i="16"/>
  <c r="AJ52" i="16"/>
  <c r="AJ60" i="16"/>
  <c r="AJ91" i="16"/>
  <c r="AJ42" i="16"/>
  <c r="AJ120" i="16"/>
  <c r="AJ38" i="16"/>
  <c r="Y68" i="33"/>
  <c r="Y67" i="33"/>
  <c r="S68" i="33"/>
  <c r="S67" i="33"/>
  <c r="AN64" i="21"/>
  <c r="AM64" i="21"/>
  <c r="AL68" i="33"/>
  <c r="AH68" i="33"/>
  <c r="AJ55" i="20"/>
  <c r="AJ60" i="20"/>
  <c r="AJ50" i="20"/>
  <c r="AJ48" i="20"/>
  <c r="AJ34" i="20"/>
  <c r="AJ51" i="20"/>
  <c r="AJ57" i="20"/>
  <c r="AJ44" i="20"/>
  <c r="AJ59" i="20"/>
  <c r="AJ43" i="20"/>
  <c r="AJ41" i="20"/>
  <c r="Z68" i="33"/>
  <c r="Z67" i="33"/>
  <c r="AJ74" i="11"/>
  <c r="AJ67" i="11"/>
  <c r="AJ55" i="11"/>
  <c r="AJ78" i="11"/>
  <c r="AJ79" i="11"/>
  <c r="AJ35" i="11"/>
  <c r="AJ62" i="11"/>
  <c r="AJ70" i="11"/>
  <c r="AJ63" i="11"/>
  <c r="AJ76" i="11"/>
  <c r="AJ69" i="11"/>
  <c r="AJ62" i="9"/>
  <c r="AJ121" i="9"/>
  <c r="AJ93" i="9"/>
  <c r="AJ76" i="9"/>
  <c r="AJ122" i="9"/>
  <c r="AJ78" i="9"/>
  <c r="AJ35" i="9"/>
  <c r="AJ72" i="9"/>
  <c r="AJ119" i="9"/>
  <c r="AJ79" i="9"/>
  <c r="AJ79" i="54"/>
  <c r="AJ99" i="54"/>
  <c r="AJ97" i="54"/>
  <c r="AJ72" i="54"/>
  <c r="AJ88" i="54"/>
  <c r="AJ100" i="54"/>
  <c r="AJ35" i="54"/>
  <c r="AJ71" i="54"/>
  <c r="AJ78" i="54"/>
  <c r="AJ62" i="54"/>
  <c r="AJ76" i="54"/>
  <c r="AB78" i="53"/>
  <c r="AJ38" i="31"/>
  <c r="AJ34" i="31"/>
  <c r="AI58" i="24"/>
  <c r="AI34" i="24"/>
  <c r="AI52" i="24"/>
  <c r="AI49" i="24"/>
  <c r="AI40" i="24"/>
  <c r="AI43" i="24"/>
  <c r="AA11" i="11"/>
  <c r="AJ71" i="22"/>
  <c r="AJ67" i="22"/>
  <c r="AJ60" i="22"/>
  <c r="AJ34" i="22"/>
  <c r="AJ63" i="22"/>
  <c r="AJ55" i="22"/>
  <c r="AJ56" i="22"/>
  <c r="AJ46" i="22"/>
  <c r="AJ62" i="22"/>
  <c r="AJ69" i="22"/>
  <c r="AJ72" i="22"/>
  <c r="AA11" i="16"/>
  <c r="AM62" i="22"/>
  <c r="AN62" i="22"/>
  <c r="AB69" i="11"/>
  <c r="AB78" i="54"/>
  <c r="AJ45" i="15"/>
  <c r="AJ63" i="15"/>
  <c r="AJ50" i="15"/>
  <c r="AJ58" i="15"/>
  <c r="AJ67" i="15"/>
  <c r="AJ35" i="15"/>
  <c r="AJ65" i="15"/>
  <c r="AJ51" i="15"/>
  <c r="AJ55" i="15"/>
  <c r="AJ68" i="15"/>
  <c r="AJ57" i="15"/>
  <c r="R68" i="33"/>
  <c r="R67" i="33"/>
  <c r="AJ35" i="53"/>
  <c r="AJ62" i="53"/>
  <c r="AJ79" i="53"/>
  <c r="AJ76" i="53"/>
  <c r="AJ87" i="53"/>
  <c r="AJ83" i="53"/>
  <c r="AJ72" i="53"/>
  <c r="AJ85" i="53"/>
  <c r="AJ88" i="53"/>
  <c r="AJ78" i="53"/>
  <c r="AJ46" i="35"/>
  <c r="AJ44" i="35"/>
  <c r="AJ48" i="35"/>
  <c r="AJ40" i="35"/>
  <c r="AJ38" i="35"/>
  <c r="AJ57" i="35"/>
  <c r="AJ34" i="35"/>
  <c r="AJ55" i="35"/>
  <c r="AJ68" i="26"/>
  <c r="AJ35" i="26"/>
  <c r="AJ38" i="26"/>
  <c r="AJ72" i="26"/>
  <c r="AJ69" i="26"/>
  <c r="AJ71" i="26"/>
  <c r="AJ50" i="26"/>
  <c r="AJ37" i="26"/>
  <c r="AB78" i="51"/>
  <c r="Q68" i="33"/>
  <c r="Q67" i="33"/>
  <c r="AB62" i="9"/>
  <c r="AB65" i="9"/>
  <c r="AB68" i="9"/>
  <c r="AB69" i="9"/>
  <c r="AB70" i="9"/>
  <c r="AB63" i="9"/>
  <c r="AB64" i="9"/>
  <c r="AB120" i="6"/>
  <c r="AB136" i="6"/>
  <c r="AB144" i="6"/>
  <c r="AB128" i="6"/>
  <c r="AB138" i="6"/>
  <c r="AB122" i="6"/>
  <c r="AB148" i="6"/>
  <c r="AB132" i="6"/>
  <c r="AB142" i="6"/>
  <c r="AB126" i="6"/>
  <c r="AB146" i="6"/>
  <c r="AB130" i="6"/>
  <c r="AB140" i="6"/>
  <c r="AB124" i="6"/>
  <c r="AB150" i="6"/>
  <c r="AB134" i="6"/>
  <c r="AB149" i="6"/>
  <c r="AB147" i="6"/>
  <c r="AB145" i="6"/>
  <c r="AB143" i="6"/>
  <c r="AB141" i="6"/>
  <c r="AB139" i="6"/>
  <c r="AB137" i="6"/>
  <c r="AB135" i="6"/>
  <c r="AB133" i="6"/>
  <c r="AB131" i="6"/>
  <c r="AB129" i="6"/>
  <c r="AB127" i="6"/>
  <c r="AB125" i="6"/>
  <c r="AB123" i="6"/>
  <c r="AB121" i="6"/>
  <c r="AB119" i="6"/>
  <c r="AB151" i="6"/>
  <c r="AB62" i="51"/>
  <c r="AB70" i="51"/>
  <c r="AB65" i="51"/>
  <c r="AB64" i="51"/>
  <c r="AB63" i="51"/>
  <c r="AB65" i="53"/>
  <c r="AB65" i="63"/>
  <c r="AB65" i="61"/>
  <c r="AB60" i="16"/>
  <c r="AB61" i="16"/>
  <c r="AB63" i="16"/>
  <c r="AB67" i="16"/>
  <c r="AB62" i="16"/>
  <c r="AB68" i="16"/>
  <c r="AB66" i="16"/>
  <c r="AB45" i="15"/>
  <c r="AB47" i="15"/>
  <c r="AB48" i="15"/>
  <c r="AB46" i="15"/>
  <c r="AB49" i="15"/>
  <c r="AB62" i="54"/>
  <c r="AB70" i="54"/>
  <c r="AB63" i="54"/>
  <c r="AB65" i="54"/>
  <c r="AB64" i="54"/>
  <c r="AB136" i="39"/>
  <c r="AB130" i="39"/>
  <c r="AB134" i="39"/>
  <c r="AB138" i="39"/>
  <c r="AB132" i="39"/>
  <c r="AB140" i="39"/>
  <c r="AB134" i="55"/>
  <c r="AB140" i="55"/>
  <c r="AB130" i="55"/>
  <c r="AB138" i="55"/>
  <c r="AB136" i="55"/>
  <c r="AB132" i="55"/>
  <c r="AB65" i="52"/>
  <c r="AB58" i="11"/>
  <c r="AB170" i="17"/>
  <c r="AB159" i="17"/>
  <c r="AB167" i="17"/>
  <c r="AB165" i="17"/>
  <c r="AB161" i="17"/>
  <c r="AB154" i="17"/>
  <c r="AB156" i="17"/>
  <c r="AB152" i="17"/>
  <c r="AB163" i="17"/>
  <c r="AB138" i="58"/>
  <c r="AB132" i="58"/>
  <c r="AB136" i="58"/>
  <c r="AB140" i="58"/>
  <c r="AB134" i="58"/>
  <c r="AB130" i="58"/>
  <c r="A14" i="6"/>
  <c r="AB152" i="6"/>
  <c r="AA152" i="6"/>
  <c r="AN37" i="30" l="1"/>
  <c r="AM35" i="28"/>
  <c r="AM76" i="16"/>
  <c r="AN37" i="29"/>
  <c r="AN64" i="54"/>
  <c r="AM64" i="54"/>
  <c r="AM63" i="54"/>
  <c r="AN63" i="54"/>
  <c r="AM70" i="54"/>
  <c r="AN70" i="54"/>
  <c r="AN62" i="54"/>
  <c r="AM62" i="54"/>
  <c r="AN49" i="15"/>
  <c r="AM49" i="15"/>
  <c r="AN46" i="15"/>
  <c r="AM46" i="15"/>
  <c r="AM48" i="15"/>
  <c r="AN48" i="15"/>
  <c r="AM47" i="15"/>
  <c r="AN47" i="15"/>
  <c r="AM45" i="15"/>
  <c r="AN45" i="15"/>
  <c r="AM66" i="16"/>
  <c r="AN66" i="16"/>
  <c r="AN68" i="16"/>
  <c r="AM68" i="16"/>
  <c r="AN62" i="16"/>
  <c r="AM62" i="16"/>
  <c r="AN67" i="16"/>
  <c r="AM67" i="16"/>
  <c r="AN61" i="16"/>
  <c r="AM61" i="16"/>
  <c r="AM60" i="16"/>
  <c r="AN60" i="16"/>
  <c r="AN63" i="51"/>
  <c r="AM63" i="51"/>
  <c r="AM64" i="51"/>
  <c r="AN64" i="51"/>
  <c r="AN70" i="51"/>
  <c r="AM70" i="51"/>
  <c r="AM62" i="51"/>
  <c r="AN62" i="51"/>
  <c r="AN64" i="9"/>
  <c r="AM64" i="9"/>
  <c r="AM63" i="9"/>
  <c r="AN63" i="9"/>
  <c r="AN70" i="9"/>
  <c r="AM70" i="9"/>
  <c r="AN69" i="9"/>
  <c r="AM69" i="9"/>
  <c r="AN68" i="9"/>
  <c r="AM68" i="9"/>
  <c r="AN62" i="9"/>
  <c r="AM62" i="9"/>
  <c r="AN53" i="29"/>
  <c r="AM53" i="29"/>
  <c r="AN39" i="29"/>
  <c r="AM39" i="29"/>
  <c r="AN46" i="29"/>
  <c r="AM46" i="29"/>
  <c r="AM54" i="54"/>
  <c r="AN54" i="54"/>
  <c r="AN45" i="54"/>
  <c r="AM45" i="54"/>
  <c r="AM38" i="27"/>
  <c r="AN38" i="27"/>
  <c r="AN35" i="31"/>
  <c r="AM35" i="31"/>
  <c r="AN53" i="33"/>
  <c r="AM53" i="33"/>
  <c r="AA18" i="58"/>
  <c r="AN56" i="28"/>
  <c r="AM56" i="28"/>
  <c r="AN50" i="28"/>
  <c r="AM50" i="28"/>
  <c r="AN51" i="28"/>
  <c r="AM51" i="28"/>
  <c r="AM47" i="9"/>
  <c r="AN47" i="9"/>
  <c r="AM40" i="9"/>
  <c r="AN40" i="9"/>
  <c r="AN89" i="9"/>
  <c r="AM89" i="9"/>
  <c r="AN81" i="9"/>
  <c r="AM81" i="9"/>
  <c r="AM38" i="30"/>
  <c r="AN38" i="30"/>
  <c r="AN57" i="30"/>
  <c r="AM57" i="30"/>
  <c r="AN41" i="30"/>
  <c r="AM41" i="30"/>
  <c r="AN65" i="30"/>
  <c r="AM65" i="30"/>
  <c r="AN37" i="25"/>
  <c r="AM37" i="25"/>
  <c r="AN97" i="51"/>
  <c r="AM97" i="51"/>
  <c r="AM47" i="51"/>
  <c r="AN47" i="51"/>
  <c r="AM83" i="51"/>
  <c r="AN83" i="51"/>
  <c r="AM48" i="23"/>
  <c r="AN48" i="23"/>
  <c r="AM49" i="36"/>
  <c r="AN49" i="36"/>
  <c r="AN39" i="36"/>
  <c r="AM39" i="36"/>
  <c r="AN58" i="36"/>
  <c r="AM58" i="36"/>
  <c r="AA18" i="17"/>
  <c r="AN57" i="26"/>
  <c r="AM57" i="26"/>
  <c r="AM53" i="26"/>
  <c r="AN53" i="26"/>
  <c r="AN39" i="26"/>
  <c r="AM39" i="26"/>
  <c r="AN45" i="26"/>
  <c r="AM45" i="26"/>
  <c r="AN45" i="16"/>
  <c r="AM45" i="16"/>
  <c r="AN41" i="16"/>
  <c r="AM41" i="16"/>
  <c r="AN87" i="16"/>
  <c r="AM87" i="16"/>
  <c r="AN102" i="16"/>
  <c r="AM102" i="16"/>
  <c r="AM78" i="16"/>
  <c r="AN78" i="16"/>
  <c r="AB57" i="15"/>
  <c r="AN57" i="15" s="1"/>
  <c r="AB60" i="15"/>
  <c r="AB59" i="15"/>
  <c r="AB36" i="15"/>
  <c r="AB39" i="15"/>
  <c r="AB41" i="15"/>
  <c r="AB38" i="15"/>
  <c r="AB68" i="15"/>
  <c r="AB67" i="15"/>
  <c r="AB35" i="15"/>
  <c r="AB58" i="15"/>
  <c r="AB51" i="15"/>
  <c r="AN76" i="29"/>
  <c r="AM76" i="29"/>
  <c r="AN59" i="29"/>
  <c r="AM59" i="29"/>
  <c r="AN40" i="29"/>
  <c r="AM40" i="29"/>
  <c r="AN71" i="29"/>
  <c r="AM71" i="29"/>
  <c r="AN47" i="54"/>
  <c r="AM47" i="54"/>
  <c r="AN81" i="54"/>
  <c r="AM81" i="54"/>
  <c r="AN41" i="27"/>
  <c r="AM41" i="27"/>
  <c r="AN37" i="31"/>
  <c r="AM37" i="31"/>
  <c r="AN36" i="32"/>
  <c r="AM36" i="32"/>
  <c r="AN65" i="28"/>
  <c r="AM65" i="28"/>
  <c r="AN57" i="28"/>
  <c r="AM57" i="28"/>
  <c r="AM72" i="9"/>
  <c r="AN72" i="9"/>
  <c r="AN55" i="9"/>
  <c r="AM55" i="9"/>
  <c r="AM37" i="9"/>
  <c r="AN37" i="9"/>
  <c r="AN104" i="9"/>
  <c r="AM104" i="9"/>
  <c r="AM82" i="9"/>
  <c r="AN82" i="9"/>
  <c r="AM74" i="30"/>
  <c r="AN74" i="30"/>
  <c r="AM42" i="30"/>
  <c r="AN42" i="30"/>
  <c r="AN39" i="30"/>
  <c r="AM39" i="30"/>
  <c r="AM54" i="30"/>
  <c r="AN54" i="30"/>
  <c r="AN38" i="25"/>
  <c r="AM38" i="25"/>
  <c r="AN86" i="51"/>
  <c r="AM86" i="51"/>
  <c r="AM80" i="51"/>
  <c r="AN80" i="51"/>
  <c r="AM38" i="23"/>
  <c r="AN38" i="23"/>
  <c r="AN60" i="36"/>
  <c r="AM60" i="36"/>
  <c r="AN41" i="36"/>
  <c r="AM41" i="36"/>
  <c r="AN45" i="36"/>
  <c r="AM45" i="36"/>
  <c r="AN50" i="26"/>
  <c r="AM50" i="26"/>
  <c r="AN63" i="26"/>
  <c r="AM63" i="26"/>
  <c r="AN44" i="26"/>
  <c r="AM44" i="26"/>
  <c r="AN64" i="26"/>
  <c r="AM64" i="26"/>
  <c r="AN66" i="26"/>
  <c r="AM66" i="26"/>
  <c r="AN118" i="16"/>
  <c r="AM118" i="16"/>
  <c r="AM49" i="16"/>
  <c r="AN49" i="16"/>
  <c r="AN81" i="16"/>
  <c r="AM81" i="16"/>
  <c r="AN104" i="16"/>
  <c r="AM104" i="16"/>
  <c r="AN109" i="16"/>
  <c r="AM109" i="16"/>
  <c r="AN50" i="29"/>
  <c r="AM50" i="29"/>
  <c r="AN57" i="29"/>
  <c r="AM57" i="29"/>
  <c r="AN69" i="29"/>
  <c r="AM69" i="29"/>
  <c r="AN60" i="29"/>
  <c r="AM60" i="29"/>
  <c r="AM72" i="54"/>
  <c r="AN72" i="54"/>
  <c r="AN49" i="54"/>
  <c r="AM49" i="54"/>
  <c r="AM80" i="54"/>
  <c r="AN80" i="54"/>
  <c r="AA18" i="55"/>
  <c r="AM35" i="27"/>
  <c r="AN35" i="27"/>
  <c r="AM36" i="31"/>
  <c r="AN36" i="31"/>
  <c r="AN55" i="33"/>
  <c r="AM55" i="33"/>
  <c r="AN48" i="33"/>
  <c r="AM48" i="33"/>
  <c r="AM34" i="32"/>
  <c r="AN34" i="32"/>
  <c r="AN64" i="28"/>
  <c r="AM64" i="28"/>
  <c r="AM58" i="28"/>
  <c r="AN58" i="28"/>
  <c r="AN119" i="9"/>
  <c r="AM119" i="9"/>
  <c r="AN110" i="9"/>
  <c r="AM110" i="9"/>
  <c r="AN116" i="9"/>
  <c r="AM116" i="9"/>
  <c r="AN103" i="9"/>
  <c r="AM103" i="9"/>
  <c r="AN71" i="30"/>
  <c r="AM71" i="30"/>
  <c r="AN55" i="30"/>
  <c r="AM55" i="30"/>
  <c r="AN47" i="30"/>
  <c r="AM47" i="30"/>
  <c r="AM51" i="30"/>
  <c r="AN51" i="30"/>
  <c r="AN50" i="25"/>
  <c r="AM50" i="25"/>
  <c r="AN49" i="51"/>
  <c r="AM49" i="51"/>
  <c r="AL40" i="24"/>
  <c r="AM40" i="24"/>
  <c r="AM36" i="23"/>
  <c r="AN36" i="23"/>
  <c r="AN54" i="36"/>
  <c r="AM54" i="36"/>
  <c r="AN56" i="36"/>
  <c r="AM56" i="36"/>
  <c r="AN37" i="36"/>
  <c r="AM37" i="36"/>
  <c r="AN72" i="26"/>
  <c r="AM72" i="26"/>
  <c r="AN58" i="26"/>
  <c r="AM58" i="26"/>
  <c r="AN52" i="26"/>
  <c r="AM52" i="26"/>
  <c r="AN40" i="26"/>
  <c r="AM40" i="26"/>
  <c r="AN70" i="16"/>
  <c r="AM70" i="16"/>
  <c r="AM38" i="16"/>
  <c r="AN38" i="16"/>
  <c r="AN50" i="16"/>
  <c r="AM50" i="16"/>
  <c r="AN99" i="16"/>
  <c r="AM99" i="16"/>
  <c r="AM101" i="16"/>
  <c r="AN101" i="16"/>
  <c r="AM46" i="16"/>
  <c r="AN46" i="16"/>
  <c r="AM75" i="29"/>
  <c r="AN75" i="29"/>
  <c r="AN56" i="29"/>
  <c r="AM56" i="29"/>
  <c r="AN61" i="29"/>
  <c r="AM61" i="29"/>
  <c r="AN67" i="29"/>
  <c r="AM67" i="29"/>
  <c r="AM79" i="54"/>
  <c r="AN79" i="54"/>
  <c r="AN57" i="54"/>
  <c r="AM57" i="54"/>
  <c r="AN83" i="54"/>
  <c r="AM83" i="54"/>
  <c r="AM39" i="27"/>
  <c r="AN39" i="27"/>
  <c r="AN39" i="33"/>
  <c r="AM39" i="33"/>
  <c r="AN37" i="33"/>
  <c r="AM37" i="33"/>
  <c r="AM35" i="32"/>
  <c r="AN35" i="32"/>
  <c r="AN59" i="28"/>
  <c r="AM59" i="28"/>
  <c r="AM122" i="9"/>
  <c r="AN122" i="9"/>
  <c r="AM49" i="9"/>
  <c r="AN49" i="9"/>
  <c r="AN90" i="9"/>
  <c r="AM90" i="9"/>
  <c r="AM88" i="9"/>
  <c r="AN88" i="9"/>
  <c r="AN111" i="9"/>
  <c r="AM111" i="9"/>
  <c r="AM61" i="30"/>
  <c r="AN61" i="30"/>
  <c r="AN45" i="30"/>
  <c r="AM45" i="30"/>
  <c r="AM64" i="30"/>
  <c r="AN64" i="30"/>
  <c r="AM59" i="30"/>
  <c r="AN59" i="30"/>
  <c r="AN45" i="25"/>
  <c r="AM45" i="25"/>
  <c r="AN58" i="51"/>
  <c r="AM58" i="51"/>
  <c r="AN40" i="51"/>
  <c r="AM40" i="51"/>
  <c r="AM39" i="24"/>
  <c r="AL39" i="24"/>
  <c r="AM44" i="36"/>
  <c r="AN44" i="36"/>
  <c r="AN62" i="36"/>
  <c r="AM62" i="36"/>
  <c r="AN47" i="36"/>
  <c r="AM47" i="36"/>
  <c r="AM35" i="26"/>
  <c r="AN35" i="26"/>
  <c r="AN42" i="26"/>
  <c r="AM42" i="26"/>
  <c r="AN56" i="26"/>
  <c r="AM56" i="26"/>
  <c r="AM62" i="26"/>
  <c r="AN62" i="26"/>
  <c r="AM56" i="16"/>
  <c r="AN56" i="16"/>
  <c r="AN39" i="16"/>
  <c r="AM39" i="16"/>
  <c r="AM121" i="16"/>
  <c r="AN121" i="16"/>
  <c r="AM110" i="16"/>
  <c r="AN110" i="16"/>
  <c r="AN80" i="16"/>
  <c r="AM80" i="16"/>
  <c r="AN35" i="29"/>
  <c r="AM35" i="29"/>
  <c r="AN55" i="29"/>
  <c r="AM55" i="29"/>
  <c r="AN64" i="29"/>
  <c r="AM64" i="29"/>
  <c r="AN47" i="29"/>
  <c r="AM47" i="29"/>
  <c r="AN99" i="54"/>
  <c r="AM99" i="54"/>
  <c r="AM55" i="54"/>
  <c r="AN55" i="54"/>
  <c r="AN84" i="54"/>
  <c r="AM84" i="54"/>
  <c r="N72" i="37"/>
  <c r="Z71" i="37"/>
  <c r="AN45" i="27"/>
  <c r="AM45" i="27"/>
  <c r="AN43" i="27"/>
  <c r="AM43" i="27"/>
  <c r="AN44" i="33"/>
  <c r="AM44" i="33"/>
  <c r="AN51" i="33"/>
  <c r="AM51" i="33"/>
  <c r="AN52" i="33"/>
  <c r="AM52" i="33"/>
  <c r="AA18" i="39"/>
  <c r="AM44" i="28"/>
  <c r="AN44" i="28"/>
  <c r="AN47" i="28"/>
  <c r="AM47" i="28"/>
  <c r="AM49" i="28"/>
  <c r="AN49" i="28"/>
  <c r="AM79" i="9"/>
  <c r="AN79" i="9"/>
  <c r="AN57" i="9"/>
  <c r="AM57" i="9"/>
  <c r="AN86" i="9"/>
  <c r="AM86" i="9"/>
  <c r="AN87" i="9"/>
  <c r="AM87" i="9"/>
  <c r="AN85" i="9"/>
  <c r="AM85" i="9"/>
  <c r="AM69" i="30"/>
  <c r="AN69" i="30"/>
  <c r="AN43" i="30"/>
  <c r="AM43" i="30"/>
  <c r="AN68" i="30"/>
  <c r="AM68" i="30"/>
  <c r="AM66" i="30"/>
  <c r="AN66" i="30"/>
  <c r="AM35" i="25"/>
  <c r="AN35" i="25"/>
  <c r="AN72" i="51"/>
  <c r="AM72" i="51"/>
  <c r="AM36" i="51"/>
  <c r="AN36" i="51"/>
  <c r="AN57" i="51"/>
  <c r="AM57" i="51"/>
  <c r="AM98" i="23"/>
  <c r="AN98" i="23"/>
  <c r="AM64" i="36"/>
  <c r="AN64" i="36"/>
  <c r="AN38" i="36"/>
  <c r="AM38" i="36"/>
  <c r="AN55" i="36"/>
  <c r="AM55" i="36"/>
  <c r="AM38" i="26"/>
  <c r="AN38" i="26"/>
  <c r="AM54" i="26"/>
  <c r="AN54" i="26"/>
  <c r="AN67" i="26"/>
  <c r="AM67" i="26"/>
  <c r="AM46" i="26"/>
  <c r="AN46" i="26"/>
  <c r="AN53" i="16"/>
  <c r="AM53" i="16"/>
  <c r="AN35" i="16"/>
  <c r="AM35" i="16"/>
  <c r="AM77" i="16"/>
  <c r="AN77" i="16"/>
  <c r="AM114" i="16"/>
  <c r="AN114" i="16"/>
  <c r="AN115" i="16"/>
  <c r="AM115" i="16"/>
  <c r="AM73" i="29"/>
  <c r="AN73" i="29"/>
  <c r="AM62" i="29"/>
  <c r="AN62" i="29"/>
  <c r="AM43" i="29"/>
  <c r="AN43" i="29"/>
  <c r="AN72" i="29"/>
  <c r="AM72" i="29"/>
  <c r="AM100" i="54"/>
  <c r="AN100" i="54"/>
  <c r="AM40" i="54"/>
  <c r="AN40" i="54"/>
  <c r="AM82" i="54"/>
  <c r="AN82" i="54"/>
  <c r="AN34" i="27"/>
  <c r="AM34" i="27"/>
  <c r="AN37" i="27"/>
  <c r="AM37" i="27"/>
  <c r="AM35" i="33"/>
  <c r="AN35" i="33"/>
  <c r="AN40" i="33"/>
  <c r="AM40" i="33"/>
  <c r="AN62" i="28"/>
  <c r="AM62" i="28"/>
  <c r="AN40" i="28"/>
  <c r="AM40" i="28"/>
  <c r="AN52" i="28"/>
  <c r="AM52" i="28"/>
  <c r="AN121" i="9"/>
  <c r="AM121" i="9"/>
  <c r="AN42" i="9"/>
  <c r="AM42" i="9"/>
  <c r="AN105" i="9"/>
  <c r="AM105" i="9"/>
  <c r="AN109" i="9"/>
  <c r="AM109" i="9"/>
  <c r="AM35" i="30"/>
  <c r="AN35" i="30"/>
  <c r="AM67" i="30"/>
  <c r="AN67" i="30"/>
  <c r="AM62" i="30"/>
  <c r="AN62" i="30"/>
  <c r="AN40" i="30"/>
  <c r="AM40" i="30"/>
  <c r="AN70" i="30"/>
  <c r="AM70" i="30"/>
  <c r="AM46" i="25"/>
  <c r="AN46" i="25"/>
  <c r="AM79" i="51"/>
  <c r="AN79" i="51"/>
  <c r="AN43" i="51"/>
  <c r="AM43" i="51"/>
  <c r="AN55" i="51"/>
  <c r="AM55" i="51"/>
  <c r="AN96" i="23"/>
  <c r="AM96" i="23"/>
  <c r="AN35" i="36"/>
  <c r="AM35" i="36"/>
  <c r="AN50" i="36"/>
  <c r="AM50" i="36"/>
  <c r="AM46" i="36"/>
  <c r="AN46" i="36"/>
  <c r="AM68" i="26"/>
  <c r="AN68" i="26"/>
  <c r="AM55" i="26"/>
  <c r="AN55" i="26"/>
  <c r="AN43" i="26"/>
  <c r="AM43" i="26"/>
  <c r="AN61" i="26"/>
  <c r="AM61" i="26"/>
  <c r="AM47" i="16"/>
  <c r="AN47" i="16"/>
  <c r="AN52" i="16"/>
  <c r="AM52" i="16"/>
  <c r="AN79" i="16"/>
  <c r="AM79" i="16"/>
  <c r="AM108" i="16"/>
  <c r="AN108" i="16"/>
  <c r="AN86" i="16"/>
  <c r="AM86" i="16"/>
  <c r="AN38" i="29"/>
  <c r="AM38" i="29"/>
  <c r="AN68" i="29"/>
  <c r="AM68" i="29"/>
  <c r="AM65" i="29"/>
  <c r="AN65" i="29"/>
  <c r="AN45" i="29"/>
  <c r="AM45" i="29"/>
  <c r="AN58" i="54"/>
  <c r="AM58" i="54"/>
  <c r="AM85" i="54"/>
  <c r="AN85" i="54"/>
  <c r="AN40" i="27"/>
  <c r="AM40" i="27"/>
  <c r="AN38" i="31"/>
  <c r="AM38" i="31"/>
  <c r="AN43" i="33"/>
  <c r="AM43" i="33"/>
  <c r="AM54" i="33"/>
  <c r="AN54" i="33"/>
  <c r="AN53" i="28"/>
  <c r="AM53" i="28"/>
  <c r="AN43" i="28"/>
  <c r="AM43" i="28"/>
  <c r="AN48" i="28"/>
  <c r="AM48" i="28"/>
  <c r="AM35" i="9"/>
  <c r="AN35" i="9"/>
  <c r="AN100" i="9"/>
  <c r="AM100" i="9"/>
  <c r="AM83" i="9"/>
  <c r="AN83" i="9"/>
  <c r="AM73" i="30"/>
  <c r="AN73" i="30"/>
  <c r="AM52" i="30"/>
  <c r="AN52" i="30"/>
  <c r="AM56" i="30"/>
  <c r="AN56" i="30"/>
  <c r="AM46" i="30"/>
  <c r="AN46" i="30"/>
  <c r="AM96" i="51"/>
  <c r="AN96" i="51"/>
  <c r="AN48" i="51"/>
  <c r="AM48" i="51"/>
  <c r="AN81" i="51"/>
  <c r="AM81" i="51"/>
  <c r="AN34" i="23"/>
  <c r="AM34" i="23"/>
  <c r="AM48" i="36"/>
  <c r="AN48" i="36"/>
  <c r="AN61" i="36"/>
  <c r="AM61" i="36"/>
  <c r="AN57" i="36"/>
  <c r="AM57" i="36"/>
  <c r="AN69" i="26"/>
  <c r="AM69" i="26"/>
  <c r="AN47" i="26"/>
  <c r="AM47" i="26"/>
  <c r="AM59" i="26"/>
  <c r="AN59" i="26"/>
  <c r="AN65" i="26"/>
  <c r="AM65" i="26"/>
  <c r="AM120" i="16"/>
  <c r="AN120" i="16"/>
  <c r="AM54" i="16"/>
  <c r="AN54" i="16"/>
  <c r="AN83" i="16"/>
  <c r="AM83" i="16"/>
  <c r="AN103" i="16"/>
  <c r="AM103" i="16"/>
  <c r="AM94" i="16"/>
  <c r="AN94" i="16"/>
  <c r="AM44" i="29"/>
  <c r="AN44" i="29"/>
  <c r="AM41" i="29"/>
  <c r="AN41" i="29"/>
  <c r="AN42" i="29"/>
  <c r="AM42" i="29"/>
  <c r="AM54" i="29"/>
  <c r="AN54" i="29"/>
  <c r="AN38" i="54"/>
  <c r="AM38" i="54"/>
  <c r="AN42" i="27"/>
  <c r="AM42" i="27"/>
  <c r="AN34" i="31"/>
  <c r="AM34" i="31"/>
  <c r="AN41" i="33"/>
  <c r="AM41" i="33"/>
  <c r="AN45" i="33"/>
  <c r="AM45" i="33"/>
  <c r="AM39" i="28"/>
  <c r="AN39" i="28"/>
  <c r="AM61" i="28"/>
  <c r="AN61" i="28"/>
  <c r="AN60" i="28"/>
  <c r="AM60" i="28"/>
  <c r="AM54" i="9"/>
  <c r="AN54" i="9"/>
  <c r="AN58" i="9"/>
  <c r="AM58" i="9"/>
  <c r="AM80" i="9"/>
  <c r="AN80" i="9"/>
  <c r="AM102" i="9"/>
  <c r="AN102" i="9"/>
  <c r="AN50" i="30"/>
  <c r="AM50" i="30"/>
  <c r="AM60" i="30"/>
  <c r="AN60" i="30"/>
  <c r="AN44" i="30"/>
  <c r="AM44" i="30"/>
  <c r="AM58" i="30"/>
  <c r="AN58" i="30"/>
  <c r="AN36" i="25"/>
  <c r="AM36" i="25"/>
  <c r="AM94" i="51"/>
  <c r="AN94" i="51"/>
  <c r="AM54" i="51"/>
  <c r="AN54" i="51"/>
  <c r="AN82" i="51"/>
  <c r="AM82" i="51"/>
  <c r="AM53" i="23"/>
  <c r="AN53" i="23"/>
  <c r="AM59" i="36"/>
  <c r="AN59" i="36"/>
  <c r="AM40" i="36"/>
  <c r="AN40" i="36"/>
  <c r="AN36" i="36"/>
  <c r="AM36" i="36"/>
  <c r="AN71" i="26"/>
  <c r="AM71" i="26"/>
  <c r="AM60" i="26"/>
  <c r="AN60" i="26"/>
  <c r="AN51" i="26"/>
  <c r="AM51" i="26"/>
  <c r="AM41" i="26"/>
  <c r="AN41" i="26"/>
  <c r="AN37" i="16"/>
  <c r="AM37" i="16"/>
  <c r="AM44" i="16"/>
  <c r="AN44" i="16"/>
  <c r="AN85" i="16"/>
  <c r="AM85" i="16"/>
  <c r="AM88" i="16"/>
  <c r="AN88" i="16"/>
  <c r="AN84" i="16"/>
  <c r="AM84" i="16"/>
  <c r="AM65" i="54"/>
  <c r="AN65" i="54"/>
  <c r="AN50" i="54"/>
  <c r="AM50" i="54"/>
  <c r="AM41" i="54"/>
  <c r="AN41" i="54"/>
  <c r="AN65" i="63"/>
  <c r="AM65" i="63"/>
  <c r="AN50" i="63"/>
  <c r="AM50" i="63"/>
  <c r="AM41" i="63"/>
  <c r="AN41" i="63"/>
  <c r="AN65" i="61"/>
  <c r="AM65" i="61"/>
  <c r="AM41" i="61"/>
  <c r="AN41" i="61"/>
  <c r="AN50" i="61"/>
  <c r="AM50" i="61"/>
  <c r="AN65" i="53"/>
  <c r="AM65" i="53"/>
  <c r="AM41" i="53"/>
  <c r="AN41" i="53"/>
  <c r="AN50" i="53"/>
  <c r="AM50" i="53"/>
  <c r="AN65" i="52"/>
  <c r="AM65" i="52"/>
  <c r="AM41" i="52"/>
  <c r="AN41" i="52"/>
  <c r="AN50" i="52"/>
  <c r="AM50" i="52"/>
  <c r="AN65" i="51"/>
  <c r="AM65" i="51"/>
  <c r="AN50" i="51"/>
  <c r="AM50" i="51"/>
  <c r="AN41" i="51"/>
  <c r="AM41" i="51"/>
  <c r="AN65" i="9"/>
  <c r="AM65" i="9"/>
  <c r="AN41" i="9"/>
  <c r="AM41" i="9"/>
  <c r="AN50" i="9"/>
  <c r="AM50" i="9"/>
  <c r="AN50" i="4"/>
  <c r="AL50" i="4"/>
  <c r="AL46" i="4"/>
  <c r="AN46" i="4"/>
  <c r="AN88" i="4"/>
  <c r="AL88" i="4"/>
  <c r="AN60" i="4"/>
  <c r="AL60" i="4"/>
  <c r="AN77" i="4"/>
  <c r="AL77" i="4"/>
  <c r="AN82" i="4"/>
  <c r="AL82" i="4"/>
  <c r="AN37" i="4"/>
  <c r="AL37" i="4"/>
  <c r="AN36" i="4"/>
  <c r="AL36" i="4"/>
  <c r="AL83" i="4"/>
  <c r="AN83" i="4"/>
  <c r="AN89" i="4"/>
  <c r="AL89" i="4"/>
  <c r="AN79" i="4"/>
  <c r="AL79" i="4"/>
  <c r="AN73" i="4"/>
  <c r="AL73" i="4"/>
  <c r="AN49" i="4"/>
  <c r="AL49" i="4"/>
  <c r="AL47" i="4"/>
  <c r="AN47" i="4"/>
  <c r="AN61" i="4"/>
  <c r="AL61" i="4"/>
  <c r="AN80" i="4"/>
  <c r="AL80" i="4"/>
  <c r="AN87" i="4"/>
  <c r="AL87" i="4"/>
  <c r="AL85" i="4"/>
  <c r="AN85" i="4"/>
  <c r="AN44" i="4"/>
  <c r="AL44" i="4"/>
  <c r="AN48" i="4"/>
  <c r="AL48" i="4"/>
  <c r="AN93" i="4"/>
  <c r="AL93" i="4"/>
  <c r="AN94" i="4"/>
  <c r="AL94" i="4"/>
  <c r="AN81" i="4"/>
  <c r="AL81" i="4"/>
  <c r="AL76" i="4"/>
  <c r="AN76" i="4"/>
  <c r="AN45" i="4"/>
  <c r="AL45" i="4"/>
  <c r="AN41" i="4"/>
  <c r="AL41" i="4"/>
  <c r="AL65" i="4"/>
  <c r="AN65" i="4"/>
  <c r="AN59" i="4"/>
  <c r="AL59" i="4"/>
  <c r="AL91" i="4"/>
  <c r="AN91" i="4"/>
  <c r="AL56" i="4"/>
  <c r="AN56" i="4"/>
  <c r="AN51" i="4"/>
  <c r="AL51" i="4"/>
  <c r="AN40" i="4"/>
  <c r="AL40" i="4"/>
  <c r="AN66" i="4"/>
  <c r="AL66" i="4"/>
  <c r="AN69" i="4"/>
  <c r="AL69" i="4"/>
  <c r="AL75" i="4"/>
  <c r="AN75" i="4"/>
  <c r="AL84" i="4"/>
  <c r="AN84" i="4"/>
  <c r="AL38" i="4"/>
  <c r="AN38" i="4"/>
  <c r="AN43" i="4"/>
  <c r="AL43" i="4"/>
  <c r="AN68" i="4"/>
  <c r="AL68" i="4"/>
  <c r="AN67" i="4"/>
  <c r="AL67" i="4"/>
  <c r="AN90" i="4"/>
  <c r="AL90" i="4"/>
  <c r="AN74" i="4"/>
  <c r="AL74" i="4"/>
  <c r="AN86" i="4"/>
  <c r="AL86" i="4"/>
  <c r="AL42" i="4"/>
  <c r="AN42" i="4"/>
  <c r="AL39" i="4"/>
  <c r="AN39" i="4"/>
  <c r="AN62" i="4"/>
  <c r="AL62" i="4"/>
  <c r="AN63" i="4"/>
  <c r="AL63" i="4"/>
  <c r="AN78" i="4"/>
  <c r="AL78" i="4"/>
  <c r="AL64" i="4"/>
  <c r="AN64" i="4"/>
  <c r="AL92" i="4"/>
  <c r="AN92" i="4"/>
  <c r="AL39" i="7"/>
  <c r="AN39" i="7"/>
  <c r="AL44" i="7"/>
  <c r="AN44" i="7"/>
  <c r="AN35" i="7"/>
  <c r="AL35" i="7"/>
  <c r="AN41" i="7"/>
  <c r="AL41" i="7"/>
  <c r="AL40" i="7"/>
  <c r="AN40" i="7"/>
  <c r="AL43" i="7"/>
  <c r="AN43" i="7"/>
  <c r="AN37" i="7"/>
  <c r="AL37" i="7"/>
  <c r="AN36" i="7"/>
  <c r="AL36" i="7"/>
  <c r="AN45" i="7"/>
  <c r="AL45" i="7"/>
  <c r="AN38" i="7"/>
  <c r="AL38" i="7"/>
  <c r="AN42" i="7"/>
  <c r="AL42" i="7"/>
  <c r="AJ62" i="36"/>
  <c r="AJ41" i="36"/>
  <c r="AJ50" i="36"/>
  <c r="AJ61" i="36"/>
  <c r="AJ48" i="36"/>
  <c r="AJ46" i="36"/>
  <c r="AJ45" i="36"/>
  <c r="AJ56" i="36"/>
  <c r="AJ40" i="36"/>
  <c r="AJ59" i="36"/>
  <c r="AJ36" i="36"/>
  <c r="AJ65" i="36"/>
  <c r="AJ39" i="36"/>
  <c r="AJ37" i="36"/>
  <c r="AJ38" i="36"/>
  <c r="AJ57" i="36"/>
  <c r="AJ54" i="36"/>
  <c r="AJ47" i="36"/>
  <c r="AJ49" i="36"/>
  <c r="AJ55" i="36"/>
  <c r="AJ58" i="36"/>
  <c r="AJ60" i="36"/>
  <c r="AM38" i="33"/>
  <c r="AN38" i="33"/>
  <c r="AN56" i="33"/>
  <c r="AM56" i="33"/>
  <c r="AN49" i="33"/>
  <c r="AM49" i="33"/>
  <c r="AN42" i="33"/>
  <c r="AM42" i="33"/>
  <c r="AN58" i="11"/>
  <c r="AM58" i="11"/>
  <c r="AN39" i="11"/>
  <c r="AM39" i="11"/>
  <c r="AN46" i="11"/>
  <c r="AM46" i="11"/>
  <c r="AN63" i="16"/>
  <c r="AM63" i="16"/>
  <c r="AA67" i="33"/>
  <c r="AI67" i="33" s="1"/>
  <c r="AA68" i="33"/>
  <c r="AI68" i="33" s="1"/>
  <c r="AI152" i="6"/>
  <c r="AF152" i="6"/>
  <c r="AL47" i="7"/>
  <c r="AN47" i="7"/>
  <c r="AN72" i="4"/>
  <c r="AL72" i="4"/>
  <c r="AN97" i="4"/>
  <c r="AL97" i="4"/>
  <c r="AN78" i="52"/>
  <c r="AM78" i="52"/>
  <c r="AN69" i="11"/>
  <c r="AM69" i="11"/>
  <c r="AN78" i="9"/>
  <c r="AM78" i="9"/>
  <c r="AN78" i="63"/>
  <c r="AM78" i="63"/>
  <c r="AL51" i="7"/>
  <c r="AN51" i="7"/>
  <c r="AL58" i="4"/>
  <c r="AN58" i="4"/>
  <c r="AM78" i="61"/>
  <c r="AN78" i="61"/>
  <c r="AI66" i="33"/>
  <c r="AB66" i="33"/>
  <c r="AF66" i="33"/>
  <c r="AJ66" i="33"/>
  <c r="AL57" i="4"/>
  <c r="AN57" i="4"/>
  <c r="AN78" i="51"/>
  <c r="AM78" i="51"/>
  <c r="AM60" i="24"/>
  <c r="AL60" i="24"/>
  <c r="AL35" i="4"/>
  <c r="AN35" i="4"/>
  <c r="AM52" i="25"/>
  <c r="AN52" i="25"/>
  <c r="AM78" i="54"/>
  <c r="AN78" i="54"/>
  <c r="AH95" i="37"/>
  <c r="AM78" i="53"/>
  <c r="AN78" i="53"/>
  <c r="AN50" i="7"/>
  <c r="AL50" i="7"/>
  <c r="AN98" i="4"/>
  <c r="AL98" i="4"/>
  <c r="AJ52" i="35"/>
  <c r="AI52" i="35"/>
  <c r="AF52" i="35"/>
  <c r="AB52" i="35"/>
  <c r="AN48" i="7"/>
  <c r="AL48" i="7"/>
  <c r="AN95" i="4"/>
  <c r="AL95" i="4"/>
  <c r="AJ44" i="36"/>
  <c r="AJ64" i="36"/>
  <c r="AJ35" i="36"/>
  <c r="AJ53" i="36"/>
  <c r="AM50" i="35"/>
  <c r="AN50" i="35"/>
  <c r="AB59" i="35"/>
  <c r="AI59" i="35"/>
  <c r="AF59" i="35"/>
  <c r="AL34" i="7"/>
  <c r="AN34" i="7"/>
  <c r="AL55" i="4"/>
  <c r="AN55" i="4"/>
  <c r="A14" i="55"/>
  <c r="A14" i="17"/>
  <c r="A14" i="58"/>
  <c r="A14" i="39"/>
  <c r="AM57" i="15" l="1"/>
  <c r="AF67" i="33"/>
  <c r="AJ67" i="33"/>
  <c r="AF68" i="33"/>
  <c r="AJ68" i="33"/>
  <c r="AB68" i="33"/>
  <c r="AN68" i="33" s="1"/>
  <c r="AB67" i="33"/>
  <c r="AN67" i="33" s="1"/>
  <c r="AN51" i="15"/>
  <c r="AM51" i="15"/>
  <c r="AN36" i="15"/>
  <c r="AM36" i="15"/>
  <c r="AN58" i="15"/>
  <c r="AM58" i="15"/>
  <c r="AN59" i="15"/>
  <c r="AM59" i="15"/>
  <c r="AN35" i="15"/>
  <c r="AM35" i="15"/>
  <c r="AM60" i="15"/>
  <c r="AN60" i="15"/>
  <c r="AN67" i="15"/>
  <c r="AM67" i="15"/>
  <c r="AM68" i="15"/>
  <c r="AN68" i="15"/>
  <c r="AE71" i="37"/>
  <c r="AA71" i="37"/>
  <c r="AN38" i="15"/>
  <c r="AM38" i="15"/>
  <c r="Z72" i="37"/>
  <c r="N74" i="37"/>
  <c r="AN41" i="15"/>
  <c r="AM41" i="15"/>
  <c r="AM39" i="15"/>
  <c r="AN39" i="15"/>
  <c r="AN66" i="33"/>
  <c r="AM66" i="33"/>
  <c r="AH71" i="37"/>
  <c r="AN52" i="35"/>
  <c r="AM52" i="35"/>
  <c r="AM67" i="33" l="1"/>
  <c r="AM68" i="33"/>
  <c r="AA72" i="37"/>
  <c r="AE72" i="37"/>
  <c r="Z74" i="37"/>
  <c r="N82" i="37"/>
  <c r="N75" i="37"/>
  <c r="N86" i="37"/>
  <c r="Z86" i="37" s="1"/>
  <c r="AI71" i="37"/>
  <c r="AK71" i="37"/>
  <c r="AH72" i="37"/>
  <c r="AA86" i="37" l="1"/>
  <c r="AE86" i="37"/>
  <c r="N84" i="37"/>
  <c r="Z82" i="37"/>
  <c r="AA74" i="37"/>
  <c r="Z75" i="37"/>
  <c r="AA75" i="37" s="1"/>
  <c r="AE74" i="37"/>
  <c r="N88" i="37"/>
  <c r="Z88" i="37" s="1"/>
  <c r="AK72" i="37"/>
  <c r="AI72" i="37"/>
  <c r="AH74" i="37"/>
  <c r="N85" i="37" l="1"/>
  <c r="Z84" i="37"/>
  <c r="AE82" i="37"/>
  <c r="AA82" i="37"/>
  <c r="AH88" i="37"/>
  <c r="AA88" i="37"/>
  <c r="AE88" i="37"/>
  <c r="AI74" i="37"/>
  <c r="AK74" i="37"/>
  <c r="AH82" i="37"/>
  <c r="AH86" i="37"/>
  <c r="L75" i="37"/>
  <c r="M75" i="37" s="1"/>
  <c r="AE84" i="37" l="1"/>
  <c r="Z85" i="37"/>
  <c r="AA85" i="37" s="1"/>
  <c r="AA84" i="37"/>
  <c r="AK82" i="37"/>
  <c r="AI82" i="37"/>
  <c r="AH84" i="37"/>
  <c r="AK84" i="37" l="1"/>
  <c r="AI84" i="37"/>
  <c r="L85" i="37"/>
  <c r="M85"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Kaitlyn Pressley</author>
  </authors>
  <commentList>
    <comment ref="C8" authorId="0" shapeId="0" xr:uid="{00000000-0006-0000-0000-000001000000}">
      <text>
        <r>
          <rPr>
            <b/>
            <sz val="9"/>
            <color indexed="81"/>
            <rFont val="Tahoma"/>
            <family val="2"/>
          </rPr>
          <t>Kaitlyn Pressley:</t>
        </r>
        <r>
          <rPr>
            <sz val="9"/>
            <color indexed="81"/>
            <rFont val="Tahoma"/>
            <family val="2"/>
          </rPr>
          <t xml:space="preserve">
When using an ALT scenario, please define if you are using it as an alternate BUDGET or FORECAST.
BUDGET will pull the ALT scenario chosen for each month, regardless of the status of that month.
FORECAST will pull ACTUAL for any month that has been flagged for actuals, and the ALT scenario for all other months.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Kaitlyn Pressley</author>
  </authors>
  <commentList>
    <comment ref="C8" authorId="0" shapeId="0" xr:uid="{00000000-0006-0000-0100-000001000000}">
      <text>
        <r>
          <rPr>
            <b/>
            <sz val="9"/>
            <color indexed="81"/>
            <rFont val="Tahoma"/>
            <family val="2"/>
          </rPr>
          <t>Kaitlyn Pressley:</t>
        </r>
        <r>
          <rPr>
            <sz val="9"/>
            <color indexed="81"/>
            <rFont val="Tahoma"/>
            <family val="2"/>
          </rPr>
          <t xml:space="preserve">
When using an ALT scenario, please define if you are using it as an alternate BUDGET or FORECAST.
BUDGET will pull the ALT scenario chosen for each month, regardless of the status of that month.
FORECAST will pull ACTUAL for any month that has been flagged for actuals, and the ALT scenario for all other months.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2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200-000002000000}">
      <text>
        <r>
          <rPr>
            <sz val="9"/>
            <color indexed="81"/>
            <rFont val="Tahoma"/>
            <family val="2"/>
          </rPr>
          <t>Right-click to build filter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4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400-000002000000}">
      <text>
        <r>
          <rPr>
            <sz val="9"/>
            <color indexed="81"/>
            <rFont val="Tahoma"/>
            <family val="2"/>
          </rPr>
          <t>Right-click to build filter</t>
        </r>
      </text>
    </comment>
    <comment ref="K32" authorId="1" shapeId="0" xr:uid="{00000000-0006-0000-0400-000003000000}">
      <text>
        <r>
          <rPr>
            <b/>
            <sz val="9"/>
            <color indexed="81"/>
            <rFont val="Tahoma"/>
            <family val="2"/>
          </rPr>
          <t>ekrolik:</t>
        </r>
        <r>
          <rPr>
            <sz val="9"/>
            <color indexed="81"/>
            <rFont val="Tahoma"/>
            <family val="2"/>
          </rPr>
          <t xml:space="preserve">
Drill Down Indicator.  Double Click to drill into additional detail.</t>
        </r>
      </text>
    </comment>
    <comment ref="B59" authorId="1" shapeId="0" xr:uid="{00000000-0006-0000-0400-000004000000}">
      <text>
        <r>
          <rPr>
            <sz val="9"/>
            <color indexed="81"/>
            <rFont val="Tahoma"/>
            <family val="2"/>
          </rPr>
          <t>Right-click to build filter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5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500-000002000000}">
      <text>
        <r>
          <rPr>
            <sz val="9"/>
            <color indexed="81"/>
            <rFont val="Tahoma"/>
            <family val="2"/>
          </rPr>
          <t>Right-click to build filter</t>
        </r>
      </text>
    </comment>
    <comment ref="K32" authorId="1" shapeId="0" xr:uid="{00000000-0006-0000-0500-000003000000}">
      <text>
        <r>
          <rPr>
            <b/>
            <sz val="9"/>
            <color indexed="81"/>
            <rFont val="Tahoma"/>
            <family val="2"/>
          </rPr>
          <t>ekrolik:</t>
        </r>
        <r>
          <rPr>
            <sz val="9"/>
            <color indexed="81"/>
            <rFont val="Tahoma"/>
            <family val="2"/>
          </rPr>
          <t xml:space="preserve">
Drill Down Indicator.  Double Click to drill into additional detail.</t>
        </r>
      </text>
    </comment>
    <comment ref="B59" authorId="1" shapeId="0" xr:uid="{00000000-0006-0000-0500-000004000000}">
      <text>
        <r>
          <rPr>
            <sz val="9"/>
            <color indexed="81"/>
            <rFont val="Tahoma"/>
            <family val="2"/>
          </rPr>
          <t>Right-click to build filter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Kaitlyn Pressley</author>
  </authors>
  <commentList>
    <comment ref="F4" authorId="0" shapeId="0" xr:uid="{00000000-0006-0000-0600-000001000000}">
      <text>
        <r>
          <rPr>
            <b/>
            <sz val="9"/>
            <color indexed="81"/>
            <rFont val="Tahoma"/>
            <family val="2"/>
          </rPr>
          <t>Kaitlyn Pressley:</t>
        </r>
        <r>
          <rPr>
            <sz val="9"/>
            <color indexed="81"/>
            <rFont val="Tahoma"/>
            <family val="2"/>
          </rPr>
          <t xml:space="preserve">
For ALT scenario use only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Kaitlyn Pressley</author>
  </authors>
  <commentList>
    <comment ref="F4" authorId="0" shapeId="0" xr:uid="{00000000-0006-0000-0700-000001000000}">
      <text>
        <r>
          <rPr>
            <b/>
            <sz val="9"/>
            <color indexed="81"/>
            <rFont val="Tahoma"/>
            <family val="2"/>
          </rPr>
          <t>Kaitlyn Pressley:</t>
        </r>
        <r>
          <rPr>
            <sz val="9"/>
            <color indexed="81"/>
            <rFont val="Tahoma"/>
            <family val="2"/>
          </rPr>
          <t xml:space="preserve">
For ALT scenario use only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8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800-000002000000}">
      <text>
        <r>
          <rPr>
            <sz val="9"/>
            <color indexed="81"/>
            <rFont val="Tahoma"/>
            <family val="2"/>
          </rPr>
          <t>Right-click to build filter</t>
        </r>
      </text>
    </comment>
    <comment ref="K32" authorId="1" shapeId="0" xr:uid="{00000000-0006-0000-0800-000003000000}">
      <text>
        <r>
          <rPr>
            <b/>
            <sz val="9"/>
            <color indexed="81"/>
            <rFont val="Tahoma"/>
            <family val="2"/>
          </rPr>
          <t>ekrolik:</t>
        </r>
        <r>
          <rPr>
            <sz val="9"/>
            <color indexed="81"/>
            <rFont val="Tahoma"/>
            <family val="2"/>
          </rPr>
          <t xml:space="preserve">
Drill Down Indicator.  Double Click to drill into additional detail.</t>
        </r>
      </text>
    </comment>
    <comment ref="B72" authorId="1" shapeId="0" xr:uid="{00000000-0006-0000-0800-000004000000}">
      <text>
        <r>
          <rPr>
            <sz val="9"/>
            <color indexed="81"/>
            <rFont val="Tahoma"/>
            <family val="2"/>
          </rPr>
          <t>Right-click to build filter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9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900-000002000000}">
      <text>
        <r>
          <rPr>
            <sz val="9"/>
            <color indexed="81"/>
            <rFont val="Tahoma"/>
            <family val="2"/>
          </rPr>
          <t>Right-click to build filter</t>
        </r>
      </text>
    </comment>
    <comment ref="K32" authorId="1" shapeId="0" xr:uid="{00000000-0006-0000-0900-000003000000}">
      <text>
        <r>
          <rPr>
            <b/>
            <sz val="9"/>
            <color indexed="81"/>
            <rFont val="Tahoma"/>
            <family val="2"/>
          </rPr>
          <t>ekrolik:</t>
        </r>
        <r>
          <rPr>
            <sz val="9"/>
            <color indexed="81"/>
            <rFont val="Tahoma"/>
            <family val="2"/>
          </rPr>
          <t xml:space="preserve">
Drill Down Indicator.  Double Click to drill into additional detail.</t>
        </r>
      </text>
    </comment>
    <comment ref="B72" authorId="1" shapeId="0" xr:uid="{00000000-0006-0000-0900-000004000000}">
      <text>
        <r>
          <rPr>
            <sz val="9"/>
            <color indexed="81"/>
            <rFont val="Tahoma"/>
            <family val="2"/>
          </rPr>
          <t>Right-click to build filter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A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A00-000002000000}">
      <text>
        <r>
          <rPr>
            <sz val="9"/>
            <color indexed="81"/>
            <rFont val="Tahoma"/>
            <family val="2"/>
          </rPr>
          <t>Right-click to build filter</t>
        </r>
      </text>
    </comment>
    <comment ref="C29" authorId="1" shapeId="0" xr:uid="{00000000-0006-0000-0A00-000003000000}">
      <text>
        <r>
          <rPr>
            <sz val="9"/>
            <color indexed="81"/>
            <rFont val="Tahoma"/>
            <family val="2"/>
          </rPr>
          <t>Right-click to build filter</t>
        </r>
      </text>
    </comment>
    <comment ref="K32" authorId="1" shapeId="0" xr:uid="{00000000-0006-0000-0A00-000004000000}">
      <text>
        <r>
          <rPr>
            <b/>
            <sz val="9"/>
            <color indexed="81"/>
            <rFont val="Tahoma"/>
            <family val="2"/>
          </rPr>
          <t>ekrolik:</t>
        </r>
        <r>
          <rPr>
            <sz val="9"/>
            <color indexed="81"/>
            <rFont val="Tahoma"/>
            <family val="2"/>
          </rPr>
          <t xml:space="preserve">
Drill Down Indicator.  Double Click to drill into additional detail.</t>
        </r>
      </text>
    </comment>
    <comment ref="B51" authorId="1" shapeId="0" xr:uid="{00000000-0006-0000-0A00-000005000000}">
      <text>
        <r>
          <rPr>
            <sz val="9"/>
            <color indexed="81"/>
            <rFont val="Tahoma"/>
            <family val="2"/>
          </rPr>
          <t>Right-click to build filter</t>
        </r>
      </text>
    </comment>
    <comment ref="B84" authorId="1" shapeId="0" xr:uid="{00000000-0006-0000-0A00-000006000000}">
      <text>
        <r>
          <rPr>
            <sz val="9"/>
            <color indexed="81"/>
            <rFont val="Tahoma"/>
            <family val="2"/>
          </rPr>
          <t>Right-click to build filter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C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C00-000002000000}">
      <text>
        <r>
          <rPr>
            <sz val="9"/>
            <color indexed="81"/>
            <rFont val="Tahoma"/>
            <family val="2"/>
          </rPr>
          <t>Right-click to build filter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E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E00-000002000000}">
      <text>
        <r>
          <rPr>
            <sz val="9"/>
            <color indexed="81"/>
            <rFont val="Tahoma"/>
            <family val="2"/>
          </rPr>
          <t>Right-click to build filter</t>
        </r>
      </text>
    </comment>
    <comment ref="K32" authorId="1" shapeId="0" xr:uid="{00000000-0006-0000-0E00-000003000000}">
      <text>
        <r>
          <rPr>
            <b/>
            <sz val="9"/>
            <color indexed="81"/>
            <rFont val="Tahoma"/>
            <family val="2"/>
          </rPr>
          <t>ekrolik:</t>
        </r>
        <r>
          <rPr>
            <sz val="9"/>
            <color indexed="81"/>
            <rFont val="Tahoma"/>
            <family val="2"/>
          </rPr>
          <t xml:space="preserve">
Drill Down Indicator.  Double Click to drill into additional detail.</t>
        </r>
      </text>
    </comment>
    <comment ref="B62" authorId="1" shapeId="0" xr:uid="{00000000-0006-0000-0E00-000004000000}">
      <text>
        <r>
          <rPr>
            <sz val="9"/>
            <color indexed="81"/>
            <rFont val="Tahoma"/>
            <family val="2"/>
          </rPr>
          <t>Right-click to build filter</t>
        </r>
      </text>
    </comment>
    <comment ref="B95" authorId="1" shapeId="0" xr:uid="{00000000-0006-0000-0E00-000005000000}">
      <text>
        <r>
          <rPr>
            <sz val="9"/>
            <color indexed="81"/>
            <rFont val="Tahoma"/>
            <family val="2"/>
          </rPr>
          <t>Right-click to build filter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000-000001000000}">
      <text>
        <r>
          <rPr>
            <sz val="9"/>
            <color indexed="81"/>
            <rFont val="Tahoma"/>
            <family val="2"/>
          </rPr>
          <t>Right-click to build filter</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200-000001000000}">
      <text>
        <r>
          <rPr>
            <sz val="9"/>
            <color indexed="81"/>
            <rFont val="Tahoma"/>
            <family val="2"/>
          </rPr>
          <t>Right-click to build filter</t>
        </r>
      </text>
    </comment>
    <comment ref="K32" authorId="0" shapeId="0" xr:uid="{00000000-0006-0000-12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200-000003000000}">
      <text>
        <r>
          <rPr>
            <sz val="9"/>
            <color indexed="81"/>
            <rFont val="Tahoma"/>
            <family val="2"/>
          </rPr>
          <t>Right-click to build filter</t>
        </r>
      </text>
    </comment>
    <comment ref="B95" authorId="0" shapeId="0" xr:uid="{00000000-0006-0000-1200-000004000000}">
      <text>
        <r>
          <rPr>
            <sz val="9"/>
            <color indexed="81"/>
            <rFont val="Tahoma"/>
            <family val="2"/>
          </rPr>
          <t>Right-click to build filter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400-000001000000}">
      <text>
        <r>
          <rPr>
            <sz val="9"/>
            <color indexed="81"/>
            <rFont val="Tahoma"/>
            <family val="2"/>
          </rPr>
          <t>Right-click to build filter</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600-000001000000}">
      <text>
        <r>
          <rPr>
            <sz val="9"/>
            <color indexed="81"/>
            <rFont val="Tahoma"/>
            <family val="2"/>
          </rPr>
          <t>Right-click to build filter</t>
        </r>
      </text>
    </comment>
    <comment ref="K32" authorId="0" shapeId="0" xr:uid="{00000000-0006-0000-16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600-000003000000}">
      <text>
        <r>
          <rPr>
            <sz val="9"/>
            <color indexed="81"/>
            <rFont val="Tahoma"/>
            <family val="2"/>
          </rPr>
          <t>Right-click to build filter</t>
        </r>
      </text>
    </comment>
    <comment ref="B95" authorId="0" shapeId="0" xr:uid="{00000000-0006-0000-1600-000004000000}">
      <text>
        <r>
          <rPr>
            <sz val="9"/>
            <color indexed="81"/>
            <rFont val="Tahoma"/>
            <family val="2"/>
          </rPr>
          <t>Right-click to build filter</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800-000001000000}">
      <text>
        <r>
          <rPr>
            <sz val="9"/>
            <color indexed="81"/>
            <rFont val="Tahoma"/>
            <family val="2"/>
          </rPr>
          <t>Right-click to build filter</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A00-000001000000}">
      <text>
        <r>
          <rPr>
            <sz val="9"/>
            <color indexed="81"/>
            <rFont val="Tahoma"/>
            <family val="2"/>
          </rPr>
          <t>Right-click to build filter</t>
        </r>
      </text>
    </comment>
    <comment ref="K32" authorId="0" shapeId="0" xr:uid="{00000000-0006-0000-1A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A00-000003000000}">
      <text>
        <r>
          <rPr>
            <sz val="9"/>
            <color indexed="81"/>
            <rFont val="Tahoma"/>
            <family val="2"/>
          </rPr>
          <t>Right-click to build filter</t>
        </r>
      </text>
    </comment>
    <comment ref="B95" authorId="0" shapeId="0" xr:uid="{00000000-0006-0000-1A00-000004000000}">
      <text>
        <r>
          <rPr>
            <sz val="9"/>
            <color indexed="81"/>
            <rFont val="Tahoma"/>
            <family val="2"/>
          </rPr>
          <t>Right-click to build filter</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C00-000001000000}">
      <text>
        <r>
          <rPr>
            <sz val="9"/>
            <color indexed="81"/>
            <rFont val="Tahoma"/>
            <family val="2"/>
          </rPr>
          <t>Right-click to build filter</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E00-000001000000}">
      <text>
        <r>
          <rPr>
            <sz val="9"/>
            <color indexed="81"/>
            <rFont val="Tahoma"/>
            <family val="2"/>
          </rPr>
          <t>Right-click to build filter</t>
        </r>
      </text>
    </comment>
    <comment ref="K32" authorId="0" shapeId="0" xr:uid="{00000000-0006-0000-1E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E00-000003000000}">
      <text>
        <r>
          <rPr>
            <sz val="9"/>
            <color indexed="81"/>
            <rFont val="Tahoma"/>
            <family val="2"/>
          </rPr>
          <t>Right-click to build filter</t>
        </r>
      </text>
    </comment>
    <comment ref="B95" authorId="0" shapeId="0" xr:uid="{00000000-0006-0000-1E00-000004000000}">
      <text>
        <r>
          <rPr>
            <sz val="9"/>
            <color indexed="81"/>
            <rFont val="Tahoma"/>
            <family val="2"/>
          </rPr>
          <t>Right-click to build filter</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000-000001000000}">
      <text>
        <r>
          <rPr>
            <sz val="9"/>
            <color indexed="81"/>
            <rFont val="Tahoma"/>
            <family val="2"/>
          </rPr>
          <t>Right-click to build filter</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200-000001000000}">
      <text>
        <r>
          <rPr>
            <sz val="9"/>
            <color indexed="81"/>
            <rFont val="Tahoma"/>
            <family val="2"/>
          </rPr>
          <t>Right-click to build filter</t>
        </r>
      </text>
    </comment>
    <comment ref="K32" authorId="0" shapeId="0" xr:uid="{00000000-0006-0000-22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2200-000003000000}">
      <text>
        <r>
          <rPr>
            <sz val="9"/>
            <color indexed="81"/>
            <rFont val="Tahoma"/>
            <family val="2"/>
          </rPr>
          <t>Right-click to build filter</t>
        </r>
      </text>
    </comment>
    <comment ref="B95" authorId="0" shapeId="0" xr:uid="{00000000-0006-0000-2200-000004000000}">
      <text>
        <r>
          <rPr>
            <sz val="9"/>
            <color indexed="81"/>
            <rFont val="Tahoma"/>
            <family val="2"/>
          </rPr>
          <t>Right-click to build filter</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400-000001000000}">
      <text>
        <r>
          <rPr>
            <sz val="9"/>
            <color indexed="81"/>
            <rFont val="Tahoma"/>
            <family val="2"/>
          </rPr>
          <t>Right-click to build filter</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600-000001000000}">
      <text>
        <r>
          <rPr>
            <sz val="9"/>
            <color indexed="81"/>
            <rFont val="Tahoma"/>
            <family val="2"/>
          </rPr>
          <t>Right-click to build filter</t>
        </r>
      </text>
    </comment>
    <comment ref="K32" authorId="0" shapeId="0" xr:uid="{00000000-0006-0000-26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2600-000003000000}">
      <text>
        <r>
          <rPr>
            <sz val="9"/>
            <color indexed="81"/>
            <rFont val="Tahoma"/>
            <family val="2"/>
          </rPr>
          <t>Right-click to build filter</t>
        </r>
      </text>
    </comment>
    <comment ref="B95" authorId="0" shapeId="0" xr:uid="{00000000-0006-0000-2600-000004000000}">
      <text>
        <r>
          <rPr>
            <sz val="9"/>
            <color indexed="81"/>
            <rFont val="Tahoma"/>
            <family val="2"/>
          </rPr>
          <t>Right-click to build filter</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800-000001000000}">
      <text>
        <r>
          <rPr>
            <sz val="9"/>
            <color indexed="81"/>
            <rFont val="Tahoma"/>
            <family val="2"/>
          </rPr>
          <t>Right-click to build filter</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A00-000001000000}">
      <text>
        <r>
          <rPr>
            <sz val="9"/>
            <color indexed="81"/>
            <rFont val="Tahoma"/>
            <family val="2"/>
          </rPr>
          <t>Right-click to build filter</t>
        </r>
      </text>
    </comment>
    <comment ref="K32" authorId="0" shapeId="0" xr:uid="{00000000-0006-0000-2A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2A00-000003000000}">
      <text>
        <r>
          <rPr>
            <sz val="9"/>
            <color indexed="81"/>
            <rFont val="Tahoma"/>
            <family val="2"/>
          </rPr>
          <t>Right-click to build filter</t>
        </r>
      </text>
    </comment>
    <comment ref="B95" authorId="0" shapeId="0" xr:uid="{00000000-0006-0000-2A00-000004000000}">
      <text>
        <r>
          <rPr>
            <sz val="9"/>
            <color indexed="81"/>
            <rFont val="Tahoma"/>
            <family val="2"/>
          </rPr>
          <t>Right-click to build filter</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C00-000001000000}">
      <text>
        <r>
          <rPr>
            <sz val="9"/>
            <color indexed="81"/>
            <rFont val="Tahoma"/>
            <family val="2"/>
          </rPr>
          <t>Right-click to build filter</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E00-000001000000}">
      <text>
        <r>
          <rPr>
            <sz val="9"/>
            <color indexed="81"/>
            <rFont val="Tahoma"/>
            <family val="2"/>
          </rPr>
          <t>Right-click to build filter</t>
        </r>
      </text>
    </comment>
    <comment ref="K32" authorId="0" shapeId="0" xr:uid="{00000000-0006-0000-2E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2E00-000003000000}">
      <text>
        <r>
          <rPr>
            <sz val="9"/>
            <color indexed="81"/>
            <rFont val="Tahoma"/>
            <family val="2"/>
          </rPr>
          <t>Right-click to build filter</t>
        </r>
      </text>
    </comment>
    <comment ref="B95" authorId="0" shapeId="0" xr:uid="{00000000-0006-0000-2E00-000004000000}">
      <text>
        <r>
          <rPr>
            <sz val="9"/>
            <color indexed="81"/>
            <rFont val="Tahoma"/>
            <family val="2"/>
          </rPr>
          <t>Right-click to build filter</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000-000001000000}">
      <text>
        <r>
          <rPr>
            <sz val="9"/>
            <color indexed="81"/>
            <rFont val="Tahoma"/>
            <family val="2"/>
          </rPr>
          <t>Right-click to build filter</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200-000001000000}">
      <text>
        <r>
          <rPr>
            <sz val="9"/>
            <color indexed="81"/>
            <rFont val="Tahoma"/>
            <family val="2"/>
          </rPr>
          <t>Right-click to build filter</t>
        </r>
      </text>
    </comment>
    <comment ref="K32" authorId="0" shapeId="0" xr:uid="{00000000-0006-0000-32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3200-000003000000}">
      <text>
        <r>
          <rPr>
            <sz val="9"/>
            <color indexed="81"/>
            <rFont val="Tahoma"/>
            <family val="2"/>
          </rPr>
          <t>Right-click to build filter</t>
        </r>
      </text>
    </comment>
    <comment ref="B95" authorId="0" shapeId="0" xr:uid="{00000000-0006-0000-3200-000004000000}">
      <text>
        <r>
          <rPr>
            <sz val="9"/>
            <color indexed="81"/>
            <rFont val="Tahoma"/>
            <family val="2"/>
          </rPr>
          <t>Right-click to build filter</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400-000001000000}">
      <text>
        <r>
          <rPr>
            <sz val="9"/>
            <color indexed="81"/>
            <rFont val="Tahoma"/>
            <family val="2"/>
          </rPr>
          <t>Right-click to build filter</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600-000001000000}">
      <text>
        <r>
          <rPr>
            <sz val="9"/>
            <color indexed="81"/>
            <rFont val="Tahoma"/>
            <family val="2"/>
          </rPr>
          <t>Right-click to build filter</t>
        </r>
      </text>
    </comment>
    <comment ref="K32" authorId="0" shapeId="0" xr:uid="{00000000-0006-0000-36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3600-000003000000}">
      <text>
        <r>
          <rPr>
            <sz val="9"/>
            <color indexed="81"/>
            <rFont val="Tahoma"/>
            <family val="2"/>
          </rPr>
          <t>Right-click to build filter</t>
        </r>
      </text>
    </comment>
    <comment ref="B95" authorId="0" shapeId="0" xr:uid="{00000000-0006-0000-3600-000004000000}">
      <text>
        <r>
          <rPr>
            <sz val="9"/>
            <color indexed="81"/>
            <rFont val="Tahoma"/>
            <family val="2"/>
          </rPr>
          <t>Right-click to build filter</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800-000001000000}">
      <text>
        <r>
          <rPr>
            <sz val="9"/>
            <color indexed="81"/>
            <rFont val="Tahoma"/>
            <family val="2"/>
          </rPr>
          <t>Right-click to build filter</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A00-000001000000}">
      <text>
        <r>
          <rPr>
            <sz val="9"/>
            <color indexed="81"/>
            <rFont val="Tahoma"/>
            <family val="2"/>
          </rPr>
          <t>Right-click to build filter</t>
        </r>
      </text>
    </comment>
    <comment ref="K32" authorId="0" shapeId="0" xr:uid="{00000000-0006-0000-3A00-000002000000}">
      <text>
        <r>
          <rPr>
            <b/>
            <sz val="9"/>
            <color indexed="81"/>
            <rFont val="Tahoma"/>
            <family val="2"/>
          </rPr>
          <t>ekrolik:</t>
        </r>
        <r>
          <rPr>
            <sz val="9"/>
            <color indexed="81"/>
            <rFont val="Tahoma"/>
            <family val="2"/>
          </rPr>
          <t xml:space="preserve">
Drill Down Indicator.  Double Click to drill into additional detail.</t>
        </r>
      </text>
    </comment>
    <comment ref="B61" authorId="0" shapeId="0" xr:uid="{00000000-0006-0000-3A00-000003000000}">
      <text>
        <r>
          <rPr>
            <sz val="9"/>
            <color indexed="81"/>
            <rFont val="Tahoma"/>
            <family val="2"/>
          </rPr>
          <t>Right-click to build filter</t>
        </r>
      </text>
    </comment>
    <comment ref="B93" authorId="0" shapeId="0" xr:uid="{00000000-0006-0000-3A00-000004000000}">
      <text>
        <r>
          <rPr>
            <sz val="9"/>
            <color indexed="81"/>
            <rFont val="Tahoma"/>
            <family val="2"/>
          </rPr>
          <t>Right-click to build filter</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C00-000001000000}">
      <text>
        <r>
          <rPr>
            <sz val="9"/>
            <color indexed="81"/>
            <rFont val="Tahoma"/>
            <family val="2"/>
          </rPr>
          <t>Right-click to build filter</t>
        </r>
      </text>
    </comment>
    <comment ref="C29" authorId="0" shapeId="0" xr:uid="{00000000-0006-0000-3C00-000002000000}">
      <text>
        <r>
          <rPr>
            <sz val="9"/>
            <color indexed="81"/>
            <rFont val="Tahoma"/>
            <family val="2"/>
          </rPr>
          <t>Right-click to build filter</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Robert Brooks</author>
  </authors>
  <commentList>
    <comment ref="Q102" authorId="0" shapeId="0" xr:uid="{1CF847E6-05C8-474A-ACF2-B4842E74F146}">
      <text>
        <r>
          <rPr>
            <b/>
            <sz val="9"/>
            <color indexed="81"/>
            <rFont val="Tahoma"/>
            <family val="2"/>
          </rPr>
          <t>Robert Brooks:</t>
        </r>
        <r>
          <rPr>
            <sz val="9"/>
            <color indexed="81"/>
            <rFont val="Tahoma"/>
            <family val="2"/>
          </rPr>
          <t xml:space="preserve">
hardcoded to add in 2500 of S&amp;M</t>
        </r>
      </text>
    </comment>
    <comment ref="R102" authorId="0" shapeId="0" xr:uid="{57A9D0F3-7B5A-4FA6-8738-3322517D59D1}">
      <text>
        <r>
          <rPr>
            <b/>
            <sz val="9"/>
            <color indexed="81"/>
            <rFont val="Tahoma"/>
            <family val="2"/>
          </rPr>
          <t>Robert Brooks:</t>
        </r>
        <r>
          <rPr>
            <sz val="9"/>
            <color indexed="81"/>
            <rFont val="Tahoma"/>
            <family val="2"/>
          </rPr>
          <t xml:space="preserve">
hardcoded to True up 2500 and reallocated to S&amp;M</t>
        </r>
      </text>
    </comment>
    <comment ref="W105" authorId="0" shapeId="0" xr:uid="{29CEC9B0-E60F-4E9C-AB24-E70CA0042800}">
      <text>
        <r>
          <rPr>
            <b/>
            <sz val="9"/>
            <color indexed="81"/>
            <rFont val="Tahoma"/>
            <family val="2"/>
          </rPr>
          <t>Robert Brooks:</t>
        </r>
        <r>
          <rPr>
            <sz val="9"/>
            <color indexed="81"/>
            <rFont val="Tahoma"/>
            <family val="2"/>
          </rPr>
          <t xml:space="preserve">
Georgios Training</t>
        </r>
      </text>
    </comment>
    <comment ref="Q134" authorId="0" shapeId="0" xr:uid="{A47ACD78-9DB4-4E54-B631-5E410D4B239C}">
      <text>
        <r>
          <rPr>
            <b/>
            <sz val="9"/>
            <color indexed="81"/>
            <rFont val="Tahoma"/>
            <family val="2"/>
          </rPr>
          <t>Robert Brooks:</t>
        </r>
        <r>
          <rPr>
            <sz val="9"/>
            <color indexed="81"/>
            <rFont val="Tahoma"/>
            <family val="2"/>
          </rPr>
          <t xml:space="preserve">
13,476 True Up Adjustment for Service Charge</t>
        </r>
      </text>
    </comment>
    <comment ref="Q151" authorId="0" shapeId="0" xr:uid="{C9D3D741-19C7-41E4-BA2A-CAB446B8C876}">
      <text>
        <r>
          <rPr>
            <b/>
            <sz val="9"/>
            <color indexed="81"/>
            <rFont val="Tahoma"/>
            <family val="2"/>
          </rPr>
          <t>Robert Brooks:</t>
        </r>
        <r>
          <rPr>
            <sz val="9"/>
            <color indexed="81"/>
            <rFont val="Tahoma"/>
            <family val="2"/>
          </rPr>
          <t xml:space="preserve">
service charge distribution adjustment per amy</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D00-000001000000}">
      <text>
        <r>
          <rPr>
            <sz val="9"/>
            <color indexed="81"/>
            <rFont val="Tahoma"/>
            <family val="2"/>
          </rPr>
          <t>Right-click to build filter</t>
        </r>
      </text>
    </comment>
    <comment ref="C29" authorId="0" shapeId="0" xr:uid="{00000000-0006-0000-3D00-000002000000}">
      <text>
        <r>
          <rPr>
            <sz val="9"/>
            <color indexed="81"/>
            <rFont val="Tahoma"/>
            <family val="2"/>
          </rPr>
          <t>Right-click to build filter</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E00-000001000000}">
      <text>
        <r>
          <rPr>
            <sz val="9"/>
            <color indexed="81"/>
            <rFont val="Tahoma"/>
            <family val="2"/>
          </rPr>
          <t>Right-click to build filter</t>
        </r>
      </text>
    </comment>
    <comment ref="K32" authorId="0" shapeId="0" xr:uid="{00000000-0006-0000-3E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3E00-000003000000}">
      <text>
        <r>
          <rPr>
            <sz val="9"/>
            <color indexed="81"/>
            <rFont val="Tahoma"/>
            <family val="2"/>
          </rPr>
          <t>Right-click to build filter</t>
        </r>
      </text>
    </comment>
    <comment ref="B87" authorId="0" shapeId="0" xr:uid="{00000000-0006-0000-3E00-000004000000}">
      <text>
        <r>
          <rPr>
            <sz val="9"/>
            <color indexed="81"/>
            <rFont val="Tahoma"/>
            <family val="2"/>
          </rPr>
          <t>Right-click to build filter</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F00-000001000000}">
      <text>
        <r>
          <rPr>
            <sz val="9"/>
            <color indexed="81"/>
            <rFont val="Tahoma"/>
            <family val="2"/>
          </rPr>
          <t>Right-click to build filter</t>
        </r>
      </text>
    </comment>
    <comment ref="K32" authorId="0" shapeId="0" xr:uid="{00000000-0006-0000-3F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3F00-000003000000}">
      <text>
        <r>
          <rPr>
            <sz val="9"/>
            <color indexed="81"/>
            <rFont val="Tahoma"/>
            <family val="2"/>
          </rPr>
          <t>Right-click to build filter</t>
        </r>
      </text>
    </comment>
    <comment ref="B87" authorId="0" shapeId="0" xr:uid="{00000000-0006-0000-3F00-000004000000}">
      <text>
        <r>
          <rPr>
            <sz val="9"/>
            <color indexed="81"/>
            <rFont val="Tahoma"/>
            <family val="2"/>
          </rPr>
          <t>Right-click to build filter</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000-000001000000}">
      <text>
        <r>
          <rPr>
            <sz val="9"/>
            <color indexed="81"/>
            <rFont val="Tahoma"/>
            <family val="2"/>
          </rPr>
          <t>Right-click to build filter</t>
        </r>
      </text>
    </comment>
    <comment ref="K32" authorId="0" shapeId="0" xr:uid="{00000000-0006-0000-40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4000-000003000000}">
      <text>
        <r>
          <rPr>
            <sz val="9"/>
            <color indexed="81"/>
            <rFont val="Tahoma"/>
            <family val="2"/>
          </rPr>
          <t>Right-click to build filter</t>
        </r>
      </text>
    </comment>
    <comment ref="B86" authorId="0" shapeId="0" xr:uid="{00000000-0006-0000-4000-000004000000}">
      <text>
        <r>
          <rPr>
            <sz val="9"/>
            <color indexed="81"/>
            <rFont val="Tahoma"/>
            <family val="2"/>
          </rPr>
          <t>Right-click to build filter</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100-000001000000}">
      <text>
        <r>
          <rPr>
            <sz val="9"/>
            <color indexed="81"/>
            <rFont val="Tahoma"/>
            <family val="2"/>
          </rPr>
          <t>Right-click to build filter</t>
        </r>
      </text>
    </comment>
    <comment ref="K32" authorId="0" shapeId="0" xr:uid="{00000000-0006-0000-41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4100-000003000000}">
      <text>
        <r>
          <rPr>
            <sz val="9"/>
            <color indexed="81"/>
            <rFont val="Tahoma"/>
            <family val="2"/>
          </rPr>
          <t>Right-click to build filter</t>
        </r>
      </text>
    </comment>
    <comment ref="B86" authorId="0" shapeId="0" xr:uid="{00000000-0006-0000-4100-000004000000}">
      <text>
        <r>
          <rPr>
            <sz val="9"/>
            <color indexed="81"/>
            <rFont val="Tahoma"/>
            <family val="2"/>
          </rPr>
          <t>Right-click to build filter</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200-000001000000}">
      <text>
        <r>
          <rPr>
            <sz val="9"/>
            <color indexed="81"/>
            <rFont val="Tahoma"/>
            <family val="2"/>
          </rPr>
          <t>Right-click to build filter</t>
        </r>
      </text>
    </comment>
    <comment ref="K32" authorId="0" shapeId="0" xr:uid="{00000000-0006-0000-42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4200-000003000000}">
      <text>
        <r>
          <rPr>
            <sz val="9"/>
            <color indexed="81"/>
            <rFont val="Tahoma"/>
            <family val="2"/>
          </rPr>
          <t>Right-click to build filter</t>
        </r>
      </text>
    </comment>
    <comment ref="B86" authorId="0" shapeId="0" xr:uid="{00000000-0006-0000-4200-000004000000}">
      <text>
        <r>
          <rPr>
            <sz val="9"/>
            <color indexed="81"/>
            <rFont val="Tahoma"/>
            <family val="2"/>
          </rPr>
          <t>Right-click to build filter</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300-000001000000}">
      <text>
        <r>
          <rPr>
            <sz val="9"/>
            <color indexed="81"/>
            <rFont val="Tahoma"/>
            <family val="2"/>
          </rPr>
          <t>Right-click to build filter</t>
        </r>
      </text>
    </comment>
    <comment ref="K32" authorId="0" shapeId="0" xr:uid="{00000000-0006-0000-43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4300-000003000000}">
      <text>
        <r>
          <rPr>
            <sz val="9"/>
            <color indexed="81"/>
            <rFont val="Tahoma"/>
            <family val="2"/>
          </rPr>
          <t>Right-click to build filter</t>
        </r>
      </text>
    </comment>
    <comment ref="B86" authorId="0" shapeId="0" xr:uid="{00000000-0006-0000-4300-000004000000}">
      <text>
        <r>
          <rPr>
            <sz val="9"/>
            <color indexed="81"/>
            <rFont val="Tahoma"/>
            <family val="2"/>
          </rPr>
          <t>Right-click to build filter</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400-000001000000}">
      <text>
        <r>
          <rPr>
            <sz val="9"/>
            <color indexed="81"/>
            <rFont val="Tahoma"/>
            <family val="2"/>
          </rPr>
          <t>Right-click to build filter</t>
        </r>
      </text>
    </comment>
    <comment ref="K32" authorId="0" shapeId="0" xr:uid="{00000000-0006-0000-4400-000002000000}">
      <text>
        <r>
          <rPr>
            <b/>
            <sz val="9"/>
            <color indexed="81"/>
            <rFont val="Tahoma"/>
            <family val="2"/>
          </rPr>
          <t>ekrolik:</t>
        </r>
        <r>
          <rPr>
            <sz val="9"/>
            <color indexed="81"/>
            <rFont val="Tahoma"/>
            <family val="2"/>
          </rPr>
          <t xml:space="preserve">
Drill Down Indicator.  Double Click to drill into additional detail.</t>
        </r>
      </text>
    </comment>
    <comment ref="B57" authorId="0" shapeId="0" xr:uid="{00000000-0006-0000-4400-000003000000}">
      <text>
        <r>
          <rPr>
            <sz val="9"/>
            <color indexed="81"/>
            <rFont val="Tahoma"/>
            <family val="2"/>
          </rPr>
          <t>Right-click to build filter</t>
        </r>
      </text>
    </comment>
    <comment ref="B85" authorId="0" shapeId="0" xr:uid="{00000000-0006-0000-4400-000004000000}">
      <text>
        <r>
          <rPr>
            <sz val="9"/>
            <color indexed="81"/>
            <rFont val="Tahoma"/>
            <family val="2"/>
          </rPr>
          <t>Right-click to build filter</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500-000001000000}">
      <text>
        <r>
          <rPr>
            <sz val="9"/>
            <color indexed="81"/>
            <rFont val="Tahoma"/>
            <family val="2"/>
          </rPr>
          <t>Right-click to build filter</t>
        </r>
      </text>
    </comment>
    <comment ref="K32" authorId="0" shapeId="0" xr:uid="{00000000-0006-0000-4500-000002000000}">
      <text>
        <r>
          <rPr>
            <b/>
            <sz val="9"/>
            <color indexed="81"/>
            <rFont val="Tahoma"/>
            <family val="2"/>
          </rPr>
          <t>ekrolik:</t>
        </r>
        <r>
          <rPr>
            <sz val="9"/>
            <color indexed="81"/>
            <rFont val="Tahoma"/>
            <family val="2"/>
          </rPr>
          <t xml:space="preserve">
Drill Down Indicator.  Double Click to drill into additional detail.</t>
        </r>
      </text>
    </comment>
    <comment ref="B57" authorId="0" shapeId="0" xr:uid="{00000000-0006-0000-4500-000003000000}">
      <text>
        <r>
          <rPr>
            <sz val="9"/>
            <color indexed="81"/>
            <rFont val="Tahoma"/>
            <family val="2"/>
          </rPr>
          <t>Right-click to build filter</t>
        </r>
      </text>
    </comment>
    <comment ref="B85" authorId="0" shapeId="0" xr:uid="{00000000-0006-0000-4500-000004000000}">
      <text>
        <r>
          <rPr>
            <sz val="9"/>
            <color indexed="81"/>
            <rFont val="Tahoma"/>
            <family val="2"/>
          </rPr>
          <t>Right-click to build filter</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600-000001000000}">
      <text>
        <r>
          <rPr>
            <sz val="9"/>
            <color indexed="81"/>
            <rFont val="Tahoma"/>
            <family val="2"/>
          </rPr>
          <t>Right-click to build filter</t>
        </r>
      </text>
    </comment>
    <comment ref="K32" authorId="0" shapeId="0" xr:uid="{00000000-0006-0000-46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4600-000003000000}">
      <text>
        <r>
          <rPr>
            <sz val="9"/>
            <color indexed="81"/>
            <rFont val="Tahoma"/>
            <family val="2"/>
          </rPr>
          <t>Right-click to build filter</t>
        </r>
      </text>
    </comment>
    <comment ref="B86" authorId="0" shapeId="0" xr:uid="{00000000-0006-0000-4600-000004000000}">
      <text>
        <r>
          <rPr>
            <sz val="9"/>
            <color indexed="81"/>
            <rFont val="Tahoma"/>
            <family val="2"/>
          </rPr>
          <t>Right-click to build filter</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700-000001000000}">
      <text>
        <r>
          <rPr>
            <sz val="9"/>
            <color indexed="81"/>
            <rFont val="Tahoma"/>
            <family val="2"/>
          </rPr>
          <t>Right-click to build filter</t>
        </r>
      </text>
    </comment>
    <comment ref="K32" authorId="0" shapeId="0" xr:uid="{00000000-0006-0000-47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4700-000003000000}">
      <text>
        <r>
          <rPr>
            <sz val="9"/>
            <color indexed="81"/>
            <rFont val="Tahoma"/>
            <family val="2"/>
          </rPr>
          <t>Right-click to build filter</t>
        </r>
      </text>
    </comment>
    <comment ref="B86" authorId="0" shapeId="0" xr:uid="{00000000-0006-0000-4700-000004000000}">
      <text>
        <r>
          <rPr>
            <sz val="9"/>
            <color indexed="81"/>
            <rFont val="Tahoma"/>
            <family val="2"/>
          </rPr>
          <t>Right-click to build filter</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800-000001000000}">
      <text>
        <r>
          <rPr>
            <sz val="9"/>
            <color indexed="81"/>
            <rFont val="Tahoma"/>
            <family val="2"/>
          </rPr>
          <t>Right-click to build filter</t>
        </r>
      </text>
    </comment>
    <comment ref="K32" authorId="0" shapeId="0" xr:uid="{00000000-0006-0000-4800-000002000000}">
      <text>
        <r>
          <rPr>
            <b/>
            <sz val="9"/>
            <color indexed="81"/>
            <rFont val="Tahoma"/>
            <family val="2"/>
          </rPr>
          <t>ekrolik:</t>
        </r>
        <r>
          <rPr>
            <sz val="9"/>
            <color indexed="81"/>
            <rFont val="Tahoma"/>
            <family val="2"/>
          </rPr>
          <t xml:space="preserve">
Drill Down Indicator.  Double Click to drill into additional detail.</t>
        </r>
      </text>
    </comment>
    <comment ref="B51" authorId="0" shapeId="0" xr:uid="{00000000-0006-0000-4800-000003000000}">
      <text>
        <r>
          <rPr>
            <sz val="9"/>
            <color indexed="81"/>
            <rFont val="Tahoma"/>
            <family val="2"/>
          </rPr>
          <t>Right-click to build filter</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900-000001000000}">
      <text>
        <r>
          <rPr>
            <sz val="9"/>
            <color indexed="81"/>
            <rFont val="Tahoma"/>
            <family val="2"/>
          </rPr>
          <t>Right-click to build filter</t>
        </r>
      </text>
    </comment>
    <comment ref="K32" authorId="0" shapeId="0" xr:uid="{00000000-0006-0000-4900-000002000000}">
      <text>
        <r>
          <rPr>
            <b/>
            <sz val="9"/>
            <color indexed="81"/>
            <rFont val="Tahoma"/>
            <family val="2"/>
          </rPr>
          <t>ekrolik:</t>
        </r>
        <r>
          <rPr>
            <sz val="9"/>
            <color indexed="81"/>
            <rFont val="Tahoma"/>
            <family val="2"/>
          </rPr>
          <t xml:space="preserve">
Drill Down Indicator.  Double Click to drill into additional detail.</t>
        </r>
      </text>
    </comment>
    <comment ref="B51" authorId="0" shapeId="0" xr:uid="{00000000-0006-0000-4900-000003000000}">
      <text>
        <r>
          <rPr>
            <sz val="9"/>
            <color indexed="81"/>
            <rFont val="Tahoma"/>
            <family val="2"/>
          </rPr>
          <t>Right-click to build filter</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A00-000001000000}">
      <text>
        <r>
          <rPr>
            <sz val="9"/>
            <color indexed="81"/>
            <rFont val="Tahoma"/>
            <family val="2"/>
          </rPr>
          <t>Right-click to build filter</t>
        </r>
      </text>
    </comment>
    <comment ref="K32" authorId="0" shapeId="0" xr:uid="{00000000-0006-0000-4A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B00-000001000000}">
      <text>
        <r>
          <rPr>
            <sz val="9"/>
            <color indexed="81"/>
            <rFont val="Tahoma"/>
            <family val="2"/>
          </rPr>
          <t>Right-click to build filter</t>
        </r>
      </text>
    </comment>
    <comment ref="K32" authorId="0" shapeId="0" xr:uid="{00000000-0006-0000-4B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C00-000001000000}">
      <text>
        <r>
          <rPr>
            <sz val="9"/>
            <color indexed="81"/>
            <rFont val="Tahoma"/>
            <family val="2"/>
          </rPr>
          <t>Right-click to build filter</t>
        </r>
      </text>
    </comment>
    <comment ref="C29" authorId="0" shapeId="0" xr:uid="{00000000-0006-0000-4C00-000002000000}">
      <text>
        <r>
          <rPr>
            <sz val="9"/>
            <color indexed="81"/>
            <rFont val="Tahoma"/>
            <family val="2"/>
          </rPr>
          <t>Right-click to build filter</t>
        </r>
      </text>
    </comment>
    <comment ref="K32" authorId="0" shapeId="0" xr:uid="{00000000-0006-0000-4C00-000003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E00-000001000000}">
      <text>
        <r>
          <rPr>
            <sz val="9"/>
            <color indexed="81"/>
            <rFont val="Tahoma"/>
            <family val="2"/>
          </rPr>
          <t>Right-click to build filter</t>
        </r>
      </text>
    </comment>
    <comment ref="K32" authorId="0" shapeId="0" xr:uid="{00000000-0006-0000-4E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Robert Brooks</author>
  </authors>
  <commentList>
    <comment ref="W64" authorId="0" shapeId="0" xr:uid="{44B1BD60-AF49-4862-AAC7-5D5854861DD8}">
      <text>
        <r>
          <rPr>
            <b/>
            <sz val="9"/>
            <color indexed="81"/>
            <rFont val="Tahoma"/>
            <family val="2"/>
          </rPr>
          <t>Robert Brooks:</t>
        </r>
        <r>
          <rPr>
            <sz val="9"/>
            <color indexed="81"/>
            <rFont val="Tahoma"/>
            <family val="2"/>
          </rPr>
          <t xml:space="preserve">
Georgios Donation</t>
        </r>
      </text>
    </comment>
    <comment ref="Q77" authorId="0" shapeId="0" xr:uid="{EA790218-1645-46D0-AD73-C3A149F80005}">
      <text>
        <r>
          <rPr>
            <b/>
            <sz val="9"/>
            <color indexed="81"/>
            <rFont val="Tahoma"/>
            <family val="2"/>
          </rPr>
          <t>Robert Brooks:</t>
        </r>
        <r>
          <rPr>
            <sz val="9"/>
            <color indexed="81"/>
            <rFont val="Tahoma"/>
            <family val="2"/>
          </rPr>
          <t xml:space="preserve">
-258 Adjustment per Amy</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100-000001000000}">
      <text>
        <r>
          <rPr>
            <sz val="9"/>
            <color indexed="81"/>
            <rFont val="Tahoma"/>
            <family val="2"/>
          </rPr>
          <t>Right-click to build filter</t>
        </r>
      </text>
    </comment>
    <comment ref="K32" authorId="0" shapeId="0" xr:uid="{00000000-0006-0000-5100-000002000000}">
      <text>
        <r>
          <rPr>
            <b/>
            <sz val="9"/>
            <color indexed="81"/>
            <rFont val="Tahoma"/>
            <family val="2"/>
          </rPr>
          <t>ekrolik:</t>
        </r>
        <r>
          <rPr>
            <sz val="9"/>
            <color indexed="81"/>
            <rFont val="Tahoma"/>
            <family val="2"/>
          </rPr>
          <t xml:space="preserve">
Drill Down Indicator.  Double Click to drill into additional detail.</t>
        </r>
      </text>
    </comment>
    <comment ref="B60" authorId="0" shapeId="0" xr:uid="{00000000-0006-0000-5100-000003000000}">
      <text>
        <r>
          <rPr>
            <sz val="9"/>
            <color indexed="81"/>
            <rFont val="Tahoma"/>
            <family val="2"/>
          </rPr>
          <t>Right-click to build filter</t>
        </r>
      </text>
    </comment>
    <comment ref="B83" authorId="0" shapeId="0" xr:uid="{00000000-0006-0000-5100-000004000000}">
      <text>
        <r>
          <rPr>
            <sz val="9"/>
            <color indexed="81"/>
            <rFont val="Tahoma"/>
            <family val="2"/>
          </rPr>
          <t>Right-click to build filter</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F00-000001000000}">
      <text>
        <r>
          <rPr>
            <sz val="9"/>
            <color indexed="81"/>
            <rFont val="Tahoma"/>
            <family val="2"/>
          </rPr>
          <t>Right-click to build filter</t>
        </r>
      </text>
    </comment>
    <comment ref="K32" authorId="0" shapeId="0" xr:uid="{00000000-0006-0000-4F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Robert Brooks</author>
  </authors>
  <commentList>
    <comment ref="Q79" authorId="0" shapeId="0" xr:uid="{4D06F9C8-0756-4C61-BAD5-8D8A260E1A1D}">
      <text>
        <r>
          <rPr>
            <b/>
            <sz val="9"/>
            <color indexed="81"/>
            <rFont val="Tahoma"/>
            <family val="2"/>
          </rPr>
          <t>Robert Brooks:</t>
        </r>
        <r>
          <rPr>
            <sz val="9"/>
            <color indexed="81"/>
            <rFont val="Tahoma"/>
            <family val="2"/>
          </rPr>
          <t xml:space="preserve">
removed 2500 since it was already allocated to March in previous financials</t>
        </r>
      </text>
    </comment>
    <comment ref="R79" authorId="0" shapeId="0" xr:uid="{EC37FF32-099F-4461-AD34-BA764FD06C88}">
      <text>
        <r>
          <rPr>
            <b/>
            <sz val="9"/>
            <color indexed="81"/>
            <rFont val="Tahoma"/>
            <family val="2"/>
          </rPr>
          <t>Robert Brooks:</t>
        </r>
        <r>
          <rPr>
            <sz val="9"/>
            <color indexed="81"/>
            <rFont val="Tahoma"/>
            <family val="2"/>
          </rPr>
          <t xml:space="preserve">
added 2500 to true up S&amp;M from March</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Robert Brooks</author>
  </authors>
  <commentList>
    <comment ref="Q43" authorId="0" shapeId="0" xr:uid="{D779D2CE-F6ED-4643-8F61-BE0F3D9E71A0}">
      <text>
        <r>
          <rPr>
            <b/>
            <sz val="9"/>
            <color indexed="81"/>
            <rFont val="Tahoma"/>
            <family val="2"/>
          </rPr>
          <t>Robert Brooks:</t>
        </r>
        <r>
          <rPr>
            <sz val="9"/>
            <color indexed="81"/>
            <rFont val="Tahoma"/>
            <family val="2"/>
          </rPr>
          <t xml:space="preserve">
Includes $500 True Up</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000-000001000000}">
      <text>
        <r>
          <rPr>
            <sz val="9"/>
            <color indexed="81"/>
            <rFont val="Tahoma"/>
            <family val="2"/>
          </rPr>
          <t>Right-click to build filter</t>
        </r>
      </text>
    </comment>
    <comment ref="K32" authorId="0" shapeId="0" xr:uid="{00000000-0006-0000-5000-000002000000}">
      <text>
        <r>
          <rPr>
            <b/>
            <sz val="9"/>
            <color indexed="81"/>
            <rFont val="Tahoma"/>
            <family val="2"/>
          </rPr>
          <t>ekrolik:</t>
        </r>
        <r>
          <rPr>
            <sz val="9"/>
            <color indexed="81"/>
            <rFont val="Tahoma"/>
            <family val="2"/>
          </rPr>
          <t xml:space="preserve">
Drill Down Indicator.  Double Click to drill into additional detail.</t>
        </r>
      </text>
    </comment>
    <comment ref="B60" authorId="0" shapeId="0" xr:uid="{00000000-0006-0000-5000-000003000000}">
      <text>
        <r>
          <rPr>
            <sz val="9"/>
            <color indexed="81"/>
            <rFont val="Tahoma"/>
            <family val="2"/>
          </rPr>
          <t>Right-click to build filter</t>
        </r>
      </text>
    </comment>
    <comment ref="B83" authorId="0" shapeId="0" xr:uid="{00000000-0006-0000-5000-000004000000}">
      <text>
        <r>
          <rPr>
            <sz val="9"/>
            <color indexed="81"/>
            <rFont val="Tahoma"/>
            <family val="2"/>
          </rPr>
          <t>Right-click to build filter</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200-000001000000}">
      <text>
        <r>
          <rPr>
            <sz val="9"/>
            <color indexed="81"/>
            <rFont val="Tahoma"/>
            <family val="2"/>
          </rPr>
          <t>Right-click to build filter</t>
        </r>
      </text>
    </comment>
    <comment ref="K32" authorId="0" shapeId="0" xr:uid="{00000000-0006-0000-52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400-000001000000}">
      <text>
        <r>
          <rPr>
            <sz val="9"/>
            <color indexed="81"/>
            <rFont val="Tahoma"/>
            <family val="2"/>
          </rPr>
          <t>Right-click to build filter</t>
        </r>
      </text>
    </comment>
    <comment ref="K32" authorId="0" shapeId="0" xr:uid="{00000000-0006-0000-54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600-000001000000}">
      <text>
        <r>
          <rPr>
            <sz val="9"/>
            <color indexed="81"/>
            <rFont val="Tahoma"/>
            <family val="2"/>
          </rPr>
          <t>Right-click to build filter</t>
        </r>
      </text>
    </comment>
    <comment ref="K32" authorId="0" shapeId="0" xr:uid="{00000000-0006-0000-56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800-000001000000}">
      <text>
        <r>
          <rPr>
            <sz val="9"/>
            <color indexed="81"/>
            <rFont val="Tahoma"/>
            <family val="2"/>
          </rPr>
          <t>Right-click to build filter</t>
        </r>
      </text>
    </comment>
    <comment ref="K32" authorId="0" shapeId="0" xr:uid="{00000000-0006-0000-58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A00-000001000000}">
      <text>
        <r>
          <rPr>
            <sz val="9"/>
            <color indexed="81"/>
            <rFont val="Tahoma"/>
            <family val="2"/>
          </rPr>
          <t>Right-click to build filter</t>
        </r>
      </text>
    </comment>
    <comment ref="K32" authorId="0" shapeId="0" xr:uid="{00000000-0006-0000-5A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C00-000001000000}">
      <text>
        <r>
          <rPr>
            <sz val="9"/>
            <color indexed="81"/>
            <rFont val="Tahoma"/>
            <family val="2"/>
          </rPr>
          <t>Right-click to build filter</t>
        </r>
      </text>
    </comment>
    <comment ref="K32" authorId="0" shapeId="0" xr:uid="{00000000-0006-0000-5C00-000002000000}">
      <text>
        <r>
          <rPr>
            <b/>
            <sz val="9"/>
            <color indexed="81"/>
            <rFont val="Tahoma"/>
            <family val="2"/>
          </rPr>
          <t>ekrolik:</t>
        </r>
        <r>
          <rPr>
            <sz val="9"/>
            <color indexed="81"/>
            <rFont val="Tahoma"/>
            <family val="2"/>
          </rPr>
          <t xml:space="preserve">
Drill Down Indicator.  Double Click to drill into additional detail.</t>
        </r>
      </text>
    </comment>
    <comment ref="B73" authorId="0" shapeId="0" xr:uid="{00000000-0006-0000-5C00-000003000000}">
      <text>
        <r>
          <rPr>
            <sz val="9"/>
            <color indexed="81"/>
            <rFont val="Tahoma"/>
            <family val="2"/>
          </rPr>
          <t>Right-click to build filter</t>
        </r>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D00-000001000000}">
      <text>
        <r>
          <rPr>
            <sz val="9"/>
            <color indexed="81"/>
            <rFont val="Tahoma"/>
            <family val="2"/>
          </rPr>
          <t>Right-click to build filter</t>
        </r>
      </text>
    </comment>
    <comment ref="K32" authorId="0" shapeId="0" xr:uid="{00000000-0006-0000-5D00-000002000000}">
      <text>
        <r>
          <rPr>
            <b/>
            <sz val="9"/>
            <color indexed="81"/>
            <rFont val="Tahoma"/>
            <family val="2"/>
          </rPr>
          <t>ekrolik:</t>
        </r>
        <r>
          <rPr>
            <sz val="9"/>
            <color indexed="81"/>
            <rFont val="Tahoma"/>
            <family val="2"/>
          </rPr>
          <t xml:space="preserve">
Drill Down Indicator.  Double Click to drill into additional detail.</t>
        </r>
      </text>
    </comment>
    <comment ref="B73" authorId="0" shapeId="0" xr:uid="{00000000-0006-0000-5D00-000003000000}">
      <text>
        <r>
          <rPr>
            <sz val="9"/>
            <color indexed="81"/>
            <rFont val="Tahoma"/>
            <family val="2"/>
          </rPr>
          <t>Right-click to build filter</t>
        </r>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E00-000001000000}">
      <text>
        <r>
          <rPr>
            <sz val="9"/>
            <color indexed="81"/>
            <rFont val="Tahoma"/>
            <family val="2"/>
          </rPr>
          <t>Right-click to build filter</t>
        </r>
      </text>
    </comment>
    <comment ref="K32" authorId="0" shapeId="0" xr:uid="{00000000-0006-0000-5E00-000002000000}">
      <text>
        <r>
          <rPr>
            <b/>
            <sz val="9"/>
            <color indexed="81"/>
            <rFont val="Tahoma"/>
            <family val="2"/>
          </rPr>
          <t>ekrolik:</t>
        </r>
        <r>
          <rPr>
            <sz val="9"/>
            <color indexed="81"/>
            <rFont val="Tahoma"/>
            <family val="2"/>
          </rPr>
          <t xml:space="preserve">
Drill Down Indicator.  Double Click to drill into additional detail.</t>
        </r>
      </text>
    </comment>
    <comment ref="B60" authorId="0" shapeId="0" xr:uid="{00000000-0006-0000-5E00-000003000000}">
      <text>
        <r>
          <rPr>
            <sz val="9"/>
            <color indexed="81"/>
            <rFont val="Tahoma"/>
            <family val="2"/>
          </rPr>
          <t>Right-click to build filter</t>
        </r>
      </text>
    </comment>
  </commentList>
</comments>
</file>

<file path=xl/comments6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F00-000001000000}">
      <text>
        <r>
          <rPr>
            <sz val="9"/>
            <color indexed="81"/>
            <rFont val="Tahoma"/>
            <family val="2"/>
          </rPr>
          <t>Right-click to build filter</t>
        </r>
      </text>
    </comment>
    <comment ref="K32" authorId="0" shapeId="0" xr:uid="{00000000-0006-0000-5F00-000002000000}">
      <text>
        <r>
          <rPr>
            <b/>
            <sz val="9"/>
            <color indexed="81"/>
            <rFont val="Tahoma"/>
            <family val="2"/>
          </rPr>
          <t>ekrolik:</t>
        </r>
        <r>
          <rPr>
            <sz val="9"/>
            <color indexed="81"/>
            <rFont val="Tahoma"/>
            <family val="2"/>
          </rPr>
          <t xml:space="preserve">
Drill Down Indicator.  Double Click to drill into additional detail.</t>
        </r>
      </text>
    </comment>
    <comment ref="B60" authorId="0" shapeId="0" xr:uid="{00000000-0006-0000-5F00-000003000000}">
      <text>
        <r>
          <rPr>
            <sz val="9"/>
            <color indexed="81"/>
            <rFont val="Tahoma"/>
            <family val="2"/>
          </rPr>
          <t>Right-click to build filter</t>
        </r>
      </text>
    </comment>
  </commentList>
</comments>
</file>

<file path=xl/comments6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6000-000001000000}">
      <text>
        <r>
          <rPr>
            <sz val="9"/>
            <color indexed="81"/>
            <rFont val="Tahoma"/>
            <family val="2"/>
          </rPr>
          <t>Right-click to build filter</t>
        </r>
      </text>
    </comment>
    <comment ref="K32" authorId="0" shapeId="0" xr:uid="{00000000-0006-0000-60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7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6100-000001000000}">
      <text>
        <r>
          <rPr>
            <sz val="9"/>
            <color indexed="81"/>
            <rFont val="Tahoma"/>
            <family val="2"/>
          </rPr>
          <t>Right-click to build filter</t>
        </r>
      </text>
    </comment>
    <comment ref="K32" authorId="0" shapeId="0" xr:uid="{00000000-0006-0000-61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sharedStrings.xml><?xml version="1.0" encoding="utf-8"?>
<sst xmlns="http://schemas.openxmlformats.org/spreadsheetml/2006/main" count="20555" uniqueCount="1638">
  <si>
    <t>RANGE</t>
  </si>
  <si>
    <t>VALUE</t>
  </si>
  <si>
    <t>PageKeyRange</t>
  </si>
  <si>
    <t>ColKeyRange</t>
  </si>
  <si>
    <t>RowKeyRange</t>
  </si>
  <si>
    <t>CellKeyRange</t>
  </si>
  <si>
    <t>GetOnlyRange</t>
  </si>
  <si>
    <t>FormatRange</t>
  </si>
  <si>
    <t>SortRange</t>
  </si>
  <si>
    <t>PARAMETER</t>
  </si>
  <si>
    <t>EXPANSION 1</t>
  </si>
  <si>
    <t>ExpandIn</t>
  </si>
  <si>
    <t>Dimension</t>
  </si>
  <si>
    <t>MemberSet</t>
  </si>
  <si>
    <t>BeforeRange</t>
  </si>
  <si>
    <t>AfterRange</t>
  </si>
  <si>
    <t>Suppress</t>
  </si>
  <si>
    <t>Insert</t>
  </si>
  <si>
    <t>TIME</t>
  </si>
  <si>
    <t>CATEGORY</t>
  </si>
  <si>
    <t>MEASURES</t>
  </si>
  <si>
    <t>ROW</t>
  </si>
  <si>
    <t>ACCOUNT</t>
  </si>
  <si>
    <t>Option</t>
  </si>
  <si>
    <t>Value</t>
  </si>
  <si>
    <t>AutoFitCol</t>
  </si>
  <si>
    <t>Bottom</t>
  </si>
  <si>
    <t>DumpDataCache</t>
  </si>
  <si>
    <t>ExpandOnly</t>
  </si>
  <si>
    <t>GroupExpansion</t>
  </si>
  <si>
    <t>HideColKeys</t>
  </si>
  <si>
    <t>HideRowKeys</t>
  </si>
  <si>
    <t>NoRefresh</t>
  </si>
  <si>
    <t>NoSend</t>
  </si>
  <si>
    <t>PctInput</t>
  </si>
  <si>
    <t>QueryEngine</t>
  </si>
  <si>
    <t>QueryType</t>
  </si>
  <si>
    <t>QueryViewName</t>
  </si>
  <si>
    <t>ShowComments</t>
  </si>
  <si>
    <t>ShowNullAsZero</t>
  </si>
  <si>
    <t>SortCol</t>
  </si>
  <si>
    <t>SqlOnly</t>
  </si>
  <si>
    <t>SumParent</t>
  </si>
  <si>
    <t>SuppressDataCol</t>
  </si>
  <si>
    <t>SuppressDataRow</t>
  </si>
  <si>
    <t>SuppressNoData</t>
  </si>
  <si>
    <t>Top</t>
  </si>
  <si>
    <t>OptionRange</t>
  </si>
  <si>
    <t>App</t>
  </si>
  <si>
    <t>FINANCE</t>
  </si>
  <si>
    <t>BUSINESSUNIT</t>
  </si>
  <si>
    <t>DATASRC</t>
  </si>
  <si>
    <t>DEPARTMENT</t>
  </si>
  <si>
    <t>INTCO</t>
  </si>
  <si>
    <t>RPTCURRENCY</t>
  </si>
  <si>
    <t>PERIODIC</t>
  </si>
  <si>
    <t>GOI</t>
  </si>
  <si>
    <t>$</t>
  </si>
  <si>
    <t>%</t>
  </si>
  <si>
    <t>TOTALADJ</t>
  </si>
  <si>
    <t>D_ROOMS_CON</t>
  </si>
  <si>
    <t>All_InterCo</t>
  </si>
  <si>
    <t>LC</t>
  </si>
  <si>
    <t>YTD</t>
  </si>
  <si>
    <t>401000</t>
  </si>
  <si>
    <t>402200</t>
  </si>
  <si>
    <t>402000</t>
  </si>
  <si>
    <t>403000</t>
  </si>
  <si>
    <t>401200</t>
  </si>
  <si>
    <t>REV</t>
  </si>
  <si>
    <t>TRANSRR</t>
  </si>
  <si>
    <t>GROUPRR</t>
  </si>
  <si>
    <t>ROOMS_TOT</t>
  </si>
  <si>
    <t>LABORRL</t>
  </si>
  <si>
    <t>SALWAG</t>
  </si>
  <si>
    <t>NONMGMT</t>
  </si>
  <si>
    <t>600000</t>
  </si>
  <si>
    <t>710000</t>
  </si>
  <si>
    <t>Y</t>
  </si>
  <si>
    <t>700000</t>
  </si>
  <si>
    <t>TOTDEPTEXP</t>
  </si>
  <si>
    <t>TOTDEPTPL</t>
  </si>
  <si>
    <t>OTHR_EXP</t>
  </si>
  <si>
    <t>R_RETAIL</t>
  </si>
  <si>
    <t>R_DISCNT</t>
  </si>
  <si>
    <t>R_NEGOT</t>
  </si>
  <si>
    <t>R_QUALF</t>
  </si>
  <si>
    <t>R_CORP</t>
  </si>
  <si>
    <t>R_ASSCN</t>
  </si>
  <si>
    <t>401800</t>
  </si>
  <si>
    <t>R_TOURW</t>
  </si>
  <si>
    <t>403990</t>
  </si>
  <si>
    <t>CRITERIA</t>
  </si>
  <si>
    <t>EVALUATE IN</t>
  </si>
  <si>
    <t>FORMAT</t>
  </si>
  <si>
    <t>USE</t>
  </si>
  <si>
    <t>PARAMETERS</t>
  </si>
  <si>
    <t>APPLY TO</t>
  </si>
  <si>
    <t>HEADING</t>
  </si>
  <si>
    <t>DATA</t>
  </si>
  <si>
    <t>ACCOUNT.STYLE=B1</t>
  </si>
  <si>
    <t>abc</t>
  </si>
  <si>
    <t>ACCOUNT.STYLE=T4</t>
  </si>
  <si>
    <t>INDENTLEVEL</t>
  </si>
  <si>
    <t>ACCOUNT.STYLE=T5</t>
  </si>
  <si>
    <t>ACCOUNT.STYLE=N</t>
  </si>
  <si>
    <t>FONTBOLD,INDENTLEVEL</t>
  </si>
  <si>
    <t>FONTBOLD,FRAME</t>
  </si>
  <si>
    <t>ACCOUNT.STYLE=T3</t>
  </si>
  <si>
    <t>ACCOUNT.STYLE=T2</t>
  </si>
  <si>
    <t>ACCOUNT.STYLE=T1</t>
  </si>
  <si>
    <t>DEP(700000)</t>
  </si>
  <si>
    <t>&lt;=== Select Category</t>
  </si>
  <si>
    <t>Double-click shaded cells to make selection</t>
  </si>
  <si>
    <t>&lt;=== Do not Delete</t>
  </si>
  <si>
    <t>Current Year</t>
  </si>
  <si>
    <t>TOTAL</t>
  </si>
  <si>
    <t>&gt;</t>
  </si>
  <si>
    <t>DEP(402000),402000,GROUPRR,DEP(401000),401000,R_CONTRACT,403000,403990,ROOMS_TOT</t>
  </si>
  <si>
    <t>R_CONTRACT</t>
  </si>
  <si>
    <t>(Drill Down Indicator - Double Click)</t>
  </si>
  <si>
    <t>402100</t>
  </si>
  <si>
    <t>402130</t>
  </si>
  <si>
    <t>402530</t>
  </si>
  <si>
    <t>402500</t>
  </si>
  <si>
    <t>402540</t>
  </si>
  <si>
    <t>402550</t>
  </si>
  <si>
    <t>402560</t>
  </si>
  <si>
    <t>402600</t>
  </si>
  <si>
    <t>402300</t>
  </si>
  <si>
    <t>402350</t>
  </si>
  <si>
    <t>402400</t>
  </si>
  <si>
    <t>402700</t>
  </si>
  <si>
    <t>402730</t>
  </si>
  <si>
    <t>401100</t>
  </si>
  <si>
    <t>401500</t>
  </si>
  <si>
    <t>401400</t>
  </si>
  <si>
    <t>401600</t>
  </si>
  <si>
    <t>401300</t>
  </si>
  <si>
    <t>401330</t>
  </si>
  <si>
    <t>401700</t>
  </si>
  <si>
    <t>902000</t>
  </si>
  <si>
    <t>S_RETAIL</t>
  </si>
  <si>
    <t>902100</t>
  </si>
  <si>
    <t>902130</t>
  </si>
  <si>
    <t>S_DISCNT</t>
  </si>
  <si>
    <t>902530</t>
  </si>
  <si>
    <t>902500</t>
  </si>
  <si>
    <t>902540</t>
  </si>
  <si>
    <t>902550</t>
  </si>
  <si>
    <t>902560</t>
  </si>
  <si>
    <t>902600</t>
  </si>
  <si>
    <t>S_NEGOT</t>
  </si>
  <si>
    <t>902300</t>
  </si>
  <si>
    <t>902350</t>
  </si>
  <si>
    <t>902200</t>
  </si>
  <si>
    <t>S_QUALF</t>
  </si>
  <si>
    <t>902700</t>
  </si>
  <si>
    <t>902730</t>
  </si>
  <si>
    <t>902400</t>
  </si>
  <si>
    <t>901000</t>
  </si>
  <si>
    <t>S_CORP</t>
  </si>
  <si>
    <t>901100</t>
  </si>
  <si>
    <t>901500</t>
  </si>
  <si>
    <t>S_ASSCN</t>
  </si>
  <si>
    <t>901200</t>
  </si>
  <si>
    <t>901600</t>
  </si>
  <si>
    <t>901800</t>
  </si>
  <si>
    <t>S_TOURW</t>
  </si>
  <si>
    <t>901300</t>
  </si>
  <si>
    <t>901330</t>
  </si>
  <si>
    <t>901400</t>
  </si>
  <si>
    <t>901700</t>
  </si>
  <si>
    <t>R_STAT</t>
  </si>
  <si>
    <t>900200</t>
  </si>
  <si>
    <t>BLANKROW</t>
  </si>
  <si>
    <t>903100</t>
  </si>
  <si>
    <t>ADR_INDT</t>
  </si>
  <si>
    <t>ADR_GROP</t>
  </si>
  <si>
    <t>ADR_CORPT</t>
  </si>
  <si>
    <t>ADR_CORP</t>
  </si>
  <si>
    <t>ADR_ENTR</t>
  </si>
  <si>
    <t>ADR_ASSCN</t>
  </si>
  <si>
    <t>ADR_ASSC</t>
  </si>
  <si>
    <t>ADR_CONV</t>
  </si>
  <si>
    <t>ADR_GGOV</t>
  </si>
  <si>
    <t>ADR_TOURW</t>
  </si>
  <si>
    <t>ADR_WHTT</t>
  </si>
  <si>
    <t>ADR_MICE</t>
  </si>
  <si>
    <t>ADR_SMERF</t>
  </si>
  <si>
    <t>ADR_RETAIL</t>
  </si>
  <si>
    <t>ADR_ROOM</t>
  </si>
  <si>
    <t>ADR_RWEB</t>
  </si>
  <si>
    <t>ADR_DISCNT</t>
  </si>
  <si>
    <t>ADR_PACK</t>
  </si>
  <si>
    <t>ADR_OTA</t>
  </si>
  <si>
    <t>ADR_BMPRO</t>
  </si>
  <si>
    <t>ADR_ADVPR</t>
  </si>
  <si>
    <t>ADR_LDISCNT</t>
  </si>
  <si>
    <t>ADR_PAPR</t>
  </si>
  <si>
    <t>ADR_NEGOT</t>
  </si>
  <si>
    <t>ADR_CONS</t>
  </si>
  <si>
    <t>ADR_NNEG</t>
  </si>
  <si>
    <t>ADR_LNEG</t>
  </si>
  <si>
    <t>ADR_QUALF</t>
  </si>
  <si>
    <t>ADR_QUDI</t>
  </si>
  <si>
    <t>ADR_TGOV</t>
  </si>
  <si>
    <t>ADR_WHOL</t>
  </si>
  <si>
    <t>KPI_ADR</t>
  </si>
  <si>
    <t>DEFAULT</t>
  </si>
  <si>
    <t>ADR_CONT</t>
  </si>
  <si>
    <t>904100</t>
  </si>
  <si>
    <t>905100</t>
  </si>
  <si>
    <t>905200</t>
  </si>
  <si>
    <t>905300</t>
  </si>
  <si>
    <t>906100</t>
  </si>
  <si>
    <t>907100</t>
  </si>
  <si>
    <t>907200</t>
  </si>
  <si>
    <t>907300</t>
  </si>
  <si>
    <t>Market Mix Analysis</t>
  </si>
  <si>
    <t>710150</t>
  </si>
  <si>
    <t>710140</t>
  </si>
  <si>
    <t>710145</t>
  </si>
  <si>
    <t>710160</t>
  </si>
  <si>
    <t>710170</t>
  </si>
  <si>
    <t>710180</t>
  </si>
  <si>
    <t>710190</t>
  </si>
  <si>
    <t>TLFEE</t>
  </si>
  <si>
    <t>TLCST</t>
  </si>
  <si>
    <t>TLOTHR</t>
  </si>
  <si>
    <t>910200</t>
  </si>
  <si>
    <t>RESATHOTEL</t>
  </si>
  <si>
    <t>910220</t>
  </si>
  <si>
    <t>910230</t>
  </si>
  <si>
    <t>910240</t>
  </si>
  <si>
    <t>910250</t>
  </si>
  <si>
    <t>TLNETRES</t>
  </si>
  <si>
    <t>D_RESV_CON</t>
  </si>
  <si>
    <t>910200,BLANKROW,DEP(TLNETRES),TLNETRES</t>
  </si>
  <si>
    <t>RESVEXP</t>
  </si>
  <si>
    <t>RESVSTAT</t>
  </si>
  <si>
    <t>OTHRESV</t>
  </si>
  <si>
    <t>Reservations Operating Expenses</t>
  </si>
  <si>
    <t>Total Reservations Expense</t>
  </si>
  <si>
    <t>ACCOUNT.ID=710000</t>
  </si>
  <si>
    <t>CRS Fee Per Call</t>
  </si>
  <si>
    <t>Net Booking Fee Per Reservation</t>
  </si>
  <si>
    <t>Kimpton Fee Per Available Room</t>
  </si>
  <si>
    <t>GDS Cost Per Reservation</t>
  </si>
  <si>
    <t>Hotel Website Fee Per Reservation</t>
  </si>
  <si>
    <t>E-Channel Fee Per Reservation</t>
  </si>
  <si>
    <t>Total Res. Exp. Per Reservation</t>
  </si>
  <si>
    <t>Payroll Cost Per Total Net Reservation</t>
  </si>
  <si>
    <t>Total Cost Per Net Reservation</t>
  </si>
  <si>
    <t>D1120</t>
  </si>
  <si>
    <t>CURRENT</t>
  </si>
  <si>
    <t>DEP(TLFEE),TLFEE,DEP(TLOTHR),TLOTHR,710000</t>
  </si>
  <si>
    <t>S_TRMSLD</t>
  </si>
  <si>
    <t>D_REST_OUTLET</t>
  </si>
  <si>
    <t>FOOD</t>
  </si>
  <si>
    <t>461100</t>
  </si>
  <si>
    <t>462100</t>
  </si>
  <si>
    <t>463100</t>
  </si>
  <si>
    <t>464100</t>
  </si>
  <si>
    <t>465100</t>
  </si>
  <si>
    <t>REV_F</t>
  </si>
  <si>
    <t>BEV</t>
  </si>
  <si>
    <t>BEV_B</t>
  </si>
  <si>
    <t>BEV_L</t>
  </si>
  <si>
    <t>BEV_D</t>
  </si>
  <si>
    <t>BEV_BAR</t>
  </si>
  <si>
    <t>BEV_PD</t>
  </si>
  <si>
    <t>REV_BEV</t>
  </si>
  <si>
    <t>REV_FB</t>
  </si>
  <si>
    <t>468300</t>
  </si>
  <si>
    <t>468350</t>
  </si>
  <si>
    <t>468550</t>
  </si>
  <si>
    <t>REV_OTHR</t>
  </si>
  <si>
    <t>Filter</t>
  </si>
  <si>
    <t>OTHR_REV</t>
  </si>
  <si>
    <t>400000</t>
  </si>
  <si>
    <t>COS</t>
  </si>
  <si>
    <t>REV_SVCCHG</t>
  </si>
  <si>
    <t>REV_MISC_OTHR</t>
  </si>
  <si>
    <t>COSFB</t>
  </si>
  <si>
    <t>561100</t>
  </si>
  <si>
    <t>COS_FB</t>
  </si>
  <si>
    <t>COSOTH</t>
  </si>
  <si>
    <t>COS_OTHR</t>
  </si>
  <si>
    <t>500001</t>
  </si>
  <si>
    <t>RETAIN(NONMGMT)</t>
  </si>
  <si>
    <t>SALY_MGMT,NONMGMT,DEP(HRLY_NONMGMT),600001,DEP(PAY_OTHER),PAYSUB1,PAYRLTD,DEP(PAY_RELATED),PAY_RELATED,600000</t>
  </si>
  <si>
    <t>KPI_GP</t>
  </si>
  <si>
    <t>NOEXPAND</t>
  </si>
  <si>
    <t>461200</t>
  </si>
  <si>
    <t>461300</t>
  </si>
  <si>
    <t>461400</t>
  </si>
  <si>
    <t>946100</t>
  </si>
  <si>
    <t>946200</t>
  </si>
  <si>
    <t>946300</t>
  </si>
  <si>
    <t>946400</t>
  </si>
  <si>
    <t>462200</t>
  </si>
  <si>
    <t>463200</t>
  </si>
  <si>
    <t>462400</t>
  </si>
  <si>
    <t>463400</t>
  </si>
  <si>
    <t>462300</t>
  </si>
  <si>
    <t>463300</t>
  </si>
  <si>
    <t>Bar</t>
  </si>
  <si>
    <t>464200</t>
  </si>
  <si>
    <t>464400</t>
  </si>
  <si>
    <t>464300</t>
  </si>
  <si>
    <t>KPI_AC</t>
  </si>
  <si>
    <t>Breakfast</t>
  </si>
  <si>
    <t>KPI_BAC</t>
  </si>
  <si>
    <t>Lunch</t>
  </si>
  <si>
    <t>KPI_LAC</t>
  </si>
  <si>
    <t>Dinner</t>
  </si>
  <si>
    <t>KPI_DAC</t>
  </si>
  <si>
    <t>KPI_B</t>
  </si>
  <si>
    <t>KPI_L</t>
  </si>
  <si>
    <t>KPI_D</t>
  </si>
  <si>
    <t>465200</t>
  </si>
  <si>
    <t>465400</t>
  </si>
  <si>
    <t>465300</t>
  </si>
  <si>
    <t>Private Dining</t>
  </si>
  <si>
    <t>KPI_PDAC</t>
  </si>
  <si>
    <t>946500</t>
  </si>
  <si>
    <t>KPI_BAR</t>
  </si>
  <si>
    <t>KPI_BARAC</t>
  </si>
  <si>
    <t>REV_PD</t>
  </si>
  <si>
    <t>Revenue Mix, Average Check, Covers</t>
  </si>
  <si>
    <t>946000</t>
  </si>
  <si>
    <t>HWHRLY_FBKIT</t>
  </si>
  <si>
    <t>HWHRLY_FBVEN</t>
  </si>
  <si>
    <t>Covers/ Labor Hour</t>
  </si>
  <si>
    <t>F&amp;B Kitchen</t>
  </si>
  <si>
    <t>F&amp;B Venues</t>
  </si>
  <si>
    <t>Liquor</t>
  </si>
  <si>
    <t>Wine</t>
  </si>
  <si>
    <t>Beer</t>
  </si>
  <si>
    <t>KPI_CL</t>
  </si>
  <si>
    <t>KPI_CW</t>
  </si>
  <si>
    <t>KPI_CB</t>
  </si>
  <si>
    <t>Beverage Revenue Mix</t>
  </si>
  <si>
    <t>(Revenue mix expressed as % of F&amp;B Revenue)</t>
  </si>
  <si>
    <t>Average Check - Verify</t>
  </si>
  <si>
    <t>D_RS_CON</t>
  </si>
  <si>
    <t>D_BCC_CON</t>
  </si>
  <si>
    <t>Totals</t>
  </si>
  <si>
    <t>D1149</t>
  </si>
  <si>
    <t>467100</t>
  </si>
  <si>
    <t>467200</t>
  </si>
  <si>
    <t>467300</t>
  </si>
  <si>
    <t>567100</t>
  </si>
  <si>
    <t>567200</t>
  </si>
  <si>
    <t>567300</t>
  </si>
  <si>
    <t>Food &amp; Beverage</t>
  </si>
  <si>
    <t>EXPANSION 2</t>
  </si>
  <si>
    <t>D_REST_CON</t>
  </si>
  <si>
    <t>D_REST_OUTLET,D_RS_CON,D_BCC_CON,D1149,D_REST_CON</t>
  </si>
  <si>
    <t>REV_F,|REV_BEV</t>
  </si>
  <si>
    <t>Static</t>
  </si>
  <si>
    <t>Mini Bar</t>
  </si>
  <si>
    <t>REV_MBFB</t>
  </si>
  <si>
    <t>GL</t>
  </si>
  <si>
    <t>D_TELCOM</t>
  </si>
  <si>
    <t>D1132</t>
  </si>
  <si>
    <t>420300</t>
  </si>
  <si>
    <t>REV_SKIN</t>
  </si>
  <si>
    <t>REV_HAIR</t>
  </si>
  <si>
    <t>REV_NAIL</t>
  </si>
  <si>
    <t>REV_FITNES</t>
  </si>
  <si>
    <t>420350</t>
  </si>
  <si>
    <t>REV_MEMBR</t>
  </si>
  <si>
    <t>REV_SPARET</t>
  </si>
  <si>
    <t>420700</t>
  </si>
  <si>
    <t>420990</t>
  </si>
  <si>
    <t>520600</t>
  </si>
  <si>
    <t>520650</t>
  </si>
  <si>
    <t>COS_SPARET</t>
  </si>
  <si>
    <t>D1133</t>
  </si>
  <si>
    <t>430100</t>
  </si>
  <si>
    <t>REV_VALPRK</t>
  </si>
  <si>
    <t>430300</t>
  </si>
  <si>
    <t>430990</t>
  </si>
  <si>
    <t>530100</t>
  </si>
  <si>
    <t>D1136</t>
  </si>
  <si>
    <t>440100</t>
  </si>
  <si>
    <t>440200</t>
  </si>
  <si>
    <t>440300</t>
  </si>
  <si>
    <t>440400</t>
  </si>
  <si>
    <t>440500</t>
  </si>
  <si>
    <t>440600</t>
  </si>
  <si>
    <t>440700</t>
  </si>
  <si>
    <t>440800</t>
  </si>
  <si>
    <t>440900</t>
  </si>
  <si>
    <t>440990</t>
  </si>
  <si>
    <t>540100</t>
  </si>
  <si>
    <t>540200</t>
  </si>
  <si>
    <t>540300</t>
  </si>
  <si>
    <t>540400</t>
  </si>
  <si>
    <t>540500</t>
  </si>
  <si>
    <t>540600</t>
  </si>
  <si>
    <t>540700</t>
  </si>
  <si>
    <t>540800</t>
  </si>
  <si>
    <t>540900</t>
  </si>
  <si>
    <t>D2149</t>
  </si>
  <si>
    <t>469100</t>
  </si>
  <si>
    <t>469200</t>
  </si>
  <si>
    <t>469300</t>
  </si>
  <si>
    <t>469400</t>
  </si>
  <si>
    <t>469500</t>
  </si>
  <si>
    <t>469600</t>
  </si>
  <si>
    <t>469700</t>
  </si>
  <si>
    <t>469800</t>
  </si>
  <si>
    <t>569100</t>
  </si>
  <si>
    <t>569200</t>
  </si>
  <si>
    <t>569300</t>
  </si>
  <si>
    <t>569400</t>
  </si>
  <si>
    <t>569500</t>
  </si>
  <si>
    <t>569600</t>
  </si>
  <si>
    <t>569700</t>
  </si>
  <si>
    <t>569800</t>
  </si>
  <si>
    <t>D1138</t>
  </si>
  <si>
    <t>410000</t>
  </si>
  <si>
    <t>450100</t>
  </si>
  <si>
    <t>450150</t>
  </si>
  <si>
    <t>450200</t>
  </si>
  <si>
    <t>450250</t>
  </si>
  <si>
    <t>450300</t>
  </si>
  <si>
    <t>450350</t>
  </si>
  <si>
    <t>450400</t>
  </si>
  <si>
    <t>450450</t>
  </si>
  <si>
    <t>450500</t>
  </si>
  <si>
    <t>450550</t>
  </si>
  <si>
    <t>450600</t>
  </si>
  <si>
    <t>450650</t>
  </si>
  <si>
    <t>510000</t>
  </si>
  <si>
    <t>550100</t>
  </si>
  <si>
    <t>550150</t>
  </si>
  <si>
    <t>550200</t>
  </si>
  <si>
    <t>550250</t>
  </si>
  <si>
    <t>550300</t>
  </si>
  <si>
    <t>550350</t>
  </si>
  <si>
    <t>550400</t>
  </si>
  <si>
    <t>550450</t>
  </si>
  <si>
    <t>550500</t>
  </si>
  <si>
    <t>550550</t>
  </si>
  <si>
    <t>550600</t>
  </si>
  <si>
    <t>550650</t>
  </si>
  <si>
    <t>Guest Communication</t>
  </si>
  <si>
    <t>Movie</t>
  </si>
  <si>
    <t>Guest Laundry</t>
  </si>
  <si>
    <t>In Room Fax</t>
  </si>
  <si>
    <t>In Room Items</t>
  </si>
  <si>
    <t>Massage</t>
  </si>
  <si>
    <t>Other 1</t>
  </si>
  <si>
    <t>Other 2</t>
  </si>
  <si>
    <t>Other 3</t>
  </si>
  <si>
    <t>Other 4</t>
  </si>
  <si>
    <t>Other 5</t>
  </si>
  <si>
    <t>Other 6</t>
  </si>
  <si>
    <t>Total Department Profit (Loss)</t>
  </si>
  <si>
    <t>D_OTHER_CON</t>
  </si>
  <si>
    <t>DIRECTEXP</t>
  </si>
  <si>
    <t>DEPARTMENT.HLEVEL&lt;&gt;3</t>
  </si>
  <si>
    <t>DEPARTMENT.HLEVEL=3</t>
  </si>
  <si>
    <t>400000|DIRECTEXP|TOTDEPTPL</t>
  </si>
  <si>
    <t>D_TELCOM,D1132,D1133,D1136,D2149,D1138</t>
  </si>
  <si>
    <t>Total Departmental Expenses</t>
  </si>
  <si>
    <t>Total Departmental Revenues</t>
  </si>
  <si>
    <t>Total Departmental Profit</t>
  </si>
  <si>
    <t>D_ROI_CON</t>
  </si>
  <si>
    <t>468990</t>
  </si>
  <si>
    <t>469990</t>
  </si>
  <si>
    <t>450375</t>
  </si>
  <si>
    <t>450380</t>
  </si>
  <si>
    <t>450385</t>
  </si>
  <si>
    <t>450390</t>
  </si>
  <si>
    <t>450395</t>
  </si>
  <si>
    <t>ALLOW_MOP</t>
  </si>
  <si>
    <t>550375</t>
  </si>
  <si>
    <t>550380</t>
  </si>
  <si>
    <t>550385</t>
  </si>
  <si>
    <t>550390</t>
  </si>
  <si>
    <t>550395</t>
  </si>
  <si>
    <t>ALLOW_FB</t>
  </si>
  <si>
    <t>Gym Pass</t>
  </si>
  <si>
    <t>Shared Facilities &amp; Services</t>
  </si>
  <si>
    <t>Retail Kiosk</t>
  </si>
  <si>
    <t>Vending Machines</t>
  </si>
  <si>
    <t>Laundry Machines</t>
  </si>
  <si>
    <t>Occasional F&amp;B</t>
  </si>
  <si>
    <t>EXP</t>
  </si>
  <si>
    <t>ADROCC</t>
  </si>
  <si>
    <t>KPI_OCCUPC</t>
  </si>
  <si>
    <t>Total ADR/ OCC%</t>
  </si>
  <si>
    <t>D_AG_CON</t>
  </si>
  <si>
    <t>D_AGHR</t>
  </si>
  <si>
    <t>D_CON</t>
  </si>
  <si>
    <t>D_IT_CON</t>
  </si>
  <si>
    <t>SYSEXP</t>
  </si>
  <si>
    <t>ITSYS_EXP</t>
  </si>
  <si>
    <t>DEP(ITSYS_EXP)|DEP(700000) AND ID &lt;&gt; ITSYS_EXP AND ID &lt;&gt; 707900</t>
  </si>
  <si>
    <t>COSSRVC</t>
  </si>
  <si>
    <t>DEP(707900)</t>
  </si>
  <si>
    <t>707901</t>
  </si>
  <si>
    <t>707902</t>
  </si>
  <si>
    <t>707903</t>
  </si>
  <si>
    <t>707904</t>
  </si>
  <si>
    <t>707905</t>
  </si>
  <si>
    <t>707900</t>
  </si>
  <si>
    <t>D_SM_CON</t>
  </si>
  <si>
    <t>D_PM_CON</t>
  </si>
  <si>
    <t>D_EC_CON</t>
  </si>
  <si>
    <t>DEP(717000),702600</t>
  </si>
  <si>
    <t>D_MGMT_CON</t>
  </si>
  <si>
    <t>DEP(731000)</t>
  </si>
  <si>
    <t>MGTFEES</t>
  </si>
  <si>
    <t>D_FIXED</t>
  </si>
  <si>
    <t>TOTAL_RENT</t>
  </si>
  <si>
    <t>TOTAL_TAX</t>
  </si>
  <si>
    <t>804100</t>
  </si>
  <si>
    <t>804110</t>
  </si>
  <si>
    <t>804120</t>
  </si>
  <si>
    <t>804000</t>
  </si>
  <si>
    <t>RENT_LB</t>
  </si>
  <si>
    <t>RENT_OTH</t>
  </si>
  <si>
    <t>752100</t>
  </si>
  <si>
    <t>752200</t>
  </si>
  <si>
    <t>752300</t>
  </si>
  <si>
    <t>752400</t>
  </si>
  <si>
    <t>751100</t>
  </si>
  <si>
    <t>751200</t>
  </si>
  <si>
    <t>751300</t>
  </si>
  <si>
    <t>751400</t>
  </si>
  <si>
    <t>751500</t>
  </si>
  <si>
    <t>751000</t>
  </si>
  <si>
    <t>801290</t>
  </si>
  <si>
    <t>801300</t>
  </si>
  <si>
    <t>801360</t>
  </si>
  <si>
    <t>MISC_NONOP</t>
  </si>
  <si>
    <t>801000</t>
  </si>
  <si>
    <t>OTHEXP</t>
  </si>
  <si>
    <t>INCOME</t>
  </si>
  <si>
    <t>OTHR_DESC</t>
  </si>
  <si>
    <t>PROP_OTAX</t>
  </si>
  <si>
    <t>RENT_DESC</t>
  </si>
  <si>
    <t>UTIL</t>
  </si>
  <si>
    <t>DEP(804000),804000,RENT_DESC,DEP(TOTAL_RENT),TOTAL_RENT,PROP_OTAX,DEP(TOTAL_TAX),TOTAL_TAX,INSRC,DEP(751000),751000,OTHR_DESC,DEP(801000),801000</t>
  </si>
  <si>
    <t>INSRC</t>
  </si>
  <si>
    <t>FONT,INDENTLEVEL</t>
  </si>
  <si>
    <t>D1228</t>
  </si>
  <si>
    <t>PAYRLTD</t>
  </si>
  <si>
    <t>799999</t>
  </si>
  <si>
    <t>Total Allocations</t>
  </si>
  <si>
    <t>Cost of House Laundry</t>
  </si>
  <si>
    <t>Total Credits</t>
  </si>
  <si>
    <t>Net Recovery</t>
  </si>
  <si>
    <t>D2259</t>
  </si>
  <si>
    <t>Supplemental Pay</t>
  </si>
  <si>
    <t>Payroll Taxes</t>
  </si>
  <si>
    <t>Employee Benefits</t>
  </si>
  <si>
    <t>D_ALLOC_CON</t>
  </si>
  <si>
    <t>DEPEXP</t>
  </si>
  <si>
    <t>UNDEXP</t>
  </si>
  <si>
    <t>D_UNALLOC_CON</t>
  </si>
  <si>
    <t>KPI_GOP</t>
  </si>
  <si>
    <t>D_PROP</t>
  </si>
  <si>
    <t xml:space="preserve">  </t>
  </si>
  <si>
    <t>EBITDA</t>
  </si>
  <si>
    <t>801100</t>
  </si>
  <si>
    <t>801400</t>
  </si>
  <si>
    <t>801900</t>
  </si>
  <si>
    <t>INCBEFNON</t>
  </si>
  <si>
    <t>NONOPP</t>
  </si>
  <si>
    <t>INTDEPAMT</t>
  </si>
  <si>
    <t>INCBEFTAX</t>
  </si>
  <si>
    <t>803000</t>
  </si>
  <si>
    <t>NETINCOME</t>
  </si>
  <si>
    <t>992200</t>
  </si>
  <si>
    <t>EBITDA: Less Replacement Reserve</t>
  </si>
  <si>
    <t>KPI_REVPAR</t>
  </si>
  <si>
    <t>D_Const_and_Reno</t>
  </si>
  <si>
    <t>NetIncome</t>
  </si>
  <si>
    <t>Total Other - Reported</t>
  </si>
  <si>
    <t>Other</t>
  </si>
  <si>
    <t>("Other" manual recalculation due to Construction and Reno departments impact.  Kimpton rolls the net affect into "Pre-Opening Expense", under Other.</t>
  </si>
  <si>
    <t>Total Other - recalcualted</t>
  </si>
  <si>
    <t>("Other" manual recalculation due to Construction and Reno departments impact)</t>
  </si>
  <si>
    <t>FRAME</t>
  </si>
  <si>
    <t>dept profit</t>
  </si>
  <si>
    <t>789110</t>
  </si>
  <si>
    <t>789115</t>
  </si>
  <si>
    <t>DEP(ALLOC_OUT)</t>
  </si>
  <si>
    <t>Allocations</t>
  </si>
  <si>
    <t>Credits</t>
  </si>
  <si>
    <t>ActualFlag</t>
  </si>
  <si>
    <t>TIMEID</t>
  </si>
  <si>
    <t>MONTH</t>
  </si>
  <si>
    <t>PERIOD</t>
  </si>
  <si>
    <t>MEASURE</t>
  </si>
  <si>
    <t>ForecastYear</t>
  </si>
  <si>
    <t>JAN</t>
  </si>
  <si>
    <t>FEB</t>
  </si>
  <si>
    <t>MAR</t>
  </si>
  <si>
    <t>APR</t>
  </si>
  <si>
    <t>MAY</t>
  </si>
  <si>
    <t>JUN</t>
  </si>
  <si>
    <t>JUL</t>
  </si>
  <si>
    <t>AUG</t>
  </si>
  <si>
    <t>SEP</t>
  </si>
  <si>
    <t>OCT</t>
  </si>
  <si>
    <t>NOV</t>
  </si>
  <si>
    <t>DEC</t>
  </si>
  <si>
    <t>P01</t>
  </si>
  <si>
    <t>P02</t>
  </si>
  <si>
    <t>P03</t>
  </si>
  <si>
    <t>P04</t>
  </si>
  <si>
    <t>P05</t>
  </si>
  <si>
    <t>P06</t>
  </si>
  <si>
    <t>P07</t>
  </si>
  <si>
    <t>P08</t>
  </si>
  <si>
    <t>P09</t>
  </si>
  <si>
    <t>P10</t>
  </si>
  <si>
    <t>P11</t>
  </si>
  <si>
    <t>P12</t>
  </si>
  <si>
    <t>Monthly Data Columns</t>
  </si>
  <si>
    <t>&lt;=== Select Time (Year)</t>
  </si>
  <si>
    <t>Comparison 1 Column</t>
  </si>
  <si>
    <t>Comparison 2 Column</t>
  </si>
  <si>
    <t>VARIANCE</t>
  </si>
  <si>
    <t>Trailing 12 Option</t>
  </si>
  <si>
    <t>1.  Check the box</t>
  </si>
  <si>
    <t>3.  Expand All</t>
  </si>
  <si>
    <t>2.  Select ending month of the trailing 12 period</t>
  </si>
  <si>
    <t>COS_BEV</t>
  </si>
  <si>
    <t>568300</t>
  </si>
  <si>
    <t>568350</t>
  </si>
  <si>
    <t>COS_MISC</t>
  </si>
  <si>
    <t>455100</t>
  </si>
  <si>
    <t>455200</t>
  </si>
  <si>
    <t>455250</t>
  </si>
  <si>
    <t>455300</t>
  </si>
  <si>
    <t>455400</t>
  </si>
  <si>
    <t>455500</t>
  </si>
  <si>
    <t>455510</t>
  </si>
  <si>
    <t>455550</t>
  </si>
  <si>
    <t>455560</t>
  </si>
  <si>
    <t>455565</t>
  </si>
  <si>
    <t>455570</t>
  </si>
  <si>
    <t>455575</t>
  </si>
  <si>
    <t>455580</t>
  </si>
  <si>
    <t>455600</t>
  </si>
  <si>
    <t>455610</t>
  </si>
  <si>
    <t>455650</t>
  </si>
  <si>
    <t>410100</t>
  </si>
  <si>
    <t>410200</t>
  </si>
  <si>
    <t>410300</t>
  </si>
  <si>
    <t>410400</t>
  </si>
  <si>
    <t>410500</t>
  </si>
  <si>
    <t>510100</t>
  </si>
  <si>
    <t>510200</t>
  </si>
  <si>
    <t>510300</t>
  </si>
  <si>
    <t>510400</t>
  </si>
  <si>
    <t>Cost of Staff Dining</t>
  </si>
  <si>
    <t>Net Recovery - Check</t>
  </si>
  <si>
    <t/>
  </si>
  <si>
    <t>1.  Select Business Unit from Current View Action Pane</t>
  </si>
  <si>
    <t>Instructions:</t>
  </si>
  <si>
    <t>Category Glossary</t>
  </si>
  <si>
    <t>Print to PDF Instructions:</t>
  </si>
  <si>
    <t>2.  Select Save As &gt; "PDF or XPS"</t>
  </si>
  <si>
    <t>4.  Set options as shown in screen shot. (recommended options)</t>
  </si>
  <si>
    <t>5.  Select Options button.   You can change options to suit your needs.</t>
  </si>
  <si>
    <t>a.  Page Range:  All</t>
  </si>
  <si>
    <t>b.  Publish what:  Entire workbook (to publish all tabs)</t>
  </si>
  <si>
    <t>c.  Leave remaining default selections</t>
  </si>
  <si>
    <t>3.  Select local disk and folder where you want file saved.  Ensure Save As Type is "PDF"</t>
  </si>
  <si>
    <t>6.  Click "OK"</t>
  </si>
  <si>
    <t>7.  Click "Publish".  PDF will be created in the location you specified</t>
  </si>
  <si>
    <t>&gt;  No longer do we use BPC's ePublish tool for this report</t>
  </si>
  <si>
    <t>ACTUAL_CON</t>
  </si>
  <si>
    <t>ACTUAL</t>
  </si>
  <si>
    <t>HISTORY</t>
  </si>
  <si>
    <t>BUDGET</t>
  </si>
  <si>
    <t>BUD_PROOF</t>
  </si>
  <si>
    <t>JANFORECAST</t>
  </si>
  <si>
    <t>FEBFORECAST</t>
  </si>
  <si>
    <t>MARFORECAST</t>
  </si>
  <si>
    <t>APRFORECAST</t>
  </si>
  <si>
    <t>MAYFORECAST</t>
  </si>
  <si>
    <t>JUNFORECAST</t>
  </si>
  <si>
    <t>JULFORECAST</t>
  </si>
  <si>
    <t>AUGFORECAST</t>
  </si>
  <si>
    <t>SEPFORECAST</t>
  </si>
  <si>
    <t>OCTFORECAST</t>
  </si>
  <si>
    <t>NOVFORECAST</t>
  </si>
  <si>
    <t>DECFORECAST</t>
  </si>
  <si>
    <t>BUDSNAP</t>
  </si>
  <si>
    <t>Rollup of ACTUAL+HISTORY</t>
  </si>
  <si>
    <t>Actual from JDE</t>
  </si>
  <si>
    <t>Pre Kimpton History from JDE</t>
  </si>
  <si>
    <t>Final Budgets (Read only)</t>
  </si>
  <si>
    <t>Forecast (user input)</t>
  </si>
  <si>
    <t>Working Budgets (user input)</t>
  </si>
  <si>
    <t>Forecast Snap (Mar - Dec Forecast + Actual through Feb)</t>
  </si>
  <si>
    <t>Forecast Snap (Apr - Dec Forecast + Actual through Mar)</t>
  </si>
  <si>
    <t>Forecast Snap (May - Dec Forecast + Actual through Apr)</t>
  </si>
  <si>
    <t>Forecast Snap (Jun - Dec Forecast + Actual through May)</t>
  </si>
  <si>
    <t>Forecast Snap (Jul - Dec Forecast + Actual through Jun)</t>
  </si>
  <si>
    <t>Forecast Snap (Aug - Dec Forecast + Actual through Jul)</t>
  </si>
  <si>
    <t>Forecast Snap (Sep - Dec Forecast + Actual through Aug)</t>
  </si>
  <si>
    <t>Forecast Snap (Oct - Dec Forecast + Actual through Sep)</t>
  </si>
  <si>
    <t>Forecast Snap (Feb - Dec Forecast + Jan Actual)</t>
  </si>
  <si>
    <t>1.  Click Excel Office Button, upper left corner</t>
  </si>
  <si>
    <t>Forecast Snap (Nov - Dec Forecast + Actual through Oct)</t>
  </si>
  <si>
    <t>Forecast Snap (Dec Forecast + Actual through Nov)</t>
  </si>
  <si>
    <t>Forecast Snap captured for budget comparisons</t>
  </si>
  <si>
    <t>OR Active Sheets (to publish sheets you have selected)</t>
  </si>
  <si>
    <t>a.  The category and time for each set of data columns are independent and driven by user selection</t>
  </si>
  <si>
    <t>c.  Double-click the blue shaded cells to see the various data choices and comparisons</t>
  </si>
  <si>
    <t>e.  See Category Glossary for additional information</t>
  </si>
  <si>
    <t>b.  To expand/update a single tab, right mouse click, select EVDRE: Expand &amp; Refresh &gt; Active Sheet</t>
  </si>
  <si>
    <t>Forecast Snap (Jan - Dec Forecast, no Actual)</t>
  </si>
  <si>
    <t>D2140</t>
  </si>
  <si>
    <t>D2141</t>
  </si>
  <si>
    <t>XXXX.INP</t>
  </si>
  <si>
    <t>A_NONE</t>
  </si>
  <si>
    <t>Non_InterCo</t>
  </si>
  <si>
    <t>INPUT</t>
  </si>
  <si>
    <t>&lt;=== Venue Name (unique comment)</t>
  </si>
  <si>
    <t>D2142</t>
  </si>
  <si>
    <t>D2145</t>
  </si>
  <si>
    <t>D2146</t>
  </si>
  <si>
    <t>SALY_MGMT|DEP(HRLY_NONMGMT),600001,DEP(PAY_OTHER),PAYSUB1,PAYRLTD,DEP(PAY_RELATED),PAY_RELATED,600000|DEP(700000)</t>
  </si>
  <si>
    <t>use EVGTS here?</t>
  </si>
  <si>
    <t>DEP(SALY_MGMT)|DEP(HRLY_NONMGMT) ,600001,DEP(PAY_OTHER),PAYSUB1,PAYRLTD,DEP(PAY_RELATED),PAY_RELATED,600000|DEP(700000)</t>
  </si>
  <si>
    <t>D_AG_CON|D_AG_CON|D_AGHotRest</t>
  </si>
  <si>
    <t>use EVFTS here?</t>
  </si>
  <si>
    <t>use EVGTS?</t>
  </si>
  <si>
    <t>DEP(PAY_TAXES),PAY_TAXES|DEP(SUP_PAY),SUP_PAY|DEP(EMP_BEN),EMP_BEN|PAY_RELATED</t>
  </si>
  <si>
    <t>% expressed as % of Occupied Rooms</t>
  </si>
  <si>
    <t>ADR</t>
  </si>
  <si>
    <t>OCC%</t>
  </si>
  <si>
    <t>561100|SALY_MGMT|DEP(HRLY_NONMGMT) AND D2259=Y,600001,DEP(PAY_OTHER) AND D2259=Y,PAYSUB1,PAYRLTD,DEP(PAY_RELATED),PAY_RELATED,600000|DEP(700000) AND D2259 = Y</t>
  </si>
  <si>
    <t>SALY_MGMT|DEP(HRLY_NONMGMT) AND D1228=Y,600001,DEP(PAY_OTHER) AND D1228=Y,PAYSUB1,PAYRLTD,DEP(PAY_RELATED),PAY_RELATED,600000|DEP(700000) AND D1228 = Y AND ID &lt;&gt; LNDY_CR</t>
  </si>
  <si>
    <t>Variance</t>
  </si>
  <si>
    <t>Rev / Cost POR</t>
  </si>
  <si>
    <t>D_ROOMS</t>
  </si>
  <si>
    <t>Points</t>
  </si>
  <si>
    <t>Rev / Cost per Customer</t>
  </si>
  <si>
    <t xml:space="preserve"> Cost PAR</t>
  </si>
  <si>
    <t>(% chg)</t>
  </si>
  <si>
    <t>Flow Through</t>
  </si>
  <si>
    <t>561300</t>
  </si>
  <si>
    <t>FDCOS_PCT</t>
  </si>
  <si>
    <t>BEVCOS_PCT</t>
  </si>
  <si>
    <t>LCOS_PCT</t>
  </si>
  <si>
    <t>BCOS_PCT</t>
  </si>
  <si>
    <t>WCOS_PCT</t>
  </si>
  <si>
    <t>Mini Bar Cost %</t>
  </si>
  <si>
    <t>Total F&amp;B Cost %</t>
  </si>
  <si>
    <t>947100</t>
  </si>
  <si>
    <t>947200</t>
  </si>
  <si>
    <t>947300</t>
  </si>
  <si>
    <t>947400</t>
  </si>
  <si>
    <t>947500</t>
  </si>
  <si>
    <t>Total Cost of Sales - Check</t>
  </si>
  <si>
    <t>OWNER_EXP</t>
  </si>
  <si>
    <t>FCOS_NOMB</t>
  </si>
  <si>
    <t>FCOS_NOMB_PCT</t>
  </si>
  <si>
    <t>MBFCOS_PCT</t>
  </si>
  <si>
    <t>b.  The default selection will always be CURRENT, (current year), BUDGET (current year) and ACTUAL (prior year)</t>
  </si>
  <si>
    <t>HWHRLY_FBBQT</t>
  </si>
  <si>
    <t>Banquet &amp; Conf/Catering</t>
  </si>
  <si>
    <t>2. Select Currency from Current View Action Pane: LC for Local Currency, or USD to convert foreign currency BU's to USD</t>
  </si>
  <si>
    <t>3.  Select Category and Time from selection grid above</t>
  </si>
  <si>
    <t>4.  After making data selections you must "Expand All" to pull in data</t>
  </si>
  <si>
    <t>5.  You may delete Tabs that are not needed for your property, but be sure no data exists before deleting tabs</t>
  </si>
  <si>
    <t>All Data Columns</t>
  </si>
  <si>
    <t>&lt;=== Select Report Currency</t>
  </si>
  <si>
    <t>PSFT GL</t>
  </si>
  <si>
    <t>6.  Click the "+" button above Column N to reveal GL Account numbers</t>
  </si>
  <si>
    <t>&lt;&lt; Double Click</t>
  </si>
  <si>
    <t>a.  You may double click the 'Expand All' cell or use (click) 'Expand All' from the Excel Planning &amp; Consolidation tab</t>
  </si>
  <si>
    <t>801310</t>
  </si>
  <si>
    <t>D2143</t>
  </si>
  <si>
    <t>D2144</t>
  </si>
  <si>
    <t>470110</t>
  </si>
  <si>
    <t>471110</t>
  </si>
  <si>
    <t>BEV_RC</t>
  </si>
  <si>
    <t>Use ALT as BUD or FCST</t>
  </si>
  <si>
    <t>&lt;=== Select ALT Use</t>
  </si>
  <si>
    <t>i. When choosing an ALT scenario, it must be defined as BUD or FCST purposes in cell D8</t>
  </si>
  <si>
    <t>Alternate Scenario for budget/forecast</t>
  </si>
  <si>
    <t>ALT1</t>
  </si>
  <si>
    <t>ALT2</t>
  </si>
  <si>
    <t>ALT3</t>
  </si>
  <si>
    <t>ALT4</t>
  </si>
  <si>
    <t>Alt Scenario Cat</t>
  </si>
  <si>
    <t>801315</t>
  </si>
  <si>
    <t>Group vs Local Revenue Ratios [Expand for all Revenue accounts]</t>
  </si>
  <si>
    <t>Group BCC %</t>
  </si>
  <si>
    <t>Local BCC %</t>
  </si>
  <si>
    <t>D2248</t>
  </si>
  <si>
    <t>D2348</t>
  </si>
  <si>
    <t>Reception</t>
  </si>
  <si>
    <t>471210</t>
  </si>
  <si>
    <t>471310</t>
  </si>
  <si>
    <t>471410</t>
  </si>
  <si>
    <t>REV_RC</t>
  </si>
  <si>
    <t>946700</t>
  </si>
  <si>
    <t>KPI_RCAC</t>
  </si>
  <si>
    <t>Break</t>
  </si>
  <si>
    <t>REV_CB</t>
  </si>
  <si>
    <t>946600</t>
  </si>
  <si>
    <t>KPI_CBAC</t>
  </si>
  <si>
    <t>947600</t>
  </si>
  <si>
    <t>KPI_REVSQFT</t>
  </si>
  <si>
    <t>Food &amp; Beverage Revenue per Occupied Group Rooms</t>
  </si>
  <si>
    <t>Removed COS Section</t>
  </si>
  <si>
    <t>Removed Labor Section</t>
  </si>
  <si>
    <t>Removed Op and Oth Exp Section</t>
  </si>
  <si>
    <t>FCST</t>
  </si>
  <si>
    <t>752500</t>
  </si>
  <si>
    <r>
      <rPr>
        <b/>
        <sz val="10"/>
        <color rgb="FFFF0000"/>
        <rFont val="Calibri"/>
        <family val="2"/>
        <scheme val="minor"/>
      </rPr>
      <t>COVID-19 DISCLAIMER</t>
    </r>
    <r>
      <rPr>
        <b/>
        <sz val="10"/>
        <rFont val="Calibri"/>
        <family val="2"/>
        <scheme val="minor"/>
      </rPr>
      <t xml:space="preserve">: </t>
    </r>
    <r>
      <rPr>
        <sz val="10"/>
        <rFont val="Calibri"/>
        <family val="2"/>
        <scheme val="minor"/>
      </rPr>
      <t xml:space="preserve"> Demand in the hospitality industry continues to be negatively affected by the COVID 19 pandemic and national, state and municipal responses thereto (collectively, the “Pandemic”).   The budget and related information and projections are based on uncertain predictions of when and at what rate travel and hotel bookings will stabilize.  The hotel’s market may continue to be negatively affected by the Pandemic in a manner not reflected in the budget and related information. Various data sources used by operator to forecast results continue to be unavailable or unreliable given the increased volatility from the Pandemic. Under these conditions, Kimpton Hotel &amp; Restaurant Group, LLC and its affiliates (“KHRG”) does not have dependable economic data on which to rely and KHRG is not engaged as an economist for Owner. The Pandemic continues to be an event of force majeure that may affect the hotel’s operations in 2022.  Accordingly, Owner acknowledges that the financial projections and conclusions contained in this document are based in whole or in part on estimates and/or assumptions that are inherently uncertain and unreliable. No warranty or guaranty, either express or implied, is made as to the accuracy, completeness, reliability or reasonableness of any of the information contained herein, or as to any conclusions which may be made based thereon. Neither KHRG nor any company, director, officer or employee of KHRG or its affiliates shall have any liability for any loss or damage connected in any way with the use of or reliance on the information provided, including without limitation, under the hotel operating / management agreement between KHRG and Owner. No reference to the information provided may be published in any document or communicated to third parties, without KHRG’s prior written consent. In the event Owner provides this information to its lender, investors, partners, shareholders, etc., we require that at all times the disclaimer included on the attached remains fully intact.</t>
    </r>
  </si>
  <si>
    <t>801314</t>
  </si>
  <si>
    <t>D_AGHotRest</t>
  </si>
  <si>
    <t>701100</t>
  </si>
  <si>
    <t>701200</t>
  </si>
  <si>
    <t>701400</t>
  </si>
  <si>
    <t>701500</t>
  </si>
  <si>
    <t>702600</t>
  </si>
  <si>
    <t>TRVL_OTHR</t>
  </si>
  <si>
    <t>702900</t>
  </si>
  <si>
    <t>703300</t>
  </si>
  <si>
    <t>704600</t>
  </si>
  <si>
    <t>704800</t>
  </si>
  <si>
    <t>705000</t>
  </si>
  <si>
    <t>705100</t>
  </si>
  <si>
    <t>705200</t>
  </si>
  <si>
    <t>705500</t>
  </si>
  <si>
    <t>705800</t>
  </si>
  <si>
    <t>706000</t>
  </si>
  <si>
    <t>706100</t>
  </si>
  <si>
    <t>706500</t>
  </si>
  <si>
    <t>HRLY_ACCOT</t>
  </si>
  <si>
    <t>HRLY_HUMRE</t>
  </si>
  <si>
    <t>600001</t>
  </si>
  <si>
    <t>ADD_COMP</t>
  </si>
  <si>
    <t>PAYSUB1</t>
  </si>
  <si>
    <t>PAY_TAXES</t>
  </si>
  <si>
    <t>SUP_PAY</t>
  </si>
  <si>
    <t>EMP_BEN</t>
  </si>
  <si>
    <t>PAY_RELATED</t>
  </si>
  <si>
    <t>SALY_MGMT</t>
  </si>
  <si>
    <t>701600</t>
  </si>
  <si>
    <t>701900</t>
  </si>
  <si>
    <t>702300</t>
  </si>
  <si>
    <t>703800</t>
  </si>
  <si>
    <t>HRLY_FBVEN</t>
  </si>
  <si>
    <t>SVC_DIST</t>
  </si>
  <si>
    <t>CON_LABOR</t>
  </si>
  <si>
    <t>717100</t>
  </si>
  <si>
    <t>717200</t>
  </si>
  <si>
    <t>WS_EXP</t>
  </si>
  <si>
    <t>717500</t>
  </si>
  <si>
    <t>701300</t>
  </si>
  <si>
    <t>701700</t>
  </si>
  <si>
    <t>701780</t>
  </si>
  <si>
    <t>702000</t>
  </si>
  <si>
    <t>702580</t>
  </si>
  <si>
    <t>703000</t>
  </si>
  <si>
    <t>703100</t>
  </si>
  <si>
    <t>703200</t>
  </si>
  <si>
    <t>703400</t>
  </si>
  <si>
    <t>703500</t>
  </si>
  <si>
    <t>703510</t>
  </si>
  <si>
    <t>703600</t>
  </si>
  <si>
    <t>703700</t>
  </si>
  <si>
    <t>704100</t>
  </si>
  <si>
    <t>HRLY_FBKIT</t>
  </si>
  <si>
    <t>SALY_FBSVC</t>
  </si>
  <si>
    <t>SALY_FBKIT</t>
  </si>
  <si>
    <t>706700</t>
  </si>
  <si>
    <t>706800</t>
  </si>
  <si>
    <t>706900</t>
  </si>
  <si>
    <t>707010</t>
  </si>
  <si>
    <t>707150</t>
  </si>
  <si>
    <t>707310</t>
  </si>
  <si>
    <t>707450</t>
  </si>
  <si>
    <t>707610</t>
  </si>
  <si>
    <t>707650</t>
  </si>
  <si>
    <t>731010</t>
  </si>
  <si>
    <t>MF_OTHR</t>
  </si>
  <si>
    <t>715100</t>
  </si>
  <si>
    <t>715200</t>
  </si>
  <si>
    <t>715300</t>
  </si>
  <si>
    <t>POM_FE</t>
  </si>
  <si>
    <t>715600</t>
  </si>
  <si>
    <t>715700</t>
  </si>
  <si>
    <t>715800</t>
  </si>
  <si>
    <t>715900</t>
  </si>
  <si>
    <t>716000</t>
  </si>
  <si>
    <t>716100</t>
  </si>
  <si>
    <t>716200</t>
  </si>
  <si>
    <t>716300</t>
  </si>
  <si>
    <t>716400</t>
  </si>
  <si>
    <t>716500</t>
  </si>
  <si>
    <t>HRLY_POM</t>
  </si>
  <si>
    <t>693040</t>
  </si>
  <si>
    <t>CONTSP</t>
  </si>
  <si>
    <t>693160</t>
  </si>
  <si>
    <t>693200</t>
  </si>
  <si>
    <t>693280</t>
  </si>
  <si>
    <t>HEAINS</t>
  </si>
  <si>
    <t>MEALS</t>
  </si>
  <si>
    <t>693480</t>
  </si>
  <si>
    <t>WC_EXP</t>
  </si>
  <si>
    <t>692100</t>
  </si>
  <si>
    <t>692200</t>
  </si>
  <si>
    <t>692300</t>
  </si>
  <si>
    <t>WELL_PAY</t>
  </si>
  <si>
    <t>692500</t>
  </si>
  <si>
    <t>VAC_PAY</t>
  </si>
  <si>
    <t>691100</t>
  </si>
  <si>
    <t>NATLMED</t>
  </si>
  <si>
    <t>NATLRET</t>
  </si>
  <si>
    <t>NATLUNE</t>
  </si>
  <si>
    <t>STATUNE</t>
  </si>
  <si>
    <t>OTHLTAX</t>
  </si>
  <si>
    <t>701800</t>
  </si>
  <si>
    <t>702500</t>
  </si>
  <si>
    <t>703010</t>
  </si>
  <si>
    <t>704000</t>
  </si>
  <si>
    <t>704200</t>
  </si>
  <si>
    <t>704300</t>
  </si>
  <si>
    <t>704400</t>
  </si>
  <si>
    <t>HRLY_FRTOF</t>
  </si>
  <si>
    <t>HRLY_HOUSK</t>
  </si>
  <si>
    <t>711100</t>
  </si>
  <si>
    <t>711200</t>
  </si>
  <si>
    <t>711400</t>
  </si>
  <si>
    <t>712100</t>
  </si>
  <si>
    <t>712200</t>
  </si>
  <si>
    <t>712400</t>
  </si>
  <si>
    <t>712600</t>
  </si>
  <si>
    <t>712800</t>
  </si>
  <si>
    <t>712900</t>
  </si>
  <si>
    <t>713000</t>
  </si>
  <si>
    <t>713100</t>
  </si>
  <si>
    <t>HRLY_SALES</t>
  </si>
  <si>
    <t>2024.TOTAL</t>
  </si>
  <si>
    <t>2014.DEC</t>
  </si>
  <si>
    <t>2023.TOTAL</t>
  </si>
  <si>
    <t>Expand All</t>
  </si>
  <si>
    <t>Actual</t>
  </si>
  <si>
    <t>GL History- Pre_Kimpton</t>
  </si>
  <si>
    <t>Budget</t>
  </si>
  <si>
    <t>Forecast</t>
  </si>
  <si>
    <t>Budget Proof</t>
  </si>
  <si>
    <t>JANUARY FORECAST</t>
  </si>
  <si>
    <t>FEBRUARY FORECAST</t>
  </si>
  <si>
    <t>MARCH FORECAST</t>
  </si>
  <si>
    <t>APRIL FORECAST</t>
  </si>
  <si>
    <t>MAY FORECAST</t>
  </si>
  <si>
    <t>JUNE FORECAST</t>
  </si>
  <si>
    <t>JULY FORECAST</t>
  </si>
  <si>
    <t>AUGUST FORECAST</t>
  </si>
  <si>
    <t>SEPTEMBER FORECAST</t>
  </si>
  <si>
    <t>OCTOBER FORECAST</t>
  </si>
  <si>
    <t>NOVEMBER FORECAST</t>
  </si>
  <si>
    <t>DECEMBER FORECAST</t>
  </si>
  <si>
    <t>Forecast Snapshot</t>
  </si>
  <si>
    <t>Scenario 1</t>
  </si>
  <si>
    <t>Scenario 2</t>
  </si>
  <si>
    <t>Scenario 3</t>
  </si>
  <si>
    <t>Scenario 4</t>
  </si>
  <si>
    <t>BU1334</t>
  </si>
  <si>
    <t>Financial Application</t>
  </si>
  <si>
    <t>Gross Operating Income</t>
  </si>
  <si>
    <t>Anglers Boutique Resorts LLC</t>
  </si>
  <si>
    <t>Consolidated Hotel &amp; F&amp;B Departments</t>
  </si>
  <si>
    <t>All Inter-company</t>
  </si>
  <si>
    <t>Year to Date</t>
  </si>
  <si>
    <t>Local Currency</t>
  </si>
  <si>
    <t>2024 TOTAL</t>
  </si>
  <si>
    <t>CY</t>
  </si>
  <si>
    <t>Evdre:Ok</t>
  </si>
  <si>
    <t>2024.JAN</t>
  </si>
  <si>
    <t>2024.FEB</t>
  </si>
  <si>
    <t>2024.MAR</t>
  </si>
  <si>
    <t>2024.APR</t>
  </si>
  <si>
    <t>2024.MAY</t>
  </si>
  <si>
    <t>2024.JUN</t>
  </si>
  <si>
    <t>2024.JUL</t>
  </si>
  <si>
    <t>2024.AUG</t>
  </si>
  <si>
    <t>2024.SEP</t>
  </si>
  <si>
    <t>2024.OCT</t>
  </si>
  <si>
    <t>2024.NOV</t>
  </si>
  <si>
    <t>Total Revenue</t>
  </si>
  <si>
    <t>For the Period ended 2024 TOTAL</t>
  </si>
  <si>
    <t>2023 TOTAL</t>
  </si>
  <si>
    <t>N</t>
  </si>
  <si>
    <t>T2</t>
  </si>
  <si>
    <t>B1</t>
  </si>
  <si>
    <t>T3</t>
  </si>
  <si>
    <t>Available rooms</t>
  </si>
  <si>
    <t>Total Rooms Sold</t>
  </si>
  <si>
    <t>Total Occupancy</t>
  </si>
  <si>
    <t>Average Daily Rate</t>
  </si>
  <si>
    <t>Revenue Per Available Room</t>
  </si>
  <si>
    <t>Revenues</t>
  </si>
  <si>
    <t>Rooms</t>
  </si>
  <si>
    <t>Other Operated Departments</t>
  </si>
  <si>
    <t>Miscellaneous Income</t>
  </si>
  <si>
    <t>Departmental Expense</t>
  </si>
  <si>
    <t>Undistributed Expenses</t>
  </si>
  <si>
    <t>Administrative &amp; General</t>
  </si>
  <si>
    <t>Information &amp; Telecom Systems</t>
  </si>
  <si>
    <t>Sales &amp; Marketing</t>
  </si>
  <si>
    <t>Property Operation &amp; Maintenance</t>
  </si>
  <si>
    <t>Utilities</t>
  </si>
  <si>
    <t>Gross Operating Profit</t>
  </si>
  <si>
    <t>Management Fees</t>
  </si>
  <si>
    <t>Income Before Non-Operataing Inc. &amp; Exp.</t>
  </si>
  <si>
    <t>Non-Operating Income &amp; Expenses</t>
  </si>
  <si>
    <t xml:space="preserve">Income </t>
  </si>
  <si>
    <t>Rent</t>
  </si>
  <si>
    <t>Property &amp; Other Taxes</t>
  </si>
  <si>
    <t>Insurance</t>
  </si>
  <si>
    <t>Interest, Depreciation &amp; Amortization</t>
  </si>
  <si>
    <t>Total Interest Expense</t>
  </si>
  <si>
    <t>Depreciation</t>
  </si>
  <si>
    <t>Amortization</t>
  </si>
  <si>
    <t>Income Before Income Taxes</t>
  </si>
  <si>
    <t>Total Income Taxes</t>
  </si>
  <si>
    <t>Net Income</t>
  </si>
  <si>
    <t>FF&amp;E ProForma Calculation</t>
  </si>
  <si>
    <t>T1</t>
  </si>
  <si>
    <t>Total Other</t>
  </si>
  <si>
    <t>Net Income-Development &amp; Renovation Projects</t>
  </si>
  <si>
    <t>Departmental Expenses (Incl COS)</t>
  </si>
  <si>
    <t>Rooms'!$B$2:$B$10</t>
  </si>
  <si>
    <t>Rooms'!$O$16:$AN$18</t>
  </si>
  <si>
    <t>Rooms'!$H$35:$H$51</t>
  </si>
  <si>
    <t>Total Rooms Occupied</t>
  </si>
  <si>
    <t>Rooms'!$A$36:$F$41</t>
  </si>
  <si>
    <t>Rooms'!$A$89:$B$110</t>
  </si>
  <si>
    <t>Rooms Department</t>
  </si>
  <si>
    <t>Transient Rooms Revenue</t>
  </si>
  <si>
    <t>T5</t>
  </si>
  <si>
    <t>Retail</t>
  </si>
  <si>
    <t>Discount</t>
  </si>
  <si>
    <t>Negotiated</t>
  </si>
  <si>
    <t>Qualified</t>
  </si>
  <si>
    <t>Wholesale</t>
  </si>
  <si>
    <t>T4</t>
  </si>
  <si>
    <t>Total Transient Room Rev</t>
  </si>
  <si>
    <t>Group Rooms Revenue</t>
  </si>
  <si>
    <t>Corporate</t>
  </si>
  <si>
    <t>Association/Convention</t>
  </si>
  <si>
    <t>Government</t>
  </si>
  <si>
    <t>Tour/Wholesalers</t>
  </si>
  <si>
    <t>SMERF</t>
  </si>
  <si>
    <t>Total Group Room Rev</t>
  </si>
  <si>
    <t>Contract Rooms Revenue</t>
  </si>
  <si>
    <t>Other Rooms Revenue</t>
  </si>
  <si>
    <t>Rooms: Allowances</t>
  </si>
  <si>
    <t>Total Rooms Revenue</t>
  </si>
  <si>
    <t>Rooms'!$H$55:$H$56,'Rooms'!$H$58:$H$69,'Rooms'!$H$72:$H$94</t>
  </si>
  <si>
    <t>Rooms'!$A$66:$F$72</t>
  </si>
  <si>
    <t>Labor &amp; Related Expenses</t>
  </si>
  <si>
    <t>Salaries &amp; Wages</t>
  </si>
  <si>
    <t>Management</t>
  </si>
  <si>
    <t>Non-Management</t>
  </si>
  <si>
    <t>Front Office</t>
  </si>
  <si>
    <t>Housekeeping</t>
  </si>
  <si>
    <t>Total Salaries and Wages</t>
  </si>
  <si>
    <t>Service Charge Distribution</t>
  </si>
  <si>
    <t>Contracted &amp; Leased Labor</t>
  </si>
  <si>
    <t>Bonuses &amp; Incentives</t>
  </si>
  <si>
    <t>Total Labor Expense</t>
  </si>
  <si>
    <t>Total Payroll Related</t>
  </si>
  <si>
    <t>Total Labor &amp; Related Exp</t>
  </si>
  <si>
    <t>Rooms'!$H$95:$H$98</t>
  </si>
  <si>
    <t>Other Expenses</t>
  </si>
  <si>
    <t>Dues and Subscriptions</t>
  </si>
  <si>
    <t>Printing &amp; Stationery</t>
  </si>
  <si>
    <t>Operating Supplies</t>
  </si>
  <si>
    <t>Cleaning Supplies</t>
  </si>
  <si>
    <t>Guest Supplies</t>
  </si>
  <si>
    <t>Decorations</t>
  </si>
  <si>
    <t>Laundry &amp; Dry Cleaning</t>
  </si>
  <si>
    <t>Contract Services</t>
  </si>
  <si>
    <t>Travel - Other</t>
  </si>
  <si>
    <t>Travel - Meals &amp; Entertainment</t>
  </si>
  <si>
    <t>Complimentary Food &amp; Beverage</t>
  </si>
  <si>
    <t>Complimentary Services &amp; Gifts</t>
  </si>
  <si>
    <t>Training</t>
  </si>
  <si>
    <t>Uniform Costs</t>
  </si>
  <si>
    <t>Uniforms Laundry</t>
  </si>
  <si>
    <t>Linen</t>
  </si>
  <si>
    <t>Complimentary In Room Media Ent.</t>
  </si>
  <si>
    <t>Commissions</t>
  </si>
  <si>
    <t>Commissions &amp; Fees - Group</t>
  </si>
  <si>
    <t>Guest Relocation</t>
  </si>
  <si>
    <t>Miscellaneous</t>
  </si>
  <si>
    <t>Corporate Office Reimbursement</t>
  </si>
  <si>
    <t>Total Reservations Fees &amp; Other Exp</t>
  </si>
  <si>
    <t>Total Operations Expense</t>
  </si>
  <si>
    <t>Total Expenses</t>
  </si>
  <si>
    <t>Department Profit (Loss)</t>
  </si>
  <si>
    <t>MMA'!$B$2:$B$10</t>
  </si>
  <si>
    <t>MMA'!$O$16:$AI$18</t>
  </si>
  <si>
    <t>MMA'!$H$34:$H$69,'MMA'!$H$72:$H$116,'MMA'!$H$119:$H$152</t>
  </si>
  <si>
    <t>MMA'!$A$28:$B$49</t>
  </si>
  <si>
    <t>T6</t>
  </si>
  <si>
    <t>Room Only</t>
  </si>
  <si>
    <t>Retail Web</t>
  </si>
  <si>
    <t>Package</t>
  </si>
  <si>
    <t>OTA Opaque</t>
  </si>
  <si>
    <t>Brand/Media Promotions</t>
  </si>
  <si>
    <t>Advance Purchases</t>
  </si>
  <si>
    <t>Local Discounts</t>
  </si>
  <si>
    <t>Package &amp; Promo (Legacy)</t>
  </si>
  <si>
    <t>Consortia</t>
  </si>
  <si>
    <t>National Negotiated</t>
  </si>
  <si>
    <t>Local Negotiated</t>
  </si>
  <si>
    <t>Entertainment/Sports</t>
  </si>
  <si>
    <t>Association</t>
  </si>
  <si>
    <t>Convention</t>
  </si>
  <si>
    <t>Tour/Wholesale</t>
  </si>
  <si>
    <t>MICE</t>
  </si>
  <si>
    <t>Contract</t>
  </si>
  <si>
    <t>Rooms Statistics</t>
  </si>
  <si>
    <t>Total Transient Rooms Occupied</t>
  </si>
  <si>
    <t>Entertainment/ Sports</t>
  </si>
  <si>
    <t>Association/ Convention</t>
  </si>
  <si>
    <t>Tour/ Wholesalers</t>
  </si>
  <si>
    <t>Tour/ Wholesale</t>
  </si>
  <si>
    <t>Total Group Rooms Occupied</t>
  </si>
  <si>
    <t>Comp Rooms</t>
  </si>
  <si>
    <t>Seasonally Closed Rooms</t>
  </si>
  <si>
    <t>Extended Closed Rooms</t>
  </si>
  <si>
    <t>Rooms for Permanent House Use</t>
  </si>
  <si>
    <t>Number of Arrivals</t>
  </si>
  <si>
    <t>Rooms Cleaned</t>
  </si>
  <si>
    <t>KIT Rooms Occupied</t>
  </si>
  <si>
    <t>Number of Guests</t>
  </si>
  <si>
    <t>ADR &amp; OCC% Calculations</t>
  </si>
  <si>
    <t>Total Transient ADR</t>
  </si>
  <si>
    <t>Total Group ADR</t>
  </si>
  <si>
    <t>D1122</t>
  </si>
  <si>
    <t>Reservations</t>
  </si>
  <si>
    <t>Resv'!$B$2:$B$10</t>
  </si>
  <si>
    <t>Resv'!$O$16:$AN$18</t>
  </si>
  <si>
    <t>Resv'!$H$34:$H$45</t>
  </si>
  <si>
    <t>Total # of Net Reservation Taken</t>
  </si>
  <si>
    <t>Number of Rooms on Property</t>
  </si>
  <si>
    <t>Resv'!$A$36:$F$41</t>
  </si>
  <si>
    <t>Resv'!$A$87:$B$108</t>
  </si>
  <si>
    <t>Reservations Department</t>
  </si>
  <si>
    <t>Reservations Expenses</t>
  </si>
  <si>
    <t>CRS Call Fee</t>
  </si>
  <si>
    <t>Net Booking Fee</t>
  </si>
  <si>
    <t>Net Booking Fee - Rooming List</t>
  </si>
  <si>
    <t>Res Cost - Kimpton Fees</t>
  </si>
  <si>
    <t>Res Cost - GDS Fees</t>
  </si>
  <si>
    <t>Res Cost - Hotel Website</t>
  </si>
  <si>
    <t>E-Channel Fees</t>
  </si>
  <si>
    <t>Total Reservations Fees</t>
  </si>
  <si>
    <t xml:space="preserve">Total Telephone Cost    </t>
  </si>
  <si>
    <t>Other Reservations Expenses</t>
  </si>
  <si>
    <t>Total Other Reservation Expenses</t>
  </si>
  <si>
    <t>Resv'!$H$47:$H$51</t>
  </si>
  <si>
    <t>Reservations Statistics</t>
  </si>
  <si>
    <t># of CRS Calls Answered</t>
  </si>
  <si>
    <t>Total # of Resv. Taken at Hotel</t>
  </si>
  <si>
    <t># of Resv. Taken at CRO</t>
  </si>
  <si>
    <t># of GDS Reservations</t>
  </si>
  <si>
    <t># of Hotel Website Reservations Processed</t>
  </si>
  <si>
    <t># of E-Channel Reservations</t>
  </si>
  <si>
    <t>Resv'!$O$16:$AI$18</t>
  </si>
  <si>
    <t>Resv'!$H$54:$H$61</t>
  </si>
  <si>
    <t>Resv'!$A$79:$F$83</t>
  </si>
  <si>
    <t>Food &amp; Beverage Department</t>
  </si>
  <si>
    <t>Food Revenue</t>
  </si>
  <si>
    <t>Venues  Food Rev</t>
  </si>
  <si>
    <t>In Room Dining Food Rev</t>
  </si>
  <si>
    <t>Banquet-Catering &amp; CS Food Rev</t>
  </si>
  <si>
    <t>Mini Bar Food Rev</t>
  </si>
  <si>
    <t>Total Food Revenue</t>
  </si>
  <si>
    <t>Beverage Revenue</t>
  </si>
  <si>
    <t>Venues  Beverage Rev</t>
  </si>
  <si>
    <t>In Room Dining Beverage Rev</t>
  </si>
  <si>
    <t>Banquet-Catering &amp; CS Beverage Rev</t>
  </si>
  <si>
    <t>Mini Bar Beverage Rev</t>
  </si>
  <si>
    <t>Total Beverage Revenue</t>
  </si>
  <si>
    <t>Food &amp; Beverage: Allowances</t>
  </si>
  <si>
    <t>Total Food &amp; Beverage Revenue</t>
  </si>
  <si>
    <t>Other Revenue</t>
  </si>
  <si>
    <t>Audio/Visual Rentals</t>
  </si>
  <si>
    <t>Public Room Rental</t>
  </si>
  <si>
    <t>Cover Charge</t>
  </si>
  <si>
    <t>Surcharges &amp; Services Charges</t>
  </si>
  <si>
    <t>Miscellaneous Other Revenue</t>
  </si>
  <si>
    <t>Total Other Revenue</t>
  </si>
  <si>
    <t>Other Revenue: Allowances</t>
  </si>
  <si>
    <t>Cost of Sales</t>
  </si>
  <si>
    <t>Cost of Food &amp; Beverage Sales</t>
  </si>
  <si>
    <t>Cost of Food Sales</t>
  </si>
  <si>
    <t>Cost of Beverage Sales</t>
  </si>
  <si>
    <t>Total Cost of Food &amp; Beverage Sales</t>
  </si>
  <si>
    <t>Cost of Other Revenue</t>
  </si>
  <si>
    <t>A/V Cost of Sales</t>
  </si>
  <si>
    <t>Miscellaneous Cost</t>
  </si>
  <si>
    <t>Total Cost of Other Revenue</t>
  </si>
  <si>
    <t>Total Cost of Sales</t>
  </si>
  <si>
    <t>Gross Profit</t>
  </si>
  <si>
    <t>Management - F&amp;B Service</t>
  </si>
  <si>
    <t>Management - F&amp;B Kitchen</t>
  </si>
  <si>
    <t>Postage and Overnight Delivery</t>
  </si>
  <si>
    <t>Dishwashing Supplies</t>
  </si>
  <si>
    <t>Kitchen Smallwares</t>
  </si>
  <si>
    <t>Banquet Expense</t>
  </si>
  <si>
    <t>Paper and Plastics</t>
  </si>
  <si>
    <t>China</t>
  </si>
  <si>
    <t>Glassware</t>
  </si>
  <si>
    <t>Utensils</t>
  </si>
  <si>
    <t>Menus and Beverage Lists</t>
  </si>
  <si>
    <t>Equipment Rental</t>
  </si>
  <si>
    <t>Music and Entertainment</t>
  </si>
  <si>
    <t>Licenses &amp; Permits</t>
  </si>
  <si>
    <t>OTH_OP'!$B$2:$B$10</t>
  </si>
  <si>
    <t>OTH_OP'!$N$16:$AM$18</t>
  </si>
  <si>
    <t>OTH_OP'!$G$34:$H$39,'OTH_OP'!$G$43:$H$48,'OTH_OP'!$G$52:$H$57</t>
  </si>
  <si>
    <t>OTH_OP'!$A$36:$F$38</t>
  </si>
  <si>
    <t>OTH_OP'!$A$44:$B$65</t>
  </si>
  <si>
    <t>Guest Communications</t>
  </si>
  <si>
    <t>Health Club/Spa</t>
  </si>
  <si>
    <t>Parking</t>
  </si>
  <si>
    <t>Retail Shop</t>
  </si>
  <si>
    <t>Food &amp; Beverage Retail Shop</t>
  </si>
  <si>
    <t>Minor Operated Departments</t>
  </si>
  <si>
    <t>D1131</t>
  </si>
  <si>
    <t>Telcom_Legacy'!$B$2:$B$10</t>
  </si>
  <si>
    <t>Telcom_Legacy'!$O$16:$AI$18</t>
  </si>
  <si>
    <t>Telcom_Legacy'!$H$34:$H$39</t>
  </si>
  <si>
    <t>Telcom_Legacy'!$A$36:$F$40</t>
  </si>
  <si>
    <t>Telcom_Legacy'!$A$117:$B$138</t>
  </si>
  <si>
    <t>Guest Communications Department</t>
  </si>
  <si>
    <t>Local Call Revenue</t>
  </si>
  <si>
    <t>Long Distance Revenue</t>
  </si>
  <si>
    <t>Internet Revenue</t>
  </si>
  <si>
    <t>Guest Comm: Allowances</t>
  </si>
  <si>
    <t>Cost of Local Calls</t>
  </si>
  <si>
    <t>Cost of Long Distance Calls</t>
  </si>
  <si>
    <t>Cost of Internet Service</t>
  </si>
  <si>
    <t>Other Cost of Sales</t>
  </si>
  <si>
    <t>Telcom_Legacy'!$H$42:$H$46</t>
  </si>
  <si>
    <t>Telcom_Legacy'!$A$65:$F$69</t>
  </si>
  <si>
    <t>Telcom_Legacy'!$H$52:$H$53,'Telcom_Legacy'!$H$55:$H$56,'Telcom_Legacy'!$H$59:$H$60</t>
  </si>
  <si>
    <t>Telcom_Legacy'!$A$94:$F$100</t>
  </si>
  <si>
    <t>Telcom_Legacy'!$H$61:$H$64</t>
  </si>
  <si>
    <t>HC_SPA'!$B$2:$B$10</t>
  </si>
  <si>
    <t>HC_SPA'!$O$16:$AN$18</t>
  </si>
  <si>
    <t>HC_SPA'!$H$34:$H$44</t>
  </si>
  <si>
    <t>HC_SPA'!$A$36:$F$40</t>
  </si>
  <si>
    <t>HC_SPA'!$A$116:$B$137</t>
  </si>
  <si>
    <t>Health Club/Spa Department</t>
  </si>
  <si>
    <t>Massage &amp; Body Treatment Rev</t>
  </si>
  <si>
    <t>Skin Care Revenue</t>
  </si>
  <si>
    <t>Hair Care Revenue</t>
  </si>
  <si>
    <t>Nail Care Revenue</t>
  </si>
  <si>
    <t>Fitness Revenue</t>
  </si>
  <si>
    <t>Health &amp; Wellness Revenue</t>
  </si>
  <si>
    <t>Membership Fee Revenue</t>
  </si>
  <si>
    <t>Retail Revenue</t>
  </si>
  <si>
    <t>Spa: Allowances</t>
  </si>
  <si>
    <t>HC_SPA'!$H$47:$H$49</t>
  </si>
  <si>
    <t>Merchandise Cost Of Sales</t>
  </si>
  <si>
    <t>Clothing Cost Of Sales</t>
  </si>
  <si>
    <t>Total Retail HC/ Spa Cost of Sales</t>
  </si>
  <si>
    <t>HC_SPA'!$A$65:$F$68</t>
  </si>
  <si>
    <t>HC_SPA'!$H$55:$H$56,'HC_SPA'!$H$58:$H$59,'HC_SPA'!$H$62:$H$63</t>
  </si>
  <si>
    <t>HC_SPA'!$A$93:$F$99</t>
  </si>
  <si>
    <t>HC_SPA'!$H$64:$H$67</t>
  </si>
  <si>
    <t>Parking'!$B$2:$B$10</t>
  </si>
  <si>
    <t>Parking'!$O$16:$AN$18</t>
  </si>
  <si>
    <t>Parking'!$H$34:$H$38</t>
  </si>
  <si>
    <t>Parking'!$A$36:$F$40</t>
  </si>
  <si>
    <t>Parking'!$A$116:$B$137</t>
  </si>
  <si>
    <t>Parking Department</t>
  </si>
  <si>
    <t>Self-Parking Revenue</t>
  </si>
  <si>
    <t>Valet Parking Revenue</t>
  </si>
  <si>
    <t>Parking: Allowances</t>
  </si>
  <si>
    <t>Parking Cost of Sales</t>
  </si>
  <si>
    <t>Parking'!$H$41:$H$42</t>
  </si>
  <si>
    <t>Parking'!$A$65:$F$68</t>
  </si>
  <si>
    <t>Parking'!$H$48:$H$49,'Parking'!$H$51:$H$52,'Parking'!$H$55:$H$56</t>
  </si>
  <si>
    <t>Parking'!$A$93:$F$99</t>
  </si>
  <si>
    <t>Parking'!$H$57:$H$60</t>
  </si>
  <si>
    <t>Retail'!$B$2:$B$10</t>
  </si>
  <si>
    <t>Retail'!$O$16:$AN$18</t>
  </si>
  <si>
    <t>Retail'!$H$34:$H$44</t>
  </si>
  <si>
    <t>Retail'!$A$36:$F$39</t>
  </si>
  <si>
    <t>Retail'!$A$115:$B$136</t>
  </si>
  <si>
    <t>Retail Shop Department</t>
  </si>
  <si>
    <t>Accessories</t>
  </si>
  <si>
    <t>Apparel</t>
  </si>
  <si>
    <t>Sundries</t>
  </si>
  <si>
    <t>Souvenir &amp; Gifts</t>
  </si>
  <si>
    <t>Stationary &amp; Books</t>
  </si>
  <si>
    <t>Newspaper &amp; Magazines</t>
  </si>
  <si>
    <t>Youth Revenue</t>
  </si>
  <si>
    <t>Food/Candy</t>
  </si>
  <si>
    <t>Tobacco</t>
  </si>
  <si>
    <t>NA</t>
  </si>
  <si>
    <t>Gift Shop: Allowances</t>
  </si>
  <si>
    <t>Retail'!$H$47:$H$56</t>
  </si>
  <si>
    <t>Retail'!$A$64:$F$67</t>
  </si>
  <si>
    <t>Accessories COS</t>
  </si>
  <si>
    <t>Apparel COS</t>
  </si>
  <si>
    <t>Sundries COS</t>
  </si>
  <si>
    <t>Souvenir &amp; Gifts COS</t>
  </si>
  <si>
    <t>Stationary &amp; Books COS</t>
  </si>
  <si>
    <t>Newspaper &amp; Magazines COS</t>
  </si>
  <si>
    <t>Youth Revenue COS</t>
  </si>
  <si>
    <t>Food/Candy Revenue COS</t>
  </si>
  <si>
    <t>Tobacco Revenue COS</t>
  </si>
  <si>
    <t>Retail'!$H$62:$H$63,'Retail'!$H$65:$H$66,'Retail'!$H$69:$H$70</t>
  </si>
  <si>
    <t>Retail'!$A$92:$F$98</t>
  </si>
  <si>
    <t>Retail'!$H$71:$H$74</t>
  </si>
  <si>
    <t>FB_Retail'!$B$2:$B$10</t>
  </si>
  <si>
    <t>FB_Retail'!$O$16:$AN$18</t>
  </si>
  <si>
    <t>FB_Retail'!$H$34:$H$43</t>
  </si>
  <si>
    <t>FB_Retail'!$A$36:$F$40</t>
  </si>
  <si>
    <t>FB_Retail'!$A$116:$B$137</t>
  </si>
  <si>
    <t>Food &amp; Beverage Retail Shop Department</t>
  </si>
  <si>
    <t>Food Revenue - Retail</t>
  </si>
  <si>
    <t>Liquor Revenue - Retail</t>
  </si>
  <si>
    <t>Beer Revenue - Retail</t>
  </si>
  <si>
    <t>Wine Revenue - Retail</t>
  </si>
  <si>
    <t>Giftware Revenue - Retail</t>
  </si>
  <si>
    <t>Books Revenue - Retail</t>
  </si>
  <si>
    <t>Glassware Revenue - Retail</t>
  </si>
  <si>
    <t>F&amp;B Retail: Allowances</t>
  </si>
  <si>
    <t>FB_Retail'!$H$46:$H$54</t>
  </si>
  <si>
    <t>FB_Retail'!$A$65:$F$68</t>
  </si>
  <si>
    <t>Food COS</t>
  </si>
  <si>
    <t>Food Retail COS</t>
  </si>
  <si>
    <t>Liquor Retail COS</t>
  </si>
  <si>
    <t>Beer Retail COS</t>
  </si>
  <si>
    <t>Wine Retail COS</t>
  </si>
  <si>
    <t>Giftware Retail COS</t>
  </si>
  <si>
    <t>Books Retail COS</t>
  </si>
  <si>
    <t>Glassware Retail COS</t>
  </si>
  <si>
    <t>FB_Retail'!$H$60:$H$61,'FB_Retail'!$H$63:$H$64,'FB_Retail'!$H$67:$H$68</t>
  </si>
  <si>
    <t>FB_Retail'!$A$93:$F$99</t>
  </si>
  <si>
    <t>FB_Retail'!$H$69:$H$72</t>
  </si>
  <si>
    <t>Minor_Op'!$B$2:$B$10</t>
  </si>
  <si>
    <t>Minor_Op'!$O$16:$AN$18</t>
  </si>
  <si>
    <t>Minor_Op'!$H$34:$H$53,'Minor_Op'!$H$56:$H$74</t>
  </si>
  <si>
    <t>Minor_Op'!$A$58:$F$62</t>
  </si>
  <si>
    <t>Minor_Op'!$A$79:$B$100</t>
  </si>
  <si>
    <t>Total Guest Communication Rev</t>
  </si>
  <si>
    <t>In Room Movies</t>
  </si>
  <si>
    <t>Guest Laundry &amp; Dry Cleaning</t>
  </si>
  <si>
    <t>Massage Services</t>
  </si>
  <si>
    <t>Gym Passes</t>
  </si>
  <si>
    <t>Shared Facilities &amp; Services Revenue</t>
  </si>
  <si>
    <t>Minor Operated: Allowances</t>
  </si>
  <si>
    <t>Minor_Op'!$H$77:$H$94</t>
  </si>
  <si>
    <t>Total Guest Communication COS</t>
  </si>
  <si>
    <t>In Room Movie Cost of Sales</t>
  </si>
  <si>
    <t>Guest Laundry Cost of Sales</t>
  </si>
  <si>
    <t>In Room Fax Cost of Sales</t>
  </si>
  <si>
    <t>In Room Item Cost of Sales</t>
  </si>
  <si>
    <t>Massage Cost of Sales</t>
  </si>
  <si>
    <t>Gym Pass Cost of Sales</t>
  </si>
  <si>
    <t>Shared Facilities &amp; Services Expense</t>
  </si>
  <si>
    <t>Retail Kiosk Cost of Sales</t>
  </si>
  <si>
    <t>Vending Machines Cost of Sales</t>
  </si>
  <si>
    <t>Laundry Machines Cost of Sales</t>
  </si>
  <si>
    <t>Occasional F&amp;B Cost of Sales</t>
  </si>
  <si>
    <t>Other 1 Cost of Sales</t>
  </si>
  <si>
    <t>Other 2 Cost of Sales</t>
  </si>
  <si>
    <t>Other 3 Cost of Sales</t>
  </si>
  <si>
    <t>Other 4 Cost of Sales</t>
  </si>
  <si>
    <t>Other 5 Cost of Sales</t>
  </si>
  <si>
    <t>Other 6 Cost of Sales</t>
  </si>
  <si>
    <t>Minor_Op'!$H$95:$H$98</t>
  </si>
  <si>
    <t>D1139</t>
  </si>
  <si>
    <t>MISC_INC'!$B$2:$B$10</t>
  </si>
  <si>
    <t>MISC_INC'!$O$16:$AN$18</t>
  </si>
  <si>
    <t>MISC_INC'!$H$34:$H$50</t>
  </si>
  <si>
    <t>MISC_INC'!$A$36:$F$41</t>
  </si>
  <si>
    <t>MISC_INC'!$A$45:$B$66</t>
  </si>
  <si>
    <t>Space Rent &amp; Concessions</t>
  </si>
  <si>
    <t>Cash Discounts Earned</t>
  </si>
  <si>
    <t>Attrition Penalties</t>
  </si>
  <si>
    <t>Cancellation Penalties</t>
  </si>
  <si>
    <t>Guest Foreign Currency Trans. (Gain/Loss)</t>
  </si>
  <si>
    <t>Interest Income (Unrestricted Accounts)</t>
  </si>
  <si>
    <t>Net Rev: Renting Mixed Ownership Units</t>
  </si>
  <si>
    <t>Other Breakage</t>
  </si>
  <si>
    <t>Interest Income - FF&amp;E Reserves</t>
  </si>
  <si>
    <t>Package Breakage</t>
  </si>
  <si>
    <t>Resort Fees</t>
  </si>
  <si>
    <t>Proceeds from Business Interruption</t>
  </si>
  <si>
    <t>Administrative &amp; General Department</t>
  </si>
  <si>
    <t>Accounting</t>
  </si>
  <si>
    <t>Human Resources</t>
  </si>
  <si>
    <t>Professional Fees</t>
  </si>
  <si>
    <t>Credit Card Commissions</t>
  </si>
  <si>
    <t>Provision for Doubtful Accounts</t>
  </si>
  <si>
    <t>Bank Charges</t>
  </si>
  <si>
    <t>Payroll Processing</t>
  </si>
  <si>
    <t>Legal Services</t>
  </si>
  <si>
    <t>Donations</t>
  </si>
  <si>
    <t>Security</t>
  </si>
  <si>
    <t>Human Resources (Consolidated)</t>
  </si>
  <si>
    <t>D1154</t>
  </si>
  <si>
    <t>HR_Detail'!$B$2:$B$10</t>
  </si>
  <si>
    <t>HR_Detail'!$O$16:$AN$18</t>
  </si>
  <si>
    <t>HR_Detail'!$H$34:$H$44</t>
  </si>
  <si>
    <t>HR_Detail'!$A$37:$B$58</t>
  </si>
  <si>
    <t>Human Resources (Consolidated) Department</t>
  </si>
  <si>
    <t>Employee Relations</t>
  </si>
  <si>
    <t>Recruiting</t>
  </si>
  <si>
    <t>Relocation</t>
  </si>
  <si>
    <t>D1157</t>
  </si>
  <si>
    <t>IT'!$B$2:$B$10</t>
  </si>
  <si>
    <t>IT'!$O$16:$AN$18</t>
  </si>
  <si>
    <t>IT'!$H$35:$H$36</t>
  </si>
  <si>
    <t>IT'!$A$36:$F$42</t>
  </si>
  <si>
    <t>IT'!$A$105:$B$126</t>
  </si>
  <si>
    <t>Information &amp; Telecom Systems Department</t>
  </si>
  <si>
    <t>Cost of Services</t>
  </si>
  <si>
    <t>Cost of Cell Phones</t>
  </si>
  <si>
    <t>Cost of Internet Services</t>
  </si>
  <si>
    <t>Other Cost of Services</t>
  </si>
  <si>
    <t>Total Cost of Services</t>
  </si>
  <si>
    <t>System Expenses</t>
  </si>
  <si>
    <t>Administrative and General</t>
  </si>
  <si>
    <t>Food and Beverage</t>
  </si>
  <si>
    <t>Sales and Marketing</t>
  </si>
  <si>
    <t>IT'!$H$39:$H$43</t>
  </si>
  <si>
    <t>Total System Expenses</t>
  </si>
  <si>
    <t>IT'!$H$47:$H$52,'IT'!$H$56:$H$61</t>
  </si>
  <si>
    <t>IT'!$H$64:$H$65</t>
  </si>
  <si>
    <t>Sales &amp; Marketing Department</t>
  </si>
  <si>
    <t>Non-Mgmt. (Sales &amp; Marketing)</t>
  </si>
  <si>
    <t>Promotion</t>
  </si>
  <si>
    <t>Fam Trips</t>
  </si>
  <si>
    <t>Trade Shows</t>
  </si>
  <si>
    <t>Collateral Materials</t>
  </si>
  <si>
    <t>Direct Mail</t>
  </si>
  <si>
    <t>Website</t>
  </si>
  <si>
    <t>Media</t>
  </si>
  <si>
    <t>Outside Services Market Research</t>
  </si>
  <si>
    <t>Photography</t>
  </si>
  <si>
    <t>Loyalty Programs</t>
  </si>
  <si>
    <t>Agency Fees</t>
  </si>
  <si>
    <t>Property Operation &amp; Maintenance Department</t>
  </si>
  <si>
    <t>Non-Mgmt. (PO &amp; M)</t>
  </si>
  <si>
    <t>Life/Safety</t>
  </si>
  <si>
    <t>Electrical &amp; Mechanical Equipment</t>
  </si>
  <si>
    <t>HVAC Equipment</t>
  </si>
  <si>
    <t>Furniture &amp; Equipment</t>
  </si>
  <si>
    <t>Building</t>
  </si>
  <si>
    <t>Plumbing</t>
  </si>
  <si>
    <t>Floor Covering</t>
  </si>
  <si>
    <t>Painting &amp; Wallcovering</t>
  </si>
  <si>
    <t>Elevators &amp; Escalators</t>
  </si>
  <si>
    <t>Swimming Pool</t>
  </si>
  <si>
    <t>Grounds Maint &amp; Landscaping</t>
  </si>
  <si>
    <t>Light Bulbs</t>
  </si>
  <si>
    <t>Engineering Supplies</t>
  </si>
  <si>
    <t>Waste Removal</t>
  </si>
  <si>
    <t>Utilities Department</t>
  </si>
  <si>
    <t>Electricity</t>
  </si>
  <si>
    <t>Gas</t>
  </si>
  <si>
    <t>Water / Sewer</t>
  </si>
  <si>
    <t>Other Fuels</t>
  </si>
  <si>
    <t>Management Fees Department</t>
  </si>
  <si>
    <t>Base Management Fees</t>
  </si>
  <si>
    <t>Other Management Fees</t>
  </si>
  <si>
    <t>Non-Operating Income &amp; Expenses Department</t>
  </si>
  <si>
    <t>Income</t>
  </si>
  <si>
    <t>Cost Recovery Income (CAM)</t>
  </si>
  <si>
    <t>Interest Income (Restricted &amp; FF&amp;E Accts)</t>
  </si>
  <si>
    <t>Other Income</t>
  </si>
  <si>
    <t xml:space="preserve">Total Income </t>
  </si>
  <si>
    <t>Land &amp; Buildings</t>
  </si>
  <si>
    <t>Other Property &amp; Equipment</t>
  </si>
  <si>
    <t>Total Rent</t>
  </si>
  <si>
    <t>Real Estate Taxes</t>
  </si>
  <si>
    <t>Personal Property Taxes</t>
  </si>
  <si>
    <t>Business &amp; Occupation Taxes</t>
  </si>
  <si>
    <t>Other Taxes &amp; Assesments</t>
  </si>
  <si>
    <t>Tax Penalties</t>
  </si>
  <si>
    <t>Total Property &amp; Other Taxes</t>
  </si>
  <si>
    <t>Earthquake - Insurance</t>
  </si>
  <si>
    <t>Property Insurance</t>
  </si>
  <si>
    <t>Liability Insurance</t>
  </si>
  <si>
    <t>Flood Insurance</t>
  </si>
  <si>
    <t>Other Insurance</t>
  </si>
  <si>
    <t>Total Insurance</t>
  </si>
  <si>
    <t>Cost Recovery Expense (CAM)</t>
  </si>
  <si>
    <t>Gain/Loss on Fixed Assets</t>
  </si>
  <si>
    <t>Lease Asset Impairment</t>
  </si>
  <si>
    <t>Gain/Loss Disposal - Property Lease</t>
  </si>
  <si>
    <t>Gain/Loss Disposal - Other Lease</t>
  </si>
  <si>
    <t>Owner's Expense</t>
  </si>
  <si>
    <t>Unrealized Foreign Exchange Gain/Loss</t>
  </si>
  <si>
    <t>Miscellaneous Other</t>
  </si>
  <si>
    <t>Total Non-Operating Income &amp; Expense</t>
  </si>
  <si>
    <t>POD Allocation Out Account</t>
  </si>
  <si>
    <t>House Laundry</t>
  </si>
  <si>
    <t>Laundry'!$B$2:$B$10</t>
  </si>
  <si>
    <t>Laundry'!$O$16:$AN$18</t>
  </si>
  <si>
    <t>Laundry'!$H$35:$H$36,'Laundry'!$H$38:$H$39,'Laundry'!$H$42:$H$43</t>
  </si>
  <si>
    <t>Laundry'!$A$36:$F$42</t>
  </si>
  <si>
    <t>Laundry'!$A$81:$B$102</t>
  </si>
  <si>
    <t>House Laundry Department</t>
  </si>
  <si>
    <t>Cost of Guest &amp; Outside Laundry</t>
  </si>
  <si>
    <t>Concessionaires Laundry</t>
  </si>
  <si>
    <t>Laundry'!$H$49:$H$50</t>
  </si>
  <si>
    <t>Laundry'!$H$56:$H$57</t>
  </si>
  <si>
    <t>Staff Dining</t>
  </si>
  <si>
    <t>Dining'!$B$2:$B$10</t>
  </si>
  <si>
    <t>Dining'!$O$16:$AN$18</t>
  </si>
  <si>
    <t>Dining'!$H$34:$H$35,'Dining'!$H$38:$H$39,'Dining'!$H$40:$H$41,'Dining'!$H$44:$H$45</t>
  </si>
  <si>
    <t>Dining'!$A$36:$F$42</t>
  </si>
  <si>
    <t>Dining'!$A$68:$B$89</t>
  </si>
  <si>
    <t>Staff Dining Department</t>
  </si>
  <si>
    <t>Dining'!$H$55:$H$56</t>
  </si>
  <si>
    <t>PR_Related'!$B$2:$B$10</t>
  </si>
  <si>
    <t>PR_Related'!$O$16:$AN$18</t>
  </si>
  <si>
    <t>PR_Related'!$H$35:$H$41,'PR_Related'!$H$44:$H$50,'PR_Related'!$H$53:$H$62,'PR_Related'!$H$64:$H$65</t>
  </si>
  <si>
    <t>PR_Related'!$A$36:$F$40</t>
  </si>
  <si>
    <t>PR_Related'!$A$44:$B$65</t>
  </si>
  <si>
    <t>Payroll Related Expenses</t>
  </si>
  <si>
    <t>National Disability Insurance</t>
  </si>
  <si>
    <t>National Medical Insurance</t>
  </si>
  <si>
    <t>National Retirement Insurance</t>
  </si>
  <si>
    <t>National Unemployment Insurance</t>
  </si>
  <si>
    <t>State Unemployment Insurance</t>
  </si>
  <si>
    <t>Other/ Local Payroll Tax</t>
  </si>
  <si>
    <t>Other Pay</t>
  </si>
  <si>
    <t>Personal Days</t>
  </si>
  <si>
    <t>Severance Pay</t>
  </si>
  <si>
    <t>Wellness Pay</t>
  </si>
  <si>
    <t>Holiday Pay</t>
  </si>
  <si>
    <t>Vacation Pay</t>
  </si>
  <si>
    <t>Automobile Allowance</t>
  </si>
  <si>
    <t>Contributory Savings Plan</t>
  </si>
  <si>
    <t>Dental Insurance</t>
  </si>
  <si>
    <t>Disability Insurance</t>
  </si>
  <si>
    <t>Group Life Insurance</t>
  </si>
  <si>
    <t>Health Insurance</t>
  </si>
  <si>
    <t>Meals</t>
  </si>
  <si>
    <t>Nonunion Insurance</t>
  </si>
  <si>
    <t>Workers Comp Expense</t>
  </si>
  <si>
    <t>Adjusted Values</t>
  </si>
  <si>
    <t>Food &amp; Beverage Revenues</t>
  </si>
  <si>
    <t>Food &amp; Beverage Expenses</t>
  </si>
  <si>
    <t>A&amp;G Expense</t>
  </si>
  <si>
    <t>S&amp;M Expense</t>
  </si>
  <si>
    <t>POM Expense</t>
  </si>
  <si>
    <t>Check</t>
  </si>
  <si>
    <t>Comparison to Forecast</t>
  </si>
  <si>
    <t>Adjustments</t>
  </si>
  <si>
    <t xml:space="preserve">      4111 Food Sales</t>
  </si>
  <si>
    <t>4120 N/A Beverage Sales</t>
  </si>
  <si>
    <t>Total 4130 Alcohol Sales</t>
  </si>
  <si>
    <t>4144 Banquet Room  &amp; AV Rental Income</t>
  </si>
  <si>
    <t>4145 Resort Pass Income</t>
  </si>
  <si>
    <t>4146 Admin Fee</t>
  </si>
  <si>
    <t xml:space="preserve">      4150 Banquet Labor</t>
  </si>
  <si>
    <t>4148 Service Charge (18%)</t>
  </si>
  <si>
    <t>4149 Delivery Fee Income</t>
  </si>
  <si>
    <t xml:space="preserve">   Total 4815 Discounts</t>
  </si>
  <si>
    <t>Total Adjustments</t>
  </si>
  <si>
    <t>Cost of Good Sold</t>
  </si>
  <si>
    <t xml:space="preserve">      Total 5110 Food Cost</t>
  </si>
  <si>
    <t>5130 Soft Beverages Cost</t>
  </si>
  <si>
    <t>Total 5135 Alcohol Cost</t>
  </si>
  <si>
    <t>5160 Paper Products Cost</t>
  </si>
  <si>
    <t>Misc Cost of Sales</t>
  </si>
  <si>
    <t>Cost of Labor</t>
  </si>
  <si>
    <t>6105 Salaries and Wages</t>
  </si>
  <si>
    <t>6107 Overtime</t>
  </si>
  <si>
    <t>6140 Contract Labor</t>
  </si>
  <si>
    <t xml:space="preserve">      6145 Service Charge Expense</t>
  </si>
  <si>
    <t xml:space="preserve">      6150 Payroll Expenses</t>
  </si>
  <si>
    <t>Total 6310 Payroll Taxes</t>
  </si>
  <si>
    <t>6346 Worker's Comp</t>
  </si>
  <si>
    <t>7110 Banquet Expense</t>
  </si>
  <si>
    <t>7111 IHG Diamond</t>
  </si>
  <si>
    <t>7120 Cleaning Supplies</t>
  </si>
  <si>
    <t xml:space="preserve">   7145 Glassware</t>
  </si>
  <si>
    <t xml:space="preserve">   7198 Telephone</t>
  </si>
  <si>
    <t>7155 Kitchen Utensils and Supplies</t>
  </si>
  <si>
    <t>7165 Linen and Linen Rental</t>
  </si>
  <si>
    <t>7191 Restaurant Utensils and supplies</t>
  </si>
  <si>
    <t>7204 Uniforms</t>
  </si>
  <si>
    <t xml:space="preserve">   8200 Equipment Rental</t>
  </si>
  <si>
    <t xml:space="preserve">   7180 Paper and Packaging</t>
  </si>
  <si>
    <t xml:space="preserve">   7210 Music and Entertainment</t>
  </si>
  <si>
    <t xml:space="preserve">   7175 Miscellaneous Expense</t>
  </si>
  <si>
    <t>Cash Overages &amp; Shortages</t>
  </si>
  <si>
    <t>7202 Cash Over/Short</t>
  </si>
  <si>
    <t>7506 Bank Charges</t>
  </si>
  <si>
    <t>7518 Credit Card Fees</t>
  </si>
  <si>
    <t>7522 Dues and Subscriptions</t>
  </si>
  <si>
    <t>7532 Office Printing and Supplies</t>
  </si>
  <si>
    <t xml:space="preserve">   7380 Reservation System</t>
  </si>
  <si>
    <t xml:space="preserve">   7528 Licenses and Permits Expense</t>
  </si>
  <si>
    <t xml:space="preserve">   7514 Computer Costs</t>
  </si>
  <si>
    <t>7536 Postage and Delivery</t>
  </si>
  <si>
    <t>Restaurant Marketing</t>
  </si>
  <si>
    <t xml:space="preserve">   7312 Advertising / Marketing Fees</t>
  </si>
  <si>
    <t xml:space="preserve">   7605 Repairs and Maintenance</t>
  </si>
  <si>
    <t>7125 Contract Cleaning</t>
  </si>
  <si>
    <t>7193 Utilities</t>
  </si>
  <si>
    <t>7196 Trash Removal</t>
  </si>
  <si>
    <t>F&amp;B Management Fees</t>
  </si>
  <si>
    <t xml:space="preserve">      9100 Management Fee</t>
  </si>
  <si>
    <t>7526 Insurance Expense</t>
  </si>
  <si>
    <t>Total Revenues</t>
  </si>
  <si>
    <t>Total Departmental Expense</t>
  </si>
  <si>
    <t>Total Undistributed Expenses</t>
  </si>
  <si>
    <t>Total Non-Operating Income &amp; Expenses</t>
  </si>
  <si>
    <t>Total Interest, Depreciation &amp; Amortization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</si>
</sst>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0.0%"/>
    <numFmt numFmtId="165" formatCode="_(* #,##0_);_(* \(#,##0\);_(* &quot;-&quot;??_);_(@_)"/>
    <numFmt numFmtId="166" formatCode="#,##0.0000_);\(#,##0.0000\)"/>
    <numFmt numFmtId="167" formatCode="#,##0.0_);\(#,##0.0\)"/>
  </numFmts>
  <fonts count="32" x14ac:knownFonts="1">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b/>
      <sz val="11"/>
      <color theme="1"/>
      <name val="Verdana"/>
      <family val="2"/>
    </font>
    <font>
      <b/>
      <sz val="11"/>
      <name val="Calibri"/>
      <family val="2"/>
      <scheme val="minor"/>
    </font>
    <font>
      <sz val="10"/>
      <name val="Arial"/>
      <family val="2"/>
    </font>
    <font>
      <sz val="11"/>
      <name val="Calibri"/>
      <family val="2"/>
      <scheme val="minor"/>
    </font>
    <font>
      <b/>
      <sz val="11"/>
      <color rgb="FFFF0000"/>
      <name val="Calibri"/>
      <family val="2"/>
      <scheme val="minor"/>
    </font>
    <font>
      <sz val="11"/>
      <color rgb="FFFF0000"/>
      <name val="Calibri"/>
      <family val="2"/>
      <scheme val="minor"/>
    </font>
    <font>
      <b/>
      <sz val="9"/>
      <color indexed="81"/>
      <name val="Tahoma"/>
      <family val="2"/>
    </font>
    <font>
      <b/>
      <sz val="11"/>
      <color theme="0"/>
      <name val="Calibri"/>
      <family val="2"/>
      <scheme val="minor"/>
    </font>
    <font>
      <b/>
      <sz val="10"/>
      <name val="Arial"/>
      <family val="2"/>
    </font>
    <font>
      <b/>
      <sz val="11"/>
      <color rgb="FF5F554D"/>
      <name val="Calibri"/>
      <family val="2"/>
      <scheme val="minor"/>
    </font>
    <font>
      <b/>
      <sz val="18"/>
      <color rgb="FF00AEC7"/>
      <name val="Verdana"/>
      <family val="2"/>
    </font>
    <font>
      <sz val="11"/>
      <color rgb="FFC63527"/>
      <name val="Calibri"/>
      <family val="2"/>
      <scheme val="minor"/>
    </font>
    <font>
      <b/>
      <sz val="11"/>
      <color rgb="FFC63527"/>
      <name val="Calibri"/>
      <family val="2"/>
      <scheme val="minor"/>
    </font>
    <font>
      <b/>
      <sz val="14"/>
      <color rgb="FF6E6259"/>
      <name val="Verdana"/>
      <family val="2"/>
    </font>
    <font>
      <b/>
      <sz val="12"/>
      <color rgb="FF6E6259"/>
      <name val="Verdana"/>
      <family val="2"/>
    </font>
    <font>
      <sz val="11"/>
      <color theme="0"/>
      <name val="Calibri"/>
      <family val="2"/>
      <scheme val="minor"/>
    </font>
    <font>
      <b/>
      <sz val="12"/>
      <color theme="1"/>
      <name val="Calibri"/>
      <family val="2"/>
      <scheme val="minor"/>
    </font>
    <font>
      <b/>
      <sz val="11"/>
      <color rgb="FF000000"/>
      <name val="Verdana"/>
      <family val="2"/>
    </font>
    <font>
      <sz val="12"/>
      <color theme="1"/>
      <name val="Calibri"/>
      <family val="2"/>
      <scheme val="minor"/>
    </font>
    <font>
      <b/>
      <u/>
      <sz val="12"/>
      <color theme="1"/>
      <name val="Calibri"/>
      <family val="2"/>
      <scheme val="minor"/>
    </font>
    <font>
      <b/>
      <sz val="16"/>
      <color rgb="FF762A28"/>
      <name val="Calibri"/>
      <family val="2"/>
      <scheme val="minor"/>
    </font>
    <font>
      <b/>
      <sz val="14"/>
      <color theme="1"/>
      <name val="Calibri"/>
      <family val="2"/>
      <scheme val="minor"/>
    </font>
    <font>
      <sz val="8"/>
      <color rgb="FF000000"/>
      <name val="Tahoma"/>
      <family val="2"/>
    </font>
    <font>
      <b/>
      <sz val="10"/>
      <name val="Calibri"/>
      <family val="2"/>
      <scheme val="minor"/>
    </font>
    <font>
      <b/>
      <sz val="10"/>
      <color rgb="FFFF0000"/>
      <name val="Calibri"/>
      <family val="2"/>
      <scheme val="minor"/>
    </font>
    <font>
      <sz val="10"/>
      <name val="Calibri"/>
      <family val="2"/>
      <scheme val="minor"/>
    </font>
    <font>
      <i/>
      <sz val="11"/>
      <color theme="1"/>
      <name val="Calibri"/>
      <family val="2"/>
      <scheme val="minor"/>
    </font>
    <font>
      <b/>
      <sz val="8"/>
      <color rgb="FF000000"/>
      <name val="Arial"/>
      <family val="2"/>
    </font>
  </fonts>
  <fills count="25">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0"/>
        <bgColor indexed="64"/>
      </patternFill>
    </fill>
    <fill>
      <patternFill patternType="solid">
        <fgColor theme="4" tint="0.79998168889431442"/>
        <bgColor indexed="64"/>
      </patternFill>
    </fill>
    <fill>
      <patternFill patternType="solid">
        <fgColor rgb="FFFFC000"/>
        <bgColor indexed="64"/>
      </patternFill>
    </fill>
    <fill>
      <patternFill patternType="mediumGray">
        <fgColor theme="2" tint="-9.9948118533890809E-2"/>
        <bgColor indexed="65"/>
      </patternFill>
    </fill>
    <fill>
      <patternFill patternType="solid">
        <fgColor rgb="FF00AEC7"/>
        <bgColor indexed="64"/>
      </patternFill>
    </fill>
    <fill>
      <patternFill patternType="solid">
        <fgColor rgb="FFE1FBFF"/>
        <bgColor indexed="64"/>
      </patternFill>
    </fill>
    <fill>
      <patternFill patternType="mediumGray">
        <fgColor rgb="FFDDD9C3"/>
        <bgColor rgb="FFFFFFFF"/>
      </patternFill>
    </fill>
    <fill>
      <patternFill patternType="solid">
        <fgColor rgb="FFFFFFFF"/>
        <bgColor rgb="FF000000"/>
      </patternFill>
    </fill>
    <fill>
      <patternFill patternType="mediumGray">
        <fgColor rgb="FFDBD6D3"/>
        <bgColor indexed="9"/>
      </patternFill>
    </fill>
    <fill>
      <patternFill patternType="mediumGray">
        <fgColor rgb="FFDBD6D3"/>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2"/>
        <bgColor indexed="64"/>
      </patternFill>
    </fill>
    <fill>
      <patternFill patternType="solid">
        <fgColor theme="7" tint="0.79998168889431442"/>
        <bgColor indexed="64"/>
      </patternFill>
    </fill>
    <fill>
      <patternFill patternType="solid">
        <fgColor theme="5" tint="0.79998168889431442"/>
        <bgColor indexed="64"/>
      </patternFill>
    </fill>
  </fills>
  <borders count="106">
    <border>
      <left/>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theme="4" tint="0.59996337778862885"/>
      </left>
      <right style="thin">
        <color theme="4" tint="0.59996337778862885"/>
      </right>
      <top style="thin">
        <color theme="4" tint="0.59996337778862885"/>
      </top>
      <bottom/>
      <diagonal/>
    </border>
    <border>
      <left/>
      <right/>
      <top style="thin">
        <color rgb="FF000000"/>
      </top>
      <bottom/>
      <diagonal/>
    </border>
    <border>
      <left style="thin">
        <color theme="4" tint="0.59996337778862885"/>
      </left>
      <right style="thin">
        <color theme="4" tint="0.59996337778862885"/>
      </right>
      <top style="thin">
        <color rgb="FF000000"/>
      </top>
      <bottom style="thin">
        <color theme="4" tint="0.59996337778862885"/>
      </bottom>
      <diagonal/>
    </border>
    <border>
      <left style="thin">
        <color theme="4" tint="0.59996337778862885"/>
      </left>
      <right style="thin">
        <color theme="4" tint="0.59996337778862885"/>
      </right>
      <top style="thin">
        <color rgb="FF000000"/>
      </top>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bottom/>
      <diagonal/>
    </border>
    <border>
      <left style="thin">
        <color theme="4" tint="0.59996337778862885"/>
      </left>
      <right/>
      <top style="thin">
        <color theme="4" tint="0.59996337778862885"/>
      </top>
      <bottom/>
      <diagonal/>
    </border>
    <border>
      <left/>
      <right style="thin">
        <color theme="4" tint="0.59996337778862885"/>
      </right>
      <top style="thin">
        <color theme="4" tint="0.59996337778862885"/>
      </top>
      <bottom/>
      <diagonal/>
    </border>
    <border>
      <left style="thin">
        <color theme="4" tint="0.59996337778862885"/>
      </left>
      <right/>
      <top/>
      <bottom style="thin">
        <color theme="4" tint="0.59996337778862885"/>
      </bottom>
      <diagonal/>
    </border>
    <border>
      <left/>
      <right style="thin">
        <color theme="4" tint="0.59996337778862885"/>
      </right>
      <top/>
      <bottom style="thin">
        <color theme="4" tint="0.59996337778862885"/>
      </bottom>
      <diagonal/>
    </border>
    <border>
      <left/>
      <right/>
      <top style="thin">
        <color theme="4" tint="0.59996337778862885"/>
      </top>
      <bottom/>
      <diagonal/>
    </border>
    <border>
      <left/>
      <right/>
      <top/>
      <bottom style="thin">
        <color theme="4" tint="0.59996337778862885"/>
      </bottom>
      <diagonal/>
    </border>
    <border>
      <left style="thin">
        <color theme="4" tint="0.59996337778862885"/>
      </left>
      <right/>
      <top/>
      <bottom/>
      <diagonal/>
    </border>
    <border>
      <left/>
      <right style="thin">
        <color theme="4" tint="0.59996337778862885"/>
      </right>
      <top/>
      <bottom/>
      <diagonal/>
    </border>
    <border>
      <left style="thin">
        <color theme="4" tint="0.59996337778862885"/>
      </left>
      <right style="thin">
        <color theme="4" tint="0.59996337778862885"/>
      </right>
      <top style="thin">
        <color indexed="64"/>
      </top>
      <bottom style="double">
        <color indexed="64"/>
      </bottom>
      <diagonal/>
    </border>
    <border>
      <left style="thin">
        <color theme="4" tint="0.59996337778862885"/>
      </left>
      <right style="thin">
        <color theme="4" tint="0.59996337778862885"/>
      </right>
      <top style="thin">
        <color auto="1"/>
      </top>
      <bottom/>
      <diagonal/>
    </border>
    <border>
      <left style="thin">
        <color rgb="FFB8CCE4"/>
      </left>
      <right style="thin">
        <color theme="4" tint="0.59996337778862885"/>
      </right>
      <top style="thin">
        <color rgb="FFB8CCE4"/>
      </top>
      <bottom style="thin">
        <color theme="4" tint="0.59996337778862885"/>
      </bottom>
      <diagonal/>
    </border>
    <border>
      <left style="thin">
        <color theme="4" tint="0.59996337778862885"/>
      </left>
      <right style="thin">
        <color theme="4" tint="0.59996337778862885"/>
      </right>
      <top style="thin">
        <color rgb="FFB8CCE4"/>
      </top>
      <bottom style="thin">
        <color theme="4" tint="0.59996337778862885"/>
      </bottom>
      <diagonal/>
    </border>
    <border>
      <left style="thin">
        <color rgb="FFB8CCE4"/>
      </left>
      <right style="thin">
        <color theme="4" tint="0.59996337778862885"/>
      </right>
      <top style="thin">
        <color rgb="FFB8CCE4"/>
      </top>
      <bottom/>
      <diagonal/>
    </border>
    <border>
      <left style="thin">
        <color theme="4" tint="0.59996337778862885"/>
      </left>
      <right style="thin">
        <color theme="4" tint="0.59996337778862885"/>
      </right>
      <top style="thin">
        <color rgb="FFB8CCE4"/>
      </top>
      <bottom/>
      <diagonal/>
    </border>
    <border>
      <left style="thin">
        <color rgb="FFB8CCE4"/>
      </left>
      <right style="thin">
        <color theme="4" tint="0.59996337778862885"/>
      </right>
      <top/>
      <bottom style="thin">
        <color theme="4" tint="0.59996337778862885"/>
      </bottom>
      <diagonal/>
    </border>
    <border>
      <left style="thin">
        <color rgb="FFB8CCE4"/>
      </left>
      <right style="thin">
        <color theme="4" tint="0.59996337778862885"/>
      </right>
      <top/>
      <bottom/>
      <diagonal/>
    </border>
    <border>
      <left style="thin">
        <color rgb="FFB8CCE4"/>
      </left>
      <right style="thin">
        <color theme="4" tint="0.59996337778862885"/>
      </right>
      <top style="thin">
        <color rgb="FFB8CCE4"/>
      </top>
      <bottom style="thin">
        <color rgb="FFB8CCE4"/>
      </bottom>
      <diagonal/>
    </border>
    <border>
      <left style="thin">
        <color theme="4" tint="0.59996337778862885"/>
      </left>
      <right style="thin">
        <color theme="4" tint="0.59996337778862885"/>
      </right>
      <top style="thin">
        <color rgb="FFB8CCE4"/>
      </top>
      <bottom style="thin">
        <color rgb="FFB8CCE4"/>
      </bottom>
      <diagonal/>
    </border>
    <border>
      <left style="thin">
        <color theme="4" tint="0.59996337778862885"/>
      </left>
      <right style="thin">
        <color theme="4" tint="0.59996337778862885"/>
      </right>
      <top style="thin">
        <color indexed="64"/>
      </top>
      <bottom style="thin">
        <color theme="4" tint="0.59996337778862885"/>
      </bottom>
      <diagonal/>
    </border>
    <border>
      <left style="thin">
        <color theme="4" tint="0.59996337778862885"/>
      </left>
      <right style="thin">
        <color theme="4" tint="0.59996337778862885"/>
      </right>
      <top style="thin">
        <color rgb="FF000000"/>
      </top>
      <bottom style="thin">
        <color rgb="FF000000"/>
      </bottom>
      <diagonal/>
    </border>
    <border>
      <left/>
      <right/>
      <top style="thin">
        <color rgb="FF000000"/>
      </top>
      <bottom style="thin">
        <color rgb="FF000000"/>
      </bottom>
      <diagonal/>
    </border>
    <border>
      <left style="thin">
        <color theme="4" tint="0.59996337778862885"/>
      </left>
      <right style="thin">
        <color theme="4" tint="0.59996337778862885"/>
      </right>
      <top style="thin">
        <color rgb="FF000000"/>
      </top>
      <bottom style="thin">
        <color indexed="64"/>
      </bottom>
      <diagonal/>
    </border>
    <border>
      <left style="thin">
        <color theme="4" tint="0.59996337778862885"/>
      </left>
      <right style="thin">
        <color theme="4" tint="0.59996337778862885"/>
      </right>
      <top style="thin">
        <color indexed="64"/>
      </top>
      <bottom style="thin">
        <color indexed="64"/>
      </bottom>
      <diagonal/>
    </border>
    <border>
      <left style="thin">
        <color rgb="FFB8CCE4"/>
      </left>
      <right style="thin">
        <color theme="4" tint="0.59996337778862885"/>
      </right>
      <top style="thin">
        <color rgb="FF000000"/>
      </top>
      <bottom style="thin">
        <color rgb="FF000000"/>
      </bottom>
      <diagonal/>
    </border>
    <border>
      <left style="thin">
        <color theme="4" tint="0.59996337778862885"/>
      </left>
      <right style="thin">
        <color theme="4" tint="0.59996337778862885"/>
      </right>
      <top/>
      <bottom style="thin">
        <color rgb="FF000000"/>
      </bottom>
      <diagonal/>
    </border>
    <border>
      <left style="thin">
        <color rgb="FFB8CCE4"/>
      </left>
      <right style="thin">
        <color theme="4" tint="0.59996337778862885"/>
      </right>
      <top/>
      <bottom style="thin">
        <color rgb="FF000000"/>
      </bottom>
      <diagonal/>
    </border>
    <border>
      <left style="thin">
        <color rgb="FFB8CCE4"/>
      </left>
      <right style="thin">
        <color theme="4" tint="0.59996337778862885"/>
      </right>
      <top/>
      <bottom style="thin">
        <color rgb="FFB8CCE4"/>
      </bottom>
      <diagonal/>
    </border>
    <border>
      <left style="thin">
        <color theme="4" tint="0.59996337778862885"/>
      </left>
      <right style="thin">
        <color theme="4" tint="0.59996337778862885"/>
      </right>
      <top/>
      <bottom style="thin">
        <color rgb="FFB8CCE4"/>
      </bottom>
      <diagonal/>
    </border>
    <border>
      <left style="thin">
        <color rgb="FFB8CCE4"/>
      </left>
      <right style="thin">
        <color theme="4" tint="0.59996337778862885"/>
      </right>
      <top style="thin">
        <color rgb="FF000000"/>
      </top>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theme="4" tint="0.59996337778862885"/>
      </right>
      <top style="thin">
        <color rgb="FFB8CCE4"/>
      </top>
      <bottom style="thin">
        <color theme="4" tint="0.59996337778862885"/>
      </bottom>
      <diagonal/>
    </border>
    <border>
      <left/>
      <right style="thin">
        <color theme="4" tint="0.59996337778862885"/>
      </right>
      <top style="thin">
        <color rgb="FFB8CCE4"/>
      </top>
      <bottom/>
      <diagonal/>
    </border>
    <border>
      <left/>
      <right style="thin">
        <color theme="4" tint="0.59996337778862885"/>
      </right>
      <top style="thin">
        <color rgb="FF000000"/>
      </top>
      <bottom style="thin">
        <color rgb="FF000000"/>
      </bottom>
      <diagonal/>
    </border>
    <border>
      <left/>
      <right style="thin">
        <color theme="4" tint="0.59996337778862885"/>
      </right>
      <top style="thin">
        <color rgb="FFB8CCE4"/>
      </top>
      <bottom style="thin">
        <color rgb="FFB8CCE4"/>
      </bottom>
      <diagonal/>
    </border>
    <border>
      <left/>
      <right style="thin">
        <color theme="4" tint="0.59996337778862885"/>
      </right>
      <top/>
      <bottom style="thin">
        <color rgb="FFB8CCE4"/>
      </bottom>
      <diagonal/>
    </border>
    <border>
      <left/>
      <right/>
      <top/>
      <bottom style="thin">
        <color rgb="FFB8CCE4"/>
      </bottom>
      <diagonal/>
    </border>
    <border>
      <left style="thin">
        <color theme="4" tint="0.59996337778862885"/>
      </left>
      <right style="thin">
        <color rgb="FFB8CCE4"/>
      </right>
      <top style="thin">
        <color rgb="FFB8CCE4"/>
      </top>
      <bottom style="thin">
        <color rgb="FFB8CCE4"/>
      </bottom>
      <diagonal/>
    </border>
    <border>
      <left/>
      <right/>
      <top style="thin">
        <color rgb="FFB8CCE4"/>
      </top>
      <bottom/>
      <diagonal/>
    </border>
    <border>
      <left style="thin">
        <color theme="4" tint="0.59996337778862885"/>
      </left>
      <right style="thin">
        <color rgb="FFB8CCE4"/>
      </right>
      <top/>
      <bottom style="thin">
        <color rgb="FFB8CCE4"/>
      </bottom>
      <diagonal/>
    </border>
    <border>
      <left style="thin">
        <color theme="4" tint="0.59996337778862885"/>
      </left>
      <right style="thin">
        <color rgb="FFB8CCE4"/>
      </right>
      <top style="thin">
        <color rgb="FFB8CCE4"/>
      </top>
      <bottom/>
      <diagonal/>
    </border>
    <border>
      <left style="thin">
        <color theme="4" tint="0.59996337778862885"/>
      </left>
      <right style="thin">
        <color rgb="FFB8CCE4"/>
      </right>
      <top/>
      <bottom/>
      <diagonal/>
    </border>
    <border>
      <left style="thin">
        <color theme="4" tint="0.59996337778862885"/>
      </left>
      <right style="thin">
        <color rgb="FFB8CCE4"/>
      </right>
      <top style="thin">
        <color rgb="FF000000"/>
      </top>
      <bottom style="thin">
        <color rgb="FF000000"/>
      </bottom>
      <diagonal/>
    </border>
    <border>
      <left style="thin">
        <color theme="4" tint="0.59996337778862885"/>
      </left>
      <right style="thin">
        <color rgb="FFB8CCE4"/>
      </right>
      <top style="thin">
        <color rgb="FF000000"/>
      </top>
      <bottom/>
      <diagonal/>
    </border>
    <border>
      <left style="thin">
        <color theme="4" tint="0.59996337778862885"/>
      </left>
      <right style="thin">
        <color rgb="FFB8CCE4"/>
      </right>
      <top style="thin">
        <color rgb="FFB8CCE4"/>
      </top>
      <bottom style="thin">
        <color theme="4" tint="0.59996337778862885"/>
      </bottom>
      <diagonal/>
    </border>
    <border>
      <left style="thin">
        <color theme="4" tint="0.59996337778862885"/>
      </left>
      <right style="thin">
        <color rgb="FFB8CCE4"/>
      </right>
      <top/>
      <bottom style="thin">
        <color theme="4" tint="0.59996337778862885"/>
      </bottom>
      <diagonal/>
    </border>
    <border>
      <left/>
      <right/>
      <top style="thin">
        <color rgb="FFB8CCE4"/>
      </top>
      <bottom style="thin">
        <color rgb="FFB8CCE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rgb="FF000000"/>
      </top>
      <bottom style="double">
        <color indexed="64"/>
      </bottom>
      <diagonal/>
    </border>
    <border>
      <left style="thin">
        <color theme="4" tint="0.59996337778862885"/>
      </left>
      <right style="thin">
        <color rgb="FFB8CCE4"/>
      </right>
      <top style="thin">
        <color rgb="FF000000"/>
      </top>
      <bottom style="thin">
        <color theme="4" tint="0.59996337778862885"/>
      </bottom>
      <diagonal/>
    </border>
    <border>
      <left style="thin">
        <color theme="4" tint="0.59996337778862885"/>
      </left>
      <right style="thin">
        <color rgb="FFB8CCE4"/>
      </right>
      <top style="thin">
        <color indexed="64"/>
      </top>
      <bottom style="thin">
        <color theme="4" tint="0.59996337778862885"/>
      </bottom>
      <diagonal/>
    </border>
    <border>
      <left style="thin">
        <color theme="4" tint="0.59996337778862885"/>
      </left>
      <right style="thin">
        <color rgb="FFB8CCE4"/>
      </right>
      <top style="thin">
        <color indexed="64"/>
      </top>
      <bottom style="thin">
        <color indexed="64"/>
      </bottom>
      <diagonal/>
    </border>
    <border>
      <left style="thin">
        <color theme="4" tint="0.59996337778862885"/>
      </left>
      <right style="thin">
        <color rgb="FFB8CCE4"/>
      </right>
      <top style="thin">
        <color indexed="64"/>
      </top>
      <bottom style="double">
        <color indexed="64"/>
      </bottom>
      <diagonal/>
    </border>
    <border>
      <left style="thin">
        <color theme="4" tint="0.59996337778862885"/>
      </left>
      <right/>
      <top style="thin">
        <color indexed="64"/>
      </top>
      <bottom style="thin">
        <color theme="4" tint="0.59996337778862885"/>
      </bottom>
      <diagonal/>
    </border>
    <border>
      <left/>
      <right style="thin">
        <color theme="4" tint="0.59996337778862885"/>
      </right>
      <top style="thin">
        <color indexed="64"/>
      </top>
      <bottom style="thin">
        <color theme="4" tint="0.59996337778862885"/>
      </bottom>
      <diagonal/>
    </border>
    <border>
      <left style="thin">
        <color theme="4" tint="0.59996337778862885"/>
      </left>
      <right/>
      <top style="thin">
        <color indexed="64"/>
      </top>
      <bottom style="thin">
        <color indexed="64"/>
      </bottom>
      <diagonal/>
    </border>
    <border>
      <left/>
      <right style="thin">
        <color theme="4" tint="0.59996337778862885"/>
      </right>
      <top style="thin">
        <color indexed="64"/>
      </top>
      <bottom style="thin">
        <color indexed="64"/>
      </bottom>
      <diagonal/>
    </border>
    <border>
      <left style="thin">
        <color theme="4" tint="0.59996337778862885"/>
      </left>
      <right/>
      <top style="thin">
        <color indexed="64"/>
      </top>
      <bottom style="double">
        <color indexed="64"/>
      </bottom>
      <diagonal/>
    </border>
    <border>
      <left/>
      <right style="thin">
        <color theme="4" tint="0.59996337778862885"/>
      </right>
      <top style="thin">
        <color indexed="64"/>
      </top>
      <bottom style="double">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double">
        <color indexed="64"/>
      </bottom>
      <diagonal/>
    </border>
    <border>
      <left style="thin">
        <color rgb="FFB8CCE4"/>
      </left>
      <right style="thin">
        <color theme="4" tint="0.59996337778862885"/>
      </right>
      <top style="double">
        <color rgb="FF000000"/>
      </top>
      <bottom style="double">
        <color rgb="FF000000"/>
      </bottom>
      <diagonal/>
    </border>
    <border>
      <left style="thin">
        <color theme="4" tint="0.59996337778862885"/>
      </left>
      <right style="thin">
        <color theme="4" tint="0.59996337778862885"/>
      </right>
      <top style="double">
        <color rgb="FF000000"/>
      </top>
      <bottom style="double">
        <color rgb="FF000000"/>
      </bottom>
      <diagonal/>
    </border>
    <border>
      <left/>
      <right/>
      <top style="double">
        <color rgb="FF000000"/>
      </top>
      <bottom style="double">
        <color rgb="FF000000"/>
      </bottom>
      <diagonal/>
    </border>
    <border>
      <left style="thin">
        <color theme="4" tint="0.59996337778862885"/>
      </left>
      <right style="thin">
        <color rgb="FFB8CCE4"/>
      </right>
      <top style="double">
        <color rgb="FF000000"/>
      </top>
      <bottom style="double">
        <color rgb="FF000000"/>
      </bottom>
      <diagonal/>
    </border>
    <border>
      <left/>
      <right style="thin">
        <color theme="4" tint="0.79998168889431442"/>
      </right>
      <top style="thin">
        <color theme="4" tint="0.79998168889431442"/>
      </top>
      <bottom style="thin">
        <color theme="4" tint="0.79998168889431442"/>
      </bottom>
      <diagonal/>
    </border>
    <border>
      <left/>
      <right/>
      <top style="thin">
        <color theme="4" tint="0.79998168889431442"/>
      </top>
      <bottom style="thin">
        <color theme="4" tint="0.79998168889431442"/>
      </bottom>
      <diagonal/>
    </border>
    <border>
      <left style="thin">
        <color theme="4" tint="0.79998168889431442"/>
      </left>
      <right style="thin">
        <color theme="4" tint="0.79998168889431442"/>
      </right>
      <top style="thin">
        <color theme="4" tint="0.79998168889431442"/>
      </top>
      <bottom style="thin">
        <color theme="4" tint="0.79998168889431442"/>
      </bottom>
      <diagonal/>
    </border>
    <border>
      <left style="thin">
        <color theme="4" tint="0.59996337778862885"/>
      </left>
      <right style="thin">
        <color theme="4" tint="0.79998168889431442"/>
      </right>
      <top/>
      <bottom style="thin">
        <color theme="4" tint="0.59996337778862885"/>
      </bottom>
      <diagonal/>
    </border>
    <border>
      <left/>
      <right style="thin">
        <color theme="4" tint="0.79998168889431442"/>
      </right>
      <top/>
      <bottom style="thin">
        <color theme="4" tint="0.59996337778862885"/>
      </bottom>
      <diagonal/>
    </border>
    <border>
      <left style="thin">
        <color theme="4" tint="0.79998168889431442"/>
      </left>
      <right style="thin">
        <color theme="4" tint="0.79998168889431442"/>
      </right>
      <top/>
      <bottom style="thin">
        <color theme="4" tint="0.59996337778862885"/>
      </bottom>
      <diagonal/>
    </border>
    <border>
      <left style="thin">
        <color theme="4" tint="0.79998168889431442"/>
      </left>
      <right style="thin">
        <color theme="4" tint="0.59996337778862885"/>
      </right>
      <top/>
      <bottom style="thin">
        <color theme="4" tint="0.79998168889431442"/>
      </bottom>
      <diagonal/>
    </border>
    <border>
      <left style="thin">
        <color theme="4" tint="0.59996337778862885"/>
      </left>
      <right style="thin">
        <color theme="4" tint="0.79998168889431442"/>
      </right>
      <top/>
      <bottom style="thin">
        <color theme="4" tint="0.79998168889431442"/>
      </bottom>
      <diagonal/>
    </border>
    <border>
      <left style="thin">
        <color theme="4" tint="0.59996337778862885"/>
      </left>
      <right style="thin">
        <color theme="4" tint="0.59996337778862885"/>
      </right>
      <top style="thin">
        <color theme="4" tint="0.59996337778862885"/>
      </top>
      <bottom style="thin">
        <color theme="1"/>
      </bottom>
      <diagonal/>
    </border>
    <border>
      <left/>
      <right style="thin">
        <color theme="4" tint="0.79998168889431442"/>
      </right>
      <top style="thin">
        <color theme="4" tint="0.79998168889431442"/>
      </top>
      <bottom/>
      <diagonal/>
    </border>
    <border>
      <left style="thin">
        <color theme="4" tint="0.59996337778862885"/>
      </left>
      <right style="thin">
        <color theme="4" tint="0.59996337778862885"/>
      </right>
      <top style="thin">
        <color theme="1"/>
      </top>
      <bottom style="thin">
        <color theme="4" tint="0.59996337778862885"/>
      </bottom>
      <diagonal/>
    </border>
    <border>
      <left/>
      <right/>
      <top/>
      <bottom style="thin">
        <color theme="4" tint="0.79998168889431442"/>
      </bottom>
      <diagonal/>
    </border>
    <border>
      <left/>
      <right style="thin">
        <color theme="4" tint="0.79998168889431442"/>
      </right>
      <top/>
      <bottom/>
      <diagonal/>
    </border>
    <border>
      <left style="thin">
        <color theme="4" tint="0.79998168889431442"/>
      </left>
      <right style="thin">
        <color theme="4" tint="0.79998168889431442"/>
      </right>
      <top style="thin">
        <color indexed="64"/>
      </top>
      <bottom style="thin">
        <color theme="4" tint="0.79998168889431442"/>
      </bottom>
      <diagonal/>
    </border>
  </borders>
  <cellStyleXfs count="10">
    <xf numFmtId="0" fontId="0" fillId="0" borderId="0"/>
    <xf numFmtId="9" fontId="3" fillId="0" borderId="0" applyFont="0" applyFill="0" applyBorder="0" applyAlignment="0" applyProtection="0"/>
    <xf numFmtId="0" fontId="6" fillId="0" borderId="0"/>
    <xf numFmtId="0" fontId="12" fillId="0" borderId="2">
      <alignment horizontal="left" wrapText="1"/>
    </xf>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44" fontId="3" fillId="0" borderId="0" applyFont="0" applyFill="0" applyBorder="0" applyAlignment="0" applyProtection="0"/>
    <xf numFmtId="0" fontId="6" fillId="0" borderId="0"/>
    <xf numFmtId="43" fontId="3" fillId="0" borderId="0" applyFont="0" applyFill="0" applyBorder="0" applyAlignment="0" applyProtection="0"/>
  </cellStyleXfs>
  <cellXfs count="551">
    <xf numFmtId="0" fontId="0" fillId="0" borderId="0" xfId="0"/>
    <xf numFmtId="0" fontId="0" fillId="2" borderId="0" xfId="0" applyFill="1"/>
    <xf numFmtId="0" fontId="0" fillId="3" borderId="0" xfId="0" applyFill="1"/>
    <xf numFmtId="0" fontId="1" fillId="3" borderId="1" xfId="0" applyFont="1" applyFill="1" applyBorder="1"/>
    <xf numFmtId="0" fontId="1" fillId="3" borderId="2" xfId="0" applyFont="1" applyFill="1" applyBorder="1"/>
    <xf numFmtId="0" fontId="1" fillId="3" borderId="3" xfId="0" applyFont="1" applyFill="1" applyBorder="1"/>
    <xf numFmtId="0" fontId="1" fillId="4" borderId="2" xfId="0" applyFont="1" applyFill="1" applyBorder="1"/>
    <xf numFmtId="0" fontId="0" fillId="2" borderId="2" xfId="0" applyFill="1" applyBorder="1"/>
    <xf numFmtId="0" fontId="1" fillId="2" borderId="0" xfId="0" applyFont="1" applyFill="1"/>
    <xf numFmtId="0" fontId="0" fillId="5" borderId="0" xfId="0" applyFill="1"/>
    <xf numFmtId="49" fontId="0" fillId="3" borderId="0" xfId="0" applyNumberFormat="1" applyFill="1"/>
    <xf numFmtId="0" fontId="0" fillId="2" borderId="0" xfId="0" applyFill="1" applyAlignment="1">
      <alignment horizontal="center"/>
    </xf>
    <xf numFmtId="0" fontId="0" fillId="6" borderId="0" xfId="0" applyFill="1"/>
    <xf numFmtId="0" fontId="0" fillId="2" borderId="0" xfId="0" applyFill="1" applyAlignment="1">
      <alignment horizontal="right"/>
    </xf>
    <xf numFmtId="0" fontId="0" fillId="2" borderId="2" xfId="0" quotePrefix="1" applyFill="1" applyBorder="1"/>
    <xf numFmtId="164" fontId="0" fillId="0" borderId="4" xfId="1" applyNumberFormat="1" applyFont="1" applyFill="1" applyBorder="1"/>
    <xf numFmtId="0" fontId="0" fillId="7" borderId="0" xfId="0" applyFill="1"/>
    <xf numFmtId="0" fontId="0" fillId="7" borderId="0" xfId="0" applyFill="1" applyAlignment="1">
      <alignment horizontal="center"/>
    </xf>
    <xf numFmtId="37" fontId="0" fillId="7" borderId="0" xfId="0" applyNumberFormat="1" applyFill="1"/>
    <xf numFmtId="37" fontId="0" fillId="0" borderId="4" xfId="0" applyNumberFormat="1" applyBorder="1"/>
    <xf numFmtId="0" fontId="1" fillId="3" borderId="5" xfId="0" applyFont="1" applyFill="1" applyBorder="1"/>
    <xf numFmtId="0" fontId="1" fillId="3" borderId="6" xfId="0" applyFont="1" applyFill="1" applyBorder="1"/>
    <xf numFmtId="0" fontId="1" fillId="3" borderId="7" xfId="0" applyFont="1" applyFill="1" applyBorder="1"/>
    <xf numFmtId="0" fontId="1" fillId="2" borderId="0" xfId="0" applyFont="1" applyFill="1" applyAlignment="1">
      <alignment horizontal="left"/>
    </xf>
    <xf numFmtId="0" fontId="0" fillId="2" borderId="0" xfId="0" applyFill="1" applyAlignment="1">
      <alignment horizontal="left" indent="1"/>
    </xf>
    <xf numFmtId="0" fontId="0" fillId="3" borderId="0" xfId="0" applyFill="1" applyAlignment="1">
      <alignment horizontal="left" indent="1"/>
    </xf>
    <xf numFmtId="0" fontId="1" fillId="3" borderId="0" xfId="0" applyFont="1" applyFill="1" applyAlignment="1">
      <alignment horizontal="left"/>
    </xf>
    <xf numFmtId="0" fontId="1" fillId="2" borderId="8" xfId="0" applyFont="1" applyFill="1" applyBorder="1" applyAlignment="1">
      <alignment horizontal="left"/>
    </xf>
    <xf numFmtId="37" fontId="0" fillId="0" borderId="9" xfId="0" applyNumberFormat="1" applyBorder="1"/>
    <xf numFmtId="164" fontId="0" fillId="0" borderId="9" xfId="1" applyNumberFormat="1" applyFont="1" applyFill="1" applyBorder="1"/>
    <xf numFmtId="37" fontId="1" fillId="0" borderId="11" xfId="0" applyNumberFormat="1" applyFont="1" applyBorder="1"/>
    <xf numFmtId="164" fontId="1" fillId="0" borderId="11" xfId="1" applyNumberFormat="1" applyFont="1" applyFill="1" applyBorder="1"/>
    <xf numFmtId="0" fontId="1" fillId="2" borderId="10" xfId="0" applyFont="1" applyFill="1" applyBorder="1"/>
    <xf numFmtId="37" fontId="1" fillId="0" borderId="12" xfId="0" applyNumberFormat="1" applyFont="1" applyBorder="1"/>
    <xf numFmtId="164" fontId="1" fillId="0" borderId="12" xfId="1" applyNumberFormat="1" applyFont="1" applyFill="1" applyBorder="1"/>
    <xf numFmtId="37" fontId="0" fillId="0" borderId="13" xfId="0" applyNumberFormat="1" applyBorder="1"/>
    <xf numFmtId="164" fontId="0" fillId="0" borderId="13" xfId="1" applyNumberFormat="1" applyFont="1" applyFill="1" applyBorder="1"/>
    <xf numFmtId="0" fontId="4" fillId="2" borderId="0" xfId="0" applyFont="1" applyFill="1" applyAlignment="1">
      <alignment horizontal="left"/>
    </xf>
    <xf numFmtId="0" fontId="0" fillId="2" borderId="15" xfId="0" applyFill="1" applyBorder="1"/>
    <xf numFmtId="0" fontId="0" fillId="2" borderId="16" xfId="0" applyFill="1" applyBorder="1"/>
    <xf numFmtId="0" fontId="0" fillId="2" borderId="17" xfId="0" applyFill="1" applyBorder="1"/>
    <xf numFmtId="0" fontId="0" fillId="2" borderId="18" xfId="0" applyFill="1" applyBorder="1"/>
    <xf numFmtId="0" fontId="0" fillId="2" borderId="19" xfId="0" applyFill="1" applyBorder="1"/>
    <xf numFmtId="0" fontId="0" fillId="2" borderId="20" xfId="0" applyFill="1" applyBorder="1"/>
    <xf numFmtId="37" fontId="0" fillId="0" borderId="14" xfId="0" applyNumberFormat="1" applyBorder="1"/>
    <xf numFmtId="164" fontId="0" fillId="0" borderId="14" xfId="1" applyNumberFormat="1" applyFont="1" applyFill="1" applyBorder="1"/>
    <xf numFmtId="0" fontId="0" fillId="10" borderId="2" xfId="0" applyFill="1" applyBorder="1"/>
    <xf numFmtId="37" fontId="0" fillId="11" borderId="4" xfId="0" applyNumberFormat="1" applyFill="1" applyBorder="1"/>
    <xf numFmtId="37" fontId="0" fillId="11" borderId="9" xfId="0" applyNumberFormat="1" applyFill="1" applyBorder="1"/>
    <xf numFmtId="37" fontId="1" fillId="11" borderId="11" xfId="0" applyNumberFormat="1" applyFont="1" applyFill="1" applyBorder="1"/>
    <xf numFmtId="0" fontId="0" fillId="2" borderId="21" xfId="0" applyFill="1" applyBorder="1"/>
    <xf numFmtId="0" fontId="0" fillId="2" borderId="22" xfId="0" applyFill="1" applyBorder="1"/>
    <xf numFmtId="0" fontId="9" fillId="0" borderId="0" xfId="0" applyFont="1"/>
    <xf numFmtId="0" fontId="7" fillId="2" borderId="0" xfId="0" applyFont="1" applyFill="1"/>
    <xf numFmtId="37" fontId="1" fillId="11" borderId="12" xfId="0" applyNumberFormat="1" applyFont="1" applyFill="1" applyBorder="1"/>
    <xf numFmtId="37" fontId="1" fillId="11" borderId="24" xfId="0" applyNumberFormat="1" applyFont="1" applyFill="1" applyBorder="1"/>
    <xf numFmtId="37" fontId="1" fillId="0" borderId="24" xfId="0" applyNumberFormat="1" applyFont="1" applyBorder="1"/>
    <xf numFmtId="164" fontId="1" fillId="0" borderId="24" xfId="1" applyNumberFormat="1" applyFont="1" applyFill="1" applyBorder="1"/>
    <xf numFmtId="37" fontId="1" fillId="0" borderId="23" xfId="0" applyNumberFormat="1" applyFont="1" applyBorder="1"/>
    <xf numFmtId="164" fontId="1" fillId="0" borderId="23" xfId="1" applyNumberFormat="1" applyFont="1" applyFill="1" applyBorder="1"/>
    <xf numFmtId="37" fontId="1" fillId="11" borderId="23" xfId="0" applyNumberFormat="1" applyFont="1" applyFill="1" applyBorder="1"/>
    <xf numFmtId="0" fontId="14" fillId="2" borderId="0" xfId="0" applyFont="1" applyFill="1" applyAlignment="1">
      <alignment horizontal="left"/>
    </xf>
    <xf numFmtId="0" fontId="15" fillId="2" borderId="0" xfId="0" applyFont="1" applyFill="1"/>
    <xf numFmtId="0" fontId="15" fillId="2" borderId="0" xfId="0" applyFont="1" applyFill="1" applyAlignment="1">
      <alignment horizontal="center"/>
    </xf>
    <xf numFmtId="0" fontId="15" fillId="2" borderId="0" xfId="0" applyFont="1" applyFill="1" applyAlignment="1">
      <alignment horizontal="left" indent="1"/>
    </xf>
    <xf numFmtId="0" fontId="16" fillId="2" borderId="0" xfId="0" applyFont="1" applyFill="1" applyAlignment="1">
      <alignment horizontal="left"/>
    </xf>
    <xf numFmtId="0" fontId="17" fillId="2" borderId="0" xfId="0" applyFont="1" applyFill="1" applyAlignment="1">
      <alignment horizontal="left"/>
    </xf>
    <xf numFmtId="0" fontId="18" fillId="2" borderId="0" xfId="0" applyFont="1" applyFill="1" applyAlignment="1">
      <alignment horizontal="left"/>
    </xf>
    <xf numFmtId="0" fontId="13" fillId="13" borderId="4" xfId="0" applyFont="1" applyFill="1" applyBorder="1" applyAlignment="1">
      <alignment horizontal="centerContinuous"/>
    </xf>
    <xf numFmtId="0" fontId="9" fillId="2" borderId="0" xfId="0" applyFont="1" applyFill="1"/>
    <xf numFmtId="37" fontId="0" fillId="15" borderId="4" xfId="0" applyNumberFormat="1" applyFill="1" applyBorder="1"/>
    <xf numFmtId="37" fontId="0" fillId="15" borderId="13" xfId="0" applyNumberFormat="1" applyFill="1" applyBorder="1"/>
    <xf numFmtId="0" fontId="0" fillId="2" borderId="0" xfId="0" applyFill="1" applyAlignment="1">
      <alignment horizontal="left"/>
    </xf>
    <xf numFmtId="37" fontId="1" fillId="14" borderId="25" xfId="0" applyNumberFormat="1" applyFont="1" applyFill="1" applyBorder="1"/>
    <xf numFmtId="37" fontId="1" fillId="14" borderId="26" xfId="0" applyNumberFormat="1" applyFont="1" applyFill="1" applyBorder="1"/>
    <xf numFmtId="164" fontId="1" fillId="14" borderId="26" xfId="1" applyNumberFormat="1" applyFont="1" applyFill="1" applyBorder="1"/>
    <xf numFmtId="37" fontId="1" fillId="15" borderId="29" xfId="0" applyNumberFormat="1" applyFont="1" applyFill="1" applyBorder="1"/>
    <xf numFmtId="37" fontId="1" fillId="15" borderId="13" xfId="0" applyNumberFormat="1" applyFont="1" applyFill="1" applyBorder="1"/>
    <xf numFmtId="164" fontId="1" fillId="15" borderId="13" xfId="1" applyNumberFormat="1" applyFont="1" applyFill="1" applyBorder="1"/>
    <xf numFmtId="37" fontId="1" fillId="14" borderId="27" xfId="0" applyNumberFormat="1" applyFont="1" applyFill="1" applyBorder="1"/>
    <xf numFmtId="37" fontId="1" fillId="14" borderId="28" xfId="0" applyNumberFormat="1" applyFont="1" applyFill="1" applyBorder="1"/>
    <xf numFmtId="164" fontId="1" fillId="14" borderId="28" xfId="1" applyNumberFormat="1" applyFont="1" applyFill="1" applyBorder="1"/>
    <xf numFmtId="37" fontId="0" fillId="15" borderId="25" xfId="0" applyNumberFormat="1" applyFill="1" applyBorder="1"/>
    <xf numFmtId="37" fontId="0" fillId="15" borderId="26" xfId="0" applyNumberFormat="1" applyFill="1" applyBorder="1"/>
    <xf numFmtId="164" fontId="3" fillId="15" borderId="26" xfId="1" applyNumberFormat="1" applyFont="1" applyFill="1" applyBorder="1"/>
    <xf numFmtId="37" fontId="0" fillId="15" borderId="29" xfId="0" applyNumberFormat="1" applyFill="1" applyBorder="1"/>
    <xf numFmtId="164" fontId="3" fillId="15" borderId="13" xfId="1" applyNumberFormat="1" applyFont="1" applyFill="1" applyBorder="1"/>
    <xf numFmtId="37" fontId="0" fillId="15" borderId="27" xfId="0" applyNumberFormat="1" applyFill="1" applyBorder="1"/>
    <xf numFmtId="37" fontId="0" fillId="15" borderId="28" xfId="0" applyNumberFormat="1" applyFill="1" applyBorder="1"/>
    <xf numFmtId="0" fontId="0" fillId="2" borderId="16" xfId="0" applyFill="1" applyBorder="1" applyAlignment="1">
      <alignment horizontal="center"/>
    </xf>
    <xf numFmtId="44" fontId="1" fillId="14" borderId="25" xfId="0" applyNumberFormat="1" applyFont="1" applyFill="1" applyBorder="1"/>
    <xf numFmtId="44" fontId="1" fillId="14" borderId="26" xfId="0" applyNumberFormat="1" applyFont="1" applyFill="1" applyBorder="1"/>
    <xf numFmtId="0" fontId="8" fillId="2" borderId="0" xfId="0" applyFont="1" applyFill="1"/>
    <xf numFmtId="44" fontId="1" fillId="15" borderId="29" xfId="0" applyNumberFormat="1" applyFont="1" applyFill="1" applyBorder="1"/>
    <xf numFmtId="44" fontId="1" fillId="15" borderId="13" xfId="0" applyNumberFormat="1" applyFont="1" applyFill="1" applyBorder="1"/>
    <xf numFmtId="44" fontId="1" fillId="14" borderId="27" xfId="0" applyNumberFormat="1" applyFont="1" applyFill="1" applyBorder="1"/>
    <xf numFmtId="44" fontId="1" fillId="14" borderId="28" xfId="0" applyNumberFormat="1" applyFont="1" applyFill="1" applyBorder="1"/>
    <xf numFmtId="44" fontId="0" fillId="15" borderId="25" xfId="0" applyNumberFormat="1" applyFill="1" applyBorder="1"/>
    <xf numFmtId="44" fontId="0" fillId="15" borderId="26" xfId="0" applyNumberFormat="1" applyFill="1" applyBorder="1"/>
    <xf numFmtId="37" fontId="0" fillId="15" borderId="31" xfId="0" applyNumberFormat="1" applyFill="1" applyBorder="1"/>
    <xf numFmtId="37" fontId="0" fillId="15" borderId="32" xfId="0" applyNumberFormat="1" applyFill="1" applyBorder="1"/>
    <xf numFmtId="164" fontId="3" fillId="15" borderId="28" xfId="1" applyNumberFormat="1" applyFont="1" applyFill="1" applyBorder="1"/>
    <xf numFmtId="164" fontId="3" fillId="15" borderId="32" xfId="1" applyNumberFormat="1" applyFont="1" applyFill="1" applyBorder="1" applyAlignment="1">
      <alignment horizontal="right"/>
    </xf>
    <xf numFmtId="164" fontId="1" fillId="14" borderId="26" xfId="1" applyNumberFormat="1" applyFont="1" applyFill="1" applyBorder="1" applyAlignment="1">
      <alignment horizontal="right"/>
    </xf>
    <xf numFmtId="164" fontId="3" fillId="15" borderId="26" xfId="1" applyNumberFormat="1" applyFont="1" applyFill="1" applyBorder="1" applyAlignment="1">
      <alignment horizontal="right"/>
    </xf>
    <xf numFmtId="164" fontId="1" fillId="14" borderId="28" xfId="1" applyNumberFormat="1" applyFont="1" applyFill="1" applyBorder="1" applyAlignment="1">
      <alignment horizontal="right"/>
    </xf>
    <xf numFmtId="164" fontId="1" fillId="15" borderId="13" xfId="1" applyNumberFormat="1" applyFont="1" applyFill="1" applyBorder="1" applyAlignment="1">
      <alignment horizontal="right"/>
    </xf>
    <xf numFmtId="44" fontId="0" fillId="0" borderId="4" xfId="7" applyFont="1" applyFill="1" applyBorder="1"/>
    <xf numFmtId="0" fontId="0" fillId="8" borderId="0" xfId="0" applyFill="1" applyProtection="1">
      <protection locked="0"/>
    </xf>
    <xf numFmtId="0" fontId="5" fillId="8" borderId="0" xfId="2" applyFont="1" applyFill="1" applyAlignment="1" applyProtection="1">
      <alignment horizontal="centerContinuous"/>
      <protection locked="0"/>
    </xf>
    <xf numFmtId="0" fontId="6" fillId="8" borderId="0" xfId="2" applyFill="1" applyProtection="1">
      <protection locked="0"/>
    </xf>
    <xf numFmtId="0" fontId="0" fillId="9" borderId="5" xfId="0" applyFill="1" applyBorder="1" applyAlignment="1" applyProtection="1">
      <alignment horizontal="centerContinuous"/>
      <protection locked="0"/>
    </xf>
    <xf numFmtId="0" fontId="0" fillId="9" borderId="7" xfId="0" applyFill="1" applyBorder="1" applyAlignment="1" applyProtection="1">
      <alignment horizontal="centerContinuous"/>
      <protection locked="0"/>
    </xf>
    <xf numFmtId="37" fontId="1" fillId="0" borderId="13" xfId="0" applyNumberFormat="1" applyFont="1" applyBorder="1"/>
    <xf numFmtId="164" fontId="1" fillId="0" borderId="13" xfId="1" applyNumberFormat="1" applyFont="1" applyFill="1" applyBorder="1"/>
    <xf numFmtId="37" fontId="1" fillId="0" borderId="33" xfId="0" applyNumberFormat="1" applyFont="1" applyBorder="1"/>
    <xf numFmtId="164" fontId="1" fillId="0" borderId="33" xfId="1" applyNumberFormat="1" applyFont="1" applyFill="1" applyBorder="1"/>
    <xf numFmtId="37" fontId="1" fillId="11" borderId="33" xfId="0" applyNumberFormat="1" applyFont="1" applyFill="1" applyBorder="1"/>
    <xf numFmtId="37" fontId="0" fillId="11" borderId="13" xfId="0" applyNumberFormat="1" applyFill="1" applyBorder="1"/>
    <xf numFmtId="37" fontId="1" fillId="11" borderId="13" xfId="0" applyNumberFormat="1" applyFont="1" applyFill="1" applyBorder="1"/>
    <xf numFmtId="37" fontId="1" fillId="0" borderId="34" xfId="0" applyNumberFormat="1" applyFont="1" applyBorder="1"/>
    <xf numFmtId="164" fontId="1" fillId="0" borderId="34" xfId="1" applyNumberFormat="1" applyFont="1" applyFill="1" applyBorder="1"/>
    <xf numFmtId="37" fontId="1" fillId="11" borderId="34" xfId="0" applyNumberFormat="1" applyFont="1" applyFill="1" applyBorder="1"/>
    <xf numFmtId="0" fontId="1" fillId="2" borderId="35" xfId="0" applyFont="1" applyFill="1" applyBorder="1"/>
    <xf numFmtId="39" fontId="0" fillId="0" borderId="4" xfId="1" applyNumberFormat="1" applyFont="1" applyFill="1" applyBorder="1"/>
    <xf numFmtId="39" fontId="0" fillId="11" borderId="4" xfId="0" applyNumberFormat="1" applyFill="1" applyBorder="1"/>
    <xf numFmtId="39" fontId="0" fillId="11" borderId="9" xfId="0" applyNumberFormat="1" applyFill="1" applyBorder="1"/>
    <xf numFmtId="39" fontId="1" fillId="0" borderId="36" xfId="0" applyNumberFormat="1" applyFont="1" applyBorder="1"/>
    <xf numFmtId="164" fontId="1" fillId="0" borderId="36" xfId="1" applyNumberFormat="1" applyFont="1" applyFill="1" applyBorder="1"/>
    <xf numFmtId="39" fontId="1" fillId="11" borderId="37" xfId="0" applyNumberFormat="1" applyFont="1" applyFill="1" applyBorder="1"/>
    <xf numFmtId="37" fontId="0" fillId="15" borderId="30" xfId="0" applyNumberFormat="1" applyFill="1" applyBorder="1"/>
    <xf numFmtId="164" fontId="3" fillId="15" borderId="14" xfId="1" applyNumberFormat="1" applyFont="1" applyFill="1" applyBorder="1" applyAlignment="1">
      <alignment horizontal="right"/>
    </xf>
    <xf numFmtId="37" fontId="0" fillId="15" borderId="14" xfId="0" applyNumberFormat="1" applyFill="1" applyBorder="1"/>
    <xf numFmtId="49" fontId="0" fillId="3" borderId="0" xfId="0" applyNumberFormat="1" applyFill="1" applyAlignment="1">
      <alignment horizontal="left"/>
    </xf>
    <xf numFmtId="37" fontId="0" fillId="11" borderId="14" xfId="0" applyNumberFormat="1" applyFill="1" applyBorder="1"/>
    <xf numFmtId="0" fontId="1" fillId="2" borderId="6" xfId="0" applyFont="1" applyFill="1" applyBorder="1" applyAlignment="1">
      <alignment horizontal="left"/>
    </xf>
    <xf numFmtId="164" fontId="0" fillId="2" borderId="0" xfId="1" applyNumberFormat="1" applyFont="1" applyFill="1"/>
    <xf numFmtId="37" fontId="1" fillId="15" borderId="38" xfId="0" applyNumberFormat="1" applyFont="1" applyFill="1" applyBorder="1"/>
    <xf numFmtId="164" fontId="1" fillId="15" borderId="34" xfId="1" applyNumberFormat="1" applyFont="1" applyFill="1" applyBorder="1"/>
    <xf numFmtId="37" fontId="1" fillId="15" borderId="34" xfId="0" applyNumberFormat="1" applyFont="1" applyFill="1" applyBorder="1"/>
    <xf numFmtId="164" fontId="1" fillId="15" borderId="34" xfId="1" applyNumberFormat="1" applyFont="1" applyFill="1" applyBorder="1" applyAlignment="1">
      <alignment horizontal="right"/>
    </xf>
    <xf numFmtId="44" fontId="1" fillId="15" borderId="38" xfId="0" applyNumberFormat="1" applyFont="1" applyFill="1" applyBorder="1"/>
    <xf numFmtId="44" fontId="1" fillId="15" borderId="34" xfId="0" applyNumberFormat="1" applyFont="1" applyFill="1" applyBorder="1"/>
    <xf numFmtId="37" fontId="0" fillId="2" borderId="0" xfId="0" applyNumberFormat="1" applyFill="1" applyAlignment="1">
      <alignment horizontal="right"/>
    </xf>
    <xf numFmtId="37" fontId="0" fillId="2" borderId="21" xfId="0" applyNumberFormat="1" applyFill="1" applyBorder="1"/>
    <xf numFmtId="37" fontId="1" fillId="0" borderId="37" xfId="0" applyNumberFormat="1" applyFont="1" applyBorder="1"/>
    <xf numFmtId="37" fontId="1" fillId="11" borderId="37" xfId="0" applyNumberFormat="1" applyFont="1" applyFill="1" applyBorder="1"/>
    <xf numFmtId="37" fontId="0" fillId="2" borderId="0" xfId="0" applyNumberFormat="1" applyFill="1"/>
    <xf numFmtId="10" fontId="0" fillId="2" borderId="21" xfId="1" applyNumberFormat="1" applyFont="1" applyFill="1" applyBorder="1"/>
    <xf numFmtId="10" fontId="0" fillId="2" borderId="22" xfId="1" applyNumberFormat="1" applyFont="1" applyFill="1" applyBorder="1"/>
    <xf numFmtId="10" fontId="0" fillId="2" borderId="0" xfId="1" applyNumberFormat="1" applyFont="1" applyFill="1" applyBorder="1"/>
    <xf numFmtId="0" fontId="1" fillId="2" borderId="0" xfId="0" applyFont="1" applyFill="1" applyAlignment="1">
      <alignment horizontal="left" indent="1"/>
    </xf>
    <xf numFmtId="37" fontId="1" fillId="0" borderId="4" xfId="0" applyNumberFormat="1" applyFont="1" applyBorder="1"/>
    <xf numFmtId="164" fontId="1" fillId="0" borderId="4" xfId="1" applyNumberFormat="1" applyFont="1" applyFill="1" applyBorder="1"/>
    <xf numFmtId="37" fontId="1" fillId="11" borderId="4" xfId="0" applyNumberFormat="1" applyFont="1" applyFill="1" applyBorder="1"/>
    <xf numFmtId="0" fontId="20" fillId="2" borderId="0" xfId="0" applyFont="1" applyFill="1"/>
    <xf numFmtId="164" fontId="1" fillId="0" borderId="37" xfId="1" applyNumberFormat="1" applyFont="1" applyFill="1" applyBorder="1"/>
    <xf numFmtId="44" fontId="1" fillId="0" borderId="4" xfId="7" applyFont="1" applyFill="1" applyBorder="1"/>
    <xf numFmtId="44" fontId="1" fillId="11" borderId="4" xfId="7" applyFont="1" applyFill="1" applyBorder="1"/>
    <xf numFmtId="39" fontId="0" fillId="0" borderId="4" xfId="0" applyNumberFormat="1" applyBorder="1"/>
    <xf numFmtId="44" fontId="19" fillId="2" borderId="15" xfId="7" applyFont="1" applyFill="1" applyBorder="1"/>
    <xf numFmtId="0" fontId="19" fillId="2" borderId="16" xfId="0" applyFont="1" applyFill="1" applyBorder="1"/>
    <xf numFmtId="0" fontId="0" fillId="10" borderId="0" xfId="0" applyFill="1"/>
    <xf numFmtId="0" fontId="19" fillId="2" borderId="0" xfId="0" applyFont="1" applyFill="1" applyAlignment="1">
      <alignment horizontal="left" indent="1"/>
    </xf>
    <xf numFmtId="44" fontId="19" fillId="2" borderId="16" xfId="7" applyFont="1" applyFill="1" applyBorder="1"/>
    <xf numFmtId="44" fontId="19" fillId="2" borderId="19" xfId="7" applyFont="1" applyFill="1" applyBorder="1"/>
    <xf numFmtId="37" fontId="1" fillId="0" borderId="21" xfId="0" applyNumberFormat="1" applyFont="1" applyBorder="1"/>
    <xf numFmtId="164" fontId="1" fillId="0" borderId="22" xfId="1" applyNumberFormat="1" applyFont="1" applyFill="1" applyBorder="1"/>
    <xf numFmtId="164" fontId="1" fillId="0" borderId="0" xfId="1" applyNumberFormat="1" applyFont="1" applyFill="1" applyBorder="1"/>
    <xf numFmtId="37" fontId="1" fillId="11" borderId="22" xfId="0" applyNumberFormat="1" applyFont="1" applyFill="1" applyBorder="1"/>
    <xf numFmtId="44" fontId="19" fillId="2" borderId="21" xfId="7" applyFont="1" applyFill="1" applyBorder="1"/>
    <xf numFmtId="44" fontId="19" fillId="2" borderId="22" xfId="7" applyFont="1" applyFill="1" applyBorder="1"/>
    <xf numFmtId="44" fontId="19" fillId="2" borderId="0" xfId="7" applyFont="1" applyFill="1" applyBorder="1"/>
    <xf numFmtId="0" fontId="19" fillId="2" borderId="22" xfId="0" applyFont="1" applyFill="1" applyBorder="1"/>
    <xf numFmtId="37" fontId="0" fillId="2" borderId="15" xfId="0" applyNumberFormat="1" applyFill="1" applyBorder="1"/>
    <xf numFmtId="0" fontId="1" fillId="2" borderId="0" xfId="0" applyFont="1" applyFill="1" applyAlignment="1">
      <alignment horizontal="center"/>
    </xf>
    <xf numFmtId="164" fontId="1" fillId="14" borderId="26" xfId="1" applyNumberFormat="1" applyFont="1" applyFill="1" applyBorder="1" applyAlignment="1"/>
    <xf numFmtId="164" fontId="1" fillId="15" borderId="13" xfId="1" applyNumberFormat="1" applyFont="1" applyFill="1" applyBorder="1" applyAlignment="1"/>
    <xf numFmtId="164" fontId="1" fillId="15" borderId="34" xfId="1" applyNumberFormat="1" applyFont="1" applyFill="1" applyBorder="1" applyAlignment="1"/>
    <xf numFmtId="164" fontId="1" fillId="14" borderId="28" xfId="1" applyNumberFormat="1" applyFont="1" applyFill="1" applyBorder="1" applyAlignment="1"/>
    <xf numFmtId="164" fontId="3" fillId="15" borderId="26" xfId="1" applyNumberFormat="1" applyFont="1" applyFill="1" applyBorder="1" applyAlignment="1"/>
    <xf numFmtId="0" fontId="1" fillId="2" borderId="9" xfId="0" applyFont="1" applyFill="1" applyBorder="1" applyAlignment="1">
      <alignment horizontal="center"/>
    </xf>
    <xf numFmtId="164" fontId="3" fillId="15" borderId="4" xfId="1" applyNumberFormat="1" applyFont="1" applyFill="1" applyBorder="1" applyAlignment="1"/>
    <xf numFmtId="44" fontId="1" fillId="15" borderId="40" xfId="0" applyNumberFormat="1" applyFont="1" applyFill="1" applyBorder="1"/>
    <xf numFmtId="164" fontId="1" fillId="15" borderId="39" xfId="1" applyNumberFormat="1" applyFont="1" applyFill="1" applyBorder="1" applyAlignment="1"/>
    <xf numFmtId="44" fontId="1" fillId="15" borderId="39" xfId="0" applyNumberFormat="1" applyFont="1" applyFill="1" applyBorder="1"/>
    <xf numFmtId="44" fontId="0" fillId="15" borderId="41" xfId="0" applyNumberFormat="1" applyFill="1" applyBorder="1"/>
    <xf numFmtId="164" fontId="3" fillId="15" borderId="42" xfId="1" applyNumberFormat="1" applyFont="1" applyFill="1" applyBorder="1" applyAlignment="1"/>
    <xf numFmtId="44" fontId="0" fillId="15" borderId="42" xfId="0" applyNumberFormat="1" applyFill="1" applyBorder="1"/>
    <xf numFmtId="3" fontId="0" fillId="2" borderId="0" xfId="0" applyNumberFormat="1" applyFill="1"/>
    <xf numFmtId="0" fontId="0" fillId="13" borderId="21" xfId="0" applyFill="1" applyBorder="1"/>
    <xf numFmtId="0" fontId="0" fillId="13" borderId="22" xfId="0" applyFill="1" applyBorder="1"/>
    <xf numFmtId="0" fontId="0" fillId="13" borderId="0" xfId="0" applyFill="1"/>
    <xf numFmtId="164" fontId="0" fillId="13" borderId="4" xfId="1" applyNumberFormat="1" applyFont="1" applyFill="1" applyBorder="1"/>
    <xf numFmtId="10" fontId="0" fillId="11" borderId="4" xfId="1" applyNumberFormat="1" applyFont="1" applyFill="1" applyBorder="1"/>
    <xf numFmtId="44" fontId="0" fillId="11" borderId="4" xfId="7" applyFont="1" applyFill="1" applyBorder="1"/>
    <xf numFmtId="0" fontId="0" fillId="16" borderId="0" xfId="0" applyFill="1"/>
    <xf numFmtId="37" fontId="0" fillId="17" borderId="4" xfId="0" applyNumberFormat="1" applyFill="1" applyBorder="1"/>
    <xf numFmtId="164" fontId="0" fillId="17" borderId="4" xfId="1" applyNumberFormat="1" applyFont="1" applyFill="1" applyBorder="1"/>
    <xf numFmtId="0" fontId="9" fillId="16" borderId="0" xfId="0" applyFont="1" applyFill="1"/>
    <xf numFmtId="37" fontId="0" fillId="17" borderId="13" xfId="0" applyNumberFormat="1" applyFill="1" applyBorder="1"/>
    <xf numFmtId="164" fontId="0" fillId="17" borderId="13" xfId="1" applyNumberFormat="1" applyFont="1" applyFill="1" applyBorder="1"/>
    <xf numFmtId="37" fontId="1" fillId="0" borderId="38" xfId="0" applyNumberFormat="1" applyFont="1" applyBorder="1"/>
    <xf numFmtId="37" fontId="1" fillId="0" borderId="43" xfId="0" applyNumberFormat="1" applyFont="1" applyBorder="1"/>
    <xf numFmtId="0" fontId="15" fillId="2" borderId="0" xfId="0" applyFont="1" applyFill="1" applyAlignment="1">
      <alignment horizontal="left"/>
    </xf>
    <xf numFmtId="165" fontId="15" fillId="2" borderId="15" xfId="9" applyNumberFormat="1" applyFont="1" applyFill="1" applyBorder="1"/>
    <xf numFmtId="0" fontId="19" fillId="2" borderId="0" xfId="0" applyFont="1" applyFill="1"/>
    <xf numFmtId="0" fontId="13" fillId="13" borderId="4" xfId="0" applyFont="1" applyFill="1" applyBorder="1"/>
    <xf numFmtId="0" fontId="11" fillId="12" borderId="44" xfId="0" applyFont="1" applyFill="1" applyBorder="1" applyAlignment="1">
      <alignment horizontal="centerContinuous"/>
    </xf>
    <xf numFmtId="0" fontId="11" fillId="12" borderId="45" xfId="0" applyFont="1" applyFill="1" applyBorder="1" applyAlignment="1">
      <alignment horizontal="centerContinuous"/>
    </xf>
    <xf numFmtId="0" fontId="11" fillId="12" borderId="46" xfId="0" applyFont="1" applyFill="1" applyBorder="1" applyAlignment="1">
      <alignment horizontal="centerContinuous"/>
    </xf>
    <xf numFmtId="0" fontId="13" fillId="13" borderId="4" xfId="0" applyFont="1" applyFill="1" applyBorder="1" applyAlignment="1">
      <alignment horizontal="center"/>
    </xf>
    <xf numFmtId="0" fontId="0" fillId="10" borderId="2" xfId="0" applyFill="1" applyBorder="1" applyAlignment="1">
      <alignment horizontal="center"/>
    </xf>
    <xf numFmtId="0" fontId="7" fillId="9" borderId="0" xfId="0" applyFont="1" applyFill="1"/>
    <xf numFmtId="10" fontId="7" fillId="2" borderId="0" xfId="6" applyNumberFormat="1" applyFont="1" applyFill="1" applyProtection="1"/>
    <xf numFmtId="0" fontId="5" fillId="9" borderId="2" xfId="2" applyFont="1" applyFill="1" applyBorder="1" applyAlignment="1" applyProtection="1">
      <alignment horizontal="center"/>
      <protection locked="0"/>
    </xf>
    <xf numFmtId="0" fontId="0" fillId="8" borderId="50" xfId="0" applyFill="1" applyBorder="1" applyProtection="1">
      <protection locked="0"/>
    </xf>
    <xf numFmtId="0" fontId="0" fillId="8" borderId="51" xfId="0" applyFill="1" applyBorder="1" applyProtection="1">
      <protection locked="0"/>
    </xf>
    <xf numFmtId="0" fontId="0" fillId="8" borderId="52" xfId="0" applyFill="1" applyBorder="1" applyProtection="1">
      <protection locked="0"/>
    </xf>
    <xf numFmtId="0" fontId="5" fillId="9" borderId="47" xfId="2" applyFont="1" applyFill="1" applyBorder="1" applyAlignment="1" applyProtection="1">
      <alignment horizontal="centerContinuous"/>
      <protection locked="0"/>
    </xf>
    <xf numFmtId="0" fontId="7" fillId="9" borderId="48" xfId="2" applyFont="1" applyFill="1" applyBorder="1" applyAlignment="1" applyProtection="1">
      <alignment horizontal="centerContinuous"/>
      <protection locked="0"/>
    </xf>
    <xf numFmtId="0" fontId="0" fillId="9" borderId="48" xfId="0" applyFill="1" applyBorder="1" applyAlignment="1" applyProtection="1">
      <alignment horizontal="centerContinuous"/>
      <protection locked="0"/>
    </xf>
    <xf numFmtId="0" fontId="0" fillId="9" borderId="49" xfId="0" applyFill="1" applyBorder="1" applyAlignment="1" applyProtection="1">
      <alignment horizontal="centerContinuous"/>
      <protection locked="0"/>
    </xf>
    <xf numFmtId="0" fontId="0" fillId="8" borderId="53" xfId="0" applyFill="1" applyBorder="1" applyAlignment="1" applyProtection="1">
      <alignment horizontal="centerContinuous"/>
      <protection locked="0"/>
    </xf>
    <xf numFmtId="0" fontId="0" fillId="8" borderId="54" xfId="0" applyFill="1" applyBorder="1" applyAlignment="1" applyProtection="1">
      <alignment horizontal="centerContinuous"/>
      <protection locked="0"/>
    </xf>
    <xf numFmtId="0" fontId="5" fillId="8" borderId="0" xfId="2" applyFont="1" applyFill="1" applyAlignment="1" applyProtection="1">
      <alignment horizontal="left" indent="1"/>
      <protection locked="0"/>
    </xf>
    <xf numFmtId="0" fontId="5" fillId="9" borderId="48" xfId="2" applyFont="1" applyFill="1" applyBorder="1" applyAlignment="1" applyProtection="1">
      <alignment horizontal="centerContinuous"/>
      <protection locked="0"/>
    </xf>
    <xf numFmtId="0" fontId="5" fillId="8" borderId="53" xfId="2" applyFont="1" applyFill="1" applyBorder="1" applyAlignment="1" applyProtection="1">
      <alignment horizontal="centerContinuous"/>
      <protection locked="0"/>
    </xf>
    <xf numFmtId="0" fontId="0" fillId="9" borderId="6" xfId="0" applyFill="1" applyBorder="1" applyAlignment="1" applyProtection="1">
      <alignment horizontal="centerContinuous"/>
      <protection locked="0"/>
    </xf>
    <xf numFmtId="0" fontId="0" fillId="9" borderId="2" xfId="0" applyFill="1" applyBorder="1" applyAlignment="1" applyProtection="1">
      <alignment horizontal="centerContinuous"/>
      <protection locked="0"/>
    </xf>
    <xf numFmtId="0" fontId="1" fillId="4" borderId="2" xfId="0" applyFont="1" applyFill="1" applyBorder="1" applyAlignment="1">
      <alignment wrapText="1"/>
    </xf>
    <xf numFmtId="0" fontId="0" fillId="2" borderId="2" xfId="0" applyFill="1" applyBorder="1" applyAlignment="1">
      <alignment wrapText="1"/>
    </xf>
    <xf numFmtId="0" fontId="0" fillId="2" borderId="0" xfId="0" applyFill="1" applyAlignment="1">
      <alignment wrapText="1"/>
    </xf>
    <xf numFmtId="3" fontId="0" fillId="2" borderId="0" xfId="0" applyNumberFormat="1" applyFill="1" applyAlignment="1">
      <alignment wrapText="1"/>
    </xf>
    <xf numFmtId="0" fontId="0" fillId="2" borderId="0" xfId="0" applyFill="1" applyAlignment="1">
      <alignment horizontal="center" wrapText="1"/>
    </xf>
    <xf numFmtId="0" fontId="15" fillId="2" borderId="0" xfId="0" applyFont="1" applyFill="1" applyAlignment="1">
      <alignment horizontal="center" wrapText="1"/>
    </xf>
    <xf numFmtId="0" fontId="15" fillId="2" borderId="0" xfId="0" applyFont="1" applyFill="1" applyAlignment="1">
      <alignment wrapText="1"/>
    </xf>
    <xf numFmtId="0" fontId="13" fillId="13" borderId="4" xfId="0" applyFont="1" applyFill="1" applyBorder="1" applyAlignment="1">
      <alignment horizontal="center" wrapText="1"/>
    </xf>
    <xf numFmtId="0" fontId="13" fillId="13" borderId="4" xfId="0" applyFont="1" applyFill="1" applyBorder="1" applyAlignment="1">
      <alignment horizontal="centerContinuous" wrapText="1"/>
    </xf>
    <xf numFmtId="0" fontId="0" fillId="8" borderId="53" xfId="0" applyFill="1" applyBorder="1" applyProtection="1">
      <protection locked="0"/>
    </xf>
    <xf numFmtId="0" fontId="0" fillId="8" borderId="54" xfId="0" applyFill="1" applyBorder="1" applyProtection="1">
      <protection locked="0"/>
    </xf>
    <xf numFmtId="0" fontId="1" fillId="9" borderId="47" xfId="0" applyFont="1" applyFill="1" applyBorder="1" applyAlignment="1" applyProtection="1">
      <alignment horizontal="centerContinuous"/>
      <protection locked="0"/>
    </xf>
    <xf numFmtId="0" fontId="1" fillId="9" borderId="48" xfId="0" applyFont="1" applyFill="1" applyBorder="1" applyAlignment="1" applyProtection="1">
      <alignment horizontal="centerContinuous"/>
      <protection locked="0"/>
    </xf>
    <xf numFmtId="165" fontId="15" fillId="2" borderId="0" xfId="9" applyNumberFormat="1" applyFont="1" applyFill="1" applyBorder="1"/>
    <xf numFmtId="39" fontId="15" fillId="2" borderId="15" xfId="9" applyNumberFormat="1" applyFont="1" applyFill="1" applyBorder="1"/>
    <xf numFmtId="39" fontId="15" fillId="2" borderId="0" xfId="9" applyNumberFormat="1" applyFont="1" applyFill="1" applyBorder="1"/>
    <xf numFmtId="37" fontId="1" fillId="14" borderId="57" xfId="0" applyNumberFormat="1" applyFont="1" applyFill="1" applyBorder="1"/>
    <xf numFmtId="37" fontId="0" fillId="15" borderId="57" xfId="0" applyNumberFormat="1" applyFill="1" applyBorder="1"/>
    <xf numFmtId="37" fontId="1" fillId="14" borderId="58" xfId="0" applyNumberFormat="1" applyFont="1" applyFill="1" applyBorder="1"/>
    <xf numFmtId="37" fontId="1" fillId="15" borderId="59" xfId="0" applyNumberFormat="1" applyFont="1" applyFill="1" applyBorder="1"/>
    <xf numFmtId="37" fontId="1" fillId="15" borderId="18" xfId="0" applyNumberFormat="1" applyFont="1" applyFill="1" applyBorder="1"/>
    <xf numFmtId="37" fontId="0" fillId="15" borderId="18" xfId="0" applyNumberFormat="1" applyFill="1" applyBorder="1"/>
    <xf numFmtId="37" fontId="0" fillId="15" borderId="58" xfId="0" applyNumberFormat="1" applyFill="1" applyBorder="1"/>
    <xf numFmtId="37" fontId="0" fillId="15" borderId="22" xfId="0" applyNumberFormat="1" applyFill="1" applyBorder="1"/>
    <xf numFmtId="37" fontId="0" fillId="15" borderId="60" xfId="0" applyNumberFormat="1" applyFill="1" applyBorder="1"/>
    <xf numFmtId="44" fontId="1" fillId="14" borderId="57" xfId="0" applyNumberFormat="1" applyFont="1" applyFill="1" applyBorder="1"/>
    <xf numFmtId="44" fontId="0" fillId="15" borderId="57" xfId="0" applyNumberFormat="1" applyFill="1" applyBorder="1"/>
    <xf numFmtId="44" fontId="1" fillId="14" borderId="58" xfId="0" applyNumberFormat="1" applyFont="1" applyFill="1" applyBorder="1"/>
    <xf numFmtId="44" fontId="1" fillId="15" borderId="59" xfId="0" applyNumberFormat="1" applyFont="1" applyFill="1" applyBorder="1"/>
    <xf numFmtId="44" fontId="1" fillId="15" borderId="18" xfId="0" applyNumberFormat="1" applyFont="1" applyFill="1" applyBorder="1"/>
    <xf numFmtId="44" fontId="0" fillId="15" borderId="61" xfId="0" applyNumberFormat="1" applyFill="1" applyBorder="1"/>
    <xf numFmtId="37" fontId="1" fillId="0" borderId="0" xfId="0" applyNumberFormat="1" applyFont="1"/>
    <xf numFmtId="37" fontId="0" fillId="2" borderId="19" xfId="0" applyNumberFormat="1" applyFill="1" applyBorder="1"/>
    <xf numFmtId="0" fontId="0" fillId="2" borderId="64" xfId="0" applyFill="1" applyBorder="1"/>
    <xf numFmtId="37" fontId="1" fillId="11" borderId="68" xfId="0" applyNumberFormat="1" applyFont="1" applyFill="1" applyBorder="1"/>
    <xf numFmtId="37" fontId="1" fillId="11" borderId="69" xfId="0" applyNumberFormat="1" applyFont="1" applyFill="1" applyBorder="1"/>
    <xf numFmtId="37" fontId="1" fillId="14" borderId="70" xfId="0" applyNumberFormat="1" applyFont="1" applyFill="1" applyBorder="1"/>
    <xf numFmtId="37" fontId="0" fillId="15" borderId="70" xfId="0" applyNumberFormat="1" applyFill="1" applyBorder="1"/>
    <xf numFmtId="37" fontId="1" fillId="14" borderId="66" xfId="0" applyNumberFormat="1" applyFont="1" applyFill="1" applyBorder="1"/>
    <xf numFmtId="37" fontId="1" fillId="15" borderId="68" xfId="0" applyNumberFormat="1" applyFont="1" applyFill="1" applyBorder="1"/>
    <xf numFmtId="37" fontId="1" fillId="15" borderId="71" xfId="0" applyNumberFormat="1" applyFont="1" applyFill="1" applyBorder="1"/>
    <xf numFmtId="37" fontId="0" fillId="15" borderId="71" xfId="0" applyNumberFormat="1" applyFill="1" applyBorder="1"/>
    <xf numFmtId="37" fontId="0" fillId="15" borderId="66" xfId="0" applyNumberFormat="1" applyFill="1" applyBorder="1"/>
    <xf numFmtId="37" fontId="0" fillId="15" borderId="67" xfId="0" applyNumberFormat="1" applyFill="1" applyBorder="1"/>
    <xf numFmtId="37" fontId="0" fillId="15" borderId="63" xfId="0" applyNumberFormat="1" applyFill="1" applyBorder="1"/>
    <xf numFmtId="44" fontId="1" fillId="14" borderId="70" xfId="0" applyNumberFormat="1" applyFont="1" applyFill="1" applyBorder="1"/>
    <xf numFmtId="44" fontId="0" fillId="15" borderId="70" xfId="0" applyNumberFormat="1" applyFill="1" applyBorder="1"/>
    <xf numFmtId="44" fontId="1" fillId="14" borderId="66" xfId="0" applyNumberFormat="1" applyFont="1" applyFill="1" applyBorder="1"/>
    <xf numFmtId="44" fontId="1" fillId="15" borderId="68" xfId="0" applyNumberFormat="1" applyFont="1" applyFill="1" applyBorder="1"/>
    <xf numFmtId="44" fontId="1" fillId="15" borderId="71" xfId="0" applyNumberFormat="1" applyFont="1" applyFill="1" applyBorder="1"/>
    <xf numFmtId="44" fontId="0" fillId="15" borderId="65" xfId="0" applyNumberFormat="1" applyFill="1" applyBorder="1"/>
    <xf numFmtId="0" fontId="1" fillId="2" borderId="22" xfId="0" applyFont="1" applyFill="1" applyBorder="1" applyAlignment="1">
      <alignment horizontal="right"/>
    </xf>
    <xf numFmtId="37" fontId="0" fillId="0" borderId="31" xfId="0" applyNumberFormat="1" applyBorder="1"/>
    <xf numFmtId="37" fontId="0" fillId="0" borderId="32" xfId="0" applyNumberFormat="1" applyBorder="1"/>
    <xf numFmtId="164" fontId="0" fillId="0" borderId="32" xfId="1" applyNumberFormat="1" applyFont="1" applyFill="1" applyBorder="1"/>
    <xf numFmtId="37" fontId="0" fillId="11" borderId="32" xfId="0" applyNumberFormat="1" applyFill="1" applyBorder="1"/>
    <xf numFmtId="37" fontId="0" fillId="11" borderId="63" xfId="0" applyNumberFormat="1" applyFill="1" applyBorder="1"/>
    <xf numFmtId="37" fontId="0" fillId="0" borderId="41" xfId="0" applyNumberFormat="1" applyBorder="1"/>
    <xf numFmtId="37" fontId="0" fillId="0" borderId="42" xfId="0" applyNumberFormat="1" applyBorder="1"/>
    <xf numFmtId="164" fontId="0" fillId="0" borderId="42" xfId="1" applyNumberFormat="1" applyFont="1" applyFill="1" applyBorder="1"/>
    <xf numFmtId="37" fontId="0" fillId="11" borderId="42" xfId="0" applyNumberFormat="1" applyFill="1" applyBorder="1"/>
    <xf numFmtId="37" fontId="0" fillId="11" borderId="65" xfId="0" applyNumberFormat="1" applyFill="1" applyBorder="1"/>
    <xf numFmtId="0" fontId="19" fillId="2" borderId="17" xfId="0" applyFont="1" applyFill="1" applyBorder="1"/>
    <xf numFmtId="0" fontId="19" fillId="2" borderId="20" xfId="0" applyFont="1" applyFill="1" applyBorder="1"/>
    <xf numFmtId="0" fontId="19" fillId="2" borderId="18" xfId="0" applyFont="1" applyFill="1" applyBorder="1"/>
    <xf numFmtId="37" fontId="0" fillId="0" borderId="27" xfId="0" applyNumberFormat="1" applyBorder="1"/>
    <xf numFmtId="37" fontId="0" fillId="0" borderId="28" xfId="0" applyNumberFormat="1" applyBorder="1"/>
    <xf numFmtId="164" fontId="0" fillId="0" borderId="28" xfId="1" applyNumberFormat="1" applyFont="1" applyFill="1" applyBorder="1"/>
    <xf numFmtId="37" fontId="0" fillId="11" borderId="28" xfId="0" applyNumberFormat="1" applyFill="1" applyBorder="1"/>
    <xf numFmtId="37" fontId="0" fillId="11" borderId="66" xfId="0" applyNumberFormat="1" applyFill="1" applyBorder="1"/>
    <xf numFmtId="0" fontId="0" fillId="2" borderId="72" xfId="0" applyFill="1" applyBorder="1"/>
    <xf numFmtId="0" fontId="0" fillId="2" borderId="62" xfId="0" applyFill="1" applyBorder="1"/>
    <xf numFmtId="37" fontId="0" fillId="0" borderId="30" xfId="0" applyNumberFormat="1" applyBorder="1"/>
    <xf numFmtId="37" fontId="0" fillId="11" borderId="67" xfId="0" applyNumberFormat="1" applyFill="1" applyBorder="1"/>
    <xf numFmtId="37" fontId="0" fillId="0" borderId="25" xfId="0" applyNumberFormat="1" applyBorder="1"/>
    <xf numFmtId="37" fontId="0" fillId="0" borderId="26" xfId="0" applyNumberFormat="1" applyBorder="1"/>
    <xf numFmtId="164" fontId="0" fillId="0" borderId="26" xfId="1" applyNumberFormat="1" applyFont="1" applyFill="1" applyBorder="1"/>
    <xf numFmtId="37" fontId="0" fillId="11" borderId="26" xfId="0" applyNumberFormat="1" applyFill="1" applyBorder="1"/>
    <xf numFmtId="37" fontId="0" fillId="11" borderId="70" xfId="0" applyNumberFormat="1" applyFill="1" applyBorder="1"/>
    <xf numFmtId="37" fontId="0" fillId="0" borderId="29" xfId="0" applyNumberFormat="1" applyBorder="1"/>
    <xf numFmtId="37" fontId="0" fillId="11" borderId="71" xfId="0" applyNumberFormat="1" applyFill="1" applyBorder="1"/>
    <xf numFmtId="0" fontId="22" fillId="8" borderId="0" xfId="0" applyFont="1" applyFill="1" applyProtection="1">
      <protection locked="0"/>
    </xf>
    <xf numFmtId="0" fontId="23" fillId="8" borderId="0" xfId="0" applyFont="1" applyFill="1" applyProtection="1">
      <protection locked="0"/>
    </xf>
    <xf numFmtId="0" fontId="22" fillId="8" borderId="5" xfId="0" applyFont="1" applyFill="1" applyBorder="1" applyProtection="1">
      <protection locked="0"/>
    </xf>
    <xf numFmtId="0" fontId="22" fillId="8" borderId="7" xfId="0" applyFont="1" applyFill="1" applyBorder="1" applyProtection="1">
      <protection locked="0"/>
    </xf>
    <xf numFmtId="0" fontId="22" fillId="8" borderId="6" xfId="0" applyFont="1" applyFill="1" applyBorder="1" applyProtection="1">
      <protection locked="0"/>
    </xf>
    <xf numFmtId="0" fontId="0" fillId="8" borderId="48" xfId="0" applyFill="1" applyBorder="1" applyProtection="1">
      <protection locked="0"/>
    </xf>
    <xf numFmtId="0" fontId="0" fillId="2" borderId="0" xfId="0" applyFill="1" applyAlignment="1">
      <alignment horizontal="right" wrapText="1"/>
    </xf>
    <xf numFmtId="0" fontId="4" fillId="2" borderId="0" xfId="0" applyFont="1" applyFill="1" applyAlignment="1">
      <alignment horizontal="center" wrapText="1"/>
    </xf>
    <xf numFmtId="0" fontId="0" fillId="8" borderId="2" xfId="0" applyFill="1" applyBorder="1"/>
    <xf numFmtId="0" fontId="0" fillId="10" borderId="2" xfId="0" applyFill="1" applyBorder="1" applyAlignment="1">
      <alignment horizontal="left"/>
    </xf>
    <xf numFmtId="37" fontId="0" fillId="0" borderId="4" xfId="1" applyNumberFormat="1" applyFont="1" applyFill="1" applyBorder="1"/>
    <xf numFmtId="39" fontId="0" fillId="18" borderId="4" xfId="0" applyNumberFormat="1" applyFill="1" applyBorder="1"/>
    <xf numFmtId="39" fontId="0" fillId="19" borderId="4" xfId="0" applyNumberFormat="1" applyFill="1" applyBorder="1"/>
    <xf numFmtId="39" fontId="0" fillId="9" borderId="4" xfId="0" applyNumberFormat="1" applyFill="1" applyBorder="1"/>
    <xf numFmtId="39" fontId="0" fillId="18" borderId="13" xfId="0" applyNumberFormat="1" applyFill="1" applyBorder="1"/>
    <xf numFmtId="39" fontId="0" fillId="19" borderId="13" xfId="0" applyNumberFormat="1" applyFill="1" applyBorder="1"/>
    <xf numFmtId="39" fontId="0" fillId="11" borderId="13" xfId="0" applyNumberFormat="1" applyFill="1" applyBorder="1"/>
    <xf numFmtId="39" fontId="0" fillId="9" borderId="13" xfId="0" applyNumberFormat="1" applyFill="1" applyBorder="1"/>
    <xf numFmtId="39" fontId="0" fillId="18" borderId="9" xfId="0" applyNumberFormat="1" applyFill="1" applyBorder="1"/>
    <xf numFmtId="39" fontId="0" fillId="19" borderId="9" xfId="0" applyNumberFormat="1" applyFill="1" applyBorder="1"/>
    <xf numFmtId="39" fontId="0" fillId="9" borderId="9" xfId="0" applyNumberFormat="1" applyFill="1" applyBorder="1"/>
    <xf numFmtId="39" fontId="1" fillId="18" borderId="34" xfId="0" applyNumberFormat="1" applyFont="1" applyFill="1" applyBorder="1"/>
    <xf numFmtId="39" fontId="1" fillId="19" borderId="34" xfId="0" applyNumberFormat="1" applyFont="1" applyFill="1" applyBorder="1"/>
    <xf numFmtId="39" fontId="1" fillId="11" borderId="34" xfId="0" applyNumberFormat="1" applyFont="1" applyFill="1" applyBorder="1"/>
    <xf numFmtId="39" fontId="1" fillId="9" borderId="34" xfId="0" applyNumberFormat="1" applyFont="1" applyFill="1" applyBorder="1"/>
    <xf numFmtId="39" fontId="1" fillId="18" borderId="11" xfId="0" applyNumberFormat="1" applyFont="1" applyFill="1" applyBorder="1"/>
    <xf numFmtId="39" fontId="1" fillId="19" borderId="11" xfId="0" applyNumberFormat="1" applyFont="1" applyFill="1" applyBorder="1"/>
    <xf numFmtId="39" fontId="1" fillId="11" borderId="11" xfId="0" applyNumberFormat="1" applyFont="1" applyFill="1" applyBorder="1"/>
    <xf numFmtId="39" fontId="1" fillId="9" borderId="11" xfId="0" applyNumberFormat="1" applyFont="1" applyFill="1" applyBorder="1"/>
    <xf numFmtId="39" fontId="1" fillId="18" borderId="74" xfId="0" applyNumberFormat="1" applyFont="1" applyFill="1" applyBorder="1"/>
    <xf numFmtId="39" fontId="1" fillId="19" borderId="74" xfId="0" applyNumberFormat="1" applyFont="1" applyFill="1" applyBorder="1"/>
    <xf numFmtId="39" fontId="1" fillId="11" borderId="74" xfId="0" applyNumberFormat="1" applyFont="1" applyFill="1" applyBorder="1"/>
    <xf numFmtId="39" fontId="1" fillId="9" borderId="74" xfId="0" applyNumberFormat="1" applyFont="1" applyFill="1" applyBorder="1"/>
    <xf numFmtId="39" fontId="1" fillId="18" borderId="12" xfId="0" applyNumberFormat="1" applyFont="1" applyFill="1" applyBorder="1"/>
    <xf numFmtId="39" fontId="1" fillId="19" borderId="12" xfId="0" applyNumberFormat="1" applyFont="1" applyFill="1" applyBorder="1"/>
    <xf numFmtId="39" fontId="1" fillId="11" borderId="12" xfId="0" applyNumberFormat="1" applyFont="1" applyFill="1" applyBorder="1"/>
    <xf numFmtId="39" fontId="1" fillId="9" borderId="12" xfId="0" applyNumberFormat="1" applyFont="1" applyFill="1" applyBorder="1"/>
    <xf numFmtId="39" fontId="0" fillId="18" borderId="73" xfId="0" applyNumberFormat="1" applyFill="1" applyBorder="1"/>
    <xf numFmtId="39" fontId="0" fillId="19" borderId="73" xfId="0" applyNumberFormat="1" applyFill="1" applyBorder="1"/>
    <xf numFmtId="39" fontId="0" fillId="11" borderId="73" xfId="0" applyNumberFormat="1" applyFill="1" applyBorder="1"/>
    <xf numFmtId="39" fontId="0" fillId="9" borderId="73" xfId="0" applyNumberFormat="1" applyFill="1" applyBorder="1"/>
    <xf numFmtId="39" fontId="0" fillId="18" borderId="23" xfId="0" applyNumberFormat="1" applyFill="1" applyBorder="1"/>
    <xf numFmtId="39" fontId="0" fillId="19" borderId="23" xfId="0" applyNumberFormat="1" applyFill="1" applyBorder="1"/>
    <xf numFmtId="39" fontId="0" fillId="11" borderId="23" xfId="0" applyNumberFormat="1" applyFill="1" applyBorder="1"/>
    <xf numFmtId="39" fontId="0" fillId="9" borderId="23" xfId="0" applyNumberFormat="1" applyFill="1" applyBorder="1"/>
    <xf numFmtId="37" fontId="0" fillId="11" borderId="15" xfId="0" applyNumberFormat="1" applyFill="1" applyBorder="1"/>
    <xf numFmtId="37" fontId="0" fillId="11" borderId="16" xfId="0" applyNumberFormat="1" applyFill="1" applyBorder="1"/>
    <xf numFmtId="37" fontId="0" fillId="11" borderId="4" xfId="0" applyNumberFormat="1" applyFill="1" applyBorder="1" applyAlignment="1">
      <alignment horizontal="right"/>
    </xf>
    <xf numFmtId="39" fontId="0" fillId="11" borderId="4" xfId="0" applyNumberFormat="1" applyFill="1" applyBorder="1" applyAlignment="1">
      <alignment horizontal="right"/>
    </xf>
    <xf numFmtId="39" fontId="0" fillId="11" borderId="9" xfId="0" applyNumberFormat="1" applyFill="1" applyBorder="1" applyAlignment="1">
      <alignment horizontal="right"/>
    </xf>
    <xf numFmtId="37" fontId="0" fillId="11" borderId="9" xfId="0" applyNumberFormat="1" applyFill="1" applyBorder="1" applyAlignment="1">
      <alignment horizontal="right"/>
    </xf>
    <xf numFmtId="39" fontId="0" fillId="11" borderId="13" xfId="0" applyNumberFormat="1" applyFill="1" applyBorder="1" applyAlignment="1">
      <alignment horizontal="right"/>
    </xf>
    <xf numFmtId="37" fontId="0" fillId="11" borderId="13" xfId="0" applyNumberFormat="1" applyFill="1" applyBorder="1" applyAlignment="1">
      <alignment horizontal="right"/>
    </xf>
    <xf numFmtId="39" fontId="1" fillId="18" borderId="37" xfId="0" applyNumberFormat="1" applyFont="1" applyFill="1" applyBorder="1"/>
    <xf numFmtId="39" fontId="1" fillId="19" borderId="37" xfId="0" applyNumberFormat="1" applyFont="1" applyFill="1" applyBorder="1"/>
    <xf numFmtId="39" fontId="1" fillId="9" borderId="37" xfId="0" applyNumberFormat="1" applyFont="1" applyFill="1" applyBorder="1"/>
    <xf numFmtId="39" fontId="1" fillId="11" borderId="37" xfId="0" applyNumberFormat="1" applyFont="1" applyFill="1" applyBorder="1" applyAlignment="1">
      <alignment horizontal="right"/>
    </xf>
    <xf numFmtId="37" fontId="1" fillId="11" borderId="37" xfId="0" applyNumberFormat="1" applyFont="1" applyFill="1" applyBorder="1" applyAlignment="1">
      <alignment horizontal="right"/>
    </xf>
    <xf numFmtId="166" fontId="1" fillId="11" borderId="37" xfId="0" applyNumberFormat="1" applyFont="1" applyFill="1" applyBorder="1" applyAlignment="1">
      <alignment horizontal="right"/>
    </xf>
    <xf numFmtId="10" fontId="0" fillId="2" borderId="0" xfId="0" applyNumberFormat="1" applyFill="1"/>
    <xf numFmtId="39" fontId="0" fillId="18" borderId="26" xfId="0" applyNumberFormat="1" applyFill="1" applyBorder="1"/>
    <xf numFmtId="39" fontId="0" fillId="19" borderId="26" xfId="0" applyNumberFormat="1" applyFill="1" applyBorder="1"/>
    <xf numFmtId="39" fontId="0" fillId="9" borderId="26" xfId="0" applyNumberFormat="1" applyFill="1" applyBorder="1"/>
    <xf numFmtId="39" fontId="0" fillId="11" borderId="26" xfId="0" applyNumberFormat="1" applyFill="1" applyBorder="1" applyAlignment="1">
      <alignment horizontal="right"/>
    </xf>
    <xf numFmtId="37" fontId="0" fillId="11" borderId="70" xfId="0" applyNumberFormat="1" applyFill="1" applyBorder="1" applyAlignment="1">
      <alignment horizontal="right"/>
    </xf>
    <xf numFmtId="37" fontId="0" fillId="11" borderId="71" xfId="0" applyNumberFormat="1" applyFill="1" applyBorder="1" applyAlignment="1">
      <alignment horizontal="right"/>
    </xf>
    <xf numFmtId="39" fontId="1" fillId="11" borderId="34" xfId="0" applyNumberFormat="1" applyFont="1" applyFill="1" applyBorder="1" applyAlignment="1">
      <alignment horizontal="right"/>
    </xf>
    <xf numFmtId="37" fontId="1" fillId="11" borderId="68" xfId="0" applyNumberFormat="1" applyFont="1" applyFill="1" applyBorder="1" applyAlignment="1">
      <alignment horizontal="right"/>
    </xf>
    <xf numFmtId="39" fontId="1" fillId="11" borderId="12" xfId="0" applyNumberFormat="1" applyFont="1" applyFill="1" applyBorder="1" applyAlignment="1">
      <alignment horizontal="right"/>
    </xf>
    <xf numFmtId="37" fontId="1" fillId="11" borderId="69" xfId="0" applyNumberFormat="1" applyFont="1" applyFill="1" applyBorder="1" applyAlignment="1">
      <alignment horizontal="right"/>
    </xf>
    <xf numFmtId="39" fontId="0" fillId="18" borderId="28" xfId="0" applyNumberFormat="1" applyFill="1" applyBorder="1"/>
    <xf numFmtId="39" fontId="0" fillId="19" borderId="28" xfId="0" applyNumberFormat="1" applyFill="1" applyBorder="1"/>
    <xf numFmtId="39" fontId="0" fillId="9" borderId="28" xfId="0" applyNumberFormat="1" applyFill="1" applyBorder="1"/>
    <xf numFmtId="39" fontId="0" fillId="11" borderId="28" xfId="0" applyNumberFormat="1" applyFill="1" applyBorder="1" applyAlignment="1">
      <alignment horizontal="right"/>
    </xf>
    <xf numFmtId="37" fontId="0" fillId="11" borderId="66" xfId="0" applyNumberFormat="1" applyFill="1" applyBorder="1" applyAlignment="1">
      <alignment horizontal="right"/>
    </xf>
    <xf numFmtId="39" fontId="1" fillId="11" borderId="11" xfId="0" applyNumberFormat="1" applyFont="1" applyFill="1" applyBorder="1" applyAlignment="1">
      <alignment horizontal="right"/>
    </xf>
    <xf numFmtId="39" fontId="1" fillId="18" borderId="33" xfId="0" applyNumberFormat="1" applyFont="1" applyFill="1" applyBorder="1"/>
    <xf numFmtId="39" fontId="1" fillId="19" borderId="33" xfId="0" applyNumberFormat="1" applyFont="1" applyFill="1" applyBorder="1"/>
    <xf numFmtId="39" fontId="1" fillId="9" borderId="33" xfId="0" applyNumberFormat="1" applyFont="1" applyFill="1" applyBorder="1"/>
    <xf numFmtId="39" fontId="1" fillId="11" borderId="33" xfId="0" applyNumberFormat="1" applyFont="1" applyFill="1" applyBorder="1" applyAlignment="1">
      <alignment horizontal="right"/>
    </xf>
    <xf numFmtId="37" fontId="1" fillId="11" borderId="33" xfId="0" applyNumberFormat="1" applyFont="1" applyFill="1" applyBorder="1" applyAlignment="1">
      <alignment horizontal="right"/>
    </xf>
    <xf numFmtId="39" fontId="0" fillId="18" borderId="14" xfId="0" applyNumberFormat="1" applyFill="1" applyBorder="1"/>
    <xf numFmtId="39" fontId="0" fillId="19" borderId="14" xfId="0" applyNumberFormat="1" applyFill="1" applyBorder="1"/>
    <xf numFmtId="39" fontId="0" fillId="9" borderId="14" xfId="0" applyNumberFormat="1" applyFill="1" applyBorder="1"/>
    <xf numFmtId="39" fontId="0" fillId="11" borderId="14" xfId="0" applyNumberFormat="1" applyFill="1" applyBorder="1" applyAlignment="1">
      <alignment horizontal="right"/>
    </xf>
    <xf numFmtId="37" fontId="0" fillId="11" borderId="67" xfId="0" applyNumberFormat="1" applyFill="1" applyBorder="1" applyAlignment="1">
      <alignment horizontal="right"/>
    </xf>
    <xf numFmtId="39" fontId="1" fillId="18" borderId="24" xfId="0" applyNumberFormat="1" applyFont="1" applyFill="1" applyBorder="1"/>
    <xf numFmtId="39" fontId="1" fillId="19" borderId="24" xfId="0" applyNumberFormat="1" applyFont="1" applyFill="1" applyBorder="1"/>
    <xf numFmtId="39" fontId="1" fillId="9" borderId="24" xfId="0" applyNumberFormat="1" applyFont="1" applyFill="1" applyBorder="1"/>
    <xf numFmtId="39" fontId="1" fillId="11" borderId="24" xfId="0" applyNumberFormat="1" applyFont="1" applyFill="1" applyBorder="1" applyAlignment="1">
      <alignment horizontal="right"/>
    </xf>
    <xf numFmtId="37" fontId="1" fillId="11" borderId="24" xfId="0" applyNumberFormat="1" applyFont="1" applyFill="1" applyBorder="1" applyAlignment="1">
      <alignment horizontal="right"/>
    </xf>
    <xf numFmtId="39" fontId="1" fillId="18" borderId="23" xfId="0" applyNumberFormat="1" applyFont="1" applyFill="1" applyBorder="1"/>
    <xf numFmtId="39" fontId="1" fillId="19" borderId="23" xfId="0" applyNumberFormat="1" applyFont="1" applyFill="1" applyBorder="1"/>
    <xf numFmtId="39" fontId="1" fillId="9" borderId="23" xfId="0" applyNumberFormat="1" applyFont="1" applyFill="1" applyBorder="1"/>
    <xf numFmtId="39" fontId="1" fillId="11" borderId="23" xfId="0" applyNumberFormat="1" applyFont="1" applyFill="1" applyBorder="1" applyAlignment="1">
      <alignment horizontal="right"/>
    </xf>
    <xf numFmtId="37" fontId="1" fillId="11" borderId="23" xfId="0" applyNumberFormat="1" applyFont="1" applyFill="1" applyBorder="1" applyAlignment="1">
      <alignment horizontal="right"/>
    </xf>
    <xf numFmtId="37" fontId="1" fillId="11" borderId="75" xfId="0" applyNumberFormat="1" applyFont="1" applyFill="1" applyBorder="1" applyAlignment="1">
      <alignment horizontal="right"/>
    </xf>
    <xf numFmtId="37" fontId="1" fillId="11" borderId="76" xfId="0" applyNumberFormat="1" applyFont="1" applyFill="1" applyBorder="1" applyAlignment="1">
      <alignment horizontal="right"/>
    </xf>
    <xf numFmtId="37" fontId="1" fillId="11" borderId="77" xfId="0" applyNumberFormat="1" applyFont="1" applyFill="1" applyBorder="1" applyAlignment="1">
      <alignment horizontal="right"/>
    </xf>
    <xf numFmtId="37" fontId="1" fillId="11" borderId="78" xfId="0" applyNumberFormat="1" applyFont="1" applyFill="1" applyBorder="1" applyAlignment="1">
      <alignment horizontal="right"/>
    </xf>
    <xf numFmtId="39" fontId="1" fillId="18" borderId="13" xfId="0" applyNumberFormat="1" applyFont="1" applyFill="1" applyBorder="1"/>
    <xf numFmtId="39" fontId="1" fillId="19" borderId="13" xfId="0" applyNumberFormat="1" applyFont="1" applyFill="1" applyBorder="1"/>
    <xf numFmtId="39" fontId="1" fillId="9" borderId="13" xfId="0" applyNumberFormat="1" applyFont="1" applyFill="1" applyBorder="1"/>
    <xf numFmtId="39" fontId="1" fillId="11" borderId="13" xfId="0" applyNumberFormat="1" applyFont="1" applyFill="1" applyBorder="1" applyAlignment="1">
      <alignment horizontal="right"/>
    </xf>
    <xf numFmtId="37" fontId="1" fillId="11" borderId="71" xfId="0" applyNumberFormat="1" applyFont="1" applyFill="1" applyBorder="1" applyAlignment="1">
      <alignment horizontal="right"/>
    </xf>
    <xf numFmtId="39" fontId="0" fillId="18" borderId="33" xfId="0" applyNumberFormat="1" applyFill="1" applyBorder="1"/>
    <xf numFmtId="39" fontId="0" fillId="19" borderId="33" xfId="0" applyNumberFormat="1" applyFill="1" applyBorder="1"/>
    <xf numFmtId="39" fontId="0" fillId="9" borderId="33" xfId="0" applyNumberFormat="1" applyFill="1" applyBorder="1"/>
    <xf numFmtId="39" fontId="0" fillId="11" borderId="33" xfId="0" applyNumberFormat="1" applyFill="1" applyBorder="1" applyAlignment="1">
      <alignment horizontal="right"/>
    </xf>
    <xf numFmtId="37" fontId="0" fillId="11" borderId="76" xfId="0" applyNumberFormat="1" applyFill="1" applyBorder="1" applyAlignment="1">
      <alignment horizontal="right"/>
    </xf>
    <xf numFmtId="37" fontId="0" fillId="0" borderId="4" xfId="0" applyNumberFormat="1" applyBorder="1" applyAlignment="1">
      <alignment horizontal="left" indent="1"/>
    </xf>
    <xf numFmtId="37" fontId="0" fillId="0" borderId="9" xfId="0" applyNumberFormat="1" applyBorder="1" applyAlignment="1">
      <alignment horizontal="left" indent="1"/>
    </xf>
    <xf numFmtId="37" fontId="0" fillId="0" borderId="13" xfId="0" applyNumberFormat="1" applyBorder="1" applyAlignment="1">
      <alignment horizontal="left" indent="1"/>
    </xf>
    <xf numFmtId="37" fontId="1" fillId="0" borderId="34" xfId="0" applyNumberFormat="1" applyFont="1" applyBorder="1" applyAlignment="1">
      <alignment horizontal="left" indent="1"/>
    </xf>
    <xf numFmtId="37" fontId="0" fillId="0" borderId="14" xfId="0" applyNumberFormat="1" applyBorder="1" applyAlignment="1">
      <alignment horizontal="left" indent="1"/>
    </xf>
    <xf numFmtId="39" fontId="0" fillId="18" borderId="46" xfId="0" applyNumberFormat="1" applyFill="1" applyBorder="1" applyAlignment="1">
      <alignment horizontal="center"/>
    </xf>
    <xf numFmtId="37" fontId="0" fillId="20" borderId="0" xfId="0" applyNumberFormat="1" applyFill="1"/>
    <xf numFmtId="10" fontId="0" fillId="2" borderId="0" xfId="1" applyNumberFormat="1" applyFont="1" applyFill="1"/>
    <xf numFmtId="44" fontId="0" fillId="2" borderId="0" xfId="0" applyNumberFormat="1" applyFill="1"/>
    <xf numFmtId="10" fontId="0" fillId="18" borderId="44" xfId="1" applyNumberFormat="1" applyFont="1" applyFill="1" applyBorder="1" applyAlignment="1"/>
    <xf numFmtId="10" fontId="0" fillId="18" borderId="15" xfId="1" applyNumberFormat="1" applyFont="1" applyFill="1" applyBorder="1" applyAlignment="1"/>
    <xf numFmtId="39" fontId="0" fillId="18" borderId="16" xfId="0" applyNumberFormat="1" applyFill="1" applyBorder="1" applyAlignment="1">
      <alignment horizontal="center"/>
    </xf>
    <xf numFmtId="10" fontId="1" fillId="18" borderId="79" xfId="1" applyNumberFormat="1" applyFont="1" applyFill="1" applyBorder="1" applyAlignment="1"/>
    <xf numFmtId="39" fontId="1" fillId="18" borderId="80" xfId="0" applyNumberFormat="1" applyFont="1" applyFill="1" applyBorder="1" applyAlignment="1">
      <alignment horizontal="center"/>
    </xf>
    <xf numFmtId="43" fontId="0" fillId="2" borderId="0" xfId="9" applyFont="1" applyFill="1"/>
    <xf numFmtId="0" fontId="13" fillId="13" borderId="44" xfId="0" applyFont="1" applyFill="1" applyBorder="1" applyAlignment="1">
      <alignment horizontal="center"/>
    </xf>
    <xf numFmtId="0" fontId="13" fillId="13" borderId="46" xfId="0" applyFont="1" applyFill="1" applyBorder="1" applyAlignment="1">
      <alignment horizontal="center"/>
    </xf>
    <xf numFmtId="0" fontId="13" fillId="13" borderId="45" xfId="0" applyFont="1" applyFill="1" applyBorder="1" applyAlignment="1">
      <alignment horizontal="center"/>
    </xf>
    <xf numFmtId="0" fontId="1" fillId="2" borderId="0" xfId="0" applyFont="1" applyFill="1" applyAlignment="1">
      <alignment horizontal="left" indent="2"/>
    </xf>
    <xf numFmtId="164" fontId="1" fillId="11" borderId="4" xfId="1" applyNumberFormat="1" applyFont="1" applyFill="1" applyBorder="1"/>
    <xf numFmtId="0" fontId="0" fillId="3" borderId="0" xfId="0" applyFill="1" applyAlignment="1">
      <alignment horizontal="left"/>
    </xf>
    <xf numFmtId="0" fontId="7" fillId="8" borderId="2" xfId="2" applyFont="1" applyFill="1" applyBorder="1" applyAlignment="1" applyProtection="1">
      <alignment horizontal="left" indent="1"/>
      <protection locked="0"/>
    </xf>
    <xf numFmtId="0" fontId="0" fillId="8" borderId="85" xfId="0" applyFill="1" applyBorder="1" applyProtection="1">
      <protection locked="0"/>
    </xf>
    <xf numFmtId="0" fontId="0" fillId="8" borderId="0" xfId="0" applyFill="1" applyAlignment="1" applyProtection="1">
      <alignment horizontal="centerContinuous"/>
      <protection locked="0"/>
    </xf>
    <xf numFmtId="0" fontId="24" fillId="21" borderId="86" xfId="0" applyFont="1" applyFill="1" applyBorder="1" applyAlignment="1" applyProtection="1">
      <alignment horizontal="center" vertical="center"/>
      <protection locked="0"/>
    </xf>
    <xf numFmtId="0" fontId="25" fillId="8" borderId="0" xfId="0" applyFont="1" applyFill="1" applyAlignment="1" applyProtection="1">
      <alignment horizontal="left" vertical="center" indent="1"/>
      <protection locked="0"/>
    </xf>
    <xf numFmtId="0" fontId="1" fillId="3" borderId="0" xfId="0" applyFont="1" applyFill="1" applyAlignment="1">
      <alignment horizontal="left" indent="1"/>
    </xf>
    <xf numFmtId="0" fontId="16" fillId="2" borderId="0" xfId="0" applyFont="1" applyFill="1" applyAlignment="1">
      <alignment horizontal="left" indent="1"/>
    </xf>
    <xf numFmtId="0" fontId="21" fillId="3" borderId="0" xfId="0" applyFont="1" applyFill="1" applyAlignment="1">
      <alignment horizontal="left" indent="1"/>
    </xf>
    <xf numFmtId="0" fontId="21" fillId="2" borderId="0" xfId="0" applyFont="1" applyFill="1" applyAlignment="1">
      <alignment horizontal="left" indent="1"/>
    </xf>
    <xf numFmtId="0" fontId="0" fillId="8" borderId="0" xfId="0" applyFill="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5" fillId="8" borderId="0" xfId="2" applyFont="1" applyFill="1" applyAlignment="1" applyProtection="1">
      <alignment horizontal="center"/>
      <protection locked="0"/>
    </xf>
    <xf numFmtId="0" fontId="22" fillId="8" borderId="0" xfId="0" applyFont="1" applyFill="1" applyAlignment="1" applyProtection="1">
      <alignment horizontal="left" indent="2"/>
      <protection locked="0"/>
    </xf>
    <xf numFmtId="0" fontId="1" fillId="22" borderId="0" xfId="0" applyFont="1" applyFill="1" applyAlignment="1">
      <alignment horizontal="left" indent="1"/>
    </xf>
    <xf numFmtId="1" fontId="1" fillId="22" borderId="0" xfId="0" applyNumberFormat="1" applyFont="1" applyFill="1"/>
    <xf numFmtId="0" fontId="0" fillId="2" borderId="0" xfId="0" applyFill="1" applyAlignment="1">
      <alignment horizontal="left" indent="2"/>
    </xf>
    <xf numFmtId="0" fontId="1" fillId="2" borderId="87" xfId="0" applyFont="1" applyFill="1" applyBorder="1" applyAlignment="1">
      <alignment horizontal="left"/>
    </xf>
    <xf numFmtId="37" fontId="1" fillId="0" borderId="88" xfId="0" applyNumberFormat="1" applyFont="1" applyBorder="1"/>
    <xf numFmtId="37" fontId="1" fillId="0" borderId="89" xfId="0" applyNumberFormat="1" applyFont="1" applyBorder="1"/>
    <xf numFmtId="164" fontId="1" fillId="0" borderId="89" xfId="1" applyNumberFormat="1" applyFont="1" applyFill="1" applyBorder="1"/>
    <xf numFmtId="0" fontId="1" fillId="2" borderId="90" xfId="0" applyFont="1" applyFill="1" applyBorder="1"/>
    <xf numFmtId="37" fontId="1" fillId="11" borderId="89" xfId="0" applyNumberFormat="1" applyFont="1" applyFill="1" applyBorder="1"/>
    <xf numFmtId="37" fontId="1" fillId="11" borderId="91" xfId="0" applyNumberFormat="1" applyFont="1" applyFill="1" applyBorder="1"/>
    <xf numFmtId="39" fontId="1" fillId="18" borderId="89" xfId="0" applyNumberFormat="1" applyFont="1" applyFill="1" applyBorder="1"/>
    <xf numFmtId="39" fontId="1" fillId="19" borderId="89" xfId="0" applyNumberFormat="1" applyFont="1" applyFill="1" applyBorder="1"/>
    <xf numFmtId="39" fontId="1" fillId="9" borderId="89" xfId="0" applyNumberFormat="1" applyFont="1" applyFill="1" applyBorder="1"/>
    <xf numFmtId="39" fontId="1" fillId="11" borderId="89" xfId="0" applyNumberFormat="1" applyFont="1" applyFill="1" applyBorder="1" applyAlignment="1">
      <alignment horizontal="right"/>
    </xf>
    <xf numFmtId="37" fontId="1" fillId="11" borderId="91" xfId="0" applyNumberFormat="1" applyFont="1" applyFill="1" applyBorder="1" applyAlignment="1">
      <alignment horizontal="right"/>
    </xf>
    <xf numFmtId="39" fontId="1" fillId="0" borderId="37" xfId="0" applyNumberFormat="1" applyFont="1" applyBorder="1"/>
    <xf numFmtId="37" fontId="1" fillId="0" borderId="14" xfId="0" applyNumberFormat="1" applyFont="1" applyBorder="1"/>
    <xf numFmtId="164" fontId="1" fillId="0" borderId="14" xfId="1" applyNumberFormat="1" applyFont="1" applyFill="1" applyBorder="1"/>
    <xf numFmtId="37" fontId="1" fillId="11" borderId="14" xfId="0" applyNumberFormat="1" applyFont="1" applyFill="1" applyBorder="1"/>
    <xf numFmtId="39" fontId="1" fillId="18" borderId="14" xfId="0" applyNumberFormat="1" applyFont="1" applyFill="1" applyBorder="1"/>
    <xf numFmtId="39" fontId="1" fillId="19" borderId="14" xfId="0" applyNumberFormat="1" applyFont="1" applyFill="1" applyBorder="1"/>
    <xf numFmtId="39" fontId="1" fillId="9" borderId="14" xfId="0" applyNumberFormat="1" applyFont="1" applyFill="1" applyBorder="1"/>
    <xf numFmtId="39" fontId="1" fillId="11" borderId="14" xfId="0" applyNumberFormat="1" applyFont="1" applyFill="1" applyBorder="1" applyAlignment="1">
      <alignment horizontal="right"/>
    </xf>
    <xf numFmtId="37" fontId="1" fillId="11" borderId="67" xfId="0" applyNumberFormat="1" applyFont="1" applyFill="1" applyBorder="1" applyAlignment="1">
      <alignment horizontal="right"/>
    </xf>
    <xf numFmtId="37" fontId="1" fillId="11" borderId="34" xfId="0" applyNumberFormat="1" applyFont="1" applyFill="1" applyBorder="1" applyAlignment="1">
      <alignment horizontal="right"/>
    </xf>
    <xf numFmtId="37" fontId="1" fillId="11" borderId="11" xfId="0" applyNumberFormat="1" applyFont="1" applyFill="1" applyBorder="1" applyAlignment="1">
      <alignment horizontal="right"/>
    </xf>
    <xf numFmtId="37" fontId="1" fillId="11" borderId="12" xfId="0" applyNumberFormat="1" applyFont="1" applyFill="1" applyBorder="1" applyAlignment="1">
      <alignment horizontal="right"/>
    </xf>
    <xf numFmtId="37" fontId="1" fillId="0" borderId="12" xfId="0" applyNumberFormat="1" applyFont="1" applyBorder="1" applyAlignment="1">
      <alignment horizontal="left" indent="1"/>
    </xf>
    <xf numFmtId="0" fontId="9" fillId="2" borderId="0" xfId="0" applyFont="1" applyFill="1" applyAlignment="1">
      <alignment horizontal="left" indent="1"/>
    </xf>
    <xf numFmtId="37" fontId="9" fillId="0" borderId="4" xfId="0" applyNumberFormat="1" applyFont="1" applyBorder="1"/>
    <xf numFmtId="164" fontId="9" fillId="0" borderId="4" xfId="1" applyNumberFormat="1" applyFont="1" applyFill="1" applyBorder="1"/>
    <xf numFmtId="37" fontId="0" fillId="0" borderId="0" xfId="0" applyNumberFormat="1"/>
    <xf numFmtId="37" fontId="0" fillId="2" borderId="20" xfId="0" applyNumberFormat="1" applyFill="1" applyBorder="1"/>
    <xf numFmtId="164" fontId="0" fillId="20" borderId="4" xfId="1" applyNumberFormat="1" applyFont="1" applyFill="1" applyBorder="1"/>
    <xf numFmtId="0" fontId="0" fillId="0" borderId="0" xfId="0" applyAlignment="1">
      <alignment horizontal="left" indent="1"/>
    </xf>
    <xf numFmtId="0" fontId="1" fillId="0" borderId="0" xfId="0" applyFont="1"/>
    <xf numFmtId="0" fontId="30" fillId="0" borderId="0" xfId="0" applyFont="1"/>
    <xf numFmtId="167" fontId="30" fillId="0" borderId="0" xfId="0" applyNumberFormat="1" applyFont="1"/>
    <xf numFmtId="37" fontId="9" fillId="0" borderId="32" xfId="0" applyNumberFormat="1" applyFont="1" applyBorder="1"/>
    <xf numFmtId="37" fontId="9" fillId="0" borderId="13" xfId="0" applyNumberFormat="1" applyFont="1" applyBorder="1"/>
    <xf numFmtId="164" fontId="9" fillId="0" borderId="13" xfId="1" applyNumberFormat="1" applyFont="1" applyFill="1" applyBorder="1"/>
    <xf numFmtId="37" fontId="9" fillId="0" borderId="31" xfId="0" applyNumberFormat="1" applyFont="1" applyBorder="1"/>
    <xf numFmtId="164" fontId="9" fillId="0" borderId="32" xfId="1" applyNumberFormat="1" applyFont="1" applyFill="1" applyBorder="1"/>
    <xf numFmtId="37" fontId="9" fillId="0" borderId="27" xfId="0" applyNumberFormat="1" applyFont="1" applyBorder="1"/>
    <xf numFmtId="37" fontId="9" fillId="0" borderId="28" xfId="0" applyNumberFormat="1" applyFont="1" applyBorder="1"/>
    <xf numFmtId="164" fontId="9" fillId="0" borderId="28" xfId="1" applyNumberFormat="1" applyFont="1" applyFill="1" applyBorder="1"/>
    <xf numFmtId="164" fontId="0" fillId="0" borderId="31" xfId="1" applyNumberFormat="1" applyFont="1" applyBorder="1"/>
    <xf numFmtId="164" fontId="9" fillId="0" borderId="31" xfId="1" applyNumberFormat="1" applyFont="1" applyBorder="1"/>
    <xf numFmtId="164" fontId="9" fillId="0" borderId="13" xfId="1" applyNumberFormat="1" applyFont="1" applyBorder="1"/>
    <xf numFmtId="164" fontId="0" fillId="0" borderId="13" xfId="1" applyNumberFormat="1" applyFont="1" applyBorder="1"/>
    <xf numFmtId="0" fontId="7" fillId="2" borderId="0" xfId="0" applyFont="1" applyFill="1" applyAlignment="1">
      <alignment horizontal="left" indent="1"/>
    </xf>
    <xf numFmtId="37" fontId="7" fillId="0" borderId="13" xfId="0" applyNumberFormat="1" applyFont="1" applyBorder="1"/>
    <xf numFmtId="37" fontId="7" fillId="0" borderId="32" xfId="0" applyNumberFormat="1" applyFont="1" applyBorder="1"/>
    <xf numFmtId="164" fontId="7" fillId="0" borderId="13" xfId="1" applyNumberFormat="1" applyFont="1" applyFill="1" applyBorder="1"/>
    <xf numFmtId="37" fontId="9" fillId="23" borderId="13" xfId="0" applyNumberFormat="1" applyFont="1" applyFill="1" applyBorder="1"/>
    <xf numFmtId="37" fontId="0" fillId="0" borderId="92" xfId="0" applyNumberFormat="1" applyBorder="1"/>
    <xf numFmtId="37" fontId="0" fillId="0" borderId="93" xfId="0" applyNumberFormat="1" applyBorder="1"/>
    <xf numFmtId="37" fontId="0" fillId="0" borderId="94" xfId="0" applyNumberFormat="1" applyBorder="1"/>
    <xf numFmtId="37" fontId="0" fillId="0" borderId="95" xfId="0" applyNumberFormat="1" applyBorder="1"/>
    <xf numFmtId="37" fontId="0" fillId="0" borderId="96" xfId="0" applyNumberFormat="1" applyBorder="1"/>
    <xf numFmtId="37" fontId="0" fillId="0" borderId="20" xfId="0" applyNumberFormat="1" applyBorder="1"/>
    <xf numFmtId="37" fontId="0" fillId="0" borderId="97" xfId="0" applyNumberFormat="1" applyBorder="1"/>
    <xf numFmtId="37" fontId="0" fillId="0" borderId="18" xfId="0" applyNumberFormat="1" applyBorder="1"/>
    <xf numFmtId="37" fontId="0" fillId="0" borderId="17" xfId="0" applyNumberFormat="1" applyBorder="1"/>
    <xf numFmtId="37" fontId="0" fillId="0" borderId="98" xfId="0" applyNumberFormat="1" applyBorder="1"/>
    <xf numFmtId="37" fontId="0" fillId="0" borderId="99" xfId="0" applyNumberFormat="1" applyBorder="1"/>
    <xf numFmtId="37" fontId="0" fillId="0" borderId="100" xfId="0" applyNumberFormat="1" applyBorder="1"/>
    <xf numFmtId="0" fontId="1" fillId="0" borderId="0" xfId="0" applyFont="1" applyAlignment="1">
      <alignment horizontal="left"/>
    </xf>
    <xf numFmtId="0" fontId="0" fillId="0" borderId="0" xfId="0" applyAlignment="1">
      <alignment horizontal="left"/>
    </xf>
    <xf numFmtId="37" fontId="0" fillId="0" borderId="101" xfId="0" applyNumberFormat="1" applyBorder="1"/>
    <xf numFmtId="37" fontId="0" fillId="0" borderId="102" xfId="0" applyNumberFormat="1" applyBorder="1"/>
    <xf numFmtId="0" fontId="0" fillId="2" borderId="103" xfId="0" applyFill="1" applyBorder="1"/>
    <xf numFmtId="0" fontId="1" fillId="2" borderId="104" xfId="0" applyFont="1" applyFill="1" applyBorder="1"/>
    <xf numFmtId="0" fontId="0" fillId="24" borderId="0" xfId="0" applyFill="1" applyAlignment="1">
      <alignment horizontal="left" indent="1"/>
    </xf>
    <xf numFmtId="0" fontId="31" fillId="0" borderId="0" xfId="0" applyFont="1" applyAlignment="1">
      <alignment horizontal="left" wrapText="1"/>
    </xf>
    <xf numFmtId="0" fontId="0" fillId="0" borderId="0" xfId="0" applyAlignment="1">
      <alignment horizontal="left" indent="2"/>
    </xf>
    <xf numFmtId="37" fontId="0" fillId="23" borderId="4" xfId="0" applyNumberFormat="1" applyFill="1" applyBorder="1"/>
    <xf numFmtId="37" fontId="7" fillId="0" borderId="4" xfId="0" applyNumberFormat="1" applyFont="1" applyBorder="1"/>
    <xf numFmtId="164" fontId="7" fillId="0" borderId="4" xfId="1" applyNumberFormat="1" applyFont="1" applyFill="1" applyBorder="1"/>
    <xf numFmtId="37" fontId="0" fillId="0" borderId="105" xfId="0" applyNumberFormat="1" applyBorder="1"/>
    <xf numFmtId="0" fontId="21" fillId="2" borderId="0" xfId="0" applyFont="1" applyFill="1" applyAlignment="1">
      <alignment horizontal="left"/>
    </xf>
    <xf numFmtId="0" fontId="0" fillId="8" borderId="55" xfId="0" applyFill="1" applyBorder="1" applyAlignment="1" applyProtection="1">
      <alignment horizontal="center" vertical="center"/>
      <protection locked="0"/>
    </xf>
    <xf numFmtId="0" fontId="0" fillId="8" borderId="56" xfId="0" applyFill="1" applyBorder="1" applyAlignment="1" applyProtection="1">
      <alignment horizontal="center" vertical="center"/>
      <protection locked="0"/>
    </xf>
    <xf numFmtId="39" fontId="0" fillId="18" borderId="44" xfId="0" applyNumberFormat="1" applyFill="1" applyBorder="1" applyAlignment="1">
      <alignment horizontal="center"/>
    </xf>
    <xf numFmtId="39" fontId="0" fillId="18" borderId="46" xfId="0" applyNumberFormat="1" applyFill="1" applyBorder="1" applyAlignment="1">
      <alignment horizontal="center"/>
    </xf>
    <xf numFmtId="0" fontId="13" fillId="13" borderId="44" xfId="0" applyFont="1" applyFill="1" applyBorder="1" applyAlignment="1">
      <alignment horizontal="center"/>
    </xf>
    <xf numFmtId="0" fontId="13" fillId="13" borderId="46" xfId="0" applyFont="1" applyFill="1" applyBorder="1" applyAlignment="1">
      <alignment horizontal="center"/>
    </xf>
    <xf numFmtId="39" fontId="0" fillId="18" borderId="15" xfId="0" applyNumberFormat="1" applyFill="1" applyBorder="1" applyAlignment="1">
      <alignment horizontal="center"/>
    </xf>
    <xf numFmtId="39" fontId="0" fillId="18" borderId="16" xfId="0" applyNumberFormat="1" applyFill="1" applyBorder="1" applyAlignment="1">
      <alignment horizontal="center"/>
    </xf>
    <xf numFmtId="39" fontId="1" fillId="18" borderId="79" xfId="0" applyNumberFormat="1" applyFont="1" applyFill="1" applyBorder="1" applyAlignment="1">
      <alignment horizontal="center"/>
    </xf>
    <xf numFmtId="39" fontId="1" fillId="18" borderId="80" xfId="0" applyNumberFormat="1" applyFont="1" applyFill="1" applyBorder="1" applyAlignment="1">
      <alignment horizontal="center"/>
    </xf>
    <xf numFmtId="39" fontId="1" fillId="18" borderId="81" xfId="0" applyNumberFormat="1" applyFont="1" applyFill="1" applyBorder="1" applyAlignment="1">
      <alignment horizontal="center"/>
    </xf>
    <xf numFmtId="39" fontId="1" fillId="18" borderId="82" xfId="0" applyNumberFormat="1" applyFont="1" applyFill="1" applyBorder="1" applyAlignment="1">
      <alignment horizontal="center"/>
    </xf>
    <xf numFmtId="39" fontId="1" fillId="18" borderId="83" xfId="0" applyNumberFormat="1" applyFont="1" applyFill="1" applyBorder="1" applyAlignment="1">
      <alignment horizontal="center"/>
    </xf>
    <xf numFmtId="39" fontId="1" fillId="18" borderId="84" xfId="0" applyNumberFormat="1" applyFont="1" applyFill="1" applyBorder="1" applyAlignment="1">
      <alignment horizontal="center"/>
    </xf>
    <xf numFmtId="0" fontId="27" fillId="2" borderId="0" xfId="0" applyFont="1" applyFill="1" applyAlignment="1">
      <alignment horizontal="left" vertical="top" wrapText="1"/>
    </xf>
  </cellXfs>
  <cellStyles count="10">
    <cellStyle name="ColumnHeading" xfId="3" xr:uid="{00000000-0005-0000-0000-000000000000}"/>
    <cellStyle name="Comma" xfId="9" builtinId="3"/>
    <cellStyle name="Comma 2" xfId="4" xr:uid="{00000000-0005-0000-0000-000002000000}"/>
    <cellStyle name="Currency" xfId="7" builtinId="4"/>
    <cellStyle name="Currency 2" xfId="5" xr:uid="{00000000-0005-0000-0000-000004000000}"/>
    <cellStyle name="Normal" xfId="0" builtinId="0"/>
    <cellStyle name="Normal 2" xfId="8" xr:uid="{00000000-0005-0000-0000-000006000000}"/>
    <cellStyle name="Normal_Sheet1" xfId="2" xr:uid="{00000000-0005-0000-0000-000007000000}"/>
    <cellStyle name="Percent" xfId="1" builtinId="5"/>
    <cellStyle name="Percent 2" xfId="6" xr:uid="{00000000-0005-0000-0000-000009000000}"/>
  </cellStyles>
  <dxfs count="185">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ill>
        <patternFill patternType="mediumGray">
          <fgColor theme="2" tint="-9.9948118533890809E-2"/>
        </patternFill>
      </fill>
    </dxf>
    <dxf>
      <fill>
        <patternFill patternType="mediumGray">
          <fgColor theme="2" tint="-9.9948118533890809E-2"/>
        </patternFill>
      </fill>
    </dxf>
    <dxf>
      <fill>
        <patternFill patternType="mediumGray">
          <fgColor theme="2" tint="-9.9948118533890809E-2"/>
        </patternFill>
      </fill>
    </dxf>
    <dxf>
      <fill>
        <patternFill patternType="mediumGray">
          <fgColor theme="2" tint="-9.9948118533890809E-2"/>
        </patternFill>
      </fill>
    </dxf>
    <dxf>
      <fill>
        <patternFill patternType="mediumGray">
          <fgColor theme="2" tint="-9.9948118533890809E-2"/>
        </patternFill>
      </fill>
    </dxf>
    <dxf>
      <fill>
        <patternFill patternType="mediumGray">
          <fgColor theme="2" tint="-9.9948118533890809E-2"/>
        </patternFill>
      </fill>
    </dxf>
    <dxf>
      <font>
        <color theme="1" tint="0.499984740745262"/>
      </font>
      <fill>
        <patternFill patternType="lightTrellis">
          <fgColor theme="1" tint="0.499984740745262"/>
        </patternFill>
      </fill>
    </dxf>
    <dxf>
      <font>
        <color theme="1" tint="0.499984740745262"/>
      </font>
      <fill>
        <patternFill patternType="lightTrellis">
          <fgColor theme="1" tint="0.499984740745262"/>
        </patternFill>
      </fill>
    </dxf>
  </dxfs>
  <tableStyles count="0" defaultTableStyle="TableStyleMedium9" defaultPivotStyle="PivotStyleLight16"/>
  <colors>
    <mruColors>
      <color rgb="FFC63527"/>
      <color rgb="FFDBD6D3"/>
      <color rgb="FFCAC3BE"/>
      <color rgb="FF9FF4FF"/>
      <color rgb="FFE1FBFF"/>
      <color rgb="FF6E6259"/>
      <color rgb="FF5F554D"/>
      <color rgb="FF5B5149"/>
      <color rgb="FF00AE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calcChain" Target="calcChain.xml"/><Relationship Id="rId8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ctrlProps/ctrlProp1.xml><?xml version="1.0" encoding="utf-8"?>
<formControlPr xmlns="http://schemas.microsoft.com/office/spreadsheetml/2009/9/main" objectType="CheckBox" fmlaLink="$O$1" lockText="1" noThreeD="1"/>
</file>

<file path=xl/ctrlProps/ctrlProp2.xml><?xml version="1.0" encoding="utf-8"?>
<formControlPr xmlns="http://schemas.microsoft.com/office/spreadsheetml/2009/9/main" objectType="CheckBox" fmlaLink="$O$1"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33.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3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9.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40.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4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4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4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4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45.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4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4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48.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4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50.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1.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5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55.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5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59.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4.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65.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7.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6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9.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70.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0</xdr:col>
      <xdr:colOff>281801</xdr:colOff>
      <xdr:row>13</xdr:row>
      <xdr:rowOff>101664</xdr:rowOff>
    </xdr:from>
    <xdr:to>
      <xdr:col>7</xdr:col>
      <xdr:colOff>324944</xdr:colOff>
      <xdr:row>22</xdr:row>
      <xdr:rowOff>123907</xdr:rowOff>
    </xdr:to>
    <xdr:pic>
      <xdr:nvPicPr>
        <xdr:cNvPr id="2" name="Picture 13">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81801" y="1748929"/>
          <a:ext cx="7259731" cy="1736743"/>
        </a:xfrm>
        <a:prstGeom prst="rect">
          <a:avLst/>
        </a:prstGeom>
        <a:noFill/>
        <a:ln w="1">
          <a:noFill/>
          <a:miter lim="800000"/>
          <a:headEnd/>
          <a:tailEnd type="none" w="med" len="med"/>
        </a:ln>
        <a:effectLst/>
      </xdr:spPr>
    </xdr:pic>
    <xdr:clientData/>
  </xdr:twoCellAnchor>
  <xdr:twoCellAnchor editAs="oneCell">
    <xdr:from>
      <xdr:col>0</xdr:col>
      <xdr:colOff>280147</xdr:colOff>
      <xdr:row>55</xdr:row>
      <xdr:rowOff>112059</xdr:rowOff>
    </xdr:from>
    <xdr:to>
      <xdr:col>7</xdr:col>
      <xdr:colOff>1140759</xdr:colOff>
      <xdr:row>85</xdr:row>
      <xdr:rowOff>188259</xdr:rowOff>
    </xdr:to>
    <xdr:pic>
      <xdr:nvPicPr>
        <xdr:cNvPr id="5133" name="Picture 13">
          <a:extLst>
            <a:ext uri="{FF2B5EF4-FFF2-40B4-BE49-F238E27FC236}">
              <a16:creationId xmlns:a16="http://schemas.microsoft.com/office/drawing/2014/main" id="{00000000-0008-0000-0000-00000D1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0147" y="9681883"/>
          <a:ext cx="8077200" cy="5791200"/>
        </a:xfrm>
        <a:prstGeom prst="rect">
          <a:avLst/>
        </a:prstGeom>
        <a:noFill/>
        <a:ln w="1">
          <a:noFill/>
          <a:miter lim="800000"/>
          <a:headEnd/>
          <a:tailEnd type="none" w="med" len="med"/>
        </a:ln>
        <a:effectLst/>
      </xdr:spPr>
    </xdr:pic>
    <xdr:clientData/>
  </xdr:twoCellAnchor>
  <xdr:twoCellAnchor editAs="oneCell">
    <xdr:from>
      <xdr:col>7</xdr:col>
      <xdr:colOff>1434354</xdr:colOff>
      <xdr:row>14</xdr:row>
      <xdr:rowOff>44823</xdr:rowOff>
    </xdr:from>
    <xdr:to>
      <xdr:col>11</xdr:col>
      <xdr:colOff>50578</xdr:colOff>
      <xdr:row>22</xdr:row>
      <xdr:rowOff>112058</xdr:rowOff>
    </xdr:to>
    <xdr:pic>
      <xdr:nvPicPr>
        <xdr:cNvPr id="5134" name="Picture 14">
          <a:extLst>
            <a:ext uri="{FF2B5EF4-FFF2-40B4-BE49-F238E27FC236}">
              <a16:creationId xmlns:a16="http://schemas.microsoft.com/office/drawing/2014/main" id="{00000000-0008-0000-0000-00000E14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8650942" y="1882588"/>
          <a:ext cx="4331224" cy="1591235"/>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editAs="oneCell">
        <xdr:from>
          <xdr:col>14</xdr:col>
          <xdr:colOff>50800</xdr:colOff>
          <xdr:row>4</xdr:row>
          <xdr:rowOff>177800</xdr:rowOff>
        </xdr:from>
        <xdr:to>
          <xdr:col>15</xdr:col>
          <xdr:colOff>0</xdr:colOff>
          <xdr:row>6</xdr:row>
          <xdr:rowOff>25400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solidFill>
              <a:srgbClr val="FFFF99" mc:Ignorable="a14" a14:legacySpreadsheetColorIndex="43"/>
            </a:solidFill>
            <a:ln w="12700">
              <a:solidFill>
                <a:srgbClr val="000000"/>
              </a:solidFill>
              <a:miter lim="800000"/>
              <a:headEnd/>
              <a:tailEnd/>
            </a:ln>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419100</xdr:colOff>
          <xdr:row>0</xdr:row>
          <xdr:rowOff>0</xdr:rowOff>
        </xdr:to>
        <xdr:sp macro="" textlink="">
          <xdr:nvSpPr>
            <xdr:cNvPr id="5131" name="FPMExcelClientSheetOptionstb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281801</xdr:colOff>
      <xdr:row>13</xdr:row>
      <xdr:rowOff>101664</xdr:rowOff>
    </xdr:from>
    <xdr:to>
      <xdr:col>7</xdr:col>
      <xdr:colOff>324944</xdr:colOff>
      <xdr:row>22</xdr:row>
      <xdr:rowOff>123907</xdr:rowOff>
    </xdr:to>
    <xdr:pic>
      <xdr:nvPicPr>
        <xdr:cNvPr id="2" name="Picture 13">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81801" y="2549589"/>
          <a:ext cx="7263093" cy="1736743"/>
        </a:xfrm>
        <a:prstGeom prst="rect">
          <a:avLst/>
        </a:prstGeom>
        <a:noFill/>
        <a:ln w="1">
          <a:noFill/>
          <a:miter lim="800000"/>
          <a:headEnd/>
          <a:tailEnd type="none" w="med" len="med"/>
        </a:ln>
        <a:effectLst/>
      </xdr:spPr>
    </xdr:pic>
    <xdr:clientData/>
  </xdr:twoCellAnchor>
  <xdr:twoCellAnchor editAs="oneCell">
    <xdr:from>
      <xdr:col>0</xdr:col>
      <xdr:colOff>280147</xdr:colOff>
      <xdr:row>55</xdr:row>
      <xdr:rowOff>112059</xdr:rowOff>
    </xdr:from>
    <xdr:to>
      <xdr:col>7</xdr:col>
      <xdr:colOff>1140759</xdr:colOff>
      <xdr:row>85</xdr:row>
      <xdr:rowOff>188259</xdr:rowOff>
    </xdr:to>
    <xdr:pic>
      <xdr:nvPicPr>
        <xdr:cNvPr id="3" name="Picture 13">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0147" y="10837209"/>
          <a:ext cx="8080562" cy="5791200"/>
        </a:xfrm>
        <a:prstGeom prst="rect">
          <a:avLst/>
        </a:prstGeom>
        <a:noFill/>
        <a:ln w="1">
          <a:noFill/>
          <a:miter lim="800000"/>
          <a:headEnd/>
          <a:tailEnd type="none" w="med" len="med"/>
        </a:ln>
        <a:effectLst/>
      </xdr:spPr>
    </xdr:pic>
    <xdr:clientData/>
  </xdr:twoCellAnchor>
  <xdr:twoCellAnchor editAs="oneCell">
    <xdr:from>
      <xdr:col>7</xdr:col>
      <xdr:colOff>1434354</xdr:colOff>
      <xdr:row>14</xdr:row>
      <xdr:rowOff>44823</xdr:rowOff>
    </xdr:from>
    <xdr:to>
      <xdr:col>11</xdr:col>
      <xdr:colOff>50578</xdr:colOff>
      <xdr:row>22</xdr:row>
      <xdr:rowOff>112058</xdr:rowOff>
    </xdr:to>
    <xdr:pic>
      <xdr:nvPicPr>
        <xdr:cNvPr id="4" name="Picture 14">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8654304" y="2683248"/>
          <a:ext cx="4340749" cy="1591235"/>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editAs="oneCell">
        <xdr:from>
          <xdr:col>14</xdr:col>
          <xdr:colOff>50800</xdr:colOff>
          <xdr:row>4</xdr:row>
          <xdr:rowOff>177800</xdr:rowOff>
        </xdr:from>
        <xdr:to>
          <xdr:col>15</xdr:col>
          <xdr:colOff>0</xdr:colOff>
          <xdr:row>6</xdr:row>
          <xdr:rowOff>25400</xdr:rowOff>
        </xdr:to>
        <xdr:sp macro="" textlink="">
          <xdr:nvSpPr>
            <xdr:cNvPr id="330753" name="Check Box 1" hidden="1">
              <a:extLst>
                <a:ext uri="{63B3BB69-23CF-44E3-9099-C40C66FF867C}">
                  <a14:compatExt spid="_x0000_s330753"/>
                </a:ext>
                <a:ext uri="{FF2B5EF4-FFF2-40B4-BE49-F238E27FC236}">
                  <a16:creationId xmlns:a16="http://schemas.microsoft.com/office/drawing/2014/main" id="{00000000-0008-0000-0100-0000010C0500}"/>
                </a:ext>
              </a:extLst>
            </xdr:cNvPr>
            <xdr:cNvSpPr/>
          </xdr:nvSpPr>
          <xdr:spPr bwMode="auto">
            <a:xfrm>
              <a:off x="0" y="0"/>
              <a:ext cx="0" cy="0"/>
            </a:xfrm>
            <a:prstGeom prst="rect">
              <a:avLst/>
            </a:prstGeom>
            <a:solidFill>
              <a:srgbClr val="FFFF99" mc:Ignorable="a14" a14:legacySpreadsheetColorIndex="43"/>
            </a:solidFill>
            <a:ln w="12700">
              <a:solidFill>
                <a:srgbClr val="000000"/>
              </a:solidFill>
              <a:miter lim="800000"/>
              <a:headEnd/>
              <a:tailEnd/>
            </a:ln>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419100</xdr:colOff>
          <xdr:row>0</xdr:row>
          <xdr:rowOff>0</xdr:rowOff>
        </xdr:to>
        <xdr:sp macro="" textlink="">
          <xdr:nvSpPr>
            <xdr:cNvPr id="330756" name="FPMExcelClientSheetOptionstb1" hidden="1">
              <a:extLst>
                <a:ext uri="{63B3BB69-23CF-44E3-9099-C40C66FF867C}">
                  <a14:compatExt spid="_x0000_s330756"/>
                </a:ext>
                <a:ext uri="{FF2B5EF4-FFF2-40B4-BE49-F238E27FC236}">
                  <a16:creationId xmlns:a16="http://schemas.microsoft.com/office/drawing/2014/main" id="{00000000-0008-0000-0100-0000040C05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31</xdr:col>
      <xdr:colOff>515470</xdr:colOff>
      <xdr:row>25</xdr:row>
      <xdr:rowOff>190500</xdr:rowOff>
    </xdr:from>
    <xdr:to>
      <xdr:col>33</xdr:col>
      <xdr:colOff>620804</xdr:colOff>
      <xdr:row>27</xdr:row>
      <xdr:rowOff>110377</xdr:rowOff>
    </xdr:to>
    <xdr:pic>
      <xdr:nvPicPr>
        <xdr:cNvPr id="2" name="Picture 6">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6382999" y="381000"/>
          <a:ext cx="1472452" cy="435348"/>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4102" name="FPMExcelClientSheetOptionstb1"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673100</xdr:colOff>
          <xdr:row>0</xdr:row>
          <xdr:rowOff>0</xdr:rowOff>
        </xdr:to>
        <xdr:sp macro="" textlink="">
          <xdr:nvSpPr>
            <xdr:cNvPr id="332806" name="FPMExcelClientSheetOptionstb1" hidden="1">
              <a:extLst>
                <a:ext uri="{63B3BB69-23CF-44E3-9099-C40C66FF867C}">
                  <a14:compatExt spid="_x0000_s332806"/>
                </a:ext>
                <a:ext uri="{FF2B5EF4-FFF2-40B4-BE49-F238E27FC236}">
                  <a16:creationId xmlns:a16="http://schemas.microsoft.com/office/drawing/2014/main" id="{00000000-0008-0000-0500-0000061405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261122" name="FPMExcelClientSheetOptionstb1" hidden="1">
              <a:extLst>
                <a:ext uri="{63B3BB69-23CF-44E3-9099-C40C66FF867C}">
                  <a14:compatExt spid="_x0000_s261122"/>
                </a:ext>
                <a:ext uri="{FF2B5EF4-FFF2-40B4-BE49-F238E27FC236}">
                  <a16:creationId xmlns:a16="http://schemas.microsoft.com/office/drawing/2014/main" id="{00000000-0008-0000-0600-000002FC03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673100</xdr:colOff>
          <xdr:row>0</xdr:row>
          <xdr:rowOff>0</xdr:rowOff>
        </xdr:to>
        <xdr:sp macro="" textlink="">
          <xdr:nvSpPr>
            <xdr:cNvPr id="333827" name="FPMExcelClientSheetOptionstb1" hidden="1">
              <a:extLst>
                <a:ext uri="{63B3BB69-23CF-44E3-9099-C40C66FF867C}">
                  <a14:compatExt spid="_x0000_s333827"/>
                </a:ext>
                <a:ext uri="{FF2B5EF4-FFF2-40B4-BE49-F238E27FC236}">
                  <a16:creationId xmlns:a16="http://schemas.microsoft.com/office/drawing/2014/main" id="{00000000-0008-0000-0700-0000031805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8197" name="FPMExcelClientSheetOptionstb1" hidden="1">
              <a:extLst>
                <a:ext uri="{63B3BB69-23CF-44E3-9099-C40C66FF867C}">
                  <a14:compatExt spid="_x0000_s8197"/>
                </a:ext>
                <a:ext uri="{FF2B5EF4-FFF2-40B4-BE49-F238E27FC236}">
                  <a16:creationId xmlns:a16="http://schemas.microsoft.com/office/drawing/2014/main" id="{00000000-0008-0000-0800-000005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673100</xdr:colOff>
          <xdr:row>0</xdr:row>
          <xdr:rowOff>0</xdr:rowOff>
        </xdr:to>
        <xdr:sp macro="" textlink="">
          <xdr:nvSpPr>
            <xdr:cNvPr id="334854" name="FPMExcelClientSheetOptionstb1" hidden="1">
              <a:extLst>
                <a:ext uri="{63B3BB69-23CF-44E3-9099-C40C66FF867C}">
                  <a14:compatExt spid="_x0000_s334854"/>
                </a:ext>
                <a:ext uri="{FF2B5EF4-FFF2-40B4-BE49-F238E27FC236}">
                  <a16:creationId xmlns:a16="http://schemas.microsoft.com/office/drawing/2014/main" id="{00000000-0008-0000-0900-0000061C05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22536" name="FPMExcelClientSheetOptionstb1" hidden="1">
              <a:extLst>
                <a:ext uri="{63B3BB69-23CF-44E3-9099-C40C66FF867C}">
                  <a14:compatExt spid="_x0000_s22536"/>
                </a:ext>
                <a:ext uri="{FF2B5EF4-FFF2-40B4-BE49-F238E27FC236}">
                  <a16:creationId xmlns:a16="http://schemas.microsoft.com/office/drawing/2014/main" id="{00000000-0008-0000-0A00-00000858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23555" name="FPMExcelClientSheetOptionstb1" hidden="1">
              <a:extLst>
                <a:ext uri="{63B3BB69-23CF-44E3-9099-C40C66FF867C}">
                  <a14:compatExt spid="_x0000_s23555"/>
                </a:ext>
                <a:ext uri="{FF2B5EF4-FFF2-40B4-BE49-F238E27FC236}">
                  <a16:creationId xmlns:a16="http://schemas.microsoft.com/office/drawing/2014/main" id="{00000000-0008-0000-0B00-0000035C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889000</xdr:colOff>
          <xdr:row>0</xdr:row>
          <xdr:rowOff>0</xdr:rowOff>
        </xdr:to>
        <xdr:sp macro="" textlink="">
          <xdr:nvSpPr>
            <xdr:cNvPr id="10248" name="FPMExcelClientSheetOptionstb1" hidden="1">
              <a:extLst>
                <a:ext uri="{63B3BB69-23CF-44E3-9099-C40C66FF867C}">
                  <a14:compatExt spid="_x0000_s10248"/>
                </a:ext>
                <a:ext uri="{FF2B5EF4-FFF2-40B4-BE49-F238E27FC236}">
                  <a16:creationId xmlns:a16="http://schemas.microsoft.com/office/drawing/2014/main" id="{00000000-0008-0000-0C00-00000828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230405" name="FPMExcelClientSheetOptionstb1" hidden="1">
              <a:extLst>
                <a:ext uri="{63B3BB69-23CF-44E3-9099-C40C66FF867C}">
                  <a14:compatExt spid="_x0000_s230405"/>
                </a:ext>
                <a:ext uri="{FF2B5EF4-FFF2-40B4-BE49-F238E27FC236}">
                  <a16:creationId xmlns:a16="http://schemas.microsoft.com/office/drawing/2014/main" id="{00000000-0008-0000-1400-0000058403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232449" name="FPMExcelClientSheetOptionstb1" hidden="1">
              <a:extLst>
                <a:ext uri="{63B3BB69-23CF-44E3-9099-C40C66FF867C}">
                  <a14:compatExt spid="_x0000_s232449"/>
                </a:ext>
                <a:ext uri="{FF2B5EF4-FFF2-40B4-BE49-F238E27FC236}">
                  <a16:creationId xmlns:a16="http://schemas.microsoft.com/office/drawing/2014/main" id="{00000000-0008-0000-1600-0000018C03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14344" name="FPMExcelClientSheetOptionstb1" hidden="1">
              <a:extLst>
                <a:ext uri="{63B3BB69-23CF-44E3-9099-C40C66FF867C}">
                  <a14:compatExt spid="_x0000_s14344"/>
                </a:ext>
                <a:ext uri="{FF2B5EF4-FFF2-40B4-BE49-F238E27FC236}">
                  <a16:creationId xmlns:a16="http://schemas.microsoft.com/office/drawing/2014/main" id="{00000000-0008-0000-1A00-00000838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202754" name="FPMExcelClientSheetOptionstb1" hidden="1">
              <a:extLst>
                <a:ext uri="{63B3BB69-23CF-44E3-9099-C40C66FF867C}">
                  <a14:compatExt spid="_x0000_s202754"/>
                </a:ext>
                <a:ext uri="{FF2B5EF4-FFF2-40B4-BE49-F238E27FC236}">
                  <a16:creationId xmlns:a16="http://schemas.microsoft.com/office/drawing/2014/main" id="{00000000-0008-0000-1B00-0000021803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25400</xdr:colOff>
          <xdr:row>0</xdr:row>
          <xdr:rowOff>12700</xdr:rowOff>
        </xdr:to>
        <xdr:sp macro="" textlink="">
          <xdr:nvSpPr>
            <xdr:cNvPr id="304133" name="FPMExcelClientSheetOptionstb1" hidden="1">
              <a:extLst>
                <a:ext uri="{63B3BB69-23CF-44E3-9099-C40C66FF867C}">
                  <a14:compatExt spid="_x0000_s304133"/>
                </a:ext>
                <a:ext uri="{FF2B5EF4-FFF2-40B4-BE49-F238E27FC236}">
                  <a16:creationId xmlns:a16="http://schemas.microsoft.com/office/drawing/2014/main" id="{00000000-0008-0000-1C00-000005A404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673100</xdr:colOff>
          <xdr:row>0</xdr:row>
          <xdr:rowOff>0</xdr:rowOff>
        </xdr:to>
        <xdr:sp macro="" textlink="">
          <xdr:nvSpPr>
            <xdr:cNvPr id="305153" name="FPMExcelClientSheetOptionstb1" hidden="1">
              <a:extLst>
                <a:ext uri="{63B3BB69-23CF-44E3-9099-C40C66FF867C}">
                  <a14:compatExt spid="_x0000_s305153"/>
                </a:ext>
                <a:ext uri="{FF2B5EF4-FFF2-40B4-BE49-F238E27FC236}">
                  <a16:creationId xmlns:a16="http://schemas.microsoft.com/office/drawing/2014/main" id="{00000000-0008-0000-1D00-000001A804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24</xdr:row>
          <xdr:rowOff>0</xdr:rowOff>
        </xdr:from>
        <xdr:to>
          <xdr:col>0</xdr:col>
          <xdr:colOff>0</xdr:colOff>
          <xdr:row>24</xdr:row>
          <xdr:rowOff>0</xdr:rowOff>
        </xdr:to>
        <xdr:sp macro="" textlink="">
          <xdr:nvSpPr>
            <xdr:cNvPr id="306177" name="FPMExcelClientSheetOptionstb1" hidden="1">
              <a:extLst>
                <a:ext uri="{63B3BB69-23CF-44E3-9099-C40C66FF867C}">
                  <a14:compatExt spid="_x0000_s306177"/>
                </a:ext>
                <a:ext uri="{FF2B5EF4-FFF2-40B4-BE49-F238E27FC236}">
                  <a16:creationId xmlns:a16="http://schemas.microsoft.com/office/drawing/2014/main" id="{00000000-0008-0000-1E00-000001AC04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673100</xdr:colOff>
          <xdr:row>0</xdr:row>
          <xdr:rowOff>0</xdr:rowOff>
        </xdr:to>
        <xdr:sp macro="" textlink="">
          <xdr:nvSpPr>
            <xdr:cNvPr id="307201" name="FPMExcelClientSheetOptionstb1" hidden="1">
              <a:extLst>
                <a:ext uri="{63B3BB69-23CF-44E3-9099-C40C66FF867C}">
                  <a14:compatExt spid="_x0000_s307201"/>
                </a:ext>
                <a:ext uri="{FF2B5EF4-FFF2-40B4-BE49-F238E27FC236}">
                  <a16:creationId xmlns:a16="http://schemas.microsoft.com/office/drawing/2014/main" id="{00000000-0008-0000-1F00-000001B004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308225" name="FPMExcelClientSheetOptionstb1" hidden="1">
              <a:extLst>
                <a:ext uri="{63B3BB69-23CF-44E3-9099-C40C66FF867C}">
                  <a14:compatExt spid="_x0000_s308225"/>
                </a:ext>
                <a:ext uri="{FF2B5EF4-FFF2-40B4-BE49-F238E27FC236}">
                  <a16:creationId xmlns:a16="http://schemas.microsoft.com/office/drawing/2014/main" id="{00000000-0008-0000-2000-000001B404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673100</xdr:colOff>
          <xdr:row>0</xdr:row>
          <xdr:rowOff>0</xdr:rowOff>
        </xdr:to>
        <xdr:sp macro="" textlink="">
          <xdr:nvSpPr>
            <xdr:cNvPr id="309249" name="FPMExcelClientSheetOptionstb1" hidden="1">
              <a:extLst>
                <a:ext uri="{63B3BB69-23CF-44E3-9099-C40C66FF867C}">
                  <a14:compatExt spid="_x0000_s309249"/>
                </a:ext>
                <a:ext uri="{FF2B5EF4-FFF2-40B4-BE49-F238E27FC236}">
                  <a16:creationId xmlns:a16="http://schemas.microsoft.com/office/drawing/2014/main" id="{00000000-0008-0000-2100-000001B804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20491" name="FPMExcelClientSheetOptionstb1" hidden="1">
              <a:extLst>
                <a:ext uri="{63B3BB69-23CF-44E3-9099-C40C66FF867C}">
                  <a14:compatExt spid="_x0000_s20491"/>
                </a:ext>
                <a:ext uri="{FF2B5EF4-FFF2-40B4-BE49-F238E27FC236}">
                  <a16:creationId xmlns:a16="http://schemas.microsoft.com/office/drawing/2014/main" id="{00000000-0008-0000-2200-00000B5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12</xdr:col>
          <xdr:colOff>901700</xdr:colOff>
          <xdr:row>0</xdr:row>
          <xdr:rowOff>0</xdr:rowOff>
        </xdr:to>
        <xdr:sp macro="" textlink="">
          <xdr:nvSpPr>
            <xdr:cNvPr id="43016" name="FPMExcelClientSheetOptionstb1" hidden="1">
              <a:extLst>
                <a:ext uri="{63B3BB69-23CF-44E3-9099-C40C66FF867C}">
                  <a14:compatExt spid="_x0000_s43016"/>
                </a:ext>
                <a:ext uri="{FF2B5EF4-FFF2-40B4-BE49-F238E27FC236}">
                  <a16:creationId xmlns:a16="http://schemas.microsoft.com/office/drawing/2014/main" id="{00000000-0008-0000-2300-000008A8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12</xdr:col>
          <xdr:colOff>673100</xdr:colOff>
          <xdr:row>0</xdr:row>
          <xdr:rowOff>0</xdr:rowOff>
        </xdr:to>
        <xdr:sp macro="" textlink="">
          <xdr:nvSpPr>
            <xdr:cNvPr id="361476" name="FPMExcelClientSheetOptionstb1" hidden="1">
              <a:extLst>
                <a:ext uri="{63B3BB69-23CF-44E3-9099-C40C66FF867C}">
                  <a14:compatExt spid="_x0000_s361476"/>
                </a:ext>
                <a:ext uri="{FF2B5EF4-FFF2-40B4-BE49-F238E27FC236}">
                  <a16:creationId xmlns:a16="http://schemas.microsoft.com/office/drawing/2014/main" id="{00000000-0008-0000-2500-0000048405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673100</xdr:colOff>
          <xdr:row>0</xdr:row>
          <xdr:rowOff>0</xdr:rowOff>
        </xdr:to>
        <xdr:sp macro="" textlink="">
          <xdr:nvSpPr>
            <xdr:cNvPr id="362501" name="FPMExcelClientSheetOptionstb1" hidden="1">
              <a:extLst>
                <a:ext uri="{63B3BB69-23CF-44E3-9099-C40C66FF867C}">
                  <a14:compatExt spid="_x0000_s362501"/>
                </a:ext>
                <a:ext uri="{FF2B5EF4-FFF2-40B4-BE49-F238E27FC236}">
                  <a16:creationId xmlns:a16="http://schemas.microsoft.com/office/drawing/2014/main" id="{00000000-0008-0000-2700-0000058805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34827" name="FPMExcelClientSheetOptionstb1" hidden="1">
              <a:extLst>
                <a:ext uri="{63B3BB69-23CF-44E3-9099-C40C66FF867C}">
                  <a14:compatExt spid="_x0000_s34827"/>
                </a:ext>
                <a:ext uri="{FF2B5EF4-FFF2-40B4-BE49-F238E27FC236}">
                  <a16:creationId xmlns:a16="http://schemas.microsoft.com/office/drawing/2014/main" id="{00000000-0008-0000-2800-00000B88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673100</xdr:colOff>
          <xdr:row>0</xdr:row>
          <xdr:rowOff>0</xdr:rowOff>
        </xdr:to>
        <xdr:sp macro="" textlink="">
          <xdr:nvSpPr>
            <xdr:cNvPr id="363526" name="FPMExcelClientSheetOptionstb1" hidden="1">
              <a:extLst>
                <a:ext uri="{63B3BB69-23CF-44E3-9099-C40C66FF867C}">
                  <a14:compatExt spid="_x0000_s363526"/>
                </a:ext>
                <a:ext uri="{FF2B5EF4-FFF2-40B4-BE49-F238E27FC236}">
                  <a16:creationId xmlns:a16="http://schemas.microsoft.com/office/drawing/2014/main" id="{00000000-0008-0000-2900-0000068C05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36872" name="FPMExcelClientSheetOptionstb1" hidden="1">
              <a:extLst>
                <a:ext uri="{63B3BB69-23CF-44E3-9099-C40C66FF867C}">
                  <a14:compatExt spid="_x0000_s36872"/>
                </a:ext>
                <a:ext uri="{FF2B5EF4-FFF2-40B4-BE49-F238E27FC236}">
                  <a16:creationId xmlns:a16="http://schemas.microsoft.com/office/drawing/2014/main" id="{00000000-0008-0000-2A00-0000089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673100</xdr:colOff>
          <xdr:row>0</xdr:row>
          <xdr:rowOff>0</xdr:rowOff>
        </xdr:to>
        <xdr:sp macro="" textlink="">
          <xdr:nvSpPr>
            <xdr:cNvPr id="364550" name="FPMExcelClientSheetOptionstb1" hidden="1">
              <a:extLst>
                <a:ext uri="{63B3BB69-23CF-44E3-9099-C40C66FF867C}">
                  <a14:compatExt spid="_x0000_s364550"/>
                </a:ext>
                <a:ext uri="{FF2B5EF4-FFF2-40B4-BE49-F238E27FC236}">
                  <a16:creationId xmlns:a16="http://schemas.microsoft.com/office/drawing/2014/main" id="{00000000-0008-0000-2B00-0000069005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37896" name="FPMExcelClientSheetOptionstb1" hidden="1">
              <a:extLst>
                <a:ext uri="{63B3BB69-23CF-44E3-9099-C40C66FF867C}">
                  <a14:compatExt spid="_x0000_s37896"/>
                </a:ext>
                <a:ext uri="{FF2B5EF4-FFF2-40B4-BE49-F238E27FC236}">
                  <a16:creationId xmlns:a16="http://schemas.microsoft.com/office/drawing/2014/main" id="{00000000-0008-0000-2C00-00000894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673100</xdr:colOff>
          <xdr:row>0</xdr:row>
          <xdr:rowOff>0</xdr:rowOff>
        </xdr:to>
        <xdr:sp macro="" textlink="">
          <xdr:nvSpPr>
            <xdr:cNvPr id="365574" name="FPMExcelClientSheetOptionstb1" hidden="1">
              <a:extLst>
                <a:ext uri="{63B3BB69-23CF-44E3-9099-C40C66FF867C}">
                  <a14:compatExt spid="_x0000_s365574"/>
                </a:ext>
                <a:ext uri="{FF2B5EF4-FFF2-40B4-BE49-F238E27FC236}">
                  <a16:creationId xmlns:a16="http://schemas.microsoft.com/office/drawing/2014/main" id="{00000000-0008-0000-2D00-0000069405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38920" name="FPMExcelClientSheetOptionstb1" hidden="1">
              <a:extLst>
                <a:ext uri="{63B3BB69-23CF-44E3-9099-C40C66FF867C}">
                  <a14:compatExt spid="_x0000_s38920"/>
                </a:ext>
                <a:ext uri="{FF2B5EF4-FFF2-40B4-BE49-F238E27FC236}">
                  <a16:creationId xmlns:a16="http://schemas.microsoft.com/office/drawing/2014/main" id="{00000000-0008-0000-2E00-00000898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673100</xdr:colOff>
          <xdr:row>0</xdr:row>
          <xdr:rowOff>0</xdr:rowOff>
        </xdr:to>
        <xdr:sp macro="" textlink="">
          <xdr:nvSpPr>
            <xdr:cNvPr id="366598" name="FPMExcelClientSheetOptionstb1" hidden="1">
              <a:extLst>
                <a:ext uri="{63B3BB69-23CF-44E3-9099-C40C66FF867C}">
                  <a14:compatExt spid="_x0000_s366598"/>
                </a:ext>
                <a:ext uri="{FF2B5EF4-FFF2-40B4-BE49-F238E27FC236}">
                  <a16:creationId xmlns:a16="http://schemas.microsoft.com/office/drawing/2014/main" id="{00000000-0008-0000-2F00-0000069805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40967" name="FPMExcelClientSheetOptionstb1" hidden="1">
              <a:extLst>
                <a:ext uri="{63B3BB69-23CF-44E3-9099-C40C66FF867C}">
                  <a14:compatExt spid="_x0000_s40967"/>
                </a:ext>
                <a:ext uri="{FF2B5EF4-FFF2-40B4-BE49-F238E27FC236}">
                  <a16:creationId xmlns:a16="http://schemas.microsoft.com/office/drawing/2014/main" id="{00000000-0008-0000-3000-000007A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673100</xdr:colOff>
          <xdr:row>0</xdr:row>
          <xdr:rowOff>0</xdr:rowOff>
        </xdr:to>
        <xdr:sp macro="" textlink="">
          <xdr:nvSpPr>
            <xdr:cNvPr id="367621" name="FPMExcelClientSheetOptionstb1" hidden="1">
              <a:extLst>
                <a:ext uri="{63B3BB69-23CF-44E3-9099-C40C66FF867C}">
                  <a14:compatExt spid="_x0000_s367621"/>
                </a:ext>
                <a:ext uri="{FF2B5EF4-FFF2-40B4-BE49-F238E27FC236}">
                  <a16:creationId xmlns:a16="http://schemas.microsoft.com/office/drawing/2014/main" id="{00000000-0008-0000-3100-0000059C05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51206" name="FPMExcelClientSheetOptionstb1" hidden="1">
              <a:extLst>
                <a:ext uri="{63B3BB69-23CF-44E3-9099-C40C66FF867C}">
                  <a14:compatExt spid="_x0000_s51206"/>
                </a:ext>
                <a:ext uri="{FF2B5EF4-FFF2-40B4-BE49-F238E27FC236}">
                  <a16:creationId xmlns:a16="http://schemas.microsoft.com/office/drawing/2014/main" id="{00000000-0008-0000-3200-000006C8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673100</xdr:colOff>
          <xdr:row>0</xdr:row>
          <xdr:rowOff>0</xdr:rowOff>
        </xdr:to>
        <xdr:sp macro="" textlink="">
          <xdr:nvSpPr>
            <xdr:cNvPr id="368644" name="FPMExcelClientSheetOptionstb1" hidden="1">
              <a:extLst>
                <a:ext uri="{63B3BB69-23CF-44E3-9099-C40C66FF867C}">
                  <a14:compatExt spid="_x0000_s368644"/>
                </a:ext>
                <a:ext uri="{FF2B5EF4-FFF2-40B4-BE49-F238E27FC236}">
                  <a16:creationId xmlns:a16="http://schemas.microsoft.com/office/drawing/2014/main" id="{00000000-0008-0000-3300-000004A005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53256" name="FPMExcelClientSheetOptionstb1" hidden="1">
              <a:extLst>
                <a:ext uri="{63B3BB69-23CF-44E3-9099-C40C66FF867C}">
                  <a14:compatExt spid="_x0000_s53256"/>
                </a:ext>
                <a:ext uri="{FF2B5EF4-FFF2-40B4-BE49-F238E27FC236}">
                  <a16:creationId xmlns:a16="http://schemas.microsoft.com/office/drawing/2014/main" id="{00000000-0008-0000-3400-000008D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55304" name="FPMExcelClientSheetOptionstb1" hidden="1">
              <a:extLst>
                <a:ext uri="{63B3BB69-23CF-44E3-9099-C40C66FF867C}">
                  <a14:compatExt spid="_x0000_s55304"/>
                </a:ext>
                <a:ext uri="{FF2B5EF4-FFF2-40B4-BE49-F238E27FC236}">
                  <a16:creationId xmlns:a16="http://schemas.microsoft.com/office/drawing/2014/main" id="{00000000-0008-0000-3500-000008D8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673100</xdr:colOff>
          <xdr:row>0</xdr:row>
          <xdr:rowOff>0</xdr:rowOff>
        </xdr:to>
        <xdr:sp macro="" textlink="">
          <xdr:nvSpPr>
            <xdr:cNvPr id="371718" name="FPMExcelClientSheetOptionstb1" hidden="1">
              <a:extLst>
                <a:ext uri="{63B3BB69-23CF-44E3-9099-C40C66FF867C}">
                  <a14:compatExt spid="_x0000_s371718"/>
                </a:ext>
                <a:ext uri="{FF2B5EF4-FFF2-40B4-BE49-F238E27FC236}">
                  <a16:creationId xmlns:a16="http://schemas.microsoft.com/office/drawing/2014/main" id="{00000000-0008-0000-3700-000006AC05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673100</xdr:colOff>
          <xdr:row>0</xdr:row>
          <xdr:rowOff>0</xdr:rowOff>
        </xdr:to>
        <xdr:sp macro="" textlink="">
          <xdr:nvSpPr>
            <xdr:cNvPr id="370692" name="FPMExcelClientSheetOptionstb1" hidden="1">
              <a:extLst>
                <a:ext uri="{63B3BB69-23CF-44E3-9099-C40C66FF867C}">
                  <a14:compatExt spid="_x0000_s370692"/>
                </a:ext>
                <a:ext uri="{FF2B5EF4-FFF2-40B4-BE49-F238E27FC236}">
                  <a16:creationId xmlns:a16="http://schemas.microsoft.com/office/drawing/2014/main" id="{00000000-0008-0000-3800-000004A805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56326" name="FPMExcelClientSheetOptionstb1" hidden="1">
              <a:extLst>
                <a:ext uri="{63B3BB69-23CF-44E3-9099-C40C66FF867C}">
                  <a14:compatExt spid="_x0000_s56326"/>
                </a:ext>
                <a:ext uri="{FF2B5EF4-FFF2-40B4-BE49-F238E27FC236}">
                  <a16:creationId xmlns:a16="http://schemas.microsoft.com/office/drawing/2014/main" id="{00000000-0008-0000-3E00-000006DC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58374" name="FPMExcelClientSheetOptionstb1" hidden="1">
              <a:extLst>
                <a:ext uri="{63B3BB69-23CF-44E3-9099-C40C66FF867C}">
                  <a14:compatExt spid="_x0000_s58374"/>
                </a:ext>
                <a:ext uri="{FF2B5EF4-FFF2-40B4-BE49-F238E27FC236}">
                  <a16:creationId xmlns:a16="http://schemas.microsoft.com/office/drawing/2014/main" id="{00000000-0008-0000-4000-000006E4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60419" name="FPMExcelClientSheetOptionstb1" hidden="1">
              <a:extLst>
                <a:ext uri="{63B3BB69-23CF-44E3-9099-C40C66FF867C}">
                  <a14:compatExt spid="_x0000_s60419"/>
                </a:ext>
                <a:ext uri="{FF2B5EF4-FFF2-40B4-BE49-F238E27FC236}">
                  <a16:creationId xmlns:a16="http://schemas.microsoft.com/office/drawing/2014/main" id="{00000000-0008-0000-4100-000003EC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61443" name="FPMExcelClientSheetOptionstb1" hidden="1">
              <a:extLst>
                <a:ext uri="{63B3BB69-23CF-44E3-9099-C40C66FF867C}">
                  <a14:compatExt spid="_x0000_s61443"/>
                </a:ext>
                <a:ext uri="{FF2B5EF4-FFF2-40B4-BE49-F238E27FC236}">
                  <a16:creationId xmlns:a16="http://schemas.microsoft.com/office/drawing/2014/main" id="{00000000-0008-0000-4200-000003F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673100</xdr:colOff>
          <xdr:row>0</xdr:row>
          <xdr:rowOff>0</xdr:rowOff>
        </xdr:to>
        <xdr:sp macro="" textlink="">
          <xdr:nvSpPr>
            <xdr:cNvPr id="62467" name="FPMExcelClientSheetOptionstb1" hidden="1">
              <a:extLst>
                <a:ext uri="{63B3BB69-23CF-44E3-9099-C40C66FF867C}">
                  <a14:compatExt spid="_x0000_s62467"/>
                </a:ext>
                <a:ext uri="{FF2B5EF4-FFF2-40B4-BE49-F238E27FC236}">
                  <a16:creationId xmlns:a16="http://schemas.microsoft.com/office/drawing/2014/main" id="{00000000-0008-0000-4300-000003F4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64524" name="FPMExcelClientSheetOptionstb1" hidden="1">
              <a:extLst>
                <a:ext uri="{63B3BB69-23CF-44E3-9099-C40C66FF867C}">
                  <a14:compatExt spid="_x0000_s64524"/>
                </a:ext>
                <a:ext uri="{FF2B5EF4-FFF2-40B4-BE49-F238E27FC236}">
                  <a16:creationId xmlns:a16="http://schemas.microsoft.com/office/drawing/2014/main" id="{00000000-0008-0000-4400-00000CFC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673100</xdr:colOff>
          <xdr:row>0</xdr:row>
          <xdr:rowOff>0</xdr:rowOff>
        </xdr:to>
        <xdr:sp macro="" textlink="">
          <xdr:nvSpPr>
            <xdr:cNvPr id="377861" name="FPMExcelClientSheetOptionstb1" hidden="1">
              <a:extLst>
                <a:ext uri="{63B3BB69-23CF-44E3-9099-C40C66FF867C}">
                  <a14:compatExt spid="_x0000_s377861"/>
                </a:ext>
                <a:ext uri="{FF2B5EF4-FFF2-40B4-BE49-F238E27FC236}">
                  <a16:creationId xmlns:a16="http://schemas.microsoft.com/office/drawing/2014/main" id="{00000000-0008-0000-4500-000005C405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673100</xdr:colOff>
          <xdr:row>0</xdr:row>
          <xdr:rowOff>0</xdr:rowOff>
        </xdr:to>
        <xdr:sp macro="" textlink="">
          <xdr:nvSpPr>
            <xdr:cNvPr id="65543" name="FPMExcelClientSheetOptionstb1" hidden="1">
              <a:extLst>
                <a:ext uri="{63B3BB69-23CF-44E3-9099-C40C66FF867C}">
                  <a14:compatExt spid="_x0000_s65543"/>
                </a:ext>
                <a:ext uri="{FF2B5EF4-FFF2-40B4-BE49-F238E27FC236}">
                  <a16:creationId xmlns:a16="http://schemas.microsoft.com/office/drawing/2014/main" id="{00000000-0008-0000-4600-0000070001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673100</xdr:colOff>
          <xdr:row>0</xdr:row>
          <xdr:rowOff>0</xdr:rowOff>
        </xdr:to>
        <xdr:sp macro="" textlink="">
          <xdr:nvSpPr>
            <xdr:cNvPr id="378885" name="FPMExcelClientSheetOptionstb1" hidden="1">
              <a:extLst>
                <a:ext uri="{63B3BB69-23CF-44E3-9099-C40C66FF867C}">
                  <a14:compatExt spid="_x0000_s378885"/>
                </a:ext>
                <a:ext uri="{FF2B5EF4-FFF2-40B4-BE49-F238E27FC236}">
                  <a16:creationId xmlns:a16="http://schemas.microsoft.com/office/drawing/2014/main" id="{00000000-0008-0000-4700-000005C805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901700</xdr:colOff>
          <xdr:row>0</xdr:row>
          <xdr:rowOff>0</xdr:rowOff>
        </xdr:to>
        <xdr:sp macro="" textlink="">
          <xdr:nvSpPr>
            <xdr:cNvPr id="67587" name="FPMExcelClientSheetOptionstb1" hidden="1">
              <a:extLst>
                <a:ext uri="{63B3BB69-23CF-44E3-9099-C40C66FF867C}">
                  <a14:compatExt spid="_x0000_s67587"/>
                </a:ext>
                <a:ext uri="{FF2B5EF4-FFF2-40B4-BE49-F238E27FC236}">
                  <a16:creationId xmlns:a16="http://schemas.microsoft.com/office/drawing/2014/main" id="{00000000-0008-0000-4800-0000030801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673100</xdr:colOff>
          <xdr:row>0</xdr:row>
          <xdr:rowOff>0</xdr:rowOff>
        </xdr:to>
        <xdr:sp macro="" textlink="">
          <xdr:nvSpPr>
            <xdr:cNvPr id="379908" name="FPMExcelClientSheetOptionstb1" hidden="1">
              <a:extLst>
                <a:ext uri="{63B3BB69-23CF-44E3-9099-C40C66FF867C}">
                  <a14:compatExt spid="_x0000_s379908"/>
                </a:ext>
                <a:ext uri="{FF2B5EF4-FFF2-40B4-BE49-F238E27FC236}">
                  <a16:creationId xmlns:a16="http://schemas.microsoft.com/office/drawing/2014/main" id="{00000000-0008-0000-4900-000004CC05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customProperty" Target="../customProperty2.bin"/><Relationship Id="rId7" Type="http://schemas.openxmlformats.org/officeDocument/2006/relationships/ctrlProp" Target="../ctrlProps/ctrlProp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customProperty" Target="../customProperty3.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4.bin"/><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7" Type="http://schemas.openxmlformats.org/officeDocument/2006/relationships/comments" Target="../comments3.xml"/><Relationship Id="rId2" Type="http://schemas.openxmlformats.org/officeDocument/2006/relationships/customProperty" Target="../customProperty5.bin"/><Relationship Id="rId1" Type="http://schemas.openxmlformats.org/officeDocument/2006/relationships/printerSettings" Target="../printerSettings/printerSettings3.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customProperty" Target="../customProperty7.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9.bin"/><Relationship Id="rId7" Type="http://schemas.openxmlformats.org/officeDocument/2006/relationships/comments" Target="../comments4.xml"/><Relationship Id="rId2" Type="http://schemas.openxmlformats.org/officeDocument/2006/relationships/customProperty" Target="../customProperty8.bin"/><Relationship Id="rId1" Type="http://schemas.openxmlformats.org/officeDocument/2006/relationships/printerSettings" Target="../printerSettings/printerSettings4.bin"/><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customProperty" Target="../customProperty10.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11.bin"/><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3.bin"/><Relationship Id="rId7" Type="http://schemas.openxmlformats.org/officeDocument/2006/relationships/comments" Target="../comments6.xml"/><Relationship Id="rId2" Type="http://schemas.openxmlformats.org/officeDocument/2006/relationships/customProperty" Target="../customProperty12.bin"/><Relationship Id="rId1" Type="http://schemas.openxmlformats.org/officeDocument/2006/relationships/printerSettings" Target="../printerSettings/printerSettings6.bin"/><Relationship Id="rId6" Type="http://schemas.openxmlformats.org/officeDocument/2006/relationships/vmlDrawing" Target="../drawings/vmlDrawing6.vml"/><Relationship Id="rId5" Type="http://schemas.openxmlformats.org/officeDocument/2006/relationships/drawing" Target="../drawings/drawing6.xml"/><Relationship Id="rId4" Type="http://schemas.openxmlformats.org/officeDocument/2006/relationships/customProperty" Target="../customProperty14.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customProperty" Target="../customProperty15.bin"/><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7.bin"/><Relationship Id="rId7" Type="http://schemas.openxmlformats.org/officeDocument/2006/relationships/comments" Target="../comments8.xml"/><Relationship Id="rId2" Type="http://schemas.openxmlformats.org/officeDocument/2006/relationships/customProperty" Target="../customProperty16.bin"/><Relationship Id="rId1" Type="http://schemas.openxmlformats.org/officeDocument/2006/relationships/printerSettings" Target="../printerSettings/printerSettings8.bin"/><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customProperty" Target="../customProperty18.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customProperty" Target="../customProperty19.bin"/><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1.bin"/><Relationship Id="rId7" Type="http://schemas.openxmlformats.org/officeDocument/2006/relationships/comments" Target="../comments10.xml"/><Relationship Id="rId2" Type="http://schemas.openxmlformats.org/officeDocument/2006/relationships/customProperty" Target="../customProperty20.bin"/><Relationship Id="rId1" Type="http://schemas.openxmlformats.org/officeDocument/2006/relationships/printerSettings" Target="../printerSettings/printerSettings10.bin"/><Relationship Id="rId6" Type="http://schemas.openxmlformats.org/officeDocument/2006/relationships/vmlDrawing" Target="../drawings/vmlDrawing10.vml"/><Relationship Id="rId5" Type="http://schemas.openxmlformats.org/officeDocument/2006/relationships/drawing" Target="../drawings/drawing10.xml"/><Relationship Id="rId4" Type="http://schemas.openxmlformats.org/officeDocument/2006/relationships/customProperty" Target="../customProperty22.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7" Type="http://schemas.openxmlformats.org/officeDocument/2006/relationships/comments" Target="../comments11.xml"/><Relationship Id="rId2" Type="http://schemas.openxmlformats.org/officeDocument/2006/relationships/customProperty" Target="../customProperty23.bin"/><Relationship Id="rId1" Type="http://schemas.openxmlformats.org/officeDocument/2006/relationships/printerSettings" Target="../printerSettings/printerSettings11.bin"/><Relationship Id="rId6" Type="http://schemas.openxmlformats.org/officeDocument/2006/relationships/vmlDrawing" Target="../drawings/vmlDrawing11.vml"/><Relationship Id="rId5" Type="http://schemas.openxmlformats.org/officeDocument/2006/relationships/drawing" Target="../drawings/drawing11.xml"/><Relationship Id="rId4" Type="http://schemas.openxmlformats.org/officeDocument/2006/relationships/customProperty" Target="../customProperty25.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7.bin"/><Relationship Id="rId7" Type="http://schemas.openxmlformats.org/officeDocument/2006/relationships/comments" Target="../comments12.xml"/><Relationship Id="rId2" Type="http://schemas.openxmlformats.org/officeDocument/2006/relationships/customProperty" Target="../customProperty26.bin"/><Relationship Id="rId1" Type="http://schemas.openxmlformats.org/officeDocument/2006/relationships/printerSettings" Target="../printerSettings/printerSettings12.bin"/><Relationship Id="rId6" Type="http://schemas.openxmlformats.org/officeDocument/2006/relationships/vmlDrawing" Target="../drawings/vmlDrawing12.vml"/><Relationship Id="rId5" Type="http://schemas.openxmlformats.org/officeDocument/2006/relationships/drawing" Target="../drawings/drawing12.xml"/><Relationship Id="rId4" Type="http://schemas.openxmlformats.org/officeDocument/2006/relationships/customProperty" Target="../customProperty28.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3.bin"/><Relationship Id="rId6" Type="http://schemas.openxmlformats.org/officeDocument/2006/relationships/comments" Target="../comments13.xml"/><Relationship Id="rId5" Type="http://schemas.openxmlformats.org/officeDocument/2006/relationships/vmlDrawing" Target="../drawings/vmlDrawing13.vml"/><Relationship Id="rId4" Type="http://schemas.openxmlformats.org/officeDocument/2006/relationships/customProperty" Target="../customProperty31.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4.bin"/><Relationship Id="rId6" Type="http://schemas.openxmlformats.org/officeDocument/2006/relationships/comments" Target="../comments14.xml"/><Relationship Id="rId5" Type="http://schemas.openxmlformats.org/officeDocument/2006/relationships/vmlDrawing" Target="../drawings/vmlDrawing14.vml"/><Relationship Id="rId4" Type="http://schemas.openxmlformats.org/officeDocument/2006/relationships/customProperty" Target="../customProperty34.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5.bin"/><Relationship Id="rId6" Type="http://schemas.openxmlformats.org/officeDocument/2006/relationships/comments" Target="../comments15.xml"/><Relationship Id="rId5" Type="http://schemas.openxmlformats.org/officeDocument/2006/relationships/vmlDrawing" Target="../drawings/vmlDrawing15.vml"/><Relationship Id="rId4" Type="http://schemas.openxmlformats.org/officeDocument/2006/relationships/customProperty" Target="../customProperty37.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9.bin"/><Relationship Id="rId2" Type="http://schemas.openxmlformats.org/officeDocument/2006/relationships/customProperty" Target="../customProperty38.bin"/><Relationship Id="rId1" Type="http://schemas.openxmlformats.org/officeDocument/2006/relationships/printerSettings" Target="../printerSettings/printerSettings16.bin"/><Relationship Id="rId6" Type="http://schemas.openxmlformats.org/officeDocument/2006/relationships/comments" Target="../comments16.xml"/><Relationship Id="rId5" Type="http://schemas.openxmlformats.org/officeDocument/2006/relationships/vmlDrawing" Target="../drawings/vmlDrawing16.vml"/><Relationship Id="rId4" Type="http://schemas.openxmlformats.org/officeDocument/2006/relationships/customProperty" Target="../customProperty40.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42.bin"/><Relationship Id="rId2" Type="http://schemas.openxmlformats.org/officeDocument/2006/relationships/customProperty" Target="../customProperty41.bin"/><Relationship Id="rId1" Type="http://schemas.openxmlformats.org/officeDocument/2006/relationships/printerSettings" Target="../printerSettings/printerSettings17.bin"/><Relationship Id="rId6" Type="http://schemas.openxmlformats.org/officeDocument/2006/relationships/comments" Target="../comments17.xml"/><Relationship Id="rId5" Type="http://schemas.openxmlformats.org/officeDocument/2006/relationships/vmlDrawing" Target="../drawings/vmlDrawing17.vml"/><Relationship Id="rId4" Type="http://schemas.openxmlformats.org/officeDocument/2006/relationships/customProperty" Target="../customProperty43.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8.bin"/><Relationship Id="rId6" Type="http://schemas.openxmlformats.org/officeDocument/2006/relationships/comments" Target="../comments18.xml"/><Relationship Id="rId5" Type="http://schemas.openxmlformats.org/officeDocument/2006/relationships/vmlDrawing" Target="../drawings/vmlDrawing18.vml"/><Relationship Id="rId4" Type="http://schemas.openxmlformats.org/officeDocument/2006/relationships/customProperty" Target="../customProperty46.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8.bin"/><Relationship Id="rId2" Type="http://schemas.openxmlformats.org/officeDocument/2006/relationships/customProperty" Target="../customProperty47.bin"/><Relationship Id="rId1" Type="http://schemas.openxmlformats.org/officeDocument/2006/relationships/printerSettings" Target="../printerSettings/printerSettings19.bin"/><Relationship Id="rId6" Type="http://schemas.openxmlformats.org/officeDocument/2006/relationships/comments" Target="../comments19.xml"/><Relationship Id="rId5" Type="http://schemas.openxmlformats.org/officeDocument/2006/relationships/vmlDrawing" Target="../drawings/vmlDrawing19.vml"/><Relationship Id="rId4" Type="http://schemas.openxmlformats.org/officeDocument/2006/relationships/customProperty" Target="../customProperty49.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51.bin"/><Relationship Id="rId7" Type="http://schemas.openxmlformats.org/officeDocument/2006/relationships/comments" Target="../comments20.xml"/><Relationship Id="rId2" Type="http://schemas.openxmlformats.org/officeDocument/2006/relationships/customProperty" Target="../customProperty50.bin"/><Relationship Id="rId1" Type="http://schemas.openxmlformats.org/officeDocument/2006/relationships/printerSettings" Target="../printerSettings/printerSettings20.bin"/><Relationship Id="rId6" Type="http://schemas.openxmlformats.org/officeDocument/2006/relationships/vmlDrawing" Target="../drawings/vmlDrawing20.vml"/><Relationship Id="rId5" Type="http://schemas.openxmlformats.org/officeDocument/2006/relationships/drawing" Target="../drawings/drawing13.xml"/><Relationship Id="rId4" Type="http://schemas.openxmlformats.org/officeDocument/2006/relationships/customProperty" Target="../customProperty52.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54.bin"/><Relationship Id="rId2" Type="http://schemas.openxmlformats.org/officeDocument/2006/relationships/customProperty" Target="../customProperty53.bin"/><Relationship Id="rId1" Type="http://schemas.openxmlformats.org/officeDocument/2006/relationships/printerSettings" Target="../printerSettings/printerSettings21.bin"/><Relationship Id="rId6" Type="http://schemas.openxmlformats.org/officeDocument/2006/relationships/comments" Target="../comments21.xml"/><Relationship Id="rId5" Type="http://schemas.openxmlformats.org/officeDocument/2006/relationships/vmlDrawing" Target="../drawings/vmlDrawing21.vml"/><Relationship Id="rId4" Type="http://schemas.openxmlformats.org/officeDocument/2006/relationships/customProperty" Target="../customProperty55.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57.bin"/><Relationship Id="rId7" Type="http://schemas.openxmlformats.org/officeDocument/2006/relationships/comments" Target="../comments22.xml"/><Relationship Id="rId2" Type="http://schemas.openxmlformats.org/officeDocument/2006/relationships/customProperty" Target="../customProperty56.bin"/><Relationship Id="rId1" Type="http://schemas.openxmlformats.org/officeDocument/2006/relationships/printerSettings" Target="../printerSettings/printerSettings22.bin"/><Relationship Id="rId6" Type="http://schemas.openxmlformats.org/officeDocument/2006/relationships/vmlDrawing" Target="../drawings/vmlDrawing22.vml"/><Relationship Id="rId5" Type="http://schemas.openxmlformats.org/officeDocument/2006/relationships/drawing" Target="../drawings/drawing14.xml"/><Relationship Id="rId4" Type="http://schemas.openxmlformats.org/officeDocument/2006/relationships/customProperty" Target="../customProperty5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60.bin"/><Relationship Id="rId2" Type="http://schemas.openxmlformats.org/officeDocument/2006/relationships/customProperty" Target="../customProperty59.bin"/><Relationship Id="rId1" Type="http://schemas.openxmlformats.org/officeDocument/2006/relationships/printerSettings" Target="../printerSettings/printerSettings23.bin"/><Relationship Id="rId6" Type="http://schemas.openxmlformats.org/officeDocument/2006/relationships/comments" Target="../comments23.xml"/><Relationship Id="rId5" Type="http://schemas.openxmlformats.org/officeDocument/2006/relationships/vmlDrawing" Target="../drawings/vmlDrawing23.vml"/><Relationship Id="rId4" Type="http://schemas.openxmlformats.org/officeDocument/2006/relationships/customProperty" Target="../customProperty6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63.bin"/><Relationship Id="rId2" Type="http://schemas.openxmlformats.org/officeDocument/2006/relationships/customProperty" Target="../customProperty62.bin"/><Relationship Id="rId1" Type="http://schemas.openxmlformats.org/officeDocument/2006/relationships/printerSettings" Target="../printerSettings/printerSettings24.bin"/><Relationship Id="rId6" Type="http://schemas.openxmlformats.org/officeDocument/2006/relationships/comments" Target="../comments24.xml"/><Relationship Id="rId5" Type="http://schemas.openxmlformats.org/officeDocument/2006/relationships/vmlDrawing" Target="../drawings/vmlDrawing24.vml"/><Relationship Id="rId4" Type="http://schemas.openxmlformats.org/officeDocument/2006/relationships/customProperty" Target="../customProperty64.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66.bin"/><Relationship Id="rId2" Type="http://schemas.openxmlformats.org/officeDocument/2006/relationships/customProperty" Target="../customProperty65.bin"/><Relationship Id="rId1" Type="http://schemas.openxmlformats.org/officeDocument/2006/relationships/printerSettings" Target="../printerSettings/printerSettings25.bin"/><Relationship Id="rId6" Type="http://schemas.openxmlformats.org/officeDocument/2006/relationships/comments" Target="../comments25.xml"/><Relationship Id="rId5" Type="http://schemas.openxmlformats.org/officeDocument/2006/relationships/vmlDrawing" Target="../drawings/vmlDrawing25.vml"/><Relationship Id="rId4" Type="http://schemas.openxmlformats.org/officeDocument/2006/relationships/customProperty" Target="../customProperty67.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69.bin"/><Relationship Id="rId7" Type="http://schemas.openxmlformats.org/officeDocument/2006/relationships/comments" Target="../comments26.xml"/><Relationship Id="rId2" Type="http://schemas.openxmlformats.org/officeDocument/2006/relationships/customProperty" Target="../customProperty68.bin"/><Relationship Id="rId1" Type="http://schemas.openxmlformats.org/officeDocument/2006/relationships/printerSettings" Target="../printerSettings/printerSettings26.bin"/><Relationship Id="rId6" Type="http://schemas.openxmlformats.org/officeDocument/2006/relationships/vmlDrawing" Target="../drawings/vmlDrawing26.vml"/><Relationship Id="rId5" Type="http://schemas.openxmlformats.org/officeDocument/2006/relationships/drawing" Target="../drawings/drawing15.xml"/><Relationship Id="rId4" Type="http://schemas.openxmlformats.org/officeDocument/2006/relationships/customProperty" Target="../customProperty7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72.bin"/><Relationship Id="rId7" Type="http://schemas.openxmlformats.org/officeDocument/2006/relationships/comments" Target="../comments27.xml"/><Relationship Id="rId2" Type="http://schemas.openxmlformats.org/officeDocument/2006/relationships/customProperty" Target="../customProperty71.bin"/><Relationship Id="rId1" Type="http://schemas.openxmlformats.org/officeDocument/2006/relationships/printerSettings" Target="../printerSettings/printerSettings27.bin"/><Relationship Id="rId6" Type="http://schemas.openxmlformats.org/officeDocument/2006/relationships/vmlDrawing" Target="../drawings/vmlDrawing27.vml"/><Relationship Id="rId5" Type="http://schemas.openxmlformats.org/officeDocument/2006/relationships/drawing" Target="../drawings/drawing16.xml"/><Relationship Id="rId4" Type="http://schemas.openxmlformats.org/officeDocument/2006/relationships/customProperty" Target="../customProperty7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75.bin"/><Relationship Id="rId7" Type="http://schemas.openxmlformats.org/officeDocument/2006/relationships/comments" Target="../comments28.xml"/><Relationship Id="rId2" Type="http://schemas.openxmlformats.org/officeDocument/2006/relationships/customProperty" Target="../customProperty74.bin"/><Relationship Id="rId1" Type="http://schemas.openxmlformats.org/officeDocument/2006/relationships/printerSettings" Target="../printerSettings/printerSettings28.bin"/><Relationship Id="rId6" Type="http://schemas.openxmlformats.org/officeDocument/2006/relationships/vmlDrawing" Target="../drawings/vmlDrawing28.vml"/><Relationship Id="rId5" Type="http://schemas.openxmlformats.org/officeDocument/2006/relationships/drawing" Target="../drawings/drawing17.xml"/><Relationship Id="rId4" Type="http://schemas.openxmlformats.org/officeDocument/2006/relationships/customProperty" Target="../customProperty76.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78.bin"/><Relationship Id="rId7" Type="http://schemas.openxmlformats.org/officeDocument/2006/relationships/comments" Target="../comments29.xml"/><Relationship Id="rId2" Type="http://schemas.openxmlformats.org/officeDocument/2006/relationships/customProperty" Target="../customProperty77.bin"/><Relationship Id="rId1" Type="http://schemas.openxmlformats.org/officeDocument/2006/relationships/printerSettings" Target="../printerSettings/printerSettings29.bin"/><Relationship Id="rId6" Type="http://schemas.openxmlformats.org/officeDocument/2006/relationships/vmlDrawing" Target="../drawings/vmlDrawing29.vml"/><Relationship Id="rId5" Type="http://schemas.openxmlformats.org/officeDocument/2006/relationships/drawing" Target="../drawings/drawing18.xml"/><Relationship Id="rId4" Type="http://schemas.openxmlformats.org/officeDocument/2006/relationships/customProperty" Target="../customProperty79.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81.bin"/><Relationship Id="rId7" Type="http://schemas.openxmlformats.org/officeDocument/2006/relationships/comments" Target="../comments30.xml"/><Relationship Id="rId2" Type="http://schemas.openxmlformats.org/officeDocument/2006/relationships/customProperty" Target="../customProperty80.bin"/><Relationship Id="rId1" Type="http://schemas.openxmlformats.org/officeDocument/2006/relationships/printerSettings" Target="../printerSettings/printerSettings30.bin"/><Relationship Id="rId6" Type="http://schemas.openxmlformats.org/officeDocument/2006/relationships/vmlDrawing" Target="../drawings/vmlDrawing30.vml"/><Relationship Id="rId5" Type="http://schemas.openxmlformats.org/officeDocument/2006/relationships/drawing" Target="../drawings/drawing19.xml"/><Relationship Id="rId4" Type="http://schemas.openxmlformats.org/officeDocument/2006/relationships/customProperty" Target="../customProperty82.bin"/></Relationships>
</file>

<file path=xl/worksheets/_rels/sheet32.xml.rels><?xml version="1.0" encoding="UTF-8" standalone="yes"?>
<Relationships xmlns="http://schemas.openxmlformats.org/package/2006/relationships"><Relationship Id="rId3" Type="http://schemas.openxmlformats.org/officeDocument/2006/relationships/customProperty" Target="../customProperty84.bin"/><Relationship Id="rId7" Type="http://schemas.openxmlformats.org/officeDocument/2006/relationships/comments" Target="../comments31.xml"/><Relationship Id="rId2" Type="http://schemas.openxmlformats.org/officeDocument/2006/relationships/customProperty" Target="../customProperty83.bin"/><Relationship Id="rId1" Type="http://schemas.openxmlformats.org/officeDocument/2006/relationships/printerSettings" Target="../printerSettings/printerSettings31.bin"/><Relationship Id="rId6" Type="http://schemas.openxmlformats.org/officeDocument/2006/relationships/vmlDrawing" Target="../drawings/vmlDrawing31.vml"/><Relationship Id="rId5" Type="http://schemas.openxmlformats.org/officeDocument/2006/relationships/drawing" Target="../drawings/drawing20.xml"/><Relationship Id="rId4" Type="http://schemas.openxmlformats.org/officeDocument/2006/relationships/customProperty" Target="../customProperty85.bin"/></Relationships>
</file>

<file path=xl/worksheets/_rels/sheet33.xml.rels><?xml version="1.0" encoding="UTF-8" standalone="yes"?>
<Relationships xmlns="http://schemas.openxmlformats.org/package/2006/relationships"><Relationship Id="rId3" Type="http://schemas.openxmlformats.org/officeDocument/2006/relationships/customProperty" Target="../customProperty87.bin"/><Relationship Id="rId7" Type="http://schemas.openxmlformats.org/officeDocument/2006/relationships/comments" Target="../comments32.xml"/><Relationship Id="rId2" Type="http://schemas.openxmlformats.org/officeDocument/2006/relationships/customProperty" Target="../customProperty86.bin"/><Relationship Id="rId1" Type="http://schemas.openxmlformats.org/officeDocument/2006/relationships/printerSettings" Target="../printerSettings/printerSettings32.bin"/><Relationship Id="rId6" Type="http://schemas.openxmlformats.org/officeDocument/2006/relationships/vmlDrawing" Target="../drawings/vmlDrawing32.vml"/><Relationship Id="rId5" Type="http://schemas.openxmlformats.org/officeDocument/2006/relationships/drawing" Target="../drawings/drawing21.xml"/><Relationship Id="rId4" Type="http://schemas.openxmlformats.org/officeDocument/2006/relationships/customProperty" Target="../customProperty88.bin"/></Relationships>
</file>

<file path=xl/worksheets/_rels/sheet34.xml.rels><?xml version="1.0" encoding="UTF-8" standalone="yes"?>
<Relationships xmlns="http://schemas.openxmlformats.org/package/2006/relationships"><Relationship Id="rId3" Type="http://schemas.openxmlformats.org/officeDocument/2006/relationships/customProperty" Target="../customProperty90.bin"/><Relationship Id="rId7" Type="http://schemas.openxmlformats.org/officeDocument/2006/relationships/comments" Target="../comments33.xml"/><Relationship Id="rId2" Type="http://schemas.openxmlformats.org/officeDocument/2006/relationships/customProperty" Target="../customProperty89.bin"/><Relationship Id="rId1" Type="http://schemas.openxmlformats.org/officeDocument/2006/relationships/printerSettings" Target="../printerSettings/printerSettings33.bin"/><Relationship Id="rId6" Type="http://schemas.openxmlformats.org/officeDocument/2006/relationships/vmlDrawing" Target="../drawings/vmlDrawing33.vml"/><Relationship Id="rId5" Type="http://schemas.openxmlformats.org/officeDocument/2006/relationships/drawing" Target="../drawings/drawing22.xml"/><Relationship Id="rId4" Type="http://schemas.openxmlformats.org/officeDocument/2006/relationships/customProperty" Target="../customProperty91.bin"/></Relationships>
</file>

<file path=xl/worksheets/_rels/sheet35.xml.rels><?xml version="1.0" encoding="UTF-8" standalone="yes"?>
<Relationships xmlns="http://schemas.openxmlformats.org/package/2006/relationships"><Relationship Id="rId3" Type="http://schemas.openxmlformats.org/officeDocument/2006/relationships/customProperty" Target="../customProperty93.bin"/><Relationship Id="rId7" Type="http://schemas.openxmlformats.org/officeDocument/2006/relationships/comments" Target="../comments34.xml"/><Relationship Id="rId2" Type="http://schemas.openxmlformats.org/officeDocument/2006/relationships/customProperty" Target="../customProperty92.bin"/><Relationship Id="rId1" Type="http://schemas.openxmlformats.org/officeDocument/2006/relationships/printerSettings" Target="../printerSettings/printerSettings34.bin"/><Relationship Id="rId6" Type="http://schemas.openxmlformats.org/officeDocument/2006/relationships/vmlDrawing" Target="../drawings/vmlDrawing34.vml"/><Relationship Id="rId5" Type="http://schemas.openxmlformats.org/officeDocument/2006/relationships/drawing" Target="../drawings/drawing23.xml"/><Relationship Id="rId4" Type="http://schemas.openxmlformats.org/officeDocument/2006/relationships/customProperty" Target="../customProperty94.bin"/></Relationships>
</file>

<file path=xl/worksheets/_rels/sheet36.xml.rels><?xml version="1.0" encoding="UTF-8" standalone="yes"?>
<Relationships xmlns="http://schemas.openxmlformats.org/package/2006/relationships"><Relationship Id="rId3" Type="http://schemas.openxmlformats.org/officeDocument/2006/relationships/customProperty" Target="../customProperty96.bin"/><Relationship Id="rId7" Type="http://schemas.openxmlformats.org/officeDocument/2006/relationships/comments" Target="../comments35.xml"/><Relationship Id="rId2" Type="http://schemas.openxmlformats.org/officeDocument/2006/relationships/customProperty" Target="../customProperty95.bin"/><Relationship Id="rId1" Type="http://schemas.openxmlformats.org/officeDocument/2006/relationships/printerSettings" Target="../printerSettings/printerSettings35.bin"/><Relationship Id="rId6" Type="http://schemas.openxmlformats.org/officeDocument/2006/relationships/vmlDrawing" Target="../drawings/vmlDrawing35.vml"/><Relationship Id="rId5" Type="http://schemas.openxmlformats.org/officeDocument/2006/relationships/drawing" Target="../drawings/drawing24.xml"/><Relationship Id="rId4" Type="http://schemas.openxmlformats.org/officeDocument/2006/relationships/customProperty" Target="../customProperty97.bin"/></Relationships>
</file>

<file path=xl/worksheets/_rels/sheet37.xml.rels><?xml version="1.0" encoding="UTF-8" standalone="yes"?>
<Relationships xmlns="http://schemas.openxmlformats.org/package/2006/relationships"><Relationship Id="rId2" Type="http://schemas.openxmlformats.org/officeDocument/2006/relationships/comments" Target="../comments36.xml"/><Relationship Id="rId1" Type="http://schemas.openxmlformats.org/officeDocument/2006/relationships/vmlDrawing" Target="../drawings/vmlDrawing36.vml"/></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customProperty" Target="../customProperty98.bin"/><Relationship Id="rId1" Type="http://schemas.openxmlformats.org/officeDocument/2006/relationships/printerSettings" Target="../printerSettings/printerSettings36.bin"/><Relationship Id="rId5" Type="http://schemas.openxmlformats.org/officeDocument/2006/relationships/comments" Target="../comments37.xml"/><Relationship Id="rId4" Type="http://schemas.openxmlformats.org/officeDocument/2006/relationships/vmlDrawing" Target="../drawings/vmlDrawing37.vml"/></Relationships>
</file>

<file path=xl/worksheets/_rels/sheet39.xml.rels><?xml version="1.0" encoding="UTF-8" standalone="yes"?>
<Relationships xmlns="http://schemas.openxmlformats.org/package/2006/relationships"><Relationship Id="rId3" Type="http://schemas.openxmlformats.org/officeDocument/2006/relationships/customProperty" Target="../customProperty100.bin"/><Relationship Id="rId2" Type="http://schemas.openxmlformats.org/officeDocument/2006/relationships/customProperty" Target="../customProperty99.bin"/><Relationship Id="rId1" Type="http://schemas.openxmlformats.org/officeDocument/2006/relationships/printerSettings" Target="../printerSettings/printerSettings37.bin"/><Relationship Id="rId6" Type="http://schemas.openxmlformats.org/officeDocument/2006/relationships/comments" Target="../comments38.xml"/><Relationship Id="rId5" Type="http://schemas.openxmlformats.org/officeDocument/2006/relationships/vmlDrawing" Target="../drawings/vmlDrawing38.vml"/><Relationship Id="rId4" Type="http://schemas.openxmlformats.org/officeDocument/2006/relationships/customProperty" Target="../customProperty101.bin"/></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customProperty" Target="../customProperty102.bin"/><Relationship Id="rId1" Type="http://schemas.openxmlformats.org/officeDocument/2006/relationships/printerSettings" Target="../printerSettings/printerSettings38.bin"/><Relationship Id="rId5" Type="http://schemas.openxmlformats.org/officeDocument/2006/relationships/comments" Target="../comments39.xml"/><Relationship Id="rId4" Type="http://schemas.openxmlformats.org/officeDocument/2006/relationships/vmlDrawing" Target="../drawings/vmlDrawing39.vml"/></Relationships>
</file>

<file path=xl/worksheets/_rels/sheet41.xml.rels><?xml version="1.0" encoding="UTF-8" standalone="yes"?>
<Relationships xmlns="http://schemas.openxmlformats.org/package/2006/relationships"><Relationship Id="rId3" Type="http://schemas.openxmlformats.org/officeDocument/2006/relationships/customProperty" Target="../customProperty104.bin"/><Relationship Id="rId7" Type="http://schemas.openxmlformats.org/officeDocument/2006/relationships/comments" Target="../comments40.xml"/><Relationship Id="rId2" Type="http://schemas.openxmlformats.org/officeDocument/2006/relationships/customProperty" Target="../customProperty103.bin"/><Relationship Id="rId1" Type="http://schemas.openxmlformats.org/officeDocument/2006/relationships/printerSettings" Target="../printerSettings/printerSettings39.bin"/><Relationship Id="rId6" Type="http://schemas.openxmlformats.org/officeDocument/2006/relationships/vmlDrawing" Target="../drawings/vmlDrawing40.vml"/><Relationship Id="rId5" Type="http://schemas.openxmlformats.org/officeDocument/2006/relationships/drawing" Target="../drawings/drawing27.xml"/><Relationship Id="rId4" Type="http://schemas.openxmlformats.org/officeDocument/2006/relationships/customProperty" Target="../customProperty105.bin"/></Relationships>
</file>

<file path=xl/worksheets/_rels/sheet4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customProperty" Target="../customProperty106.bin"/><Relationship Id="rId1" Type="http://schemas.openxmlformats.org/officeDocument/2006/relationships/printerSettings" Target="../printerSettings/printerSettings40.bin"/><Relationship Id="rId5" Type="http://schemas.openxmlformats.org/officeDocument/2006/relationships/comments" Target="../comments41.xml"/><Relationship Id="rId4" Type="http://schemas.openxmlformats.org/officeDocument/2006/relationships/vmlDrawing" Target="../drawings/vmlDrawing41.vml"/></Relationships>
</file>

<file path=xl/worksheets/_rels/sheet43.xml.rels><?xml version="1.0" encoding="UTF-8" standalone="yes"?>
<Relationships xmlns="http://schemas.openxmlformats.org/package/2006/relationships"><Relationship Id="rId3" Type="http://schemas.openxmlformats.org/officeDocument/2006/relationships/customProperty" Target="../customProperty108.bin"/><Relationship Id="rId7" Type="http://schemas.openxmlformats.org/officeDocument/2006/relationships/comments" Target="../comments42.xml"/><Relationship Id="rId2" Type="http://schemas.openxmlformats.org/officeDocument/2006/relationships/customProperty" Target="../customProperty107.bin"/><Relationship Id="rId1" Type="http://schemas.openxmlformats.org/officeDocument/2006/relationships/printerSettings" Target="../printerSettings/printerSettings41.bin"/><Relationship Id="rId6" Type="http://schemas.openxmlformats.org/officeDocument/2006/relationships/vmlDrawing" Target="../drawings/vmlDrawing42.vml"/><Relationship Id="rId5" Type="http://schemas.openxmlformats.org/officeDocument/2006/relationships/drawing" Target="../drawings/drawing29.xml"/><Relationship Id="rId4" Type="http://schemas.openxmlformats.org/officeDocument/2006/relationships/customProperty" Target="../customProperty109.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customProperty" Target="../customProperty110.bin"/><Relationship Id="rId1" Type="http://schemas.openxmlformats.org/officeDocument/2006/relationships/printerSettings" Target="../printerSettings/printerSettings42.bin"/><Relationship Id="rId5" Type="http://schemas.openxmlformats.org/officeDocument/2006/relationships/comments" Target="../comments43.xml"/><Relationship Id="rId4" Type="http://schemas.openxmlformats.org/officeDocument/2006/relationships/vmlDrawing" Target="../drawings/vmlDrawing43.vml"/></Relationships>
</file>

<file path=xl/worksheets/_rels/sheet45.xml.rels><?xml version="1.0" encoding="UTF-8" standalone="yes"?>
<Relationships xmlns="http://schemas.openxmlformats.org/package/2006/relationships"><Relationship Id="rId3" Type="http://schemas.openxmlformats.org/officeDocument/2006/relationships/customProperty" Target="../customProperty112.bin"/><Relationship Id="rId7" Type="http://schemas.openxmlformats.org/officeDocument/2006/relationships/comments" Target="../comments44.xml"/><Relationship Id="rId2" Type="http://schemas.openxmlformats.org/officeDocument/2006/relationships/customProperty" Target="../customProperty111.bin"/><Relationship Id="rId1" Type="http://schemas.openxmlformats.org/officeDocument/2006/relationships/printerSettings" Target="../printerSettings/printerSettings43.bin"/><Relationship Id="rId6" Type="http://schemas.openxmlformats.org/officeDocument/2006/relationships/vmlDrawing" Target="../drawings/vmlDrawing44.vml"/><Relationship Id="rId5" Type="http://schemas.openxmlformats.org/officeDocument/2006/relationships/drawing" Target="../drawings/drawing31.xml"/><Relationship Id="rId4" Type="http://schemas.openxmlformats.org/officeDocument/2006/relationships/customProperty" Target="../customProperty113.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customProperty" Target="../customProperty114.bin"/><Relationship Id="rId1" Type="http://schemas.openxmlformats.org/officeDocument/2006/relationships/printerSettings" Target="../printerSettings/printerSettings44.bin"/><Relationship Id="rId5" Type="http://schemas.openxmlformats.org/officeDocument/2006/relationships/comments" Target="../comments45.xml"/><Relationship Id="rId4" Type="http://schemas.openxmlformats.org/officeDocument/2006/relationships/vmlDrawing" Target="../drawings/vmlDrawing45.vml"/></Relationships>
</file>

<file path=xl/worksheets/_rels/sheet47.xml.rels><?xml version="1.0" encoding="UTF-8" standalone="yes"?>
<Relationships xmlns="http://schemas.openxmlformats.org/package/2006/relationships"><Relationship Id="rId3" Type="http://schemas.openxmlformats.org/officeDocument/2006/relationships/customProperty" Target="../customProperty116.bin"/><Relationship Id="rId7" Type="http://schemas.openxmlformats.org/officeDocument/2006/relationships/comments" Target="../comments46.xml"/><Relationship Id="rId2" Type="http://schemas.openxmlformats.org/officeDocument/2006/relationships/customProperty" Target="../customProperty115.bin"/><Relationship Id="rId1" Type="http://schemas.openxmlformats.org/officeDocument/2006/relationships/printerSettings" Target="../printerSettings/printerSettings45.bin"/><Relationship Id="rId6" Type="http://schemas.openxmlformats.org/officeDocument/2006/relationships/vmlDrawing" Target="../drawings/vmlDrawing46.vml"/><Relationship Id="rId5" Type="http://schemas.openxmlformats.org/officeDocument/2006/relationships/drawing" Target="../drawings/drawing33.xml"/><Relationship Id="rId4" Type="http://schemas.openxmlformats.org/officeDocument/2006/relationships/customProperty" Target="../customProperty11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customProperty" Target="../customProperty118.bin"/><Relationship Id="rId1" Type="http://schemas.openxmlformats.org/officeDocument/2006/relationships/printerSettings" Target="../printerSettings/printerSettings46.bin"/><Relationship Id="rId5" Type="http://schemas.openxmlformats.org/officeDocument/2006/relationships/comments" Target="../comments47.xml"/><Relationship Id="rId4" Type="http://schemas.openxmlformats.org/officeDocument/2006/relationships/vmlDrawing" Target="../drawings/vmlDrawing47.vml"/></Relationships>
</file>

<file path=xl/worksheets/_rels/sheet49.xml.rels><?xml version="1.0" encoding="UTF-8" standalone="yes"?>
<Relationships xmlns="http://schemas.openxmlformats.org/package/2006/relationships"><Relationship Id="rId3" Type="http://schemas.openxmlformats.org/officeDocument/2006/relationships/customProperty" Target="../customProperty120.bin"/><Relationship Id="rId7" Type="http://schemas.openxmlformats.org/officeDocument/2006/relationships/comments" Target="../comments48.xml"/><Relationship Id="rId2" Type="http://schemas.openxmlformats.org/officeDocument/2006/relationships/customProperty" Target="../customProperty119.bin"/><Relationship Id="rId1" Type="http://schemas.openxmlformats.org/officeDocument/2006/relationships/printerSettings" Target="../printerSettings/printerSettings47.bin"/><Relationship Id="rId6" Type="http://schemas.openxmlformats.org/officeDocument/2006/relationships/vmlDrawing" Target="../drawings/vmlDrawing48.vml"/><Relationship Id="rId5" Type="http://schemas.openxmlformats.org/officeDocument/2006/relationships/drawing" Target="../drawings/drawing35.xml"/><Relationship Id="rId4" Type="http://schemas.openxmlformats.org/officeDocument/2006/relationships/customProperty" Target="../customProperty121.bin"/></Relationships>
</file>

<file path=xl/worksheets/_rels/sheet50.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customProperty" Target="../customProperty122.bin"/><Relationship Id="rId1" Type="http://schemas.openxmlformats.org/officeDocument/2006/relationships/printerSettings" Target="../printerSettings/printerSettings48.bin"/><Relationship Id="rId5" Type="http://schemas.openxmlformats.org/officeDocument/2006/relationships/comments" Target="../comments49.xml"/><Relationship Id="rId4" Type="http://schemas.openxmlformats.org/officeDocument/2006/relationships/vmlDrawing" Target="../drawings/vmlDrawing49.vml"/></Relationships>
</file>

<file path=xl/worksheets/_rels/sheet51.xml.rels><?xml version="1.0" encoding="UTF-8" standalone="yes"?>
<Relationships xmlns="http://schemas.openxmlformats.org/package/2006/relationships"><Relationship Id="rId3" Type="http://schemas.openxmlformats.org/officeDocument/2006/relationships/customProperty" Target="../customProperty124.bin"/><Relationship Id="rId7" Type="http://schemas.openxmlformats.org/officeDocument/2006/relationships/comments" Target="../comments50.xml"/><Relationship Id="rId2" Type="http://schemas.openxmlformats.org/officeDocument/2006/relationships/customProperty" Target="../customProperty123.bin"/><Relationship Id="rId1" Type="http://schemas.openxmlformats.org/officeDocument/2006/relationships/printerSettings" Target="../printerSettings/printerSettings49.bin"/><Relationship Id="rId6" Type="http://schemas.openxmlformats.org/officeDocument/2006/relationships/vmlDrawing" Target="../drawings/vmlDrawing50.vml"/><Relationship Id="rId5" Type="http://schemas.openxmlformats.org/officeDocument/2006/relationships/drawing" Target="../drawings/drawing37.xml"/><Relationship Id="rId4" Type="http://schemas.openxmlformats.org/officeDocument/2006/relationships/customProperty" Target="../customProperty125.bin"/></Relationships>
</file>

<file path=xl/worksheets/_rels/sheet52.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customProperty" Target="../customProperty126.bin"/><Relationship Id="rId1" Type="http://schemas.openxmlformats.org/officeDocument/2006/relationships/printerSettings" Target="../printerSettings/printerSettings50.bin"/><Relationship Id="rId5" Type="http://schemas.openxmlformats.org/officeDocument/2006/relationships/comments" Target="../comments51.xml"/><Relationship Id="rId4" Type="http://schemas.openxmlformats.org/officeDocument/2006/relationships/vmlDrawing" Target="../drawings/vmlDrawing51.vml"/></Relationships>
</file>

<file path=xl/worksheets/_rels/sheet53.xml.rels><?xml version="1.0" encoding="UTF-8" standalone="yes"?>
<Relationships xmlns="http://schemas.openxmlformats.org/package/2006/relationships"><Relationship Id="rId3" Type="http://schemas.openxmlformats.org/officeDocument/2006/relationships/customProperty" Target="../customProperty128.bin"/><Relationship Id="rId7" Type="http://schemas.openxmlformats.org/officeDocument/2006/relationships/comments" Target="../comments52.xml"/><Relationship Id="rId2" Type="http://schemas.openxmlformats.org/officeDocument/2006/relationships/customProperty" Target="../customProperty127.bin"/><Relationship Id="rId1" Type="http://schemas.openxmlformats.org/officeDocument/2006/relationships/printerSettings" Target="../printerSettings/printerSettings51.bin"/><Relationship Id="rId6" Type="http://schemas.openxmlformats.org/officeDocument/2006/relationships/vmlDrawing" Target="../drawings/vmlDrawing52.vml"/><Relationship Id="rId5" Type="http://schemas.openxmlformats.org/officeDocument/2006/relationships/drawing" Target="../drawings/drawing39.xml"/><Relationship Id="rId4" Type="http://schemas.openxmlformats.org/officeDocument/2006/relationships/customProperty" Target="../customProperty129.bin"/></Relationships>
</file>

<file path=xl/worksheets/_rels/sheet54.xml.rels><?xml version="1.0" encoding="UTF-8" standalone="yes"?>
<Relationships xmlns="http://schemas.openxmlformats.org/package/2006/relationships"><Relationship Id="rId3" Type="http://schemas.openxmlformats.org/officeDocument/2006/relationships/customProperty" Target="../customProperty131.bin"/><Relationship Id="rId7" Type="http://schemas.openxmlformats.org/officeDocument/2006/relationships/comments" Target="../comments53.xml"/><Relationship Id="rId2" Type="http://schemas.openxmlformats.org/officeDocument/2006/relationships/customProperty" Target="../customProperty130.bin"/><Relationship Id="rId1" Type="http://schemas.openxmlformats.org/officeDocument/2006/relationships/printerSettings" Target="../printerSettings/printerSettings52.bin"/><Relationship Id="rId6" Type="http://schemas.openxmlformats.org/officeDocument/2006/relationships/vmlDrawing" Target="../drawings/vmlDrawing53.vml"/><Relationship Id="rId5" Type="http://schemas.openxmlformats.org/officeDocument/2006/relationships/drawing" Target="../drawings/drawing40.xml"/><Relationship Id="rId4" Type="http://schemas.openxmlformats.org/officeDocument/2006/relationships/customProperty" Target="../customProperty132.bin"/></Relationships>
</file>

<file path=xl/worksheets/_rels/sheet55.xml.rels><?xml version="1.0" encoding="UTF-8" standalone="yes"?>
<Relationships xmlns="http://schemas.openxmlformats.org/package/2006/relationships"><Relationship Id="rId2" Type="http://schemas.openxmlformats.org/officeDocument/2006/relationships/comments" Target="../comments54.xml"/><Relationship Id="rId1" Type="http://schemas.openxmlformats.org/officeDocument/2006/relationships/vmlDrawing" Target="../drawings/vmlDrawing54.vml"/></Relationships>
</file>

<file path=xl/worksheets/_rels/sheet56.xml.rels><?xml version="1.0" encoding="UTF-8" standalone="yes"?>
<Relationships xmlns="http://schemas.openxmlformats.org/package/2006/relationships"><Relationship Id="rId3" Type="http://schemas.openxmlformats.org/officeDocument/2006/relationships/drawing" Target="../drawings/drawing41.xml"/><Relationship Id="rId2" Type="http://schemas.openxmlformats.org/officeDocument/2006/relationships/customProperty" Target="../customProperty133.bin"/><Relationship Id="rId1" Type="http://schemas.openxmlformats.org/officeDocument/2006/relationships/printerSettings" Target="../printerSettings/printerSettings53.bin"/><Relationship Id="rId5" Type="http://schemas.openxmlformats.org/officeDocument/2006/relationships/comments" Target="../comments55.xml"/><Relationship Id="rId4" Type="http://schemas.openxmlformats.org/officeDocument/2006/relationships/vmlDrawing" Target="../drawings/vmlDrawing55.vml"/></Relationships>
</file>

<file path=xl/worksheets/_rels/sheet57.xml.rels><?xml version="1.0" encoding="UTF-8" standalone="yes"?>
<Relationships xmlns="http://schemas.openxmlformats.org/package/2006/relationships"><Relationship Id="rId3" Type="http://schemas.openxmlformats.org/officeDocument/2006/relationships/drawing" Target="../drawings/drawing42.xml"/><Relationship Id="rId2" Type="http://schemas.openxmlformats.org/officeDocument/2006/relationships/customProperty" Target="../customProperty134.bin"/><Relationship Id="rId1" Type="http://schemas.openxmlformats.org/officeDocument/2006/relationships/printerSettings" Target="../printerSettings/printerSettings54.bin"/><Relationship Id="rId5" Type="http://schemas.openxmlformats.org/officeDocument/2006/relationships/comments" Target="../comments56.xml"/><Relationship Id="rId4" Type="http://schemas.openxmlformats.org/officeDocument/2006/relationships/vmlDrawing" Target="../drawings/vmlDrawing56.vml"/></Relationships>
</file>

<file path=xl/worksheets/_rels/sheet58.xml.rels><?xml version="1.0" encoding="UTF-8" standalone="yes"?>
<Relationships xmlns="http://schemas.openxmlformats.org/package/2006/relationships"><Relationship Id="rId2" Type="http://schemas.openxmlformats.org/officeDocument/2006/relationships/comments" Target="../comments57.xml"/><Relationship Id="rId1" Type="http://schemas.openxmlformats.org/officeDocument/2006/relationships/vmlDrawing" Target="../drawings/vmlDrawing57.vml"/></Relationships>
</file>

<file path=xl/worksheets/_rels/sheet60.xml.rels><?xml version="1.0" encoding="UTF-8" standalone="yes"?>
<Relationships xmlns="http://schemas.openxmlformats.org/package/2006/relationships"><Relationship Id="rId2" Type="http://schemas.openxmlformats.org/officeDocument/2006/relationships/comments" Target="../comments58.xml"/><Relationship Id="rId1" Type="http://schemas.openxmlformats.org/officeDocument/2006/relationships/vmlDrawing" Target="../drawings/vmlDrawing58.vml"/></Relationships>
</file>

<file path=xl/worksheets/_rels/sheet63.xml.rels><?xml version="1.0" encoding="UTF-8" standalone="yes"?>
<Relationships xmlns="http://schemas.openxmlformats.org/package/2006/relationships"><Relationship Id="rId3" Type="http://schemas.openxmlformats.org/officeDocument/2006/relationships/customProperty" Target="../customProperty136.bin"/><Relationship Id="rId7" Type="http://schemas.openxmlformats.org/officeDocument/2006/relationships/comments" Target="../comments59.xml"/><Relationship Id="rId2" Type="http://schemas.openxmlformats.org/officeDocument/2006/relationships/customProperty" Target="../customProperty135.bin"/><Relationship Id="rId1" Type="http://schemas.openxmlformats.org/officeDocument/2006/relationships/printerSettings" Target="../printerSettings/printerSettings55.bin"/><Relationship Id="rId6" Type="http://schemas.openxmlformats.org/officeDocument/2006/relationships/vmlDrawing" Target="../drawings/vmlDrawing59.vml"/><Relationship Id="rId5" Type="http://schemas.openxmlformats.org/officeDocument/2006/relationships/drawing" Target="../drawings/drawing43.xml"/><Relationship Id="rId4" Type="http://schemas.openxmlformats.org/officeDocument/2006/relationships/customProperty" Target="../customProperty137.bin"/></Relationships>
</file>

<file path=xl/worksheets/_rels/sheet64.xml.rels><?xml version="1.0" encoding="UTF-8" standalone="yes"?>
<Relationships xmlns="http://schemas.openxmlformats.org/package/2006/relationships"><Relationship Id="rId3" Type="http://schemas.openxmlformats.org/officeDocument/2006/relationships/customProperty" Target="../customProperty139.bin"/><Relationship Id="rId2" Type="http://schemas.openxmlformats.org/officeDocument/2006/relationships/customProperty" Target="../customProperty138.bin"/><Relationship Id="rId1" Type="http://schemas.openxmlformats.org/officeDocument/2006/relationships/printerSettings" Target="../printerSettings/printerSettings56.bin"/><Relationship Id="rId6" Type="http://schemas.openxmlformats.org/officeDocument/2006/relationships/comments" Target="../comments60.xml"/><Relationship Id="rId5" Type="http://schemas.openxmlformats.org/officeDocument/2006/relationships/vmlDrawing" Target="../drawings/vmlDrawing60.vml"/><Relationship Id="rId4" Type="http://schemas.openxmlformats.org/officeDocument/2006/relationships/customProperty" Target="../customProperty140.bin"/></Relationships>
</file>

<file path=xl/worksheets/_rels/sheet65.xml.rels><?xml version="1.0" encoding="UTF-8" standalone="yes"?>
<Relationships xmlns="http://schemas.openxmlformats.org/package/2006/relationships"><Relationship Id="rId3" Type="http://schemas.openxmlformats.org/officeDocument/2006/relationships/customProperty" Target="../customProperty142.bin"/><Relationship Id="rId7" Type="http://schemas.openxmlformats.org/officeDocument/2006/relationships/comments" Target="../comments61.xml"/><Relationship Id="rId2" Type="http://schemas.openxmlformats.org/officeDocument/2006/relationships/customProperty" Target="../customProperty141.bin"/><Relationship Id="rId1" Type="http://schemas.openxmlformats.org/officeDocument/2006/relationships/printerSettings" Target="../printerSettings/printerSettings57.bin"/><Relationship Id="rId6" Type="http://schemas.openxmlformats.org/officeDocument/2006/relationships/vmlDrawing" Target="../drawings/vmlDrawing61.vml"/><Relationship Id="rId5" Type="http://schemas.openxmlformats.org/officeDocument/2006/relationships/drawing" Target="../drawings/drawing44.xml"/><Relationship Id="rId4" Type="http://schemas.openxmlformats.org/officeDocument/2006/relationships/customProperty" Target="../customProperty143.bin"/></Relationships>
</file>

<file path=xl/worksheets/_rels/sheet66.xml.rels><?xml version="1.0" encoding="UTF-8" standalone="yes"?>
<Relationships xmlns="http://schemas.openxmlformats.org/package/2006/relationships"><Relationship Id="rId3" Type="http://schemas.openxmlformats.org/officeDocument/2006/relationships/customProperty" Target="../customProperty145.bin"/><Relationship Id="rId7" Type="http://schemas.openxmlformats.org/officeDocument/2006/relationships/comments" Target="../comments62.xml"/><Relationship Id="rId2" Type="http://schemas.openxmlformats.org/officeDocument/2006/relationships/customProperty" Target="../customProperty144.bin"/><Relationship Id="rId1" Type="http://schemas.openxmlformats.org/officeDocument/2006/relationships/printerSettings" Target="../printerSettings/printerSettings58.bin"/><Relationship Id="rId6" Type="http://schemas.openxmlformats.org/officeDocument/2006/relationships/vmlDrawing" Target="../drawings/vmlDrawing62.vml"/><Relationship Id="rId5" Type="http://schemas.openxmlformats.org/officeDocument/2006/relationships/drawing" Target="../drawings/drawing45.xml"/><Relationship Id="rId4" Type="http://schemas.openxmlformats.org/officeDocument/2006/relationships/customProperty" Target="../customProperty146.bin"/></Relationships>
</file>

<file path=xl/worksheets/_rels/sheet67.xml.rels><?xml version="1.0" encoding="UTF-8" standalone="yes"?>
<Relationships xmlns="http://schemas.openxmlformats.org/package/2006/relationships"><Relationship Id="rId3" Type="http://schemas.openxmlformats.org/officeDocument/2006/relationships/customProperty" Target="../customProperty148.bin"/><Relationship Id="rId7" Type="http://schemas.openxmlformats.org/officeDocument/2006/relationships/comments" Target="../comments63.xml"/><Relationship Id="rId2" Type="http://schemas.openxmlformats.org/officeDocument/2006/relationships/customProperty" Target="../customProperty147.bin"/><Relationship Id="rId1" Type="http://schemas.openxmlformats.org/officeDocument/2006/relationships/printerSettings" Target="../printerSettings/printerSettings59.bin"/><Relationship Id="rId6" Type="http://schemas.openxmlformats.org/officeDocument/2006/relationships/vmlDrawing" Target="../drawings/vmlDrawing63.vml"/><Relationship Id="rId5" Type="http://schemas.openxmlformats.org/officeDocument/2006/relationships/drawing" Target="../drawings/drawing46.xml"/><Relationship Id="rId4" Type="http://schemas.openxmlformats.org/officeDocument/2006/relationships/customProperty" Target="../customProperty149.bin"/></Relationships>
</file>

<file path=xl/worksheets/_rels/sheet68.xml.rels><?xml version="1.0" encoding="UTF-8" standalone="yes"?>
<Relationships xmlns="http://schemas.openxmlformats.org/package/2006/relationships"><Relationship Id="rId3" Type="http://schemas.openxmlformats.org/officeDocument/2006/relationships/customProperty" Target="../customProperty151.bin"/><Relationship Id="rId7" Type="http://schemas.openxmlformats.org/officeDocument/2006/relationships/comments" Target="../comments64.xml"/><Relationship Id="rId2" Type="http://schemas.openxmlformats.org/officeDocument/2006/relationships/customProperty" Target="../customProperty150.bin"/><Relationship Id="rId1" Type="http://schemas.openxmlformats.org/officeDocument/2006/relationships/printerSettings" Target="../printerSettings/printerSettings60.bin"/><Relationship Id="rId6" Type="http://schemas.openxmlformats.org/officeDocument/2006/relationships/vmlDrawing" Target="../drawings/vmlDrawing64.vml"/><Relationship Id="rId5" Type="http://schemas.openxmlformats.org/officeDocument/2006/relationships/drawing" Target="../drawings/drawing47.xml"/><Relationship Id="rId4" Type="http://schemas.openxmlformats.org/officeDocument/2006/relationships/customProperty" Target="../customProperty152.bin"/></Relationships>
</file>

<file path=xl/worksheets/_rels/sheet69.xml.rels><?xml version="1.0" encoding="UTF-8" standalone="yes"?>
<Relationships xmlns="http://schemas.openxmlformats.org/package/2006/relationships"><Relationship Id="rId3" Type="http://schemas.openxmlformats.org/officeDocument/2006/relationships/customProperty" Target="../customProperty154.bin"/><Relationship Id="rId7" Type="http://schemas.openxmlformats.org/officeDocument/2006/relationships/comments" Target="../comments65.xml"/><Relationship Id="rId2" Type="http://schemas.openxmlformats.org/officeDocument/2006/relationships/customProperty" Target="../customProperty153.bin"/><Relationship Id="rId1" Type="http://schemas.openxmlformats.org/officeDocument/2006/relationships/printerSettings" Target="../printerSettings/printerSettings61.bin"/><Relationship Id="rId6" Type="http://schemas.openxmlformats.org/officeDocument/2006/relationships/vmlDrawing" Target="../drawings/vmlDrawing65.vml"/><Relationship Id="rId5" Type="http://schemas.openxmlformats.org/officeDocument/2006/relationships/drawing" Target="../drawings/drawing48.xml"/><Relationship Id="rId4" Type="http://schemas.openxmlformats.org/officeDocument/2006/relationships/customProperty" Target="../customProperty155.bin"/></Relationships>
</file>

<file path=xl/worksheets/_rels/sheet70.xml.rels><?xml version="1.0" encoding="UTF-8" standalone="yes"?>
<Relationships xmlns="http://schemas.openxmlformats.org/package/2006/relationships"><Relationship Id="rId3" Type="http://schemas.openxmlformats.org/officeDocument/2006/relationships/drawing" Target="../drawings/drawing49.xml"/><Relationship Id="rId2" Type="http://schemas.openxmlformats.org/officeDocument/2006/relationships/customProperty" Target="../customProperty156.bin"/><Relationship Id="rId1" Type="http://schemas.openxmlformats.org/officeDocument/2006/relationships/printerSettings" Target="../printerSettings/printerSettings62.bin"/><Relationship Id="rId5" Type="http://schemas.openxmlformats.org/officeDocument/2006/relationships/comments" Target="../comments66.xml"/><Relationship Id="rId4" Type="http://schemas.openxmlformats.org/officeDocument/2006/relationships/vmlDrawing" Target="../drawings/vmlDrawing66.vml"/></Relationships>
</file>

<file path=xl/worksheets/_rels/sheet71.xml.rels><?xml version="1.0" encoding="UTF-8" standalone="yes"?>
<Relationships xmlns="http://schemas.openxmlformats.org/package/2006/relationships"><Relationship Id="rId3" Type="http://schemas.openxmlformats.org/officeDocument/2006/relationships/customProperty" Target="../customProperty158.bin"/><Relationship Id="rId7" Type="http://schemas.openxmlformats.org/officeDocument/2006/relationships/comments" Target="../comments67.xml"/><Relationship Id="rId2" Type="http://schemas.openxmlformats.org/officeDocument/2006/relationships/customProperty" Target="../customProperty157.bin"/><Relationship Id="rId1" Type="http://schemas.openxmlformats.org/officeDocument/2006/relationships/printerSettings" Target="../printerSettings/printerSettings63.bin"/><Relationship Id="rId6" Type="http://schemas.openxmlformats.org/officeDocument/2006/relationships/vmlDrawing" Target="../drawings/vmlDrawing67.vml"/><Relationship Id="rId5" Type="http://schemas.openxmlformats.org/officeDocument/2006/relationships/drawing" Target="../drawings/drawing50.xml"/><Relationship Id="rId4" Type="http://schemas.openxmlformats.org/officeDocument/2006/relationships/customProperty" Target="../customProperty159.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51.xml"/><Relationship Id="rId2" Type="http://schemas.openxmlformats.org/officeDocument/2006/relationships/customProperty" Target="../customProperty160.bin"/><Relationship Id="rId1" Type="http://schemas.openxmlformats.org/officeDocument/2006/relationships/printerSettings" Target="../printerSettings/printerSettings64.bin"/><Relationship Id="rId5" Type="http://schemas.openxmlformats.org/officeDocument/2006/relationships/comments" Target="../comments68.xml"/><Relationship Id="rId4" Type="http://schemas.openxmlformats.org/officeDocument/2006/relationships/vmlDrawing" Target="../drawings/vmlDrawing68.vml"/></Relationships>
</file>

<file path=xl/worksheets/_rels/sheet73.xml.rels><?xml version="1.0" encoding="UTF-8" standalone="yes"?>
<Relationships xmlns="http://schemas.openxmlformats.org/package/2006/relationships"><Relationship Id="rId3" Type="http://schemas.openxmlformats.org/officeDocument/2006/relationships/customProperty" Target="../customProperty162.bin"/><Relationship Id="rId7" Type="http://schemas.openxmlformats.org/officeDocument/2006/relationships/comments" Target="../comments69.xml"/><Relationship Id="rId2" Type="http://schemas.openxmlformats.org/officeDocument/2006/relationships/customProperty" Target="../customProperty161.bin"/><Relationship Id="rId1" Type="http://schemas.openxmlformats.org/officeDocument/2006/relationships/printerSettings" Target="../printerSettings/printerSettings65.bin"/><Relationship Id="rId6" Type="http://schemas.openxmlformats.org/officeDocument/2006/relationships/vmlDrawing" Target="../drawings/vmlDrawing69.vml"/><Relationship Id="rId5" Type="http://schemas.openxmlformats.org/officeDocument/2006/relationships/drawing" Target="../drawings/drawing52.xml"/><Relationship Id="rId4" Type="http://schemas.openxmlformats.org/officeDocument/2006/relationships/customProperty" Target="../customProperty163.bin"/></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53.xml"/><Relationship Id="rId2" Type="http://schemas.openxmlformats.org/officeDocument/2006/relationships/customProperty" Target="../customProperty164.bin"/><Relationship Id="rId1" Type="http://schemas.openxmlformats.org/officeDocument/2006/relationships/printerSettings" Target="../printerSettings/printerSettings66.bin"/><Relationship Id="rId5" Type="http://schemas.openxmlformats.org/officeDocument/2006/relationships/comments" Target="../comments70.xml"/><Relationship Id="rId4" Type="http://schemas.openxmlformats.org/officeDocument/2006/relationships/vmlDrawing" Target="../drawings/vmlDrawing7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54"/>
  <sheetViews>
    <sheetView topLeftCell="A3" zoomScale="85" zoomScaleNormal="85" workbookViewId="0">
      <selection activeCell="C13" sqref="C13"/>
    </sheetView>
  </sheetViews>
  <sheetFormatPr baseColWidth="10" defaultColWidth="9.1640625" defaultRowHeight="15" outlineLevelRow="1" outlineLevelCol="1" x14ac:dyDescent="0.2"/>
  <cols>
    <col min="1" max="1" width="4.6640625" style="108" customWidth="1"/>
    <col min="2" max="2" width="2.6640625" style="108" customWidth="1"/>
    <col min="3" max="3" width="21.5" style="108" bestFit="1" customWidth="1"/>
    <col min="4" max="4" width="16.6640625" style="108" customWidth="1"/>
    <col min="5" max="5" width="24.6640625" style="108" customWidth="1"/>
    <col min="6" max="6" width="21.33203125" style="108" bestFit="1" customWidth="1"/>
    <col min="7" max="7" width="16.6640625" style="108" customWidth="1"/>
    <col min="8" max="8" width="22.6640625" style="108" customWidth="1"/>
    <col min="9" max="9" width="21.6640625" style="108" customWidth="1"/>
    <col min="10" max="10" width="16.6640625" style="108" customWidth="1"/>
    <col min="11" max="11" width="24.6640625" style="108" customWidth="1"/>
    <col min="12" max="12" width="2.6640625" style="108" customWidth="1"/>
    <col min="13" max="13" width="5.6640625" style="108" customWidth="1"/>
    <col min="14" max="14" width="2.6640625" style="108" customWidth="1"/>
    <col min="15" max="15" width="9.1640625" style="108"/>
    <col min="16" max="16" width="17.6640625" style="108" customWidth="1"/>
    <col min="17" max="17" width="14.6640625" style="108" customWidth="1"/>
    <col min="18" max="18" width="2.6640625" style="108" customWidth="1"/>
    <col min="19" max="19" width="14.33203125" style="108" hidden="1" customWidth="1" outlineLevel="1"/>
    <col min="20" max="20" width="0" style="108" hidden="1" customWidth="1" outlineLevel="1"/>
    <col min="21" max="21" width="9.1640625" style="108" collapsed="1"/>
    <col min="22" max="16384" width="9.1640625" style="108"/>
  </cols>
  <sheetData>
    <row r="1" spans="2:18" hidden="1" outlineLevel="1" x14ac:dyDescent="0.2">
      <c r="C1" s="212" t="e">
        <f ca="1">_xll.EVPRO("FINANCE","CURRENT","STARTMTH")</f>
        <v>#NAME?</v>
      </c>
      <c r="D1" s="212" t="e">
        <f ca="1">LEFT($C$1,4)&amp;".TOTAL"</f>
        <v>#NAME?</v>
      </c>
      <c r="E1" s="1" t="s">
        <v>114</v>
      </c>
      <c r="F1" s="212" t="e">
        <f ca="1">_xll.EVTIM("FINANCE",$D$1,-1,"YEAR")</f>
        <v>#NAME?</v>
      </c>
      <c r="G1" s="1" t="s">
        <v>114</v>
      </c>
      <c r="O1" s="212" t="b">
        <v>0</v>
      </c>
      <c r="P1" s="1" t="s">
        <v>114</v>
      </c>
    </row>
    <row r="2" spans="2:18" hidden="1" outlineLevel="1" x14ac:dyDescent="0.2">
      <c r="C2" s="1"/>
      <c r="D2" s="1"/>
      <c r="E2" s="1"/>
    </row>
    <row r="3" spans="2:18" ht="16" collapsed="1" thickBot="1" x14ac:dyDescent="0.25"/>
    <row r="4" spans="2:18" x14ac:dyDescent="0.2">
      <c r="B4" s="219" t="s">
        <v>113</v>
      </c>
      <c r="C4" s="226"/>
      <c r="D4" s="220"/>
      <c r="E4" s="220"/>
      <c r="F4" s="221"/>
      <c r="G4" s="221"/>
      <c r="H4" s="221"/>
      <c r="I4" s="221"/>
      <c r="J4" s="221"/>
      <c r="K4" s="221"/>
      <c r="L4" s="222"/>
      <c r="N4" s="241" t="s">
        <v>113</v>
      </c>
      <c r="O4" s="242"/>
      <c r="P4" s="221"/>
      <c r="Q4" s="221"/>
      <c r="R4" s="222"/>
    </row>
    <row r="5" spans="2:18" x14ac:dyDescent="0.2">
      <c r="B5" s="216"/>
      <c r="D5" s="109"/>
      <c r="E5" s="109"/>
      <c r="F5" s="110"/>
      <c r="G5" s="110"/>
      <c r="L5" s="217"/>
      <c r="N5" s="216"/>
      <c r="R5" s="217"/>
    </row>
    <row r="6" spans="2:18" x14ac:dyDescent="0.2">
      <c r="B6" s="216"/>
      <c r="C6" s="536" t="s">
        <v>627</v>
      </c>
      <c r="D6" s="215" t="e">
        <f ca="1">_xll.EPMSelectMember("FINANCE","[CATEGORY].[H1].[CURRENT]","FCFILTER1=Y","",FALSE)</f>
        <v>#NAME?</v>
      </c>
      <c r="E6" s="108" t="s">
        <v>112</v>
      </c>
      <c r="F6" s="536" t="s">
        <v>629</v>
      </c>
      <c r="G6" s="215" t="e">
        <f ca="1">_xll.EVMBR("FINANCE","BUDGET","FCFILTER1=Y")</f>
        <v>#NAME?</v>
      </c>
      <c r="H6" s="108" t="s">
        <v>112</v>
      </c>
      <c r="I6" s="536" t="s">
        <v>630</v>
      </c>
      <c r="J6" s="215" t="e">
        <f ca="1">_xll.EPMSelectMember("FINANCE","[CATEGORY].[H1].[ACTUAL_CON]","FCFILTER1=Y","",FALSE)</f>
        <v>#NAME?</v>
      </c>
      <c r="K6" s="108" t="s">
        <v>112</v>
      </c>
      <c r="L6" s="217"/>
      <c r="N6" s="216"/>
      <c r="P6" s="108" t="s">
        <v>632</v>
      </c>
      <c r="Q6" s="215" t="e">
        <f ca="1">_xll.EVMBR("FINANCE","2014.DEC","LEVEL=MONTH;YEAR&lt;&gt;NONE")</f>
        <v>#NAME?</v>
      </c>
      <c r="R6" s="217"/>
    </row>
    <row r="7" spans="2:18" ht="15" customHeight="1" x14ac:dyDescent="0.2">
      <c r="B7" s="216"/>
      <c r="C7" s="537"/>
      <c r="D7" s="215" t="e">
        <f ca="1">_xll.EPMSelectMember("FINANCE","[TIME].[H1].[2024.TOTAL]","LEVEL=YEAR;YEAR&lt;&gt;NONE","",FALSE)</f>
        <v>#NAME?</v>
      </c>
      <c r="E7" s="108" t="s">
        <v>628</v>
      </c>
      <c r="F7" s="537"/>
      <c r="G7" s="215" t="e">
        <f ca="1">_xll.EPMSelectMember("FINANCE","[TIME].[H1].[2024.TOTAL]","LEVEL=YEAR;YEAR&lt;&gt;NONE","",FALSE)</f>
        <v>#NAME?</v>
      </c>
      <c r="H7" s="108" t="s">
        <v>628</v>
      </c>
      <c r="I7" s="537"/>
      <c r="J7" s="215" t="e">
        <f ca="1">_xll.EPMSelectMember("FINANCE","[TIME].[H1].[2023.TOTAL]","LEVEL=YEAR;YEAR&lt;&gt;NONE","",FALSE)</f>
        <v>#NAME?</v>
      </c>
      <c r="K7" s="108" t="s">
        <v>628</v>
      </c>
      <c r="L7" s="217"/>
      <c r="N7" s="216" t="s">
        <v>633</v>
      </c>
      <c r="R7" s="217"/>
    </row>
    <row r="8" spans="2:18" ht="15" customHeight="1" x14ac:dyDescent="0.2">
      <c r="B8" s="216"/>
      <c r="C8" s="452" t="s">
        <v>792</v>
      </c>
      <c r="D8" s="215" t="s">
        <v>824</v>
      </c>
      <c r="E8" s="108" t="s">
        <v>793</v>
      </c>
      <c r="F8" s="451"/>
      <c r="G8" s="453"/>
      <c r="I8" s="451"/>
      <c r="J8" s="453"/>
      <c r="L8" s="217"/>
      <c r="N8" s="216" t="s">
        <v>635</v>
      </c>
      <c r="R8" s="217"/>
    </row>
    <row r="9" spans="2:18" x14ac:dyDescent="0.2">
      <c r="B9" s="216"/>
      <c r="C9" s="225"/>
      <c r="L9" s="217"/>
      <c r="N9" s="216" t="s">
        <v>634</v>
      </c>
      <c r="R9" s="217"/>
    </row>
    <row r="10" spans="2:18" x14ac:dyDescent="0.2">
      <c r="B10" s="216"/>
      <c r="C10" s="442" t="s">
        <v>780</v>
      </c>
      <c r="D10" s="215" t="e">
        <f ca="1">_xll.EPMContextMember("FINANCE","RPTCURRENCY")</f>
        <v>#NAME?</v>
      </c>
      <c r="E10" s="108" t="s">
        <v>781</v>
      </c>
      <c r="L10" s="217"/>
      <c r="N10" s="216"/>
      <c r="R10" s="217"/>
    </row>
    <row r="11" spans="2:18" ht="16" thickBot="1" x14ac:dyDescent="0.25">
      <c r="B11" s="218"/>
      <c r="C11" s="227"/>
      <c r="D11" s="443"/>
      <c r="E11" s="223"/>
      <c r="F11" s="223"/>
      <c r="G11" s="223"/>
      <c r="H11" s="223"/>
      <c r="I11" s="223"/>
      <c r="J11" s="223"/>
      <c r="K11" s="223"/>
      <c r="L11" s="224"/>
      <c r="N11" s="218"/>
      <c r="O11" s="239"/>
      <c r="P11" s="239"/>
      <c r="Q11" s="239"/>
      <c r="R11" s="240"/>
    </row>
    <row r="12" spans="2:18" ht="16" thickBot="1" x14ac:dyDescent="0.25">
      <c r="C12" s="109"/>
      <c r="E12" s="444"/>
      <c r="F12" s="444"/>
      <c r="G12" s="444"/>
      <c r="H12" s="444"/>
      <c r="I12" s="444"/>
      <c r="J12" s="444"/>
      <c r="K12" s="444"/>
      <c r="L12" s="444"/>
    </row>
    <row r="13" spans="2:18" ht="40.5" customHeight="1" thickBot="1" x14ac:dyDescent="0.25">
      <c r="C13" s="445" t="e">
        <f ca="1">_xll.EPMExecuteAPI("ExpandActiveWorkBook","Expand All")</f>
        <v>#NAME?</v>
      </c>
      <c r="D13" s="446" t="s">
        <v>784</v>
      </c>
    </row>
    <row r="24" spans="1:23" x14ac:dyDescent="0.2">
      <c r="E24" s="111" t="str">
        <f>C6</f>
        <v>Monthly Data Columns</v>
      </c>
      <c r="F24" s="228"/>
      <c r="G24" s="112"/>
      <c r="I24" s="229" t="str">
        <f>F6</f>
        <v>Comparison 1 Column</v>
      </c>
      <c r="K24" s="229" t="str">
        <f>I6</f>
        <v>Comparison 2 Column</v>
      </c>
    </row>
    <row r="25" spans="1:23" ht="16" thickBot="1" x14ac:dyDescent="0.25"/>
    <row r="26" spans="1:23" x14ac:dyDescent="0.2">
      <c r="A26" s="316"/>
      <c r="B26" s="316"/>
      <c r="C26" s="316"/>
      <c r="D26" s="316"/>
      <c r="E26" s="316"/>
      <c r="F26" s="316"/>
      <c r="G26" s="316"/>
      <c r="H26" s="316"/>
      <c r="I26" s="316"/>
      <c r="J26" s="316"/>
      <c r="K26" s="316"/>
      <c r="L26" s="316"/>
      <c r="M26" s="316"/>
      <c r="N26" s="316"/>
      <c r="O26" s="316"/>
      <c r="P26" s="316"/>
      <c r="Q26" s="316"/>
      <c r="R26" s="316"/>
      <c r="S26" s="316"/>
      <c r="T26" s="316"/>
      <c r="U26" s="316"/>
      <c r="V26" s="316"/>
      <c r="W26" s="316"/>
    </row>
    <row r="27" spans="1:23" ht="16" x14ac:dyDescent="0.2">
      <c r="B27" s="312" t="s">
        <v>669</v>
      </c>
      <c r="I27" s="312" t="s">
        <v>670</v>
      </c>
    </row>
    <row r="28" spans="1:23" ht="16" x14ac:dyDescent="0.2">
      <c r="B28" s="311" t="s">
        <v>668</v>
      </c>
      <c r="I28" s="313" t="e">
        <f ca="1">S28&amp;" - "&amp;T28</f>
        <v>#NAME?</v>
      </c>
      <c r="J28" s="314"/>
      <c r="K28" s="313" t="s">
        <v>700</v>
      </c>
      <c r="L28" s="315"/>
      <c r="M28" s="315"/>
      <c r="N28" s="315"/>
      <c r="O28" s="315"/>
      <c r="P28" s="314"/>
      <c r="S28" s="108" t="s">
        <v>682</v>
      </c>
      <c r="T28" s="108" t="e">
        <f ca="1">_xll.EVDES(S28)</f>
        <v>#NAME?</v>
      </c>
    </row>
    <row r="29" spans="1:23" ht="16" x14ac:dyDescent="0.2">
      <c r="B29" s="311" t="s">
        <v>776</v>
      </c>
      <c r="I29" s="313" t="e">
        <f t="shared" ref="I29:I50" ca="1" si="0">S29&amp;" - "&amp;T29</f>
        <v>#NAME?</v>
      </c>
      <c r="J29" s="314"/>
      <c r="K29" s="313" t="s">
        <v>701</v>
      </c>
      <c r="L29" s="315"/>
      <c r="M29" s="315"/>
      <c r="N29" s="315"/>
      <c r="O29" s="315"/>
      <c r="P29" s="314"/>
      <c r="S29" s="108" t="s">
        <v>683</v>
      </c>
      <c r="T29" s="108" t="e">
        <f ca="1">_xll.EVDES(S29)</f>
        <v>#NAME?</v>
      </c>
    </row>
    <row r="30" spans="1:23" ht="16" x14ac:dyDescent="0.2">
      <c r="B30" s="311" t="s">
        <v>777</v>
      </c>
      <c r="I30" s="313" t="e">
        <f t="shared" ca="1" si="0"/>
        <v>#NAME?</v>
      </c>
      <c r="J30" s="314"/>
      <c r="K30" s="313" t="s">
        <v>702</v>
      </c>
      <c r="L30" s="315"/>
      <c r="M30" s="315"/>
      <c r="N30" s="315"/>
      <c r="O30" s="315"/>
      <c r="P30" s="314"/>
      <c r="S30" s="108" t="s">
        <v>684</v>
      </c>
      <c r="T30" s="108" t="e">
        <f ca="1">_xll.EVDES(S30)</f>
        <v>#NAME?</v>
      </c>
    </row>
    <row r="31" spans="1:23" ht="16" x14ac:dyDescent="0.2">
      <c r="B31" s="311"/>
      <c r="C31" s="311" t="s">
        <v>720</v>
      </c>
      <c r="I31" s="313" t="e">
        <f t="shared" ca="1" si="0"/>
        <v>#NAME?</v>
      </c>
      <c r="J31" s="314"/>
      <c r="K31" s="313" t="s">
        <v>703</v>
      </c>
      <c r="L31" s="315"/>
      <c r="M31" s="315"/>
      <c r="N31" s="315"/>
      <c r="O31" s="315"/>
      <c r="P31" s="314"/>
      <c r="S31" s="108" t="s">
        <v>685</v>
      </c>
      <c r="T31" s="108" t="e">
        <f ca="1">_xll.EVDES(S31)</f>
        <v>#NAME?</v>
      </c>
    </row>
    <row r="32" spans="1:23" ht="16" x14ac:dyDescent="0.2">
      <c r="B32" s="311"/>
      <c r="C32" s="311" t="s">
        <v>773</v>
      </c>
      <c r="I32" s="313" t="e">
        <f t="shared" ca="1" si="0"/>
        <v>#NAME?</v>
      </c>
      <c r="J32" s="314"/>
      <c r="K32" s="313" t="s">
        <v>704</v>
      </c>
      <c r="L32" s="315"/>
      <c r="M32" s="315"/>
      <c r="N32" s="315"/>
      <c r="O32" s="315"/>
      <c r="P32" s="314"/>
      <c r="S32" s="108" t="s">
        <v>255</v>
      </c>
      <c r="T32" s="108" t="e">
        <f ca="1">_xll.EVDES(S32)</f>
        <v>#NAME?</v>
      </c>
    </row>
    <row r="33" spans="2:20" ht="16" x14ac:dyDescent="0.2">
      <c r="B33" s="311"/>
      <c r="C33" s="311" t="s">
        <v>721</v>
      </c>
      <c r="I33" s="313" t="e">
        <f t="shared" ca="1" si="0"/>
        <v>#NAME?</v>
      </c>
      <c r="J33" s="314"/>
      <c r="K33" s="313" t="s">
        <v>705</v>
      </c>
      <c r="L33" s="315"/>
      <c r="M33" s="315"/>
      <c r="N33" s="315"/>
      <c r="O33" s="315"/>
      <c r="P33" s="314"/>
      <c r="S33" s="108" t="s">
        <v>686</v>
      </c>
      <c r="T33" s="108" t="e">
        <f ca="1">_xll.EVDES(S33)</f>
        <v>#NAME?</v>
      </c>
    </row>
    <row r="34" spans="2:20" ht="16" x14ac:dyDescent="0.2">
      <c r="B34" s="311"/>
      <c r="C34" s="454" t="s">
        <v>794</v>
      </c>
      <c r="I34" s="313" t="e">
        <f t="shared" ca="1" si="0"/>
        <v>#NAME?</v>
      </c>
      <c r="J34" s="314"/>
      <c r="K34" s="313" t="s">
        <v>724</v>
      </c>
      <c r="L34" s="315"/>
      <c r="M34" s="315"/>
      <c r="N34" s="315"/>
      <c r="O34" s="315"/>
      <c r="P34" s="314"/>
      <c r="S34" s="108" t="s">
        <v>687</v>
      </c>
      <c r="T34" s="108" t="e">
        <f ca="1">_xll.EVDES(S34)</f>
        <v>#NAME?</v>
      </c>
    </row>
    <row r="35" spans="2:20" ht="16" x14ac:dyDescent="0.2">
      <c r="B35" s="311"/>
      <c r="C35" s="311" t="s">
        <v>722</v>
      </c>
      <c r="I35" s="313" t="e">
        <f t="shared" ca="1" si="0"/>
        <v>#NAME?</v>
      </c>
      <c r="J35" s="314"/>
      <c r="K35" s="313" t="s">
        <v>714</v>
      </c>
      <c r="L35" s="315"/>
      <c r="M35" s="315"/>
      <c r="N35" s="315"/>
      <c r="O35" s="315"/>
      <c r="P35" s="314"/>
      <c r="S35" s="108" t="s">
        <v>688</v>
      </c>
      <c r="T35" s="108" t="e">
        <f ca="1">_xll.EVDES(S35)</f>
        <v>#NAME?</v>
      </c>
    </row>
    <row r="36" spans="2:20" ht="16" x14ac:dyDescent="0.2">
      <c r="B36" s="311" t="s">
        <v>778</v>
      </c>
      <c r="C36" s="311"/>
      <c r="I36" s="313" t="e">
        <f t="shared" ca="1" si="0"/>
        <v>#NAME?</v>
      </c>
      <c r="J36" s="314"/>
      <c r="K36" s="313" t="s">
        <v>706</v>
      </c>
      <c r="L36" s="315"/>
      <c r="M36" s="315"/>
      <c r="N36" s="315"/>
      <c r="O36" s="315"/>
      <c r="P36" s="314"/>
      <c r="S36" s="108" t="s">
        <v>689</v>
      </c>
      <c r="T36" s="108" t="e">
        <f ca="1">_xll.EVDES(S36)</f>
        <v>#NAME?</v>
      </c>
    </row>
    <row r="37" spans="2:20" ht="16" x14ac:dyDescent="0.2">
      <c r="B37" s="311"/>
      <c r="C37" s="311" t="s">
        <v>785</v>
      </c>
      <c r="I37" s="313" t="e">
        <f t="shared" ca="1" si="0"/>
        <v>#NAME?</v>
      </c>
      <c r="J37" s="314"/>
      <c r="K37" s="313" t="s">
        <v>707</v>
      </c>
      <c r="L37" s="315"/>
      <c r="M37" s="315"/>
      <c r="N37" s="315"/>
      <c r="O37" s="315"/>
      <c r="P37" s="314"/>
      <c r="S37" s="108" t="s">
        <v>690</v>
      </c>
      <c r="T37" s="108" t="e">
        <f ca="1">_xll.EVDES(S37)</f>
        <v>#NAME?</v>
      </c>
    </row>
    <row r="38" spans="2:20" ht="16" x14ac:dyDescent="0.2">
      <c r="B38" s="311"/>
      <c r="C38" s="311" t="s">
        <v>723</v>
      </c>
      <c r="I38" s="313" t="e">
        <f t="shared" ca="1" si="0"/>
        <v>#NAME?</v>
      </c>
      <c r="J38" s="314"/>
      <c r="K38" s="313" t="s">
        <v>708</v>
      </c>
      <c r="L38" s="315"/>
      <c r="M38" s="315"/>
      <c r="N38" s="315"/>
      <c r="O38" s="315"/>
      <c r="P38" s="314"/>
      <c r="S38" s="108" t="s">
        <v>691</v>
      </c>
      <c r="T38" s="108" t="e">
        <f ca="1">_xll.EVDES(S38)</f>
        <v>#NAME?</v>
      </c>
    </row>
    <row r="39" spans="2:20" ht="16" x14ac:dyDescent="0.2">
      <c r="B39" s="311" t="s">
        <v>779</v>
      </c>
      <c r="I39" s="313" t="e">
        <f t="shared" ca="1" si="0"/>
        <v>#NAME?</v>
      </c>
      <c r="J39" s="314"/>
      <c r="K39" s="313" t="s">
        <v>709</v>
      </c>
      <c r="L39" s="315"/>
      <c r="M39" s="315"/>
      <c r="N39" s="315"/>
      <c r="O39" s="315"/>
      <c r="P39" s="314"/>
      <c r="S39" s="108" t="s">
        <v>692</v>
      </c>
      <c r="T39" s="108" t="e">
        <f ca="1">_xll.EVDES(S39)</f>
        <v>#NAME?</v>
      </c>
    </row>
    <row r="40" spans="2:20" ht="16" x14ac:dyDescent="0.2">
      <c r="B40" s="311" t="s">
        <v>783</v>
      </c>
      <c r="C40" s="311"/>
      <c r="I40" s="313" t="e">
        <f t="shared" ca="1" si="0"/>
        <v>#NAME?</v>
      </c>
      <c r="J40" s="314"/>
      <c r="K40" s="313" t="s">
        <v>710</v>
      </c>
      <c r="L40" s="315"/>
      <c r="M40" s="315"/>
      <c r="N40" s="315"/>
      <c r="O40" s="315"/>
      <c r="P40" s="314"/>
      <c r="S40" s="108" t="s">
        <v>693</v>
      </c>
      <c r="T40" s="108" t="e">
        <f ca="1">_xll.EVDES(S40)</f>
        <v>#NAME?</v>
      </c>
    </row>
    <row r="41" spans="2:20" ht="16" x14ac:dyDescent="0.2">
      <c r="I41" s="313" t="e">
        <f t="shared" ca="1" si="0"/>
        <v>#NAME?</v>
      </c>
      <c r="J41" s="314"/>
      <c r="K41" s="313" t="s">
        <v>711</v>
      </c>
      <c r="L41" s="315"/>
      <c r="M41" s="315"/>
      <c r="N41" s="315"/>
      <c r="O41" s="315"/>
      <c r="P41" s="314"/>
      <c r="S41" s="108" t="s">
        <v>694</v>
      </c>
      <c r="T41" s="108" t="e">
        <f ca="1">_xll.EVDES(S41)</f>
        <v>#NAME?</v>
      </c>
    </row>
    <row r="42" spans="2:20" ht="16" x14ac:dyDescent="0.2">
      <c r="B42" s="312" t="s">
        <v>671</v>
      </c>
      <c r="C42" s="311"/>
      <c r="I42" s="313" t="e">
        <f t="shared" ca="1" si="0"/>
        <v>#NAME?</v>
      </c>
      <c r="J42" s="314"/>
      <c r="K42" s="313" t="s">
        <v>712</v>
      </c>
      <c r="L42" s="315"/>
      <c r="M42" s="315"/>
      <c r="N42" s="315"/>
      <c r="O42" s="315"/>
      <c r="P42" s="314"/>
      <c r="S42" s="108" t="s">
        <v>695</v>
      </c>
      <c r="T42" s="108" t="e">
        <f ca="1">_xll.EVDES(S42)</f>
        <v>#NAME?</v>
      </c>
    </row>
    <row r="43" spans="2:20" ht="16" x14ac:dyDescent="0.2">
      <c r="B43" s="311" t="s">
        <v>681</v>
      </c>
      <c r="C43" s="311"/>
      <c r="I43" s="313" t="e">
        <f t="shared" ca="1" si="0"/>
        <v>#NAME?</v>
      </c>
      <c r="J43" s="314"/>
      <c r="K43" s="313" t="s">
        <v>713</v>
      </c>
      <c r="L43" s="315"/>
      <c r="M43" s="315"/>
      <c r="N43" s="315"/>
      <c r="O43" s="315"/>
      <c r="P43" s="314"/>
      <c r="S43" s="108" t="s">
        <v>696</v>
      </c>
      <c r="T43" s="108" t="e">
        <f ca="1">_xll.EVDES(S43)</f>
        <v>#NAME?</v>
      </c>
    </row>
    <row r="44" spans="2:20" ht="16" x14ac:dyDescent="0.2">
      <c r="B44" s="311" t="s">
        <v>715</v>
      </c>
      <c r="C44" s="311"/>
      <c r="I44" s="313" t="e">
        <f t="shared" ca="1" si="0"/>
        <v>#NAME?</v>
      </c>
      <c r="J44" s="314"/>
      <c r="K44" s="313" t="s">
        <v>716</v>
      </c>
      <c r="L44" s="315"/>
      <c r="M44" s="315"/>
      <c r="N44" s="315"/>
      <c r="O44" s="315"/>
      <c r="P44" s="314"/>
      <c r="S44" s="108" t="s">
        <v>697</v>
      </c>
      <c r="T44" s="108" t="e">
        <f ca="1">_xll.EVDES(S44)</f>
        <v>#NAME?</v>
      </c>
    </row>
    <row r="45" spans="2:20" ht="16" x14ac:dyDescent="0.2">
      <c r="B45" s="311" t="s">
        <v>672</v>
      </c>
      <c r="C45" s="311"/>
      <c r="I45" s="313" t="e">
        <f t="shared" ca="1" si="0"/>
        <v>#NAME?</v>
      </c>
      <c r="J45" s="314"/>
      <c r="K45" s="313" t="s">
        <v>717</v>
      </c>
      <c r="L45" s="315"/>
      <c r="M45" s="315"/>
      <c r="N45" s="315"/>
      <c r="O45" s="315"/>
      <c r="P45" s="314"/>
      <c r="S45" s="108" t="s">
        <v>698</v>
      </c>
      <c r="T45" s="108" t="e">
        <f ca="1">_xll.EVDES(S45)</f>
        <v>#NAME?</v>
      </c>
    </row>
    <row r="46" spans="2:20" ht="16" x14ac:dyDescent="0.2">
      <c r="B46" s="311" t="s">
        <v>678</v>
      </c>
      <c r="C46" s="311"/>
      <c r="I46" s="313" t="e">
        <f t="shared" ca="1" si="0"/>
        <v>#NAME?</v>
      </c>
      <c r="J46" s="314"/>
      <c r="K46" s="313" t="s">
        <v>718</v>
      </c>
      <c r="L46" s="315"/>
      <c r="M46" s="315"/>
      <c r="N46" s="315"/>
      <c r="O46" s="315"/>
      <c r="P46" s="314"/>
      <c r="S46" s="108" t="s">
        <v>699</v>
      </c>
      <c r="T46" s="108" t="e">
        <f ca="1">_xll.EVDES(S46)</f>
        <v>#NAME?</v>
      </c>
    </row>
    <row r="47" spans="2:20" ht="16" x14ac:dyDescent="0.2">
      <c r="B47" s="311" t="s">
        <v>673</v>
      </c>
      <c r="C47" s="311"/>
      <c r="I47" s="313" t="e">
        <f t="shared" ca="1" si="0"/>
        <v>#NAME?</v>
      </c>
      <c r="J47" s="314"/>
      <c r="K47" s="313" t="s">
        <v>795</v>
      </c>
      <c r="L47" s="315"/>
      <c r="M47" s="315"/>
      <c r="N47" s="315"/>
      <c r="O47" s="315"/>
      <c r="P47" s="314"/>
      <c r="S47" s="108" t="s">
        <v>796</v>
      </c>
      <c r="T47" s="108" t="e">
        <f ca="1">_xll.EVDES(S47)</f>
        <v>#NAME?</v>
      </c>
    </row>
    <row r="48" spans="2:20" ht="16" x14ac:dyDescent="0.2">
      <c r="B48" s="311" t="s">
        <v>674</v>
      </c>
      <c r="C48" s="311"/>
      <c r="I48" s="313" t="e">
        <f t="shared" ca="1" si="0"/>
        <v>#NAME?</v>
      </c>
      <c r="J48" s="314"/>
      <c r="K48" s="313" t="s">
        <v>795</v>
      </c>
      <c r="L48" s="315"/>
      <c r="M48" s="315"/>
      <c r="N48" s="315"/>
      <c r="O48" s="315"/>
      <c r="P48" s="314"/>
      <c r="S48" s="108" t="s">
        <v>797</v>
      </c>
      <c r="T48" s="108" t="e">
        <f ca="1">_xll.EVDES(S48)</f>
        <v>#NAME?</v>
      </c>
    </row>
    <row r="49" spans="2:20" ht="16" x14ac:dyDescent="0.2">
      <c r="B49" s="311"/>
      <c r="C49" s="311" t="s">
        <v>675</v>
      </c>
      <c r="I49" s="313" t="e">
        <f t="shared" ca="1" si="0"/>
        <v>#NAME?</v>
      </c>
      <c r="J49" s="314"/>
      <c r="K49" s="313" t="s">
        <v>795</v>
      </c>
      <c r="L49" s="315"/>
      <c r="M49" s="315"/>
      <c r="N49" s="315"/>
      <c r="O49" s="315"/>
      <c r="P49" s="314"/>
      <c r="S49" s="108" t="s">
        <v>798</v>
      </c>
      <c r="T49" s="108" t="e">
        <f ca="1">_xll.EVDES(S49)</f>
        <v>#NAME?</v>
      </c>
    </row>
    <row r="50" spans="2:20" ht="16" x14ac:dyDescent="0.2">
      <c r="B50" s="311"/>
      <c r="C50" s="311" t="s">
        <v>676</v>
      </c>
      <c r="I50" s="313" t="e">
        <f t="shared" ca="1" si="0"/>
        <v>#NAME?</v>
      </c>
      <c r="J50" s="314"/>
      <c r="K50" s="313" t="s">
        <v>795</v>
      </c>
      <c r="L50" s="315"/>
      <c r="M50" s="315"/>
      <c r="N50" s="315"/>
      <c r="O50" s="315"/>
      <c r="P50" s="314"/>
      <c r="S50" s="108" t="s">
        <v>799</v>
      </c>
      <c r="T50" s="108" t="e">
        <f ca="1">_xll.EVDES(S50)</f>
        <v>#NAME?</v>
      </c>
    </row>
    <row r="51" spans="2:20" ht="16" x14ac:dyDescent="0.2">
      <c r="B51" s="311"/>
      <c r="C51" s="311" t="s">
        <v>719</v>
      </c>
    </row>
    <row r="52" spans="2:20" ht="16" x14ac:dyDescent="0.2">
      <c r="B52" s="311"/>
      <c r="C52" s="311" t="s">
        <v>677</v>
      </c>
    </row>
    <row r="53" spans="2:20" ht="16" x14ac:dyDescent="0.2">
      <c r="B53" s="311" t="s">
        <v>679</v>
      </c>
      <c r="C53" s="311"/>
    </row>
    <row r="54" spans="2:20" ht="16" x14ac:dyDescent="0.2">
      <c r="B54" s="311" t="s">
        <v>680</v>
      </c>
      <c r="C54" s="311"/>
    </row>
  </sheetData>
  <mergeCells count="3">
    <mergeCell ref="C6:C7"/>
    <mergeCell ref="F6:F7"/>
    <mergeCell ref="I6:I7"/>
  </mergeCells>
  <conditionalFormatting sqref="C8:D8">
    <cfRule type="expression" dxfId="184" priority="1">
      <formula>LEFT($D$6,3)&lt;&gt;"ALT"</formula>
    </cfRule>
  </conditionalFormatting>
  <dataValidations count="1">
    <dataValidation type="list" showInputMessage="1" showErrorMessage="1" sqref="D8" xr:uid="{00000000-0002-0000-0000-000000000000}">
      <formula1>"BUD,FCST"</formula1>
    </dataValidation>
  </dataValidations>
  <pageMargins left="0.25" right="0.25" top="0.5" bottom="0.5" header="0.3" footer="0.3"/>
  <pageSetup scale="42" orientation="landscape" r:id="rId1"/>
  <customProperties>
    <customPr name="EpmWorksheetKeyString_GUID" r:id="rId2"/>
    <customPr name="FPMExcelClientCellBasedFunctionStatus" r:id="rId3"/>
    <customPr name="FPMExcelClientRefreshTime"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5130" r:id="rId7" name="Check Box 10">
              <controlPr defaultSize="0" print="0" autoFill="0" autoLine="0" autoPict="0">
                <anchor moveWithCells="1">
                  <from>
                    <xdr:col>14</xdr:col>
                    <xdr:colOff>50800</xdr:colOff>
                    <xdr:row>4</xdr:row>
                    <xdr:rowOff>177800</xdr:rowOff>
                  </from>
                  <to>
                    <xdr:col>15</xdr:col>
                    <xdr:colOff>0</xdr:colOff>
                    <xdr:row>6</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W54"/>
  <sheetViews>
    <sheetView topLeftCell="A3" zoomScale="85" zoomScaleNormal="85" workbookViewId="0">
      <selection activeCell="C13" sqref="C13"/>
    </sheetView>
  </sheetViews>
  <sheetFormatPr baseColWidth="10" defaultColWidth="9.1640625" defaultRowHeight="15" outlineLevelRow="1" outlineLevelCol="1" x14ac:dyDescent="0.2"/>
  <cols>
    <col min="1" max="1" width="4.6640625" style="108" customWidth="1"/>
    <col min="2" max="2" width="2.6640625" style="108" customWidth="1"/>
    <col min="3" max="3" width="21.5" style="108" bestFit="1" customWidth="1"/>
    <col min="4" max="4" width="16.6640625" style="108" customWidth="1"/>
    <col min="5" max="5" width="24.6640625" style="108" customWidth="1"/>
    <col min="6" max="6" width="21.33203125" style="108" bestFit="1" customWidth="1"/>
    <col min="7" max="7" width="16.6640625" style="108" customWidth="1"/>
    <col min="8" max="8" width="22.6640625" style="108" customWidth="1"/>
    <col min="9" max="9" width="21.6640625" style="108" customWidth="1"/>
    <col min="10" max="10" width="16.6640625" style="108" customWidth="1"/>
    <col min="11" max="11" width="24.6640625" style="108" customWidth="1"/>
    <col min="12" max="12" width="2.6640625" style="108" customWidth="1"/>
    <col min="13" max="13" width="5.6640625" style="108" customWidth="1"/>
    <col min="14" max="14" width="2.6640625" style="108" customWidth="1"/>
    <col min="15" max="15" width="9.1640625" style="108"/>
    <col min="16" max="16" width="17.6640625" style="108" customWidth="1"/>
    <col min="17" max="17" width="14.6640625" style="108" customWidth="1"/>
    <col min="18" max="18" width="2.6640625" style="108" customWidth="1"/>
    <col min="19" max="19" width="14.33203125" style="108" hidden="1" customWidth="1" outlineLevel="1"/>
    <col min="20" max="20" width="0" style="108" hidden="1" customWidth="1" outlineLevel="1"/>
    <col min="21" max="21" width="9.1640625" style="108" collapsed="1"/>
    <col min="22" max="16384" width="9.1640625" style="108"/>
  </cols>
  <sheetData>
    <row r="1" spans="2:18" hidden="1" outlineLevel="1" x14ac:dyDescent="0.2">
      <c r="C1" s="212">
        <v>20250100</v>
      </c>
      <c r="D1" s="212" t="str">
        <f>LEFT($C$1,4)&amp;".TOTAL"</f>
        <v>2025.TOTAL</v>
      </c>
      <c r="E1" s="1" t="s">
        <v>114</v>
      </c>
      <c r="F1" s="212" t="s">
        <v>953</v>
      </c>
      <c r="G1" s="1" t="s">
        <v>114</v>
      </c>
      <c r="O1" s="212" t="b">
        <v>0</v>
      </c>
      <c r="P1" s="1" t="s">
        <v>114</v>
      </c>
    </row>
    <row r="2" spans="2:18" hidden="1" outlineLevel="1" x14ac:dyDescent="0.2">
      <c r="C2" s="1"/>
      <c r="D2" s="1"/>
      <c r="E2" s="1"/>
    </row>
    <row r="3" spans="2:18" ht="16" collapsed="1" thickBot="1" x14ac:dyDescent="0.25"/>
    <row r="4" spans="2:18" x14ac:dyDescent="0.2">
      <c r="B4" s="219" t="s">
        <v>113</v>
      </c>
      <c r="C4" s="226"/>
      <c r="D4" s="220"/>
      <c r="E4" s="220"/>
      <c r="F4" s="221"/>
      <c r="G4" s="221"/>
      <c r="H4" s="221"/>
      <c r="I4" s="221"/>
      <c r="J4" s="221"/>
      <c r="K4" s="221"/>
      <c r="L4" s="222"/>
      <c r="N4" s="241" t="s">
        <v>113</v>
      </c>
      <c r="O4" s="242"/>
      <c r="P4" s="221"/>
      <c r="Q4" s="221"/>
      <c r="R4" s="222"/>
    </row>
    <row r="5" spans="2:18" x14ac:dyDescent="0.2">
      <c r="B5" s="216"/>
      <c r="D5" s="109"/>
      <c r="E5" s="109"/>
      <c r="F5" s="110"/>
      <c r="G5" s="110"/>
      <c r="L5" s="217"/>
      <c r="N5" s="216"/>
      <c r="R5" s="217"/>
    </row>
    <row r="6" spans="2:18" x14ac:dyDescent="0.2">
      <c r="B6" s="216"/>
      <c r="C6" s="536" t="s">
        <v>627</v>
      </c>
      <c r="D6" s="215" t="s">
        <v>255</v>
      </c>
      <c r="E6" s="108" t="s">
        <v>112</v>
      </c>
      <c r="F6" s="536" t="s">
        <v>629</v>
      </c>
      <c r="G6" s="215" t="s">
        <v>685</v>
      </c>
      <c r="H6" s="108" t="s">
        <v>112</v>
      </c>
      <c r="I6" s="536" t="s">
        <v>630</v>
      </c>
      <c r="J6" s="215" t="s">
        <v>682</v>
      </c>
      <c r="K6" s="108" t="s">
        <v>112</v>
      </c>
      <c r="L6" s="217"/>
      <c r="N6" s="216"/>
      <c r="P6" s="108" t="s">
        <v>632</v>
      </c>
      <c r="Q6" s="215" t="s">
        <v>954</v>
      </c>
      <c r="R6" s="217"/>
    </row>
    <row r="7" spans="2:18" ht="15" customHeight="1" x14ac:dyDescent="0.2">
      <c r="B7" s="216"/>
      <c r="C7" s="537"/>
      <c r="D7" s="215" t="s">
        <v>953</v>
      </c>
      <c r="E7" s="108" t="s">
        <v>628</v>
      </c>
      <c r="F7" s="537"/>
      <c r="G7" s="215" t="s">
        <v>953</v>
      </c>
      <c r="H7" s="108" t="s">
        <v>628</v>
      </c>
      <c r="I7" s="537"/>
      <c r="J7" s="215" t="s">
        <v>955</v>
      </c>
      <c r="K7" s="108" t="s">
        <v>628</v>
      </c>
      <c r="L7" s="217"/>
      <c r="N7" s="216" t="s">
        <v>633</v>
      </c>
      <c r="R7" s="217"/>
    </row>
    <row r="8" spans="2:18" ht="15" customHeight="1" x14ac:dyDescent="0.2">
      <c r="B8" s="216"/>
      <c r="C8" s="452" t="s">
        <v>792</v>
      </c>
      <c r="D8" s="215" t="s">
        <v>824</v>
      </c>
      <c r="E8" s="108" t="s">
        <v>793</v>
      </c>
      <c r="F8" s="451"/>
      <c r="G8" s="453"/>
      <c r="I8" s="451"/>
      <c r="J8" s="453"/>
      <c r="L8" s="217"/>
      <c r="N8" s="216" t="s">
        <v>635</v>
      </c>
      <c r="R8" s="217"/>
    </row>
    <row r="9" spans="2:18" x14ac:dyDescent="0.2">
      <c r="B9" s="216"/>
      <c r="C9" s="225"/>
      <c r="L9" s="217"/>
      <c r="N9" s="216" t="s">
        <v>634</v>
      </c>
      <c r="R9" s="217"/>
    </row>
    <row r="10" spans="2:18" x14ac:dyDescent="0.2">
      <c r="B10" s="216"/>
      <c r="C10" s="442" t="s">
        <v>780</v>
      </c>
      <c r="D10" s="215" t="s">
        <v>62</v>
      </c>
      <c r="E10" s="108" t="s">
        <v>781</v>
      </c>
      <c r="L10" s="217"/>
      <c r="N10" s="216"/>
      <c r="R10" s="217"/>
    </row>
    <row r="11" spans="2:18" ht="16" thickBot="1" x14ac:dyDescent="0.25">
      <c r="B11" s="218"/>
      <c r="C11" s="227"/>
      <c r="D11" s="443"/>
      <c r="E11" s="223"/>
      <c r="F11" s="223"/>
      <c r="G11" s="223"/>
      <c r="H11" s="223"/>
      <c r="I11" s="223"/>
      <c r="J11" s="223"/>
      <c r="K11" s="223"/>
      <c r="L11" s="224"/>
      <c r="N11" s="218"/>
      <c r="O11" s="239"/>
      <c r="P11" s="239"/>
      <c r="Q11" s="239"/>
      <c r="R11" s="240"/>
    </row>
    <row r="12" spans="2:18" ht="16" thickBot="1" x14ac:dyDescent="0.25">
      <c r="C12" s="109"/>
      <c r="E12" s="444"/>
      <c r="F12" s="444"/>
      <c r="G12" s="444"/>
      <c r="H12" s="444"/>
      <c r="I12" s="444"/>
      <c r="J12" s="444"/>
      <c r="K12" s="444"/>
      <c r="L12" s="444"/>
    </row>
    <row r="13" spans="2:18" ht="40.5" customHeight="1" thickBot="1" x14ac:dyDescent="0.25">
      <c r="C13" s="445" t="s">
        <v>956</v>
      </c>
      <c r="D13" s="446" t="s">
        <v>784</v>
      </c>
    </row>
    <row r="24" spans="1:23" x14ac:dyDescent="0.2">
      <c r="E24" s="111" t="str">
        <f>C6</f>
        <v>Monthly Data Columns</v>
      </c>
      <c r="F24" s="228"/>
      <c r="G24" s="112"/>
      <c r="I24" s="229" t="str">
        <f>F6</f>
        <v>Comparison 1 Column</v>
      </c>
      <c r="K24" s="229" t="str">
        <f>I6</f>
        <v>Comparison 2 Column</v>
      </c>
    </row>
    <row r="25" spans="1:23" ht="16" thickBot="1" x14ac:dyDescent="0.25"/>
    <row r="26" spans="1:23" x14ac:dyDescent="0.2">
      <c r="A26" s="316"/>
      <c r="B26" s="316"/>
      <c r="C26" s="316"/>
      <c r="D26" s="316"/>
      <c r="E26" s="316"/>
      <c r="F26" s="316"/>
      <c r="G26" s="316"/>
      <c r="H26" s="316"/>
      <c r="I26" s="316"/>
      <c r="J26" s="316"/>
      <c r="K26" s="316"/>
      <c r="L26" s="316"/>
      <c r="M26" s="316"/>
      <c r="N26" s="316"/>
      <c r="O26" s="316"/>
      <c r="P26" s="316"/>
      <c r="Q26" s="316"/>
      <c r="R26" s="316"/>
      <c r="S26" s="316"/>
      <c r="T26" s="316"/>
      <c r="U26" s="316"/>
      <c r="V26" s="316"/>
      <c r="W26" s="316"/>
    </row>
    <row r="27" spans="1:23" ht="16" x14ac:dyDescent="0.2">
      <c r="B27" s="312" t="s">
        <v>669</v>
      </c>
      <c r="I27" s="312" t="s">
        <v>670</v>
      </c>
    </row>
    <row r="28" spans="1:23" ht="16" x14ac:dyDescent="0.2">
      <c r="B28" s="311" t="s">
        <v>668</v>
      </c>
      <c r="I28" s="313" t="str">
        <f t="shared" ref="I28:I50" si="0">S28&amp;" - "&amp;T28</f>
        <v>ACTUAL_CON - Actual</v>
      </c>
      <c r="J28" s="314"/>
      <c r="K28" s="313" t="s">
        <v>700</v>
      </c>
      <c r="L28" s="315"/>
      <c r="M28" s="315"/>
      <c r="N28" s="315"/>
      <c r="O28" s="315"/>
      <c r="P28" s="314"/>
      <c r="S28" s="108" t="s">
        <v>682</v>
      </c>
      <c r="T28" s="108" t="s">
        <v>957</v>
      </c>
    </row>
    <row r="29" spans="1:23" ht="16" x14ac:dyDescent="0.2">
      <c r="B29" s="311" t="s">
        <v>776</v>
      </c>
      <c r="I29" s="313" t="str">
        <f t="shared" si="0"/>
        <v>ACTUAL - Actual</v>
      </c>
      <c r="J29" s="314"/>
      <c r="K29" s="313" t="s">
        <v>701</v>
      </c>
      <c r="L29" s="315"/>
      <c r="M29" s="315"/>
      <c r="N29" s="315"/>
      <c r="O29" s="315"/>
      <c r="P29" s="314"/>
      <c r="S29" s="108" t="s">
        <v>683</v>
      </c>
      <c r="T29" s="108" t="s">
        <v>957</v>
      </c>
    </row>
    <row r="30" spans="1:23" ht="16" x14ac:dyDescent="0.2">
      <c r="B30" s="311" t="s">
        <v>777</v>
      </c>
      <c r="I30" s="313" t="str">
        <f t="shared" si="0"/>
        <v>HISTORY - GL History- Pre_Kimpton</v>
      </c>
      <c r="J30" s="314"/>
      <c r="K30" s="313" t="s">
        <v>702</v>
      </c>
      <c r="L30" s="315"/>
      <c r="M30" s="315"/>
      <c r="N30" s="315"/>
      <c r="O30" s="315"/>
      <c r="P30" s="314"/>
      <c r="S30" s="108" t="s">
        <v>684</v>
      </c>
      <c r="T30" s="108" t="s">
        <v>958</v>
      </c>
    </row>
    <row r="31" spans="1:23" ht="16" x14ac:dyDescent="0.2">
      <c r="B31" s="311"/>
      <c r="C31" s="311" t="s">
        <v>720</v>
      </c>
      <c r="I31" s="313" t="str">
        <f t="shared" si="0"/>
        <v>BUDGET - Budget</v>
      </c>
      <c r="J31" s="314"/>
      <c r="K31" s="313" t="s">
        <v>703</v>
      </c>
      <c r="L31" s="315"/>
      <c r="M31" s="315"/>
      <c r="N31" s="315"/>
      <c r="O31" s="315"/>
      <c r="P31" s="314"/>
      <c r="S31" s="108" t="s">
        <v>685</v>
      </c>
      <c r="T31" s="108" t="s">
        <v>959</v>
      </c>
    </row>
    <row r="32" spans="1:23" ht="16" x14ac:dyDescent="0.2">
      <c r="B32" s="311"/>
      <c r="C32" s="311" t="s">
        <v>773</v>
      </c>
      <c r="I32" s="313" t="str">
        <f t="shared" si="0"/>
        <v>CURRENT - Forecast</v>
      </c>
      <c r="J32" s="314"/>
      <c r="K32" s="313" t="s">
        <v>704</v>
      </c>
      <c r="L32" s="315"/>
      <c r="M32" s="315"/>
      <c r="N32" s="315"/>
      <c r="O32" s="315"/>
      <c r="P32" s="314"/>
      <c r="S32" s="108" t="s">
        <v>255</v>
      </c>
      <c r="T32" s="108" t="s">
        <v>960</v>
      </c>
    </row>
    <row r="33" spans="2:20" ht="16" x14ac:dyDescent="0.2">
      <c r="B33" s="311"/>
      <c r="C33" s="311" t="s">
        <v>721</v>
      </c>
      <c r="I33" s="313" t="str">
        <f t="shared" si="0"/>
        <v>BUD_PROOF - Budget Proof</v>
      </c>
      <c r="J33" s="314"/>
      <c r="K33" s="313" t="s">
        <v>705</v>
      </c>
      <c r="L33" s="315"/>
      <c r="M33" s="315"/>
      <c r="N33" s="315"/>
      <c r="O33" s="315"/>
      <c r="P33" s="314"/>
      <c r="S33" s="108" t="s">
        <v>686</v>
      </c>
      <c r="T33" s="108" t="s">
        <v>961</v>
      </c>
    </row>
    <row r="34" spans="2:20" ht="16" x14ac:dyDescent="0.2">
      <c r="B34" s="311"/>
      <c r="C34" s="454" t="s">
        <v>794</v>
      </c>
      <c r="I34" s="313" t="str">
        <f t="shared" si="0"/>
        <v>JANFORECAST - JANUARY FORECAST</v>
      </c>
      <c r="J34" s="314"/>
      <c r="K34" s="313" t="s">
        <v>724</v>
      </c>
      <c r="L34" s="315"/>
      <c r="M34" s="315"/>
      <c r="N34" s="315"/>
      <c r="O34" s="315"/>
      <c r="P34" s="314"/>
      <c r="S34" s="108" t="s">
        <v>687</v>
      </c>
      <c r="T34" s="108" t="s">
        <v>962</v>
      </c>
    </row>
    <row r="35" spans="2:20" ht="16" x14ac:dyDescent="0.2">
      <c r="B35" s="311"/>
      <c r="C35" s="311" t="s">
        <v>722</v>
      </c>
      <c r="I35" s="313" t="str">
        <f t="shared" si="0"/>
        <v>FEBFORECAST - FEBRUARY FORECAST</v>
      </c>
      <c r="J35" s="314"/>
      <c r="K35" s="313" t="s">
        <v>714</v>
      </c>
      <c r="L35" s="315"/>
      <c r="M35" s="315"/>
      <c r="N35" s="315"/>
      <c r="O35" s="315"/>
      <c r="P35" s="314"/>
      <c r="S35" s="108" t="s">
        <v>688</v>
      </c>
      <c r="T35" s="108" t="s">
        <v>963</v>
      </c>
    </row>
    <row r="36" spans="2:20" ht="16" x14ac:dyDescent="0.2">
      <c r="B36" s="311" t="s">
        <v>778</v>
      </c>
      <c r="C36" s="311"/>
      <c r="I36" s="313" t="str">
        <f t="shared" si="0"/>
        <v>MARFORECAST - MARCH FORECAST</v>
      </c>
      <c r="J36" s="314"/>
      <c r="K36" s="313" t="s">
        <v>706</v>
      </c>
      <c r="L36" s="315"/>
      <c r="M36" s="315"/>
      <c r="N36" s="315"/>
      <c r="O36" s="315"/>
      <c r="P36" s="314"/>
      <c r="S36" s="108" t="s">
        <v>689</v>
      </c>
      <c r="T36" s="108" t="s">
        <v>964</v>
      </c>
    </row>
    <row r="37" spans="2:20" ht="16" x14ac:dyDescent="0.2">
      <c r="B37" s="311"/>
      <c r="C37" s="311" t="s">
        <v>785</v>
      </c>
      <c r="I37" s="313" t="str">
        <f t="shared" si="0"/>
        <v>APRFORECAST - APRIL FORECAST</v>
      </c>
      <c r="J37" s="314"/>
      <c r="K37" s="313" t="s">
        <v>707</v>
      </c>
      <c r="L37" s="315"/>
      <c r="M37" s="315"/>
      <c r="N37" s="315"/>
      <c r="O37" s="315"/>
      <c r="P37" s="314"/>
      <c r="S37" s="108" t="s">
        <v>690</v>
      </c>
      <c r="T37" s="108" t="s">
        <v>965</v>
      </c>
    </row>
    <row r="38" spans="2:20" ht="16" x14ac:dyDescent="0.2">
      <c r="B38" s="311"/>
      <c r="C38" s="311" t="s">
        <v>723</v>
      </c>
      <c r="I38" s="313" t="str">
        <f t="shared" si="0"/>
        <v>MAYFORECAST - MAY FORECAST</v>
      </c>
      <c r="J38" s="314"/>
      <c r="K38" s="313" t="s">
        <v>708</v>
      </c>
      <c r="L38" s="315"/>
      <c r="M38" s="315"/>
      <c r="N38" s="315"/>
      <c r="O38" s="315"/>
      <c r="P38" s="314"/>
      <c r="S38" s="108" t="s">
        <v>691</v>
      </c>
      <c r="T38" s="108" t="s">
        <v>966</v>
      </c>
    </row>
    <row r="39" spans="2:20" ht="16" x14ac:dyDescent="0.2">
      <c r="B39" s="311" t="s">
        <v>779</v>
      </c>
      <c r="I39" s="313" t="str">
        <f t="shared" si="0"/>
        <v>JUNFORECAST - JUNE FORECAST</v>
      </c>
      <c r="J39" s="314"/>
      <c r="K39" s="313" t="s">
        <v>709</v>
      </c>
      <c r="L39" s="315"/>
      <c r="M39" s="315"/>
      <c r="N39" s="315"/>
      <c r="O39" s="315"/>
      <c r="P39" s="314"/>
      <c r="S39" s="108" t="s">
        <v>692</v>
      </c>
      <c r="T39" s="108" t="s">
        <v>967</v>
      </c>
    </row>
    <row r="40" spans="2:20" ht="16" x14ac:dyDescent="0.2">
      <c r="B40" s="311" t="s">
        <v>783</v>
      </c>
      <c r="C40" s="311"/>
      <c r="I40" s="313" t="str">
        <f t="shared" si="0"/>
        <v>JULFORECAST - JULY FORECAST</v>
      </c>
      <c r="J40" s="314"/>
      <c r="K40" s="313" t="s">
        <v>710</v>
      </c>
      <c r="L40" s="315"/>
      <c r="M40" s="315"/>
      <c r="N40" s="315"/>
      <c r="O40" s="315"/>
      <c r="P40" s="314"/>
      <c r="S40" s="108" t="s">
        <v>693</v>
      </c>
      <c r="T40" s="108" t="s">
        <v>968</v>
      </c>
    </row>
    <row r="41" spans="2:20" ht="16" x14ac:dyDescent="0.2">
      <c r="I41" s="313" t="str">
        <f t="shared" si="0"/>
        <v>AUGFORECAST - AUGUST FORECAST</v>
      </c>
      <c r="J41" s="314"/>
      <c r="K41" s="313" t="s">
        <v>711</v>
      </c>
      <c r="L41" s="315"/>
      <c r="M41" s="315"/>
      <c r="N41" s="315"/>
      <c r="O41" s="315"/>
      <c r="P41" s="314"/>
      <c r="S41" s="108" t="s">
        <v>694</v>
      </c>
      <c r="T41" s="108" t="s">
        <v>969</v>
      </c>
    </row>
    <row r="42" spans="2:20" ht="16" x14ac:dyDescent="0.2">
      <c r="B42" s="312" t="s">
        <v>671</v>
      </c>
      <c r="C42" s="311"/>
      <c r="I42" s="313" t="str">
        <f t="shared" si="0"/>
        <v>SEPFORECAST - SEPTEMBER FORECAST</v>
      </c>
      <c r="J42" s="314"/>
      <c r="K42" s="313" t="s">
        <v>712</v>
      </c>
      <c r="L42" s="315"/>
      <c r="M42" s="315"/>
      <c r="N42" s="315"/>
      <c r="O42" s="315"/>
      <c r="P42" s="314"/>
      <c r="S42" s="108" t="s">
        <v>695</v>
      </c>
      <c r="T42" s="108" t="s">
        <v>970</v>
      </c>
    </row>
    <row r="43" spans="2:20" ht="16" x14ac:dyDescent="0.2">
      <c r="B43" s="311" t="s">
        <v>681</v>
      </c>
      <c r="C43" s="311"/>
      <c r="I43" s="313" t="str">
        <f t="shared" si="0"/>
        <v>OCTFORECAST - OCTOBER FORECAST</v>
      </c>
      <c r="J43" s="314"/>
      <c r="K43" s="313" t="s">
        <v>713</v>
      </c>
      <c r="L43" s="315"/>
      <c r="M43" s="315"/>
      <c r="N43" s="315"/>
      <c r="O43" s="315"/>
      <c r="P43" s="314"/>
      <c r="S43" s="108" t="s">
        <v>696</v>
      </c>
      <c r="T43" s="108" t="s">
        <v>971</v>
      </c>
    </row>
    <row r="44" spans="2:20" ht="16" x14ac:dyDescent="0.2">
      <c r="B44" s="311" t="s">
        <v>715</v>
      </c>
      <c r="C44" s="311"/>
      <c r="I44" s="313" t="str">
        <f t="shared" si="0"/>
        <v>NOVFORECAST - NOVEMBER FORECAST</v>
      </c>
      <c r="J44" s="314"/>
      <c r="K44" s="313" t="s">
        <v>716</v>
      </c>
      <c r="L44" s="315"/>
      <c r="M44" s="315"/>
      <c r="N44" s="315"/>
      <c r="O44" s="315"/>
      <c r="P44" s="314"/>
      <c r="S44" s="108" t="s">
        <v>697</v>
      </c>
      <c r="T44" s="108" t="s">
        <v>972</v>
      </c>
    </row>
    <row r="45" spans="2:20" ht="16" x14ac:dyDescent="0.2">
      <c r="B45" s="311" t="s">
        <v>672</v>
      </c>
      <c r="C45" s="311"/>
      <c r="I45" s="313" t="str">
        <f t="shared" si="0"/>
        <v>DECFORECAST - DECEMBER FORECAST</v>
      </c>
      <c r="J45" s="314"/>
      <c r="K45" s="313" t="s">
        <v>717</v>
      </c>
      <c r="L45" s="315"/>
      <c r="M45" s="315"/>
      <c r="N45" s="315"/>
      <c r="O45" s="315"/>
      <c r="P45" s="314"/>
      <c r="S45" s="108" t="s">
        <v>698</v>
      </c>
      <c r="T45" s="108" t="s">
        <v>973</v>
      </c>
    </row>
    <row r="46" spans="2:20" ht="16" x14ac:dyDescent="0.2">
      <c r="B46" s="311" t="s">
        <v>678</v>
      </c>
      <c r="C46" s="311"/>
      <c r="I46" s="313" t="str">
        <f t="shared" si="0"/>
        <v>BUDSNAP - Forecast Snapshot</v>
      </c>
      <c r="J46" s="314"/>
      <c r="K46" s="313" t="s">
        <v>718</v>
      </c>
      <c r="L46" s="315"/>
      <c r="M46" s="315"/>
      <c r="N46" s="315"/>
      <c r="O46" s="315"/>
      <c r="P46" s="314"/>
      <c r="S46" s="108" t="s">
        <v>699</v>
      </c>
      <c r="T46" s="108" t="s">
        <v>974</v>
      </c>
    </row>
    <row r="47" spans="2:20" ht="16" x14ac:dyDescent="0.2">
      <c r="B47" s="311" t="s">
        <v>673</v>
      </c>
      <c r="C47" s="311"/>
      <c r="I47" s="313" t="str">
        <f t="shared" si="0"/>
        <v>ALT1 - Scenario 1</v>
      </c>
      <c r="J47" s="314"/>
      <c r="K47" s="313" t="s">
        <v>795</v>
      </c>
      <c r="L47" s="315"/>
      <c r="M47" s="315"/>
      <c r="N47" s="315"/>
      <c r="O47" s="315"/>
      <c r="P47" s="314"/>
      <c r="S47" s="108" t="s">
        <v>796</v>
      </c>
      <c r="T47" s="108" t="s">
        <v>975</v>
      </c>
    </row>
    <row r="48" spans="2:20" ht="16" x14ac:dyDescent="0.2">
      <c r="B48" s="311" t="s">
        <v>674</v>
      </c>
      <c r="C48" s="311"/>
      <c r="I48" s="313" t="str">
        <f t="shared" si="0"/>
        <v>ALT2 - Scenario 2</v>
      </c>
      <c r="J48" s="314"/>
      <c r="K48" s="313" t="s">
        <v>795</v>
      </c>
      <c r="L48" s="315"/>
      <c r="M48" s="315"/>
      <c r="N48" s="315"/>
      <c r="O48" s="315"/>
      <c r="P48" s="314"/>
      <c r="S48" s="108" t="s">
        <v>797</v>
      </c>
      <c r="T48" s="108" t="s">
        <v>976</v>
      </c>
    </row>
    <row r="49" spans="2:20" ht="16" x14ac:dyDescent="0.2">
      <c r="B49" s="311"/>
      <c r="C49" s="311" t="s">
        <v>675</v>
      </c>
      <c r="I49" s="313" t="str">
        <f t="shared" si="0"/>
        <v>ALT3 - Scenario 3</v>
      </c>
      <c r="J49" s="314"/>
      <c r="K49" s="313" t="s">
        <v>795</v>
      </c>
      <c r="L49" s="315"/>
      <c r="M49" s="315"/>
      <c r="N49" s="315"/>
      <c r="O49" s="315"/>
      <c r="P49" s="314"/>
      <c r="S49" s="108" t="s">
        <v>798</v>
      </c>
      <c r="T49" s="108" t="s">
        <v>977</v>
      </c>
    </row>
    <row r="50" spans="2:20" ht="16" x14ac:dyDescent="0.2">
      <c r="B50" s="311"/>
      <c r="C50" s="311" t="s">
        <v>676</v>
      </c>
      <c r="I50" s="313" t="str">
        <f t="shared" si="0"/>
        <v>ALT4 - Scenario 4</v>
      </c>
      <c r="J50" s="314"/>
      <c r="K50" s="313" t="s">
        <v>795</v>
      </c>
      <c r="L50" s="315"/>
      <c r="M50" s="315"/>
      <c r="N50" s="315"/>
      <c r="O50" s="315"/>
      <c r="P50" s="314"/>
      <c r="S50" s="108" t="s">
        <v>799</v>
      </c>
      <c r="T50" s="108" t="s">
        <v>978</v>
      </c>
    </row>
    <row r="51" spans="2:20" ht="16" x14ac:dyDescent="0.2">
      <c r="B51" s="311"/>
      <c r="C51" s="311" t="s">
        <v>719</v>
      </c>
    </row>
    <row r="52" spans="2:20" ht="16" x14ac:dyDescent="0.2">
      <c r="B52" s="311"/>
      <c r="C52" s="311" t="s">
        <v>677</v>
      </c>
    </row>
    <row r="53" spans="2:20" ht="16" x14ac:dyDescent="0.2">
      <c r="B53" s="311" t="s">
        <v>679</v>
      </c>
      <c r="C53" s="311"/>
    </row>
    <row r="54" spans="2:20" ht="16" x14ac:dyDescent="0.2">
      <c r="B54" s="311" t="s">
        <v>680</v>
      </c>
      <c r="C54" s="311"/>
    </row>
  </sheetData>
  <mergeCells count="3">
    <mergeCell ref="C6:C7"/>
    <mergeCell ref="F6:F7"/>
    <mergeCell ref="I6:I7"/>
  </mergeCells>
  <conditionalFormatting sqref="C8:D8">
    <cfRule type="expression" dxfId="183" priority="1">
      <formula>LEFT($D$6,3)&lt;&gt;"ALT"</formula>
    </cfRule>
  </conditionalFormatting>
  <dataValidations count="1">
    <dataValidation type="list" showInputMessage="1" showErrorMessage="1" sqref="D8" xr:uid="{00000000-0002-0000-0100-000000000000}">
      <formula1>"BUD,FCST"</formula1>
    </dataValidation>
  </dataValidations>
  <pageMargins left="0.25" right="0.25" top="0.5" bottom="0.5" header="0.3" footer="0.3"/>
  <pageSetup scale="42" orientation="landscape" r:id="rId1"/>
  <customProperties>
    <customPr name="EpmWorksheetKeyString_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330753" r:id="rId5" name="Check Box 1">
              <controlPr defaultSize="0" print="0" autoFill="0" autoLine="0" autoPict="0">
                <anchor moveWithCells="1">
                  <from>
                    <xdr:col>14</xdr:col>
                    <xdr:colOff>50800</xdr:colOff>
                    <xdr:row>4</xdr:row>
                    <xdr:rowOff>177800</xdr:rowOff>
                  </from>
                  <to>
                    <xdr:col>15</xdr:col>
                    <xdr:colOff>0</xdr:colOff>
                    <xdr:row>6</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3"/>
  <dimension ref="A1:AO114"/>
  <sheetViews>
    <sheetView topLeftCell="K25" zoomScale="85" zoomScaleNormal="85" workbookViewId="0">
      <pane xSplit="3" ySplit="8" topLeftCell="N60" activePane="bottomRight" state="frozen"/>
      <selection activeCell="K25" sqref="K25"/>
      <selection pane="topRight" activeCell="N25" sqref="N25"/>
      <selection pane="bottomLeft" activeCell="K33" sqref="K33"/>
      <selection pane="bottomRight" activeCell="M69" sqref="M69"/>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1" hidden="1" customWidth="1" outlineLevel="1" collapsed="1"/>
    <col min="13" max="13" width="38.6640625" style="1" customWidth="1" collapsed="1"/>
    <col min="14" max="25" width="11.6640625" style="1" customWidth="1" outlineLevel="1"/>
    <col min="26" max="26" width="12.6640625" style="1" customWidth="1"/>
    <col min="27" max="27" width="7.6640625" style="1" customWidth="1"/>
    <col min="28" max="28" width="1.6640625" style="1" customWidth="1"/>
    <col min="29" max="29" width="12.6640625" style="1" customWidth="1"/>
    <col min="30" max="30" width="7.6640625" style="1" customWidth="1"/>
    <col min="31" max="31" width="11.6640625" style="1" customWidth="1"/>
    <col min="32" max="32" width="12.6640625" style="1" customWidth="1"/>
    <col min="33" max="33" width="7.6640625" style="1" customWidth="1"/>
    <col min="34" max="34" width="11.6640625" style="1" customWidth="1"/>
    <col min="35" max="38" width="9.1640625" style="1" hidden="1" customWidth="1" outlineLevel="1"/>
    <col min="39" max="39" width="9.1640625" style="1" collapsed="1"/>
    <col min="40" max="40" width="14.33203125" style="1" bestFit="1" customWidth="1"/>
    <col min="41" max="16384" width="9.1640625" style="1"/>
  </cols>
  <sheetData>
    <row r="1" spans="1:34" hidden="1" outlineLevel="1" x14ac:dyDescent="0.2">
      <c r="A1" s="8" t="s">
        <v>48</v>
      </c>
      <c r="B1" s="2" t="s">
        <v>49</v>
      </c>
      <c r="C1" s="8" t="e">
        <f ca="1">_xll.EVAPD($B$1)</f>
        <v>#NAME?</v>
      </c>
      <c r="I1" s="1"/>
      <c r="J1" s="1"/>
      <c r="L1" s="1"/>
      <c r="M1" s="69"/>
    </row>
    <row r="2" spans="1:34" hidden="1" outlineLevel="1" x14ac:dyDescent="0.2">
      <c r="A2" s="8" t="s">
        <v>22</v>
      </c>
      <c r="B2" s="12" t="s">
        <v>56</v>
      </c>
      <c r="C2" s="1" t="e">
        <f ca="1">_xll.EVDES(B2,$B$1)</f>
        <v>#NAME?</v>
      </c>
      <c r="I2" s="1"/>
      <c r="J2" s="1"/>
      <c r="L2" s="1"/>
    </row>
    <row r="3" spans="1:34" hidden="1" outlineLevel="1" x14ac:dyDescent="0.2">
      <c r="A3" s="8" t="s">
        <v>50</v>
      </c>
      <c r="B3" s="9" t="e">
        <f ca="1">_xll.EVCVW($B$1,A3)</f>
        <v>#NAME?</v>
      </c>
      <c r="C3" s="1" t="e">
        <f ca="1">_xll.EVDES(B3,$B$1)</f>
        <v>#NAME?</v>
      </c>
      <c r="I3" s="1"/>
      <c r="J3" s="1"/>
      <c r="L3" s="1"/>
    </row>
    <row r="4" spans="1:34"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4" hidden="1" outlineLevel="1" x14ac:dyDescent="0.2">
      <c r="A5" s="8" t="s">
        <v>51</v>
      </c>
      <c r="B5" s="12" t="s">
        <v>59</v>
      </c>
      <c r="C5" s="1" t="e">
        <f ca="1">_xll.EVDES(B5,$B$1)</f>
        <v>#NAME?</v>
      </c>
    </row>
    <row r="6" spans="1:34" hidden="1" outlineLevel="1" x14ac:dyDescent="0.2">
      <c r="A6" s="8" t="s">
        <v>52</v>
      </c>
      <c r="B6" s="12" t="s">
        <v>499</v>
      </c>
      <c r="C6" s="1" t="e">
        <f ca="1">_xll.EVDES(B6,$B$1)</f>
        <v>#NAME?</v>
      </c>
      <c r="E6" s="46" t="e">
        <f ca="1">_xll.EVPRO($B$1,$B$6,$F$6)</f>
        <v>#NAME?</v>
      </c>
      <c r="F6" s="1" t="s">
        <v>278</v>
      </c>
    </row>
    <row r="7" spans="1:34" hidden="1" outlineLevel="1" x14ac:dyDescent="0.2">
      <c r="A7" s="8" t="s">
        <v>53</v>
      </c>
      <c r="B7" s="12" t="s">
        <v>61</v>
      </c>
      <c r="C7" s="1" t="e">
        <f ca="1">_xll.EVDES(B7,$B$1)</f>
        <v>#NAME?</v>
      </c>
    </row>
    <row r="8" spans="1:34" hidden="1" outlineLevel="1" x14ac:dyDescent="0.2">
      <c r="A8" s="8" t="s">
        <v>20</v>
      </c>
      <c r="B8" s="12" t="s">
        <v>63</v>
      </c>
      <c r="C8" s="1" t="e">
        <f ca="1">_xll.EVDES(B8,$B$1)</f>
        <v>#NAME?</v>
      </c>
    </row>
    <row r="9" spans="1:34" hidden="1" outlineLevel="1" x14ac:dyDescent="0.2">
      <c r="A9" s="8" t="s">
        <v>54</v>
      </c>
      <c r="B9" s="9" t="e">
        <f ca="1">'29kbtUVTfkeuWbdEUFpQfA=='!$D$10</f>
        <v>#NAME?</v>
      </c>
      <c r="C9" s="1" t="e">
        <f ca="1">_xll.EVDES(B9,$B$1)</f>
        <v>#NAME?</v>
      </c>
    </row>
    <row r="10" spans="1:34" hidden="1" outlineLevel="1" x14ac:dyDescent="0.2">
      <c r="A10" s="8" t="s">
        <v>18</v>
      </c>
      <c r="B10" s="9" t="e">
        <f ca="1">'29kbtUVTfkeuWbdEUFpQfA=='!$D$7</f>
        <v>#NAME?</v>
      </c>
      <c r="C10" s="1" t="e">
        <f ca="1">_xll.EVDES(B10,$B$1)</f>
        <v>#NAME?</v>
      </c>
      <c r="D10" s="212" t="e">
        <f ca="1">_xll.EVPRO($B$1,$B$10,"Group")</f>
        <v>#NAME?</v>
      </c>
    </row>
    <row r="11" spans="1:34" hidden="1" outlineLevel="1" x14ac:dyDescent="0.2">
      <c r="B11" s="8"/>
      <c r="L11" s="46" t="e">
        <f ca="1">IF(LEFT('29kbtUVTfkeuWbdEUFpQfA=='!$D$6,3)="ALT","Y","N")</f>
        <v>#NAME?</v>
      </c>
      <c r="M11" s="1" t="s">
        <v>800</v>
      </c>
      <c r="N11" s="2" t="e">
        <f ca="1">IF(N13&lt;$F$4,_xll.EVPRO($B$1,$B$4,"COMPARISON"),$B$4)</f>
        <v>#NAME?</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row>
    <row r="12" spans="1:34" hidden="1" outlineLevel="1" x14ac:dyDescent="0.2">
      <c r="A12" s="1" t="s">
        <v>115</v>
      </c>
      <c r="B12" s="46" t="e">
        <f ca="1">_xll.EVPRO($B$1,$B$10,"YEAR")</f>
        <v>#NAME?</v>
      </c>
      <c r="M12" s="1" t="s">
        <v>597</v>
      </c>
      <c r="N12" s="213" t="e">
        <f ca="1">_xll.EVPRO($B$1,N$16,$M$12)</f>
        <v>#NAME?</v>
      </c>
      <c r="O12" s="213" t="e">
        <f ca="1">_xll.EVPRO($B$1,O$16,$M$12)</f>
        <v>#NAME?</v>
      </c>
      <c r="P12" s="213" t="e">
        <f ca="1">_xll.EVPRO($B$1,P$16,$M$12)</f>
        <v>#NAME?</v>
      </c>
      <c r="Q12" s="213" t="e">
        <f ca="1">_xll.EVPRO($B$1,Q$16,$M$12)</f>
        <v>#NAME?</v>
      </c>
      <c r="R12" s="213" t="e">
        <f ca="1">_xll.EVPRO($B$1,R$16,$M$12)</f>
        <v>#NAME?</v>
      </c>
      <c r="S12" s="213" t="e">
        <f ca="1">_xll.EVPRO($B$1,S$16,$M$12)</f>
        <v>#NAME?</v>
      </c>
      <c r="T12" s="213" t="e">
        <f ca="1">_xll.EVPRO($B$1,T$16,$M$12)</f>
        <v>#NAME?</v>
      </c>
      <c r="U12" s="213" t="e">
        <f ca="1">_xll.EVPRO($B$1,U$16,$M$12)</f>
        <v>#NAME?</v>
      </c>
      <c r="V12" s="213" t="e">
        <f ca="1">_xll.EVPRO($B$1,V$16,$M$12)</f>
        <v>#NAME?</v>
      </c>
      <c r="W12" s="213" t="e">
        <f ca="1">_xll.EVPRO($B$1,W$16,$M$12)</f>
        <v>#NAME?</v>
      </c>
      <c r="X12" s="213" t="e">
        <f ca="1">_xll.EVPRO($B$1,X$16,$M$12)</f>
        <v>#NAME?</v>
      </c>
      <c r="Y12" s="213" t="e">
        <f ca="1">_xll.EVPRO($B$1,Y$16,$M$12)</f>
        <v>#NAME?</v>
      </c>
      <c r="Z12" s="213" t="e">
        <f ca="1">_xll.EVPRO($B$1,Z$16,$M$12)</f>
        <v>#NAME?</v>
      </c>
      <c r="AC12" s="213" t="e">
        <f ca="1">_xll.EVPRO($B$1,AC$16,$M$12)</f>
        <v>#NAME?</v>
      </c>
      <c r="AF12" s="213" t="e">
        <f ca="1">_xll.EVPRO($B$1,AF$16,$M$12)</f>
        <v>#NAME?</v>
      </c>
    </row>
    <row r="13" spans="1:34" hidden="1" outlineLevel="1" x14ac:dyDescent="0.2">
      <c r="A13" s="1" t="s">
        <v>602</v>
      </c>
      <c r="B13" s="46" t="e">
        <f ca="1">IF($D$10="FY",_xll.EVPRO($B$1,$D$10&amp;$B$12&amp;".TOTAL","Current"),_xll.EVPRO($B$1,$B$12&amp;".TOTAL","Current"))</f>
        <v>#NAME?</v>
      </c>
      <c r="M13" s="1" t="s">
        <v>598</v>
      </c>
      <c r="N13" s="53" t="e">
        <f ca="1">_xll.EVPRO($B$1,N16,"TIMEID")</f>
        <v>#NAME?</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C13" s="53" t="e">
        <f ca="1">_xll.EVPRO($B$1,AC16,"TIMEID")</f>
        <v>#NAME?</v>
      </c>
      <c r="AF13" s="53" t="e">
        <f ca="1">_xll.EVPRO($B$1,AF16,"TIMEID")</f>
        <v>#NAME?</v>
      </c>
    </row>
    <row r="14" spans="1:34" hidden="1" outlineLevel="1" x14ac:dyDescent="0.2">
      <c r="A14" s="4" t="e">
        <f ca="1">_xll.EVDRE($B$1,A17:B24)</f>
        <v>#NAME?</v>
      </c>
      <c r="M14" s="1" t="s">
        <v>599</v>
      </c>
      <c r="N14" s="53" t="s">
        <v>603</v>
      </c>
      <c r="O14" s="53" t="s">
        <v>604</v>
      </c>
      <c r="P14" s="53" t="s">
        <v>605</v>
      </c>
      <c r="Q14" s="53" t="s">
        <v>606</v>
      </c>
      <c r="R14" s="53" t="s">
        <v>607</v>
      </c>
      <c r="S14" s="53" t="s">
        <v>608</v>
      </c>
      <c r="T14" s="53" t="s">
        <v>609</v>
      </c>
      <c r="U14" s="53" t="s">
        <v>610</v>
      </c>
      <c r="V14" s="53" t="s">
        <v>611</v>
      </c>
      <c r="W14" s="53" t="s">
        <v>612</v>
      </c>
      <c r="X14" s="53" t="s">
        <v>613</v>
      </c>
      <c r="Y14" s="53" t="s">
        <v>614</v>
      </c>
      <c r="Z14" s="53" t="s">
        <v>116</v>
      </c>
      <c r="AC14" s="53" t="s">
        <v>116</v>
      </c>
      <c r="AF14" s="53" t="s">
        <v>116</v>
      </c>
    </row>
    <row r="15" spans="1:34" hidden="1" outlineLevel="1" x14ac:dyDescent="0.2">
      <c r="M15" s="1" t="s">
        <v>600</v>
      </c>
      <c r="N15" s="53" t="s">
        <v>615</v>
      </c>
      <c r="O15" s="53" t="s">
        <v>616</v>
      </c>
      <c r="P15" s="214" t="s">
        <v>617</v>
      </c>
      <c r="Q15" s="214" t="s">
        <v>618</v>
      </c>
      <c r="R15" s="214" t="s">
        <v>619</v>
      </c>
      <c r="S15" s="214" t="s">
        <v>620</v>
      </c>
      <c r="T15" s="214" t="s">
        <v>621</v>
      </c>
      <c r="U15" s="214" t="s">
        <v>622</v>
      </c>
      <c r="V15" s="214" t="s">
        <v>623</v>
      </c>
      <c r="W15" s="214" t="s">
        <v>624</v>
      </c>
      <c r="X15" s="214" t="s">
        <v>625</v>
      </c>
      <c r="Y15" s="214" t="s">
        <v>626</v>
      </c>
      <c r="Z15" s="53" t="s">
        <v>116</v>
      </c>
      <c r="AC15" s="53" t="s">
        <v>116</v>
      </c>
      <c r="AF15" s="53" t="s">
        <v>116</v>
      </c>
    </row>
    <row r="16" spans="1:34" hidden="1" outlineLevel="1" x14ac:dyDescent="0.2">
      <c r="A16" s="3" t="s">
        <v>0</v>
      </c>
      <c r="B16" s="5" t="s">
        <v>1</v>
      </c>
      <c r="M16" s="1" t="s">
        <v>18</v>
      </c>
      <c r="N16" s="2" t="e">
        <f ca="1">IF('29kbtUVTfkeuWbdEUFpQfA=='!$O$1=TRUE,_xll.EVTIM($B$1,O16,-1),IF($D$10="FY",LEFT($B$10,6)&amp;"."&amp;N15,$B$12&amp;"."&amp;N14))</f>
        <v>#NAME?</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IF('29kbtUVTfkeuWbdEUFpQfA=='!$O$1=TRUE,'29kbtUVTfkeuWbdEUFpQfA=='!$Q$6,IF($D$10="FY",LEFT($B$10,6)&amp;"."&amp;Y15,$B$12&amp;"."&amp;Y14))</f>
        <v>#NAME?</v>
      </c>
      <c r="Z16" s="2" t="e">
        <f ca="1">IF($D$10="FY",LEFT($B$10,6)&amp;"."&amp;Z15,$B$12&amp;"."&amp;Z14)</f>
        <v>#NAME?</v>
      </c>
      <c r="AA16" s="10"/>
      <c r="AB16" s="10"/>
      <c r="AC16" s="2" t="e">
        <f ca="1">IF('29kbtUVTfkeuWbdEUFpQfA=='!$O$1=TRUE,'29kbtUVTfkeuWbdEUFpQfA=='!$Q$6,'29kbtUVTfkeuWbdEUFpQfA=='!$G$7)</f>
        <v>#NAME?</v>
      </c>
      <c r="AD16" s="10"/>
      <c r="AE16" s="10"/>
      <c r="AF16" s="2" t="e">
        <f ca="1">IF('29kbtUVTfkeuWbdEUFpQfA=='!$O$1=TRUE,_xll.EVTIM($B$1,AC16,-1,"YEAR"),'29kbtUVTfkeuWbdEUFpQfA=='!$J$7)</f>
        <v>#NAME?</v>
      </c>
      <c r="AG16" s="10"/>
      <c r="AH16" s="10"/>
    </row>
    <row r="17" spans="1:38" hidden="1" outlineLevel="1" x14ac:dyDescent="0.2">
      <c r="A17" s="6" t="s">
        <v>2</v>
      </c>
      <c r="B17" s="7" t="e">
        <f ca="1">_xll.EVRNG($B$2:$B$10)</f>
        <v>#NAME?</v>
      </c>
      <c r="M17" s="1" t="s">
        <v>19</v>
      </c>
      <c r="N17" s="2" t="e">
        <f ca="1">IF($L$11="Y",N11,IF(N13&lt;$E$4,_xll.EVPRO($B$1,$B$4,"COMPARISON"),$B$4))</f>
        <v>#NAME?</v>
      </c>
      <c r="O17" s="2" t="e">
        <f ca="1">IF($L$11="y",O11,IF(O13&lt;$E$4,_xll.EVPRO($B$1,$B$4,"COMPARISON"),$B$4))</f>
        <v>#NAME?</v>
      </c>
      <c r="P17" s="2" t="e">
        <f ca="1">IF($L$11="y",P11,IF(P13&lt;$E$4,_xll.EVPRO($B$1,$B$4,"COMPARISON"),$B$4))</f>
        <v>#NAME?</v>
      </c>
      <c r="Q17" s="2" t="e">
        <f ca="1">IF($L$11="y",Q11,IF(Q13&lt;$E$4,_xll.EVPRO($B$1,$B$4,"COMPARISON"),$B$4))</f>
        <v>#NAME?</v>
      </c>
      <c r="R17" s="2" t="e">
        <f ca="1">IF($L$11="y",R11,IF(R13&lt;$E$4,_xll.EVPRO($B$1,$B$4,"COMPARISON"),$B$4))</f>
        <v>#NAME?</v>
      </c>
      <c r="S17" s="2" t="e">
        <f ca="1">IF($L$11="y",S11,IF(S13&lt;$E$4,_xll.EVPRO($B$1,$B$4,"COMPARISON"),$B$4))</f>
        <v>#NAME?</v>
      </c>
      <c r="T17" s="2" t="e">
        <f ca="1">IF($L$11="y",T11,IF(T13&lt;$E$4,_xll.EVPRO($B$1,$B$4,"COMPARISON"),$B$4))</f>
        <v>#NAME?</v>
      </c>
      <c r="U17" s="2" t="e">
        <f ca="1">IF($L$11="y",U11,IF(U13&lt;$E$4,_xll.EVPRO($B$1,$B$4,"COMPARISON"),$B$4))</f>
        <v>#NAME?</v>
      </c>
      <c r="V17" s="2" t="e">
        <f ca="1">IF($L$11="y",V11,IF(V13&lt;$E$4,_xll.EVPRO($B$1,$B$4,"COMPARISON"),$B$4))</f>
        <v>#NAME?</v>
      </c>
      <c r="W17" s="2" t="e">
        <f ca="1">IF($L$11="y",W11,IF(W13&lt;$E$4,_xll.EVPRO($B$1,$B$4,"COMPARISON"),$B$4))</f>
        <v>#NAME?</v>
      </c>
      <c r="X17" s="2" t="e">
        <f ca="1">IF($L$11="y",X11,IF(X13&lt;$E$4,_xll.EVPRO($B$1,$B$4,"COMPARISON"),$B$4))</f>
        <v>#NAME?</v>
      </c>
      <c r="Y17" s="2" t="e">
        <f ca="1">IF($L$11="y",Y11,IF(Y13&lt;$E$4,_xll.EVPRO($B$1,$B$4,"COMPARISON"),$B$4))</f>
        <v>#NAME?</v>
      </c>
      <c r="Z17" s="2"/>
      <c r="AA17" s="10"/>
      <c r="AB17" s="10"/>
      <c r="AC17" s="2" t="e">
        <f ca="1">'29kbtUVTfkeuWbdEUFpQfA=='!$G$6</f>
        <v>#NAME?</v>
      </c>
      <c r="AD17" s="10"/>
      <c r="AE17" s="10"/>
      <c r="AF17" s="2" t="e">
        <f ca="1">'29kbtUVTfkeuWbdEUFpQfA=='!$J$6</f>
        <v>#NAME?</v>
      </c>
      <c r="AG17" s="10"/>
      <c r="AH17" s="10"/>
    </row>
    <row r="18" spans="1:38" hidden="1" outlineLevel="1" x14ac:dyDescent="0.2">
      <c r="A18" s="6" t="s">
        <v>3</v>
      </c>
      <c r="B18" s="7" t="e">
        <f ca="1">_xll.EVRNG(N16:AH18)</f>
        <v>#NAME?</v>
      </c>
      <c r="M18" s="1" t="s">
        <v>601</v>
      </c>
      <c r="N18" s="10" t="s">
        <v>55</v>
      </c>
      <c r="O18" s="10" t="s">
        <v>55</v>
      </c>
      <c r="P18" s="10" t="s">
        <v>55</v>
      </c>
      <c r="Q18" s="10" t="s">
        <v>55</v>
      </c>
      <c r="R18" s="10" t="s">
        <v>55</v>
      </c>
      <c r="S18" s="10" t="s">
        <v>55</v>
      </c>
      <c r="T18" s="10" t="s">
        <v>55</v>
      </c>
      <c r="U18" s="10" t="s">
        <v>55</v>
      </c>
      <c r="V18" s="10" t="s">
        <v>55</v>
      </c>
      <c r="W18" s="10" t="s">
        <v>55</v>
      </c>
      <c r="X18" s="10" t="s">
        <v>55</v>
      </c>
      <c r="Y18" s="10" t="s">
        <v>55</v>
      </c>
      <c r="Z18" s="10"/>
      <c r="AA18" s="10"/>
      <c r="AB18" s="10"/>
      <c r="AC18" s="2" t="e">
        <f ca="1">IF('29kbtUVTfkeuWbdEUFpQfA=='!$O$1=TRUE,"TRAILING12",IF(AC17="CURRENT","ROLLINGFORECAST","PERIODIC"))</f>
        <v>#NAME?</v>
      </c>
      <c r="AD18" s="10"/>
      <c r="AE18" s="10"/>
      <c r="AF18" s="2" t="e">
        <f ca="1">IF('29kbtUVTfkeuWbdEUFpQfA=='!$O$1=TRUE,"TRAILING12",IF(AF17="CURRENT","ROLLINGFORECAST","PERIODIC"))</f>
        <v>#NAME?</v>
      </c>
      <c r="AG18" s="10"/>
      <c r="AH18" s="10"/>
    </row>
    <row r="19" spans="1:38" hidden="1" outlineLevel="1" x14ac:dyDescent="0.2">
      <c r="A19" s="6" t="s">
        <v>4</v>
      </c>
      <c r="B19" s="7" t="e">
        <f ca="1">_xll.EVRNG(G33:H88)</f>
        <v>#NAME?</v>
      </c>
      <c r="G19" s="16" t="s">
        <v>499</v>
      </c>
      <c r="H19" s="16">
        <v>400000</v>
      </c>
      <c r="I19" s="17"/>
      <c r="J19" s="17"/>
      <c r="K19" s="16"/>
      <c r="L19" s="17"/>
      <c r="M19" s="16" t="e">
        <f ca="1">_xll.EVDES(H19)</f>
        <v>#NAME?</v>
      </c>
      <c r="N19" s="18" t="e">
        <f ca="1">_xll.EVGTS($B$1,1,$B$3,$B$5,$B$7,$B$9,N$16,N$17,N$18,$G$19,$H$19)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SUM(N19:Y19)</f>
        <v>#NAME?</v>
      </c>
      <c r="AA19" s="16"/>
      <c r="AB19" s="16"/>
      <c r="AC19" s="18" t="e">
        <f ca="1">_xll.EVGTS($B$1,1,$B$3,$B$5,$B$7,$B$9,AC$16,AC$17,AC$18,$G$19,$H$19)</f>
        <v>#NAME?</v>
      </c>
      <c r="AD19" s="16"/>
      <c r="AE19" s="16"/>
      <c r="AF19" s="18" t="e">
        <f ca="1">_xll.EVGTS($B$1,1,$B$3,$B$5,$B$7,$B$9,AF$16,AF$17,AF$18,$G$19,$H$19)</f>
        <v>#NAME?</v>
      </c>
      <c r="AG19" s="16"/>
      <c r="AH19" s="16"/>
    </row>
    <row r="20" spans="1:38" hidden="1" outlineLevel="1" x14ac:dyDescent="0.2">
      <c r="A20" s="6" t="s">
        <v>5</v>
      </c>
      <c r="B20" s="7"/>
      <c r="I20" s="1"/>
      <c r="J20" s="1"/>
      <c r="L20" s="1"/>
    </row>
    <row r="21" spans="1:38" hidden="1" outlineLevel="1" x14ac:dyDescent="0.2">
      <c r="A21" s="6" t="s">
        <v>6</v>
      </c>
      <c r="B21" s="7"/>
    </row>
    <row r="22" spans="1:38" hidden="1" outlineLevel="1" x14ac:dyDescent="0.2">
      <c r="A22" s="6" t="s">
        <v>7</v>
      </c>
      <c r="B22" s="7"/>
    </row>
    <row r="23" spans="1:38" hidden="1" outlineLevel="1" x14ac:dyDescent="0.2">
      <c r="A23" s="6" t="s">
        <v>47</v>
      </c>
      <c r="B23" s="7" t="e">
        <f ca="1">_xll.EVRNG($A$58:$B$79)</f>
        <v>#NAME?</v>
      </c>
      <c r="K23" s="53"/>
    </row>
    <row r="24" spans="1:38" hidden="1" outlineLevel="1" x14ac:dyDescent="0.2">
      <c r="A24" s="6" t="s">
        <v>8</v>
      </c>
      <c r="B24" s="7"/>
    </row>
    <row r="25" spans="1:38" collapsed="1" x14ac:dyDescent="0.2"/>
    <row r="26" spans="1:38" ht="23" x14ac:dyDescent="0.25">
      <c r="A26" s="3" t="s">
        <v>9</v>
      </c>
      <c r="B26" s="5" t="s">
        <v>10</v>
      </c>
      <c r="M26" s="61" t="e">
        <f ca="1">IF(_xll.EVDES(B3,$B$1)="#NODATA","",_xll.EVDES(B3,$B$1))</f>
        <v>#NAME?</v>
      </c>
    </row>
    <row r="27" spans="1:38" ht="18" x14ac:dyDescent="0.2">
      <c r="A27" s="6" t="s">
        <v>11</v>
      </c>
      <c r="B27" s="7" t="s">
        <v>21</v>
      </c>
      <c r="M27" s="66" t="e">
        <f ca="1">IF(_xll.EVDES(B6,$B$1)="#NODATA","",_xll.EVDES(B6,$B$1))</f>
        <v>#NAME?</v>
      </c>
    </row>
    <row r="28" spans="1:38" ht="16" x14ac:dyDescent="0.2">
      <c r="A28" s="6" t="s">
        <v>12</v>
      </c>
      <c r="B28" s="7" t="s">
        <v>22</v>
      </c>
      <c r="M28" s="67" t="e">
        <f ca="1">"For the Period ended"&amp;" "&amp;IF(_xll.EVDES($B$10,$B$1)="#NODATA","",_xll.EVDES($B$10,$B$1))</f>
        <v>#NAME?</v>
      </c>
    </row>
    <row r="29" spans="1:38" ht="15" customHeight="1" x14ac:dyDescent="0.2">
      <c r="A29" s="6" t="s">
        <v>13</v>
      </c>
      <c r="B29" s="7" t="s">
        <v>293</v>
      </c>
      <c r="M29" s="67" t="e">
        <f ca="1">_xll.EVDES(B9,B1)</f>
        <v>#NAME?</v>
      </c>
    </row>
    <row r="30" spans="1:38" x14ac:dyDescent="0.2">
      <c r="A30" s="6" t="s">
        <v>14</v>
      </c>
      <c r="B30" s="7"/>
      <c r="N30" s="208"/>
      <c r="O30" s="209"/>
      <c r="P30" s="209"/>
      <c r="Q30" s="209"/>
      <c r="R30" s="209"/>
      <c r="S30" s="209"/>
      <c r="T30" s="209"/>
      <c r="U30" s="209"/>
      <c r="V30" s="209"/>
      <c r="W30" s="209"/>
      <c r="X30" s="209"/>
      <c r="Y30" s="209"/>
      <c r="Z30" s="209"/>
      <c r="AA30" s="210"/>
      <c r="AC30" s="209"/>
      <c r="AD30" s="209"/>
      <c r="AE30" s="209"/>
      <c r="AF30" s="209"/>
      <c r="AG30" s="209"/>
      <c r="AH30" s="209"/>
      <c r="AI30" s="208"/>
      <c r="AJ30" s="209"/>
      <c r="AK30" s="209"/>
      <c r="AL30" s="210"/>
    </row>
    <row r="31" spans="1:38" x14ac:dyDescent="0.2">
      <c r="A31" s="6" t="s">
        <v>15</v>
      </c>
      <c r="B31" s="7"/>
      <c r="G31" s="13"/>
      <c r="N31" s="211" t="e">
        <f ca="1">IF($D$10="FY",_xll.EVPRO($B$1,N$16,"PERIOD")&amp;" "&amp;LEFT(N$13,4),_xll.EVPRO($B$1,N$16,"PERIOD"))</f>
        <v>#NAME?</v>
      </c>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str">
        <f>Z14</f>
        <v>TOTAL</v>
      </c>
      <c r="AA31" s="207"/>
      <c r="AC31" s="540" t="e">
        <f ca="1">IF(_xll.EVDES(AC16,$B$1)="#NODATA","",_xll.EVDES(AC16,$B$1))</f>
        <v>#NAME?</v>
      </c>
      <c r="AD31" s="541"/>
      <c r="AE31" s="211" t="s">
        <v>631</v>
      </c>
      <c r="AF31" s="540" t="e">
        <f ca="1">IF(_xll.EVDES(AF16,$B$1)="#NODATA","",_xll.EVDES(AF16,$B$1))</f>
        <v>#NAME?</v>
      </c>
      <c r="AG31" s="541"/>
      <c r="AH31" s="211" t="s">
        <v>631</v>
      </c>
      <c r="AI31" s="68" t="e">
        <f ca="1">_xll.EVPRO($B$1,Z$16,"YEAR")&amp;" vs "&amp;_xll.EVPRO($B$1,AC$16,"YEAR")</f>
        <v>#NAME?</v>
      </c>
      <c r="AJ31" s="238"/>
      <c r="AK31" s="68" t="e">
        <f ca="1">_xll.EVPRO($B$1,Z$16,"YEAR")&amp;" vs "&amp;_xll.EVPRO($B$1,AF$16,"YEAR")</f>
        <v>#NAME?</v>
      </c>
      <c r="AL31" s="238"/>
    </row>
    <row r="32" spans="1:38" s="232" customFormat="1" ht="30" customHeight="1" x14ac:dyDescent="0.2">
      <c r="A32" s="230" t="s">
        <v>16</v>
      </c>
      <c r="B32" s="231"/>
      <c r="H32" s="233"/>
      <c r="I32" s="234"/>
      <c r="J32" s="234"/>
      <c r="L32" s="234"/>
      <c r="M32" s="236"/>
      <c r="N32" s="237" t="e">
        <f ca="1">IF(_xll.EVDES(N17,$B$1)="#NODATA","",_xll.EVDES(N17,$B$1))</f>
        <v>#NAME?</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8"/>
      <c r="AA32" s="238" t="s">
        <v>58</v>
      </c>
      <c r="AC32" s="237" t="e">
        <f ca="1">IF(_xll.EVDES(AC17,$B$1)="#NODATA","",_xll.EVDES(AC17,$B$1))</f>
        <v>#NAME?</v>
      </c>
      <c r="AD32" s="238" t="s">
        <v>58</v>
      </c>
      <c r="AE32" s="237" t="s">
        <v>57</v>
      </c>
      <c r="AF32" s="237" t="e">
        <f ca="1">IF(_xll.EVDES(AF17,$B$1)="#NODATA","",_xll.EVDES(AF17,$B$1))</f>
        <v>#NAME?</v>
      </c>
      <c r="AG32" s="238" t="s">
        <v>58</v>
      </c>
      <c r="AH32" s="237" t="s">
        <v>57</v>
      </c>
      <c r="AI32" s="238" t="s">
        <v>750</v>
      </c>
      <c r="AJ32" s="238"/>
      <c r="AK32" s="238" t="s">
        <v>750</v>
      </c>
      <c r="AL32" s="238"/>
    </row>
    <row r="33" spans="1:41" x14ac:dyDescent="0.2">
      <c r="A33" s="6" t="s">
        <v>17</v>
      </c>
      <c r="B33" s="7"/>
      <c r="G33" s="10" t="s">
        <v>60</v>
      </c>
      <c r="H33" s="10" t="s">
        <v>211</v>
      </c>
      <c r="I33" s="26" t="e">
        <f ca="1">_xll.EVPRO($B$1,$H33,"STYLE")</f>
        <v>#NAME?</v>
      </c>
      <c r="J33" s="26" t="e">
        <f ca="1">_xll.EVPRO($B$1,$H33,"CALC")</f>
        <v>#NAME?</v>
      </c>
      <c r="M33" s="24" t="e">
        <f ca="1">IF(_xll.EVDES(H33,$B$1)="#NODATA","",_xll.EVDES(H33,$B$1))</f>
        <v>#NAME?</v>
      </c>
      <c r="N33" s="19">
        <v>4092</v>
      </c>
      <c r="O33" s="19">
        <v>3828</v>
      </c>
      <c r="P33" s="19">
        <v>4092</v>
      </c>
      <c r="Q33" s="19">
        <v>3960</v>
      </c>
      <c r="R33" s="19">
        <v>4092</v>
      </c>
      <c r="S33" s="19">
        <v>3960</v>
      </c>
      <c r="T33" s="19">
        <v>4092</v>
      </c>
      <c r="U33" s="19">
        <v>4092</v>
      </c>
      <c r="V33" s="19">
        <v>3960</v>
      </c>
      <c r="W33" s="19">
        <v>4092</v>
      </c>
      <c r="X33" s="19">
        <v>3960</v>
      </c>
      <c r="Y33" s="19">
        <v>4092</v>
      </c>
      <c r="Z33" s="19">
        <f>SUM(N33:Y33)</f>
        <v>48312</v>
      </c>
      <c r="AA33" s="193"/>
      <c r="AC33" s="19">
        <v>48312</v>
      </c>
      <c r="AD33" s="193"/>
      <c r="AE33" s="47">
        <f>IF(AND($Z33="",AC33=""),"",$Z33-AC33)</f>
        <v>0</v>
      </c>
      <c r="AF33" s="19">
        <v>48180</v>
      </c>
      <c r="AG33" s="193"/>
      <c r="AH33" s="47">
        <f>IF(AND($Z33="",AF33=""),"",$Z33-AF33)</f>
        <v>132</v>
      </c>
      <c r="AI33" s="356"/>
      <c r="AJ33" s="357"/>
      <c r="AK33" s="356"/>
      <c r="AL33" s="357"/>
    </row>
    <row r="34" spans="1:41" x14ac:dyDescent="0.2">
      <c r="G34" s="10" t="s">
        <v>60</v>
      </c>
      <c r="H34" s="10" t="s">
        <v>257</v>
      </c>
      <c r="I34" s="26" t="e">
        <f ca="1">_xll.EVPRO($B$1,$H34,"STYLE")</f>
        <v>#NAME?</v>
      </c>
      <c r="J34" s="26" t="e">
        <f ca="1">_xll.EVPRO($B$1,$H34,"CALC")</f>
        <v>#NAME?</v>
      </c>
      <c r="M34" s="24" t="e">
        <f ca="1">IF(_xll.EVDES(H34,$B$1)="#NODATA","",_xll.EVDES(H34,$B$1))</f>
        <v>#NAME?</v>
      </c>
      <c r="N34" s="19">
        <v>3654</v>
      </c>
      <c r="O34" s="19">
        <v>3557</v>
      </c>
      <c r="P34" s="19">
        <v>3793</v>
      </c>
      <c r="Q34" s="19">
        <v>3692</v>
      </c>
      <c r="R34" s="19">
        <v>3471</v>
      </c>
      <c r="S34" s="19">
        <v>3102</v>
      </c>
      <c r="T34" s="19">
        <v>3016</v>
      </c>
      <c r="U34" s="19">
        <v>3030</v>
      </c>
      <c r="V34" s="19">
        <v>2625</v>
      </c>
      <c r="W34" s="19">
        <v>3173</v>
      </c>
      <c r="X34" s="19">
        <v>3516</v>
      </c>
      <c r="Y34" s="19">
        <v>3594</v>
      </c>
      <c r="Z34" s="19">
        <f>SUM(N34:Y34)</f>
        <v>40223</v>
      </c>
      <c r="AA34" s="193"/>
      <c r="AC34" s="19">
        <v>40231</v>
      </c>
      <c r="AD34" s="193"/>
      <c r="AE34" s="47">
        <f>IF(AND($Z34="",AC34=""),"",$Z34-AC34)</f>
        <v>-8</v>
      </c>
      <c r="AF34" s="19">
        <v>39696</v>
      </c>
      <c r="AG34" s="193"/>
      <c r="AH34" s="47">
        <f>IF(AND($Z34="",AF34=""),"",$Z34-AF34)</f>
        <v>527</v>
      </c>
      <c r="AI34" s="430">
        <f>IFERROR((Z34-AC34)/AC34,0)</f>
        <v>-1.9885163182620369E-4</v>
      </c>
      <c r="AJ34" s="426" t="s">
        <v>753</v>
      </c>
      <c r="AK34" s="430">
        <f>IFERROR((Z34-AF34)/AF34,0)</f>
        <v>1.3275896815800081E-2</v>
      </c>
      <c r="AL34" s="426" t="s">
        <v>753</v>
      </c>
    </row>
    <row r="35" spans="1:41" x14ac:dyDescent="0.2">
      <c r="A35" s="20" t="s">
        <v>92</v>
      </c>
      <c r="B35" s="21" t="s">
        <v>93</v>
      </c>
      <c r="C35" s="21" t="s">
        <v>94</v>
      </c>
      <c r="D35" s="21" t="s">
        <v>95</v>
      </c>
      <c r="E35" s="21" t="s">
        <v>96</v>
      </c>
      <c r="F35" s="22" t="s">
        <v>97</v>
      </c>
      <c r="G35" s="10" t="s">
        <v>60</v>
      </c>
      <c r="H35" s="10" t="s">
        <v>495</v>
      </c>
      <c r="I35" s="26" t="e">
        <f ca="1">_xll.EVPRO($B$1,$H35,"STYLE")</f>
        <v>#NAME?</v>
      </c>
      <c r="J35" s="26" t="e">
        <f ca="1">_xll.EVPRO($B$1,$H35,"CALC")</f>
        <v>#NAME?</v>
      </c>
      <c r="M35" s="24" t="e">
        <f ca="1">IF(_xll.EVDES(H35,$B$1)="#NODATA","",_xll.EVDES(H35,$B$1))</f>
        <v>#NAME?</v>
      </c>
      <c r="N35" s="15">
        <v>0.892961876832845</v>
      </c>
      <c r="O35" s="15">
        <v>0.92920585161964497</v>
      </c>
      <c r="P35" s="15">
        <v>0.92693059628543495</v>
      </c>
      <c r="Q35" s="15">
        <v>0.932323232323232</v>
      </c>
      <c r="R35" s="15">
        <v>0.84824046920821095</v>
      </c>
      <c r="S35" s="15">
        <v>0.78333333333333299</v>
      </c>
      <c r="T35" s="15">
        <v>0.73704789833822104</v>
      </c>
      <c r="U35" s="15">
        <v>0.74046920821114404</v>
      </c>
      <c r="V35" s="15">
        <v>0.66287878787878796</v>
      </c>
      <c r="W35" s="15">
        <v>0.77541544477028301</v>
      </c>
      <c r="X35" s="15">
        <v>0.88787878787878804</v>
      </c>
      <c r="Y35" s="15">
        <v>0.87829912023460399</v>
      </c>
      <c r="Z35" s="15">
        <f>IFERROR(Z34/Z33,"")</f>
        <v>0.83256747805928133</v>
      </c>
      <c r="AA35" s="193"/>
      <c r="AC35" s="15">
        <v>0.83273306838880601</v>
      </c>
      <c r="AD35" s="193"/>
      <c r="AE35" s="194">
        <f>IF(AND($Z35="",AC35=""),"",$Z35-AC35)</f>
        <v>-1.6559032952467856E-4</v>
      </c>
      <c r="AF35" s="15">
        <v>0.82391033623910304</v>
      </c>
      <c r="AG35" s="193"/>
      <c r="AH35" s="194">
        <f>IF(AND($Z35="",AF35=""),"",$Z35-AF35)</f>
        <v>8.6571418201782935E-3</v>
      </c>
      <c r="AI35" s="430">
        <f>IFERROR((Z35-AC35)/AC35,0)</f>
        <v>-1.9885163182611099E-4</v>
      </c>
      <c r="AJ35" s="426" t="s">
        <v>753</v>
      </c>
      <c r="AK35" s="430">
        <f>IFERROR((Z35-AF35)/AF35,0)</f>
        <v>1.0507383436522329E-2</v>
      </c>
      <c r="AL35" s="426" t="s">
        <v>753</v>
      </c>
      <c r="AN35" s="428"/>
    </row>
    <row r="36" spans="1:41" x14ac:dyDescent="0.2">
      <c r="G36" s="10" t="s">
        <v>60</v>
      </c>
      <c r="H36" s="10" t="s">
        <v>208</v>
      </c>
      <c r="I36" s="26" t="e">
        <f ca="1">_xll.EVPRO($B$1,$H36,"STYLE")</f>
        <v>#NAME?</v>
      </c>
      <c r="J36" s="26" t="e">
        <f ca="1">_xll.EVPRO($B$1,$H36,"CALC")</f>
        <v>#NAME?</v>
      </c>
      <c r="M36" s="24" t="e">
        <f ca="1">IF(_xll.EVDES(H36,$B$1)="#NODATA","",_xll.EVDES(H36,$B$1))</f>
        <v>#NAME?</v>
      </c>
      <c r="N36" s="107">
        <v>287.56397372742202</v>
      </c>
      <c r="O36" s="107">
        <v>351.08144784931102</v>
      </c>
      <c r="P36" s="107">
        <v>312.21692327972602</v>
      </c>
      <c r="Q36" s="107">
        <v>258.44728331527602</v>
      </c>
      <c r="R36" s="107">
        <v>223.86148372227001</v>
      </c>
      <c r="S36" s="107">
        <v>171.17366215344899</v>
      </c>
      <c r="T36" s="107">
        <v>179.42682692307699</v>
      </c>
      <c r="U36" s="107">
        <v>158.69500330033</v>
      </c>
      <c r="V36" s="107">
        <v>160.402182857143</v>
      </c>
      <c r="W36" s="107">
        <v>192.31699653324901</v>
      </c>
      <c r="X36" s="107">
        <v>197.741527303754</v>
      </c>
      <c r="Y36" s="107">
        <v>278.76676126878101</v>
      </c>
      <c r="Z36" s="107">
        <f>IFERROR(Z$39/Z34,"")</f>
        <v>236.09395669144521</v>
      </c>
      <c r="AA36" s="193"/>
      <c r="AC36" s="107">
        <v>248.20590639059401</v>
      </c>
      <c r="AD36" s="193"/>
      <c r="AE36" s="195">
        <f>IF(AND($Z36="",AC36=""),"",$Z36-AC36)</f>
        <v>-12.111949699148795</v>
      </c>
      <c r="AF36" s="107">
        <v>247.07762318621499</v>
      </c>
      <c r="AG36" s="193"/>
      <c r="AH36" s="195">
        <f>IF(AND($Z36="",AF36=""),"",$Z36-AF36)</f>
        <v>-10.983666494769778</v>
      </c>
      <c r="AI36" s="430">
        <f>IFERROR((Z36-AC36)/AC36,0)</f>
        <v>-4.8797991455080812E-2</v>
      </c>
      <c r="AJ36" s="426" t="s">
        <v>753</v>
      </c>
      <c r="AK36" s="430">
        <f>IFERROR((Z36-AF36)/AF36,0)</f>
        <v>-4.4454315016992527E-2</v>
      </c>
      <c r="AL36" s="426" t="s">
        <v>753</v>
      </c>
      <c r="AN36" s="429"/>
    </row>
    <row r="37" spans="1:41" x14ac:dyDescent="0.2">
      <c r="A37" s="1" t="s">
        <v>105</v>
      </c>
      <c r="C37" s="24" t="s">
        <v>101</v>
      </c>
      <c r="D37" s="1" t="s">
        <v>106</v>
      </c>
      <c r="F37" s="1" t="s">
        <v>98</v>
      </c>
      <c r="G37" s="10" t="s">
        <v>60</v>
      </c>
      <c r="H37" s="10" t="s">
        <v>582</v>
      </c>
      <c r="I37" s="26" t="e">
        <f ca="1">_xll.EVPRO($B$1,$H37,"STYLE")</f>
        <v>#NAME?</v>
      </c>
      <c r="J37" s="26" t="e">
        <f ca="1">_xll.EVPRO($B$1,$H37,"CALC")</f>
        <v>#NAME?</v>
      </c>
      <c r="M37" s="24" t="e">
        <f ca="1">IF(_xll.EVDES(H37,$B$1)="#NODATA","",_xll.EVDES(H37,$B$1))</f>
        <v>#NAME?</v>
      </c>
      <c r="N37" s="107">
        <v>256.78366568914998</v>
      </c>
      <c r="O37" s="107">
        <v>326.22693573667698</v>
      </c>
      <c r="P37" s="107">
        <v>289.40341886608002</v>
      </c>
      <c r="Q37" s="107">
        <v>240.95640656565701</v>
      </c>
      <c r="R37" s="107">
        <v>189.88836999022499</v>
      </c>
      <c r="S37" s="107">
        <v>134.08603535353501</v>
      </c>
      <c r="T37" s="107">
        <v>132.24616568914999</v>
      </c>
      <c r="U37" s="107">
        <v>117.50876344085999</v>
      </c>
      <c r="V37" s="107">
        <v>106.327204545455</v>
      </c>
      <c r="W37" s="107">
        <v>149.12556940371499</v>
      </c>
      <c r="X37" s="107">
        <v>175.570507575758</v>
      </c>
      <c r="Y37" s="107">
        <v>244.84060117302101</v>
      </c>
      <c r="Z37" s="107">
        <f>IFERROR(Z$39/Z33,"")</f>
        <v>196.56415010763374</v>
      </c>
      <c r="AA37" s="193"/>
      <c r="AC37" s="107">
        <v>206.68926602086401</v>
      </c>
      <c r="AD37" s="193"/>
      <c r="AE37" s="195">
        <f>IF(AND($Z37="",AC37=""),"",$Z37-AC37)</f>
        <v>-10.125115913230275</v>
      </c>
      <c r="AF37" s="107">
        <v>203.56980759651299</v>
      </c>
      <c r="AG37" s="193"/>
      <c r="AH37" s="195">
        <f>IF(AND($Z37="",AF37=""),"",$Z37-AF37)</f>
        <v>-7.0056574888792511</v>
      </c>
      <c r="AI37" s="430">
        <f>IFERROR((Z37-AC37)/AC37,0)</f>
        <v>-4.8987139526675792E-2</v>
      </c>
      <c r="AJ37" s="426" t="s">
        <v>753</v>
      </c>
      <c r="AK37" s="430">
        <f>IFERROR((Z37-AF37)/AF37,0)</f>
        <v>-3.4414030113762574E-2</v>
      </c>
      <c r="AL37" s="426" t="s">
        <v>753</v>
      </c>
      <c r="AN37" s="429"/>
      <c r="AO37" s="428"/>
    </row>
    <row r="38" spans="1:41" x14ac:dyDescent="0.2">
      <c r="A38" s="1" t="s">
        <v>102</v>
      </c>
      <c r="C38" s="24" t="s">
        <v>101</v>
      </c>
      <c r="D38" s="1" t="s">
        <v>106</v>
      </c>
      <c r="F38" s="1" t="s">
        <v>98</v>
      </c>
      <c r="H38" s="1" t="s">
        <v>69</v>
      </c>
      <c r="I38" s="11" t="e">
        <f ca="1">_xll.EVPRO($B$1,$H38,"STYLE")</f>
        <v>#NAME?</v>
      </c>
      <c r="J38" s="11" t="e">
        <f ca="1">_xll.EVPRO($B$1,$H38,"CALC")</f>
        <v>#NAME?</v>
      </c>
      <c r="M38" s="37" t="e">
        <f ca="1">IF(_xll.EVDES(H38,$B$1)="#NODATA","",_xll.EVDES(H38,$B$1))</f>
        <v>#NAME?</v>
      </c>
      <c r="N38" s="190"/>
      <c r="O38" s="192"/>
      <c r="P38" s="192"/>
      <c r="Q38" s="192"/>
      <c r="R38" s="192"/>
      <c r="S38" s="192"/>
      <c r="T38" s="192"/>
      <c r="U38" s="192"/>
      <c r="V38" s="192"/>
      <c r="W38" s="192"/>
      <c r="X38" s="192"/>
      <c r="Y38" s="192"/>
      <c r="Z38" s="192"/>
      <c r="AA38" s="191"/>
      <c r="AC38" s="190"/>
      <c r="AD38" s="192"/>
      <c r="AE38" s="191"/>
      <c r="AF38" s="190"/>
      <c r="AG38" s="192"/>
      <c r="AH38" s="191"/>
    </row>
    <row r="39" spans="1:41" x14ac:dyDescent="0.2">
      <c r="A39" s="1" t="s">
        <v>108</v>
      </c>
      <c r="C39" s="23" t="s">
        <v>101</v>
      </c>
      <c r="D39" s="1" t="s">
        <v>106</v>
      </c>
      <c r="F39" s="1" t="s">
        <v>98</v>
      </c>
      <c r="G39" s="10" t="s">
        <v>60</v>
      </c>
      <c r="H39" s="10" t="s">
        <v>280</v>
      </c>
      <c r="I39" s="26" t="e">
        <f ca="1">_xll.EVPRO($B$1,$H39,"STYLE")</f>
        <v>#NAME?</v>
      </c>
      <c r="J39" s="26" t="e">
        <f ca="1">_xll.EVPRO($B$1,$H39,"CALC")</f>
        <v>#NAME?</v>
      </c>
      <c r="K39" s="8"/>
      <c r="L39" s="23"/>
      <c r="M39" s="24" t="e">
        <f ca="1">IF(_xll.EVDES(G39,$B$1)="#NODATA","",_xll.EVDES(G39,$B$1))</f>
        <v>#NAME?</v>
      </c>
      <c r="N39" s="19">
        <v>1050758.76</v>
      </c>
      <c r="O39" s="19">
        <v>1248796.71</v>
      </c>
      <c r="P39" s="19">
        <v>1184238.79</v>
      </c>
      <c r="Q39" s="19">
        <v>954187.37</v>
      </c>
      <c r="R39" s="19">
        <v>777023.21</v>
      </c>
      <c r="S39" s="19">
        <v>530980.69999999995</v>
      </c>
      <c r="T39" s="19">
        <v>541151.31000000006</v>
      </c>
      <c r="U39" s="19">
        <v>480845.86</v>
      </c>
      <c r="V39" s="19">
        <v>421055.73</v>
      </c>
      <c r="W39" s="19">
        <v>610221.82999999996</v>
      </c>
      <c r="X39" s="19">
        <v>695259.21</v>
      </c>
      <c r="Y39" s="19">
        <v>1001887.74</v>
      </c>
      <c r="Z39" s="19">
        <f>SUM(N39:Y39)</f>
        <v>9496407.2200000007</v>
      </c>
      <c r="AA39" s="15" t="str">
        <f ca="1">IF(Z39=0,"",IFERROR(Z39/Z$19,""))</f>
        <v/>
      </c>
      <c r="AC39" s="19">
        <v>9985571.8200000003</v>
      </c>
      <c r="AD39" s="15" t="str">
        <f ca="1">IF(AC39=0,"",IFERROR(AC39/AC$19,""))</f>
        <v/>
      </c>
      <c r="AE39" s="47">
        <f>IF(AND($Z39="",AC39=""),"",$Z39-AC39)</f>
        <v>-489164.59999999963</v>
      </c>
      <c r="AF39" s="19">
        <v>9807993.3300000001</v>
      </c>
      <c r="AG39" s="15" t="str">
        <f ca="1">IF(AF39=0,"",IFERROR(AF39/AF$19,""))</f>
        <v/>
      </c>
      <c r="AH39" s="47">
        <f>IF(AND($Z39="",AF39=""),"",$Z39-AF39)</f>
        <v>-311586.1099999994</v>
      </c>
      <c r="AI39" s="430">
        <f>IFERROR((Z39-AC39)/AC39,0)</f>
        <v>-4.8987139526677562E-2</v>
      </c>
      <c r="AJ39" s="426" t="s">
        <v>753</v>
      </c>
      <c r="AK39" s="430">
        <f>IFERROR((Z39-AF39)/AF39,0)</f>
        <v>-3.1768589100376089E-2</v>
      </c>
      <c r="AL39" s="426" t="s">
        <v>753</v>
      </c>
      <c r="AN39" s="435"/>
    </row>
    <row r="40" spans="1:41" x14ac:dyDescent="0.2">
      <c r="A40" s="1" t="s">
        <v>108</v>
      </c>
      <c r="C40" s="27" t="s">
        <v>101</v>
      </c>
      <c r="D40" s="1" t="s">
        <v>107</v>
      </c>
      <c r="F40" s="1" t="s">
        <v>99</v>
      </c>
      <c r="G40" s="10" t="s">
        <v>358</v>
      </c>
      <c r="H40" s="10" t="s">
        <v>280</v>
      </c>
      <c r="I40" s="26" t="e">
        <f ca="1">_xll.EVPRO($B$1,$H40,"STYLE")</f>
        <v>#NAME?</v>
      </c>
      <c r="J40" s="26" t="e">
        <f ca="1">_xll.EVPRO($B$1,$H40,"CALC")</f>
        <v>#NAME?</v>
      </c>
      <c r="K40" s="8"/>
      <c r="L40" s="23"/>
      <c r="M40" s="24" t="e">
        <f ca="1">IF(_xll.EVDES(G40,$B$1)="#NODATA","",_xll.EVDES(G40,$B$1))</f>
        <v>#NAME?</v>
      </c>
      <c r="N40" s="19">
        <v>36834.57</v>
      </c>
      <c r="O40" s="19">
        <v>5681.2</v>
      </c>
      <c r="P40" s="19">
        <v>7375.82</v>
      </c>
      <c r="Q40" s="19">
        <v>5913</v>
      </c>
      <c r="R40" s="19">
        <v>5728.64</v>
      </c>
      <c r="S40" s="19">
        <v>5424</v>
      </c>
      <c r="T40" s="19">
        <v>4328.6000000000004</v>
      </c>
      <c r="U40" s="19">
        <v>6246.56</v>
      </c>
      <c r="V40" s="19">
        <v>5237.55</v>
      </c>
      <c r="W40" s="19">
        <v>4428</v>
      </c>
      <c r="X40" s="19">
        <v>4591.59</v>
      </c>
      <c r="Y40" s="19">
        <v>4738.59</v>
      </c>
      <c r="Z40" s="19">
        <f>SUM(N40:Y40)</f>
        <v>96528.12</v>
      </c>
      <c r="AA40" s="15" t="str">
        <f ca="1">IF(Z40=0,"",IFERROR(Z40/Z$19,""))</f>
        <v/>
      </c>
      <c r="AC40" s="19">
        <v>69709.070000000007</v>
      </c>
      <c r="AD40" s="15" t="str">
        <f ca="1">IF(AC40=0,"",IFERROR(AC40/AC$19,""))</f>
        <v/>
      </c>
      <c r="AE40" s="47">
        <f>IF(AND($Z40="",AC40=""),"",$Z40-AC40)</f>
        <v>26819.049999999988</v>
      </c>
      <c r="AF40" s="19">
        <v>2111535.9500000002</v>
      </c>
      <c r="AG40" s="15" t="str">
        <f ca="1">IF(AF40=0,"",IFERROR(AF40/AF$19,""))</f>
        <v/>
      </c>
      <c r="AH40" s="47">
        <f>IF(AND($Z40="",AF40=""),"",$Z40-AF40)</f>
        <v>-2015007.83</v>
      </c>
      <c r="AI40" s="430">
        <f>IFERROR((Z40-AC40)/AC40,0)</f>
        <v>0.38472827137128618</v>
      </c>
      <c r="AJ40" s="426" t="s">
        <v>753</v>
      </c>
      <c r="AK40" s="430">
        <f>IFERROR((Z40-AF40)/AF40,0)</f>
        <v>-0.95428535327565689</v>
      </c>
      <c r="AL40" s="426" t="s">
        <v>753</v>
      </c>
      <c r="AN40" s="435"/>
    </row>
    <row r="41" spans="1:41" x14ac:dyDescent="0.2">
      <c r="G41" s="10" t="s">
        <v>463</v>
      </c>
      <c r="H41" s="10" t="s">
        <v>280</v>
      </c>
      <c r="I41" s="26" t="e">
        <f ca="1">_xll.EVPRO($B$1,$H41,"STYLE")</f>
        <v>#NAME?</v>
      </c>
      <c r="J41" s="26" t="e">
        <f ca="1">_xll.EVPRO($B$1,$H41,"CALC")</f>
        <v>#NAME?</v>
      </c>
      <c r="K41" s="8"/>
      <c r="L41" s="23"/>
      <c r="M41" s="24" t="e">
        <f ca="1">IF(_xll.EVDES(G41,$B$1)="#NODATA","",_xll.EVDES(G41,$B$1))</f>
        <v>#NAME?</v>
      </c>
      <c r="N41" s="19">
        <v>1778.05</v>
      </c>
      <c r="O41" s="19">
        <v>1452.64</v>
      </c>
      <c r="P41" s="19">
        <v>2514.5100000000002</v>
      </c>
      <c r="Q41" s="19">
        <v>1461.55</v>
      </c>
      <c r="R41" s="19">
        <v>686.39</v>
      </c>
      <c r="S41" s="19">
        <v>971.47</v>
      </c>
      <c r="T41" s="19">
        <v>1646.04</v>
      </c>
      <c r="U41" s="19">
        <v>900.7</v>
      </c>
      <c r="V41" s="19">
        <v>865.48</v>
      </c>
      <c r="W41" s="19">
        <v>1388.87</v>
      </c>
      <c r="X41" s="19">
        <v>2028.13</v>
      </c>
      <c r="Y41" s="19">
        <v>2112.59</v>
      </c>
      <c r="Z41" s="19">
        <f>SUM(N41:Y41)</f>
        <v>17806.420000000002</v>
      </c>
      <c r="AA41" s="15" t="str">
        <f ca="1">IF(Z41=0,"",IFERROR(Z41/Z$19,""))</f>
        <v/>
      </c>
      <c r="AC41" s="19">
        <v>16092.4</v>
      </c>
      <c r="AD41" s="15" t="str">
        <f ca="1">IF(AC41=0,"",IFERROR(AC41/AC$19,""))</f>
        <v/>
      </c>
      <c r="AE41" s="47">
        <f>IF(AND($Z41="",AC41=""),"",$Z41-AC41)</f>
        <v>1714.0200000000023</v>
      </c>
      <c r="AF41" s="19">
        <v>15885.61</v>
      </c>
      <c r="AG41" s="15" t="str">
        <f ca="1">IF(AF41=0,"",IFERROR(AF41/AF$19,""))</f>
        <v/>
      </c>
      <c r="AH41" s="47">
        <f>IF(AND($Z41="",AF41=""),"",$Z41-AF41)</f>
        <v>1920.8100000000013</v>
      </c>
      <c r="AI41" s="430">
        <f>IFERROR((Z41-AC41)/AC41,0)</f>
        <v>0.10651114811960941</v>
      </c>
      <c r="AJ41" s="426" t="s">
        <v>753</v>
      </c>
      <c r="AK41" s="430">
        <f>IFERROR((Z41-AF41)/AF41,0)</f>
        <v>0.12091509233828611</v>
      </c>
      <c r="AL41" s="426" t="s">
        <v>753</v>
      </c>
      <c r="AN41" s="435"/>
    </row>
    <row r="42" spans="1:41" x14ac:dyDescent="0.2">
      <c r="G42" s="10" t="s">
        <v>472</v>
      </c>
      <c r="H42" s="10" t="s">
        <v>280</v>
      </c>
      <c r="I42" s="26" t="e">
        <f ca="1">_xll.EVPRO($B$1,$H42,"STYLE")</f>
        <v>#NAME?</v>
      </c>
      <c r="J42" s="26" t="e">
        <f ca="1">_xll.EVPRO($B$1,$H42,"CALC")</f>
        <v>#NAME?</v>
      </c>
      <c r="K42" s="8"/>
      <c r="L42" s="23"/>
      <c r="M42" s="24" t="e">
        <f ca="1">IF(_xll.EVDES(G42,$B$1)="#NODATA","",_xll.EVDES(G42,$B$1))</f>
        <v>#NAME?</v>
      </c>
      <c r="N42" s="19">
        <v>87557.63</v>
      </c>
      <c r="O42" s="19">
        <v>100878.61</v>
      </c>
      <c r="P42" s="19">
        <v>101604.17</v>
      </c>
      <c r="Q42" s="19">
        <v>112785.17</v>
      </c>
      <c r="R42" s="19">
        <v>110919.27</v>
      </c>
      <c r="S42" s="19">
        <v>93308.28</v>
      </c>
      <c r="T42" s="19">
        <v>102674.98</v>
      </c>
      <c r="U42" s="19">
        <v>101401.82</v>
      </c>
      <c r="V42" s="19">
        <v>75369.05</v>
      </c>
      <c r="W42" s="19">
        <v>102100.27</v>
      </c>
      <c r="X42" s="19">
        <v>114522.56</v>
      </c>
      <c r="Y42" s="19">
        <v>125354.13</v>
      </c>
      <c r="Z42" s="19">
        <f>SUM(N42:Y42)</f>
        <v>1228475.94</v>
      </c>
      <c r="AA42" s="15" t="str">
        <f ca="1">IF(Z42=0,"",IFERROR(Z42/Z$19,""))</f>
        <v/>
      </c>
      <c r="AC42" s="19">
        <v>1167808.95</v>
      </c>
      <c r="AD42" s="15" t="str">
        <f ca="1">IF(AC42=0,"",IFERROR(AC42/AC$19,""))</f>
        <v/>
      </c>
      <c r="AE42" s="47">
        <f>IF(AND($Z42="",AC42=""),"",$Z42-AC42)</f>
        <v>60666.989999999991</v>
      </c>
      <c r="AF42" s="19">
        <v>1004792.27</v>
      </c>
      <c r="AG42" s="15" t="str">
        <f ca="1">IF(AF42=0,"",IFERROR(AF42/AF$19,""))</f>
        <v/>
      </c>
      <c r="AH42" s="47">
        <f>IF(AND($Z42="",AF42=""),"",$Z42-AF42)</f>
        <v>223683.66999999993</v>
      </c>
      <c r="AI42" s="431">
        <f>IFERROR((Z42-AC42)/AC42,0)</f>
        <v>5.1949413472126581E-2</v>
      </c>
      <c r="AJ42" s="432" t="s">
        <v>753</v>
      </c>
      <c r="AK42" s="431">
        <f>IFERROR((Z42-AF42)/AF42,0)</f>
        <v>0.22261683004388552</v>
      </c>
      <c r="AL42" s="432" t="s">
        <v>753</v>
      </c>
      <c r="AN42" s="435"/>
    </row>
    <row r="43" spans="1:41" x14ac:dyDescent="0.2">
      <c r="G43" s="8"/>
      <c r="H43" s="8"/>
      <c r="I43" s="8"/>
      <c r="J43" s="8"/>
      <c r="K43" s="8"/>
      <c r="L43" s="23"/>
      <c r="M43" s="23" t="e">
        <f ca="1">"Total "&amp;M38</f>
        <v>#NAME?</v>
      </c>
      <c r="N43" s="30">
        <f t="shared" ref="N43:Y43" si="0">SUM(N39:N42)</f>
        <v>1176929.0100000002</v>
      </c>
      <c r="O43" s="30">
        <f t="shared" si="0"/>
        <v>1356809.16</v>
      </c>
      <c r="P43" s="30">
        <f t="shared" si="0"/>
        <v>1295733.29</v>
      </c>
      <c r="Q43" s="30">
        <f t="shared" si="0"/>
        <v>1074347.0900000001</v>
      </c>
      <c r="R43" s="30">
        <f t="shared" si="0"/>
        <v>894357.51</v>
      </c>
      <c r="S43" s="30">
        <f t="shared" si="0"/>
        <v>630684.44999999995</v>
      </c>
      <c r="T43" s="30">
        <f t="shared" si="0"/>
        <v>649800.93000000005</v>
      </c>
      <c r="U43" s="30">
        <f t="shared" si="0"/>
        <v>589394.93999999994</v>
      </c>
      <c r="V43" s="30">
        <f t="shared" si="0"/>
        <v>502527.80999999994</v>
      </c>
      <c r="W43" s="30">
        <f t="shared" si="0"/>
        <v>718138.97</v>
      </c>
      <c r="X43" s="30">
        <f t="shared" si="0"/>
        <v>816401.49</v>
      </c>
      <c r="Y43" s="30">
        <f t="shared" si="0"/>
        <v>1134093.0499999998</v>
      </c>
      <c r="Z43" s="30">
        <f>SUM(N43:Y43)</f>
        <v>10839217.699999999</v>
      </c>
      <c r="AA43" s="31" t="str">
        <f ca="1">IF(Z43=0,"",IFERROR(Z43/Z$19,""))</f>
        <v/>
      </c>
      <c r="AC43" s="30">
        <f>SUM(AC39:AC42)</f>
        <v>11239182.24</v>
      </c>
      <c r="AD43" s="31" t="str">
        <f ca="1">IF(AC43=0,"",IFERROR(AC43/AC$19,""))</f>
        <v/>
      </c>
      <c r="AE43" s="49">
        <f>IF(AND($Z43="",AC43=""),"",$Z43-AC43)</f>
        <v>-399964.54000000097</v>
      </c>
      <c r="AF43" s="30">
        <f>SUM(AF39:AF42)</f>
        <v>12940207.16</v>
      </c>
      <c r="AG43" s="31" t="str">
        <f ca="1">IF(AF43=0,"",IFERROR(AF43/AF$19,""))</f>
        <v/>
      </c>
      <c r="AH43" s="49">
        <f>IF(AND($Z43="",AF43=""),"",$Z43-AF43)</f>
        <v>-2100989.4600000009</v>
      </c>
      <c r="AI43" s="433">
        <f>IFERROR((Z43-AC43)/AC43,0)</f>
        <v>-3.5586622892948214E-2</v>
      </c>
      <c r="AJ43" s="434" t="s">
        <v>753</v>
      </c>
      <c r="AK43" s="433">
        <f>IFERROR((Z43-AF43)/AF43,0)</f>
        <v>-0.16236134661695795</v>
      </c>
      <c r="AL43" s="434" t="s">
        <v>753</v>
      </c>
      <c r="AN43" s="435"/>
    </row>
    <row r="44" spans="1:41" x14ac:dyDescent="0.2">
      <c r="A44" s="4" t="e">
        <f ca="1">_xll.EVDRE($B$1,A47:B54)</f>
        <v>#NAME?</v>
      </c>
      <c r="G44" s="8"/>
      <c r="H44" s="8"/>
      <c r="I44" s="8"/>
      <c r="J44" s="8"/>
      <c r="K44" s="8"/>
      <c r="L44" s="1">
        <f>COUNTIF(N44:AH44,FALSE)</f>
        <v>0</v>
      </c>
      <c r="M44" s="204" t="str">
        <f>IF(L44=0,"","Revenue - database validation failed")</f>
        <v/>
      </c>
      <c r="N44" s="244" t="str">
        <f t="shared" ref="N44:Z44" si="1">IF(ROUND(N43,2)&lt;&gt;ROUND(N97,2),N43-N97,"")</f>
        <v/>
      </c>
      <c r="O44" s="245" t="str">
        <f t="shared" si="1"/>
        <v/>
      </c>
      <c r="P44" s="245" t="str">
        <f t="shared" si="1"/>
        <v/>
      </c>
      <c r="Q44" s="245" t="str">
        <f t="shared" si="1"/>
        <v/>
      </c>
      <c r="R44" s="245" t="str">
        <f t="shared" si="1"/>
        <v/>
      </c>
      <c r="S44" s="245" t="str">
        <f t="shared" si="1"/>
        <v/>
      </c>
      <c r="T44" s="245" t="str">
        <f t="shared" si="1"/>
        <v/>
      </c>
      <c r="U44" s="245" t="str">
        <f t="shared" si="1"/>
        <v/>
      </c>
      <c r="V44" s="245" t="str">
        <f t="shared" si="1"/>
        <v/>
      </c>
      <c r="W44" s="245" t="str">
        <f t="shared" si="1"/>
        <v/>
      </c>
      <c r="X44" s="245" t="str">
        <f t="shared" si="1"/>
        <v/>
      </c>
      <c r="Y44" s="245" t="str">
        <f t="shared" si="1"/>
        <v/>
      </c>
      <c r="Z44" s="245" t="str">
        <f t="shared" si="1"/>
        <v/>
      </c>
      <c r="AA44" s="161" t="b">
        <f>Z44=""</f>
        <v>1</v>
      </c>
      <c r="AC44" s="244" t="str">
        <f>IF(ROUND(AC43,2)&lt;&gt;ROUND(AC97,2),AC43-AC97,"")</f>
        <v/>
      </c>
      <c r="AD44" s="206" t="b">
        <f>AC44=""</f>
        <v>1</v>
      </c>
      <c r="AE44" s="51"/>
      <c r="AF44" s="245" t="str">
        <f>IF(ROUND(AF43,2)&lt;&gt;ROUND(AF97,2),AF43-AF97,"")</f>
        <v/>
      </c>
      <c r="AG44" s="206" t="b">
        <f>AF44=""</f>
        <v>1</v>
      </c>
      <c r="AH44" s="51"/>
    </row>
    <row r="45" spans="1:41" x14ac:dyDescent="0.2">
      <c r="H45" s="1" t="s">
        <v>564</v>
      </c>
      <c r="I45" s="11" t="e">
        <f ca="1">_xll.EVPRO($B$1,$H45,"STYLE")</f>
        <v>#NAME?</v>
      </c>
      <c r="J45" s="11" t="e">
        <f ca="1">_xll.EVPRO($B$1,$H45,"CALC")</f>
        <v>#NAME?</v>
      </c>
      <c r="M45" s="37" t="e">
        <f ca="1">IF(_xll.EVDES(H45,$B$1)="#NODATA","",_xll.EVDES(H45,$B$1))</f>
        <v>#NAME?</v>
      </c>
      <c r="N45" s="40"/>
      <c r="O45" s="43"/>
      <c r="P45" s="43"/>
      <c r="Q45" s="43"/>
      <c r="R45" s="43"/>
      <c r="S45" s="43"/>
      <c r="T45" s="43"/>
      <c r="U45" s="43"/>
      <c r="V45" s="43"/>
      <c r="W45" s="43"/>
      <c r="X45" s="43"/>
      <c r="Y45" s="43"/>
      <c r="Z45" s="43"/>
      <c r="AA45" s="41"/>
      <c r="AC45" s="40"/>
      <c r="AD45" s="43"/>
      <c r="AE45" s="41"/>
      <c r="AF45" s="40"/>
      <c r="AG45" s="43"/>
      <c r="AH45" s="41"/>
    </row>
    <row r="46" spans="1:41" x14ac:dyDescent="0.2">
      <c r="A46" s="3" t="s">
        <v>0</v>
      </c>
      <c r="B46" s="5" t="s">
        <v>1</v>
      </c>
      <c r="G46" s="10" t="s">
        <v>60</v>
      </c>
      <c r="H46" s="10" t="s">
        <v>464</v>
      </c>
      <c r="I46" s="26" t="e">
        <f ca="1">_xll.EVPRO($B$1,$H46,"STYLE")</f>
        <v>#NAME?</v>
      </c>
      <c r="J46" s="26" t="e">
        <f ca="1">_xll.EVPRO($B$1,$H46,"CALC")</f>
        <v>#NAME?</v>
      </c>
      <c r="K46" s="8"/>
      <c r="L46" s="23"/>
      <c r="M46" s="24" t="e">
        <f ca="1">IF(_xll.EVDES(G46,$B$1)="#NODATA","",_xll.EVDES(G46,$B$1))</f>
        <v>#NAME?</v>
      </c>
      <c r="N46" s="19">
        <v>249801.51</v>
      </c>
      <c r="O46" s="19">
        <v>255398.29</v>
      </c>
      <c r="P46" s="19">
        <v>263735.28000000003</v>
      </c>
      <c r="Q46" s="19">
        <v>261858.86</v>
      </c>
      <c r="R46" s="19">
        <v>267324.25</v>
      </c>
      <c r="S46" s="19">
        <v>206882.07</v>
      </c>
      <c r="T46" s="19">
        <v>214773.66</v>
      </c>
      <c r="U46" s="19">
        <v>200502.01</v>
      </c>
      <c r="V46" s="19">
        <v>185458.87</v>
      </c>
      <c r="W46" s="19">
        <v>194298.83</v>
      </c>
      <c r="X46" s="19">
        <v>214598.12</v>
      </c>
      <c r="Y46" s="19">
        <v>254850.93</v>
      </c>
      <c r="Z46" s="19">
        <f>SUM(N46:Y46)</f>
        <v>2769482.68</v>
      </c>
      <c r="AA46" s="15">
        <f>IF(Z46=0,"",IFERROR(Z46/Z39,""))</f>
        <v>0.29163478522354269</v>
      </c>
      <c r="AC46" s="19">
        <v>2538555.8443589201</v>
      </c>
      <c r="AD46" s="15">
        <f>IF(AC46=0,"",IFERROR(AC46/AC39,""))</f>
        <v>0.25422238106329298</v>
      </c>
      <c r="AE46" s="47">
        <f>IF(AND($Z46="",AC46=""),"",$Z46-AC46)</f>
        <v>230926.83564108005</v>
      </c>
      <c r="AF46" s="19">
        <v>2592840.12</v>
      </c>
      <c r="AG46" s="15">
        <f>IF(AF46=0,"",IFERROR(AF46/AF39,""))</f>
        <v>0.2643598983768885</v>
      </c>
      <c r="AH46" s="47">
        <f>IF(AND($Z46="",AF46=""),"",$Z46-AF46)</f>
        <v>176642.56000000006</v>
      </c>
      <c r="AI46" s="538" t="str">
        <f>+IFERROR(ROUND(($AA46-AD46)*100,2)&amp;" pts.",0)</f>
        <v>3.74 pts.</v>
      </c>
      <c r="AJ46" s="539"/>
      <c r="AK46" s="538" t="str">
        <f>+IFERROR(ROUND(($AA46-AG46)*100,2)&amp;" pts.",0)</f>
        <v>2.73 pts.</v>
      </c>
      <c r="AL46" s="539"/>
    </row>
    <row r="47" spans="1:41" x14ac:dyDescent="0.2">
      <c r="A47" s="6" t="s">
        <v>2</v>
      </c>
      <c r="B47" s="7" t="e">
        <f ca="1">_xll.EVRNG($B$2:$B$10)</f>
        <v>#NAME?</v>
      </c>
      <c r="G47" s="10" t="s">
        <v>358</v>
      </c>
      <c r="H47" s="10" t="s">
        <v>464</v>
      </c>
      <c r="I47" s="26" t="e">
        <f ca="1">_xll.EVPRO($B$1,$H47,"STYLE")</f>
        <v>#NAME?</v>
      </c>
      <c r="J47" s="26" t="e">
        <f ca="1">_xll.EVPRO($B$1,$H47,"CALC")</f>
        <v>#NAME?</v>
      </c>
      <c r="K47" s="8"/>
      <c r="L47" s="23"/>
      <c r="M47" s="24" t="e">
        <f ca="1">IF(_xll.EVDES(G47,$B$1)="#NODATA","",_xll.EVDES(G47,$B$1))</f>
        <v>#NAME?</v>
      </c>
      <c r="N47" s="19">
        <v>27523.5</v>
      </c>
      <c r="O47" s="19">
        <v>10103.799999999999</v>
      </c>
      <c r="P47" s="19">
        <v>2149.16</v>
      </c>
      <c r="Q47" s="19">
        <v>2505.37</v>
      </c>
      <c r="R47" s="19">
        <v>2296.83</v>
      </c>
      <c r="S47" s="19">
        <v>1961.56</v>
      </c>
      <c r="T47" s="19">
        <v>1689.77</v>
      </c>
      <c r="U47" s="19">
        <v>2191.79</v>
      </c>
      <c r="V47" s="19">
        <v>918.4</v>
      </c>
      <c r="W47" s="19">
        <v>1465.27</v>
      </c>
      <c r="X47" s="19">
        <v>1547.76</v>
      </c>
      <c r="Y47" s="19">
        <v>1005.28</v>
      </c>
      <c r="Z47" s="19">
        <f>SUM(N47:Y47)</f>
        <v>55358.490000000005</v>
      </c>
      <c r="AA47" s="15">
        <f>IF(Z47=0,"",IFERROR(Z47/Z40,""))</f>
        <v>0.57349599267032247</v>
      </c>
      <c r="AC47" s="19">
        <v>21268.570650000001</v>
      </c>
      <c r="AD47" s="15">
        <f>IF(AC47=0,"",IFERROR(AC47/AC40,""))</f>
        <v>0.3051047826344549</v>
      </c>
      <c r="AE47" s="47">
        <f>IF(AND($Z47="",AC47=""),"",$Z47-AC47)</f>
        <v>34089.919350000004</v>
      </c>
      <c r="AF47" s="19">
        <v>2040345.04</v>
      </c>
      <c r="AG47" s="15">
        <f>IF(AF47=0,"",IFERROR(AF47/AF40,""))</f>
        <v>0.96628477483416741</v>
      </c>
      <c r="AH47" s="47">
        <f>IF(AND($Z47="",AF47=""),"",$Z47-AF47)</f>
        <v>-1984986.55</v>
      </c>
      <c r="AI47" s="538" t="str">
        <f>+IFERROR(ROUND(($AA47-AD47)*100,2)&amp;" pts.",0)</f>
        <v>26.84 pts.</v>
      </c>
      <c r="AJ47" s="539"/>
      <c r="AK47" s="538" t="str">
        <f>+IFERROR(ROUND(($AA47-AG47)*100,2)&amp;" pts.",0)</f>
        <v>-39.28 pts.</v>
      </c>
      <c r="AL47" s="539"/>
    </row>
    <row r="48" spans="1:41" x14ac:dyDescent="0.2">
      <c r="A48" s="6" t="s">
        <v>3</v>
      </c>
      <c r="B48" s="7" t="e">
        <f ca="1">_xll.EVRNG(N16:AH18)</f>
        <v>#NAME?</v>
      </c>
      <c r="G48" s="10" t="s">
        <v>463</v>
      </c>
      <c r="H48" s="10" t="s">
        <v>464</v>
      </c>
      <c r="I48" s="26" t="e">
        <f ca="1">_xll.EVPRO($B$1,$H48,"STYLE")</f>
        <v>#NAME?</v>
      </c>
      <c r="J48" s="26" t="e">
        <f ca="1">_xll.EVPRO($B$1,$H48,"CALC")</f>
        <v>#NAME?</v>
      </c>
      <c r="K48" s="8"/>
      <c r="L48" s="23"/>
      <c r="M48" s="24" t="e">
        <f ca="1">IF(_xll.EVDES(G48,$B$1)="#NODATA","",_xll.EVDES(G48,$B$1))</f>
        <v>#NAME?</v>
      </c>
      <c r="N48" s="19">
        <v>677.06</v>
      </c>
      <c r="O48" s="19">
        <v>291.47000000000003</v>
      </c>
      <c r="P48" s="19">
        <v>711</v>
      </c>
      <c r="Q48" s="19">
        <v>642.24</v>
      </c>
      <c r="R48" s="19">
        <v>294.5</v>
      </c>
      <c r="S48" s="19">
        <v>206.68</v>
      </c>
      <c r="T48" s="19">
        <v>520.26</v>
      </c>
      <c r="U48" s="19">
        <v>165.54</v>
      </c>
      <c r="V48" s="19">
        <v>348.76</v>
      </c>
      <c r="W48" s="19">
        <v>319.45</v>
      </c>
      <c r="X48" s="19">
        <v>767.44</v>
      </c>
      <c r="Y48" s="19">
        <v>180.6</v>
      </c>
      <c r="Z48" s="19">
        <f>SUM(N48:Y48)</f>
        <v>5125</v>
      </c>
      <c r="AA48" s="15">
        <f>IF(Z48=0,"",IFERROR(Z48/Z41,""))</f>
        <v>0.28781753996592235</v>
      </c>
      <c r="AC48" s="19">
        <v>7070.1959399999996</v>
      </c>
      <c r="AD48" s="15">
        <f>IF(AC48=0,"",IFERROR(AC48/AC41,""))</f>
        <v>0.43934999999999996</v>
      </c>
      <c r="AE48" s="47">
        <f>IF(AND($Z48="",AC48=""),"",$Z48-AC48)</f>
        <v>-1945.1959399999996</v>
      </c>
      <c r="AF48" s="19">
        <v>7208.72</v>
      </c>
      <c r="AG48" s="15">
        <f>IF(AF48=0,"",IFERROR(AF48/AF41,""))</f>
        <v>0.45378930994780808</v>
      </c>
      <c r="AH48" s="47">
        <f>IF(AND($Z48="",AF48=""),"",$Z48-AF48)</f>
        <v>-2083.7200000000003</v>
      </c>
      <c r="AI48" s="542" t="str">
        <f>+IFERROR(ROUND(($AA48-AD48)*100,2)&amp;" pts.",0)</f>
        <v>-15.15 pts.</v>
      </c>
      <c r="AJ48" s="543"/>
      <c r="AK48" s="542" t="str">
        <f>+IFERROR(ROUND(($AA48-AG48)*100,2)&amp;" pts.",0)</f>
        <v>-16.6 pts.</v>
      </c>
      <c r="AL48" s="543"/>
    </row>
    <row r="49" spans="1:38" x14ac:dyDescent="0.2">
      <c r="A49" s="6" t="s">
        <v>4</v>
      </c>
      <c r="B49" s="7" t="e">
        <f ca="1">_xll.EVRNG(G93:H105)</f>
        <v>#NAME?</v>
      </c>
      <c r="I49" s="1"/>
      <c r="J49" s="1"/>
      <c r="L49" s="1"/>
      <c r="M49" s="23" t="e">
        <f ca="1">"Total "&amp;M45</f>
        <v>#NAME?</v>
      </c>
      <c r="N49" s="30">
        <f t="shared" ref="N49:Y49" si="2">SUM(N46:N48)</f>
        <v>278002.07</v>
      </c>
      <c r="O49" s="30">
        <f t="shared" si="2"/>
        <v>265793.56</v>
      </c>
      <c r="P49" s="30">
        <f t="shared" si="2"/>
        <v>266595.44</v>
      </c>
      <c r="Q49" s="30">
        <f t="shared" si="2"/>
        <v>265006.46999999997</v>
      </c>
      <c r="R49" s="30">
        <f t="shared" si="2"/>
        <v>269915.58</v>
      </c>
      <c r="S49" s="30">
        <f t="shared" si="2"/>
        <v>209050.31</v>
      </c>
      <c r="T49" s="30">
        <f t="shared" si="2"/>
        <v>216983.69</v>
      </c>
      <c r="U49" s="30">
        <f t="shared" si="2"/>
        <v>202859.34000000003</v>
      </c>
      <c r="V49" s="30">
        <f t="shared" si="2"/>
        <v>186726.03</v>
      </c>
      <c r="W49" s="30">
        <f t="shared" si="2"/>
        <v>196083.55</v>
      </c>
      <c r="X49" s="30">
        <f t="shared" si="2"/>
        <v>216913.32</v>
      </c>
      <c r="Y49" s="30">
        <f t="shared" si="2"/>
        <v>256036.81</v>
      </c>
      <c r="Z49" s="30">
        <f>SUM(N49:Y49)</f>
        <v>2829966.17</v>
      </c>
      <c r="AA49" s="31">
        <f>IF(Z49=0,"",IFERROR(Z49/Z$43,""))</f>
        <v>0.26108583186773709</v>
      </c>
      <c r="AC49" s="30">
        <f>SUM(AC46:AC48)</f>
        <v>2566894.6109489202</v>
      </c>
      <c r="AD49" s="31">
        <f>IF(AC49=0,"",IFERROR(AC49/AC$43,""))</f>
        <v>0.22838802291268126</v>
      </c>
      <c r="AE49" s="49">
        <f>IF(AND($Z49="",AC49=""),"",$Z49-AC49)</f>
        <v>263071.55905107968</v>
      </c>
      <c r="AF49" s="30">
        <f>SUM(AF46:AF48)</f>
        <v>4640393.88</v>
      </c>
      <c r="AG49" s="31">
        <f>IF(AF49=0,"",IFERROR(AF49/AF$43,""))</f>
        <v>0.35860275052969087</v>
      </c>
      <c r="AH49" s="49">
        <f>IF(AND($Z49="",AF49=""),"",$Z49-AF49)</f>
        <v>-1810427.71</v>
      </c>
      <c r="AI49" s="544" t="str">
        <f>+IFERROR(ROUND(($AA49-AD49)*100,2)&amp;" pts.",0)</f>
        <v>3.27 pts.</v>
      </c>
      <c r="AJ49" s="545"/>
      <c r="AK49" s="544" t="str">
        <f>+IFERROR(ROUND(($AA49-AG49)*100,2)&amp;" pts.",0)</f>
        <v>-9.75 pts.</v>
      </c>
      <c r="AL49" s="545"/>
    </row>
    <row r="50" spans="1:38" x14ac:dyDescent="0.2">
      <c r="A50" s="6" t="s">
        <v>5</v>
      </c>
      <c r="B50" s="7"/>
      <c r="I50" s="1"/>
      <c r="J50" s="1"/>
      <c r="L50" s="1">
        <f>COUNTIF(N50:AH50,FALSE)</f>
        <v>0</v>
      </c>
      <c r="M50" s="204" t="str">
        <f>IF(L50=0,"","Expense - database validation failed")</f>
        <v/>
      </c>
      <c r="N50" s="244" t="str">
        <f t="shared" ref="N50:Z50" si="3">IF(ROUND(N49,2)&lt;&gt;ROUND(N98,2),N49-N98,"")</f>
        <v/>
      </c>
      <c r="O50" s="245" t="str">
        <f t="shared" si="3"/>
        <v/>
      </c>
      <c r="P50" s="245" t="str">
        <f t="shared" si="3"/>
        <v/>
      </c>
      <c r="Q50" s="245" t="str">
        <f t="shared" si="3"/>
        <v/>
      </c>
      <c r="R50" s="245" t="str">
        <f t="shared" si="3"/>
        <v/>
      </c>
      <c r="S50" s="245" t="str">
        <f t="shared" si="3"/>
        <v/>
      </c>
      <c r="T50" s="245" t="str">
        <f t="shared" si="3"/>
        <v/>
      </c>
      <c r="U50" s="245" t="str">
        <f t="shared" si="3"/>
        <v/>
      </c>
      <c r="V50" s="245" t="str">
        <f t="shared" si="3"/>
        <v/>
      </c>
      <c r="W50" s="245" t="str">
        <f t="shared" si="3"/>
        <v/>
      </c>
      <c r="X50" s="245" t="str">
        <f t="shared" si="3"/>
        <v/>
      </c>
      <c r="Y50" s="245" t="str">
        <f t="shared" si="3"/>
        <v/>
      </c>
      <c r="Z50" s="245" t="str">
        <f t="shared" si="3"/>
        <v/>
      </c>
      <c r="AA50" s="173" t="b">
        <f>Z50=""</f>
        <v>1</v>
      </c>
      <c r="AC50" s="244" t="str">
        <f>IF(ROUND(AC49,2)&lt;&gt;ROUND(AC98,2),AC49-AC98,"")</f>
        <v/>
      </c>
      <c r="AD50" s="206" t="b">
        <f>AC50=""</f>
        <v>1</v>
      </c>
      <c r="AE50" s="51"/>
      <c r="AF50" s="244" t="str">
        <f>IF(ROUND(AF49,2)&lt;&gt;ROUND(AF98,2),AF49-AF98,"")</f>
        <v/>
      </c>
      <c r="AG50" s="206" t="b">
        <f>AF50=""</f>
        <v>1</v>
      </c>
      <c r="AH50" s="51"/>
    </row>
    <row r="51" spans="1:38" x14ac:dyDescent="0.2">
      <c r="A51" s="6" t="s">
        <v>6</v>
      </c>
      <c r="B51" s="7"/>
      <c r="G51" s="10"/>
      <c r="H51" s="10"/>
      <c r="I51" s="25"/>
      <c r="J51" s="25"/>
      <c r="L51" s="1"/>
      <c r="M51" s="23" t="s">
        <v>471</v>
      </c>
      <c r="N51" s="145">
        <f t="shared" ref="N51:Y51" si="4">N43-N49</f>
        <v>898926.94000000018</v>
      </c>
      <c r="O51" s="145">
        <f t="shared" si="4"/>
        <v>1091015.5999999999</v>
      </c>
      <c r="P51" s="145">
        <f t="shared" si="4"/>
        <v>1029137.8500000001</v>
      </c>
      <c r="Q51" s="145">
        <f t="shared" si="4"/>
        <v>809340.62000000011</v>
      </c>
      <c r="R51" s="145">
        <f t="shared" si="4"/>
        <v>624441.92999999993</v>
      </c>
      <c r="S51" s="145">
        <f t="shared" si="4"/>
        <v>421634.13999999996</v>
      </c>
      <c r="T51" s="145">
        <f t="shared" si="4"/>
        <v>432817.24000000005</v>
      </c>
      <c r="U51" s="145">
        <f t="shared" si="4"/>
        <v>386535.59999999992</v>
      </c>
      <c r="V51" s="145">
        <f t="shared" si="4"/>
        <v>315801.77999999991</v>
      </c>
      <c r="W51" s="145">
        <f t="shared" si="4"/>
        <v>522055.42</v>
      </c>
      <c r="X51" s="145">
        <f t="shared" si="4"/>
        <v>599488.16999999993</v>
      </c>
      <c r="Y51" s="145">
        <f t="shared" si="4"/>
        <v>878056.23999999976</v>
      </c>
      <c r="Z51" s="145">
        <f>SUM(N51:Y51)</f>
        <v>8009251.5299999993</v>
      </c>
      <c r="AA51" s="156">
        <f>IF(Z51=0,"",IFERROR(Z51/Z43,""))</f>
        <v>0.73891416813226285</v>
      </c>
      <c r="AC51" s="145">
        <f>AC43-AC49</f>
        <v>8672287.62905108</v>
      </c>
      <c r="AD51" s="156">
        <f>IF(AC51=0,"",IFERROR(AC51/AC43,""))</f>
        <v>0.77161197708731877</v>
      </c>
      <c r="AE51" s="146">
        <f>IF(AND($Z51="",AC51=""),"",$Z51-AC51)</f>
        <v>-663036.09905108064</v>
      </c>
      <c r="AF51" s="145">
        <f>AF43-AF49</f>
        <v>8299813.2800000003</v>
      </c>
      <c r="AG51" s="156">
        <f>IF(AF51=0,"",IFERROR(AF51/AF43,""))</f>
        <v>0.64139724947030907</v>
      </c>
      <c r="AH51" s="146">
        <f>IF(AND($Z51="",AF51=""),"",$Z51-AF51)</f>
        <v>-290561.75000000093</v>
      </c>
      <c r="AI51" s="546" t="str">
        <f>+IFERROR(ROUND(($AA51-AD51)*100,2)&amp;" pts.",0)</f>
        <v>-3.27 pts.</v>
      </c>
      <c r="AJ51" s="547"/>
      <c r="AK51" s="546" t="str">
        <f>+IFERROR(ROUND(($AA51-AG51)*100,2)&amp;" pts.",0)</f>
        <v>9.75 pts.</v>
      </c>
      <c r="AL51" s="547"/>
    </row>
    <row r="52" spans="1:38" x14ac:dyDescent="0.2">
      <c r="A52" s="6" t="s">
        <v>7</v>
      </c>
      <c r="B52" s="7"/>
      <c r="I52" s="1"/>
      <c r="J52" s="1"/>
      <c r="L52" s="1">
        <f>COUNTIF(N52:AH52,FALSE)</f>
        <v>0</v>
      </c>
      <c r="M52" s="204" t="str">
        <f>IF(L52=0,"","Profit - database validation failed")</f>
        <v/>
      </c>
      <c r="N52" s="244" t="str">
        <f t="shared" ref="N52:Z52" si="5">IF(ROUND(N51,2)&lt;&gt;ROUND(N99,2),N51-N99,"")</f>
        <v/>
      </c>
      <c r="O52" s="245" t="str">
        <f t="shared" si="5"/>
        <v/>
      </c>
      <c r="P52" s="245" t="str">
        <f t="shared" si="5"/>
        <v/>
      </c>
      <c r="Q52" s="245" t="str">
        <f t="shared" si="5"/>
        <v/>
      </c>
      <c r="R52" s="245" t="str">
        <f t="shared" si="5"/>
        <v/>
      </c>
      <c r="S52" s="245" t="str">
        <f t="shared" si="5"/>
        <v/>
      </c>
      <c r="T52" s="245" t="str">
        <f t="shared" si="5"/>
        <v/>
      </c>
      <c r="U52" s="245" t="str">
        <f t="shared" si="5"/>
        <v/>
      </c>
      <c r="V52" s="245" t="str">
        <f t="shared" si="5"/>
        <v/>
      </c>
      <c r="W52" s="245" t="str">
        <f t="shared" si="5"/>
        <v/>
      </c>
      <c r="X52" s="245" t="str">
        <f t="shared" si="5"/>
        <v/>
      </c>
      <c r="Y52" s="245" t="str">
        <f t="shared" si="5"/>
        <v/>
      </c>
      <c r="Z52" s="245" t="str">
        <f t="shared" si="5"/>
        <v/>
      </c>
      <c r="AA52" s="173" t="b">
        <f>Z52=""</f>
        <v>1</v>
      </c>
      <c r="AC52" s="244" t="str">
        <f>IF(ROUND(AC51,2)&lt;&gt;ROUND(AC99,2),AC51-AC99,"")</f>
        <v/>
      </c>
      <c r="AD52" s="206" t="b">
        <f>AC52=""</f>
        <v>1</v>
      </c>
      <c r="AE52" s="51"/>
      <c r="AF52" s="244" t="str">
        <f>IF(ROUND(AF51,2)&lt;&gt;ROUND(AF99,2),AF51-AF99,"")</f>
        <v/>
      </c>
      <c r="AG52" s="206" t="b">
        <f>AF52=""</f>
        <v>1</v>
      </c>
      <c r="AH52" s="51"/>
    </row>
    <row r="53" spans="1:38" x14ac:dyDescent="0.2">
      <c r="A53" s="6" t="s">
        <v>47</v>
      </c>
      <c r="B53" s="7" t="e">
        <f ca="1">_xll.EVRNG($A$58:$B$79)</f>
        <v>#NAME?</v>
      </c>
      <c r="H53" s="1" t="s">
        <v>565</v>
      </c>
      <c r="I53" s="11" t="e">
        <f ca="1">_xll.EVPRO($B$1,$H53,"STYLE")</f>
        <v>#NAME?</v>
      </c>
      <c r="J53" s="11" t="e">
        <f ca="1">_xll.EVPRO($B$1,$H53,"CALC")</f>
        <v>#NAME?</v>
      </c>
      <c r="L53" s="1"/>
      <c r="M53" s="37" t="e">
        <f ca="1">IF(_xll.EVDES(H53,$B$1)="#NODATA","",_xll.EVDES(H53,$B$1))</f>
        <v>#NAME?</v>
      </c>
      <c r="N53" s="40"/>
      <c r="O53" s="43"/>
      <c r="P53" s="43"/>
      <c r="Q53" s="43"/>
      <c r="R53" s="43"/>
      <c r="S53" s="43"/>
      <c r="T53" s="43"/>
      <c r="U53" s="43"/>
      <c r="V53" s="43"/>
      <c r="W53" s="43"/>
      <c r="X53" s="43"/>
      <c r="Y53" s="43"/>
      <c r="Z53" s="43"/>
      <c r="AA53" s="41"/>
      <c r="AC53" s="40"/>
      <c r="AD53" s="43"/>
      <c r="AE53" s="41"/>
      <c r="AF53" s="40"/>
      <c r="AG53" s="43"/>
      <c r="AH53" s="41"/>
    </row>
    <row r="54" spans="1:38" x14ac:dyDescent="0.2">
      <c r="A54" s="6" t="s">
        <v>8</v>
      </c>
      <c r="B54" s="7"/>
      <c r="G54" s="10" t="s">
        <v>497</v>
      </c>
      <c r="H54" s="10" t="s">
        <v>464</v>
      </c>
      <c r="I54" s="25" t="e">
        <f ca="1">_xll.EVPRO($B$1,$H54,"STYLE")</f>
        <v>#NAME?</v>
      </c>
      <c r="J54" s="25" t="e">
        <f ca="1">_xll.EVPRO($B$1,$H54,"CALC")</f>
        <v>#NAME?</v>
      </c>
      <c r="L54" s="1"/>
      <c r="M54" s="24" t="e">
        <f ca="1">IF(_xll.EVDES(G54,$B$1)="#NODATA","",_xll.EVDES(G54,$B$1))</f>
        <v>#NAME?</v>
      </c>
      <c r="N54" s="19">
        <v>100949.91</v>
      </c>
      <c r="O54" s="19">
        <v>105036.94</v>
      </c>
      <c r="P54" s="19">
        <v>107169.67</v>
      </c>
      <c r="Q54" s="19">
        <v>106693.34</v>
      </c>
      <c r="R54" s="19">
        <v>101266.72</v>
      </c>
      <c r="S54" s="19">
        <v>72456</v>
      </c>
      <c r="T54" s="19">
        <v>81655.14</v>
      </c>
      <c r="U54" s="19">
        <v>85216.41</v>
      </c>
      <c r="V54" s="19">
        <v>69305.69</v>
      </c>
      <c r="W54" s="19">
        <v>89871.11</v>
      </c>
      <c r="X54" s="19">
        <v>86941.1</v>
      </c>
      <c r="Y54" s="19">
        <v>114145.55</v>
      </c>
      <c r="Z54" s="19">
        <f t="shared" ref="Z54:Z59" si="6">SUM(N54:Y54)</f>
        <v>1120707.58</v>
      </c>
      <c r="AA54" s="15">
        <f t="shared" ref="AA54:AA59" si="7">IF(Z54=0,"",IFERROR(Z54/Z$43,""))</f>
        <v>0.10339376982897946</v>
      </c>
      <c r="AC54" s="19">
        <v>1155585.1885266299</v>
      </c>
      <c r="AD54" s="15">
        <f t="shared" ref="AD54:AD59" si="8">IF(AC54=0,"",IFERROR(AC54/AC$43,""))</f>
        <v>0.10281755058779347</v>
      </c>
      <c r="AE54" s="47">
        <f t="shared" ref="AE54:AE59" si="9">IF(AND($Z54="",AC54=""),"",$Z54-AC54)</f>
        <v>-34877.608526629861</v>
      </c>
      <c r="AF54" s="19">
        <v>1203365.8700000001</v>
      </c>
      <c r="AG54" s="15">
        <f t="shared" ref="AG54:AG59" si="10">IF(AF54=0,"",IFERROR(AF54/AF$43,""))</f>
        <v>9.2994328075347452E-2</v>
      </c>
      <c r="AH54" s="47">
        <f t="shared" ref="AH54:AH59" si="11">IF(AND($Z54="",AF54=""),"",$Z54-AF54)</f>
        <v>-82658.290000000037</v>
      </c>
      <c r="AI54" s="538" t="str">
        <f t="shared" ref="AI54:AI59" si="12">+IFERROR(ROUND(($AA54-AD54)*100,2)&amp;" pts.",0)</f>
        <v>0.06 pts.</v>
      </c>
      <c r="AJ54" s="539"/>
      <c r="AK54" s="538" t="str">
        <f t="shared" ref="AK54:AK59" si="13">+IFERROR(ROUND(($AA54-AG54)*100,2)&amp;" pts.",0)</f>
        <v>1.04 pts.</v>
      </c>
      <c r="AL54" s="539"/>
    </row>
    <row r="55" spans="1:38" x14ac:dyDescent="0.2">
      <c r="D55" s="1" t="s">
        <v>569</v>
      </c>
      <c r="G55" s="10" t="s">
        <v>500</v>
      </c>
      <c r="H55" s="10" t="s">
        <v>464</v>
      </c>
      <c r="I55" s="25" t="e">
        <f ca="1">_xll.EVPRO($B$1,$H55,"STYLE")</f>
        <v>#NAME?</v>
      </c>
      <c r="J55" s="25" t="e">
        <f ca="1">_xll.EVPRO($B$1,$H55,"CALC")</f>
        <v>#NAME?</v>
      </c>
      <c r="L55" s="1"/>
      <c r="M55" s="24" t="e">
        <f ca="1">IF(_xll.EVDES(G55,$B$1)="#NODATA","",_xll.EVDES(G55,$B$1))</f>
        <v>#NAME?</v>
      </c>
      <c r="N55" s="19">
        <v>19235.439999999999</v>
      </c>
      <c r="O55" s="19">
        <v>22136.12</v>
      </c>
      <c r="P55" s="19">
        <v>20844.099999999999</v>
      </c>
      <c r="Q55" s="19">
        <v>15829.8</v>
      </c>
      <c r="R55" s="19">
        <v>15157.74</v>
      </c>
      <c r="S55" s="19">
        <v>11148.06</v>
      </c>
      <c r="T55" s="19">
        <v>12448.49</v>
      </c>
      <c r="U55" s="19">
        <v>9078.4500000000007</v>
      </c>
      <c r="V55" s="19">
        <v>8251.67</v>
      </c>
      <c r="W55" s="19">
        <v>10860.33</v>
      </c>
      <c r="X55" s="19">
        <v>13045.09</v>
      </c>
      <c r="Y55" s="19">
        <v>19091.71</v>
      </c>
      <c r="Z55" s="19">
        <f t="shared" si="6"/>
        <v>177126.99999999997</v>
      </c>
      <c r="AA55" s="15">
        <f t="shared" si="7"/>
        <v>1.6341308469152712E-2</v>
      </c>
      <c r="AC55" s="19">
        <v>184418.68455999999</v>
      </c>
      <c r="AD55" s="15">
        <f t="shared" si="8"/>
        <v>1.6408550072589623E-2</v>
      </c>
      <c r="AE55" s="47">
        <f t="shared" si="9"/>
        <v>-7291.6845600000233</v>
      </c>
      <c r="AF55" s="19">
        <v>210497.32</v>
      </c>
      <c r="AG55" s="15">
        <f t="shared" si="10"/>
        <v>1.6266920413042292E-2</v>
      </c>
      <c r="AH55" s="47">
        <f t="shared" si="11"/>
        <v>-33370.320000000036</v>
      </c>
      <c r="AI55" s="538" t="str">
        <f t="shared" si="12"/>
        <v>-0.01 pts.</v>
      </c>
      <c r="AJ55" s="539"/>
      <c r="AK55" s="538" t="str">
        <f t="shared" si="13"/>
        <v>0.01 pts.</v>
      </c>
      <c r="AL55" s="539"/>
    </row>
    <row r="56" spans="1:38" x14ac:dyDescent="0.2">
      <c r="G56" s="10" t="s">
        <v>512</v>
      </c>
      <c r="H56" s="10" t="s">
        <v>464</v>
      </c>
      <c r="I56" s="25" t="e">
        <f ca="1">_xll.EVPRO($B$1,$H56,"STYLE")</f>
        <v>#NAME?</v>
      </c>
      <c r="J56" s="25" t="e">
        <f ca="1">_xll.EVPRO($B$1,$H56,"CALC")</f>
        <v>#NAME?</v>
      </c>
      <c r="L56" s="1"/>
      <c r="M56" s="24" t="e">
        <f ca="1">IF(_xll.EVDES(G56,$B$1)="#NODATA","",_xll.EVDES(G56,$B$1))</f>
        <v>#NAME?</v>
      </c>
      <c r="N56" s="19">
        <v>96704.83</v>
      </c>
      <c r="O56" s="19">
        <v>100245.07</v>
      </c>
      <c r="P56" s="19">
        <v>104713.14</v>
      </c>
      <c r="Q56" s="19">
        <v>105298.68</v>
      </c>
      <c r="R56" s="19">
        <v>100102.44</v>
      </c>
      <c r="S56" s="19">
        <v>91108</v>
      </c>
      <c r="T56" s="19">
        <v>92915.15</v>
      </c>
      <c r="U56" s="19">
        <v>82058.820000000007</v>
      </c>
      <c r="V56" s="19">
        <v>82615.460000000006</v>
      </c>
      <c r="W56" s="19">
        <v>82959.41</v>
      </c>
      <c r="X56" s="19">
        <v>88404.91</v>
      </c>
      <c r="Y56" s="19">
        <v>80954.2</v>
      </c>
      <c r="Z56" s="19">
        <f t="shared" si="6"/>
        <v>1108080.1100000001</v>
      </c>
      <c r="AA56" s="15">
        <f t="shared" si="7"/>
        <v>0.10222878999837785</v>
      </c>
      <c r="AC56" s="19">
        <v>1151615.33399324</v>
      </c>
      <c r="AD56" s="15">
        <f t="shared" si="8"/>
        <v>0.10246433498468123</v>
      </c>
      <c r="AE56" s="47">
        <f t="shared" si="9"/>
        <v>-43535.223993239924</v>
      </c>
      <c r="AF56" s="19">
        <v>1182346.3999999999</v>
      </c>
      <c r="AG56" s="15">
        <f t="shared" si="10"/>
        <v>9.1369974636480236E-2</v>
      </c>
      <c r="AH56" s="47">
        <f t="shared" si="11"/>
        <v>-74266.289999999804</v>
      </c>
      <c r="AI56" s="538" t="str">
        <f t="shared" si="12"/>
        <v>-0.02 pts.</v>
      </c>
      <c r="AJ56" s="539"/>
      <c r="AK56" s="538" t="str">
        <f t="shared" si="13"/>
        <v>1.09 pts.</v>
      </c>
      <c r="AL56" s="539"/>
    </row>
    <row r="57" spans="1:38" x14ac:dyDescent="0.2">
      <c r="A57" s="3" t="s">
        <v>23</v>
      </c>
      <c r="B57" s="5" t="s">
        <v>24</v>
      </c>
      <c r="G57" s="10" t="s">
        <v>513</v>
      </c>
      <c r="H57" s="10" t="s">
        <v>464</v>
      </c>
      <c r="I57" s="25" t="e">
        <f ca="1">_xll.EVPRO($B$1,$H57,"STYLE")</f>
        <v>#NAME?</v>
      </c>
      <c r="J57" s="25" t="e">
        <f ca="1">_xll.EVPRO($B$1,$H57,"CALC")</f>
        <v>#NAME?</v>
      </c>
      <c r="L57" s="1"/>
      <c r="M57" s="24" t="e">
        <f ca="1">IF(_xll.EVDES(G57,$B$1)="#NODATA","",_xll.EVDES(G57,$B$1))</f>
        <v>#NAME?</v>
      </c>
      <c r="N57" s="19">
        <v>58094.64</v>
      </c>
      <c r="O57" s="19">
        <v>56367.62</v>
      </c>
      <c r="P57" s="19">
        <v>65249.599999999999</v>
      </c>
      <c r="Q57" s="19">
        <v>34850.730000000003</v>
      </c>
      <c r="R57" s="19">
        <v>49079.519999999997</v>
      </c>
      <c r="S57" s="19">
        <v>44246.559999999998</v>
      </c>
      <c r="T57" s="19">
        <v>47120.160000000003</v>
      </c>
      <c r="U57" s="19">
        <v>49328.7</v>
      </c>
      <c r="V57" s="19">
        <v>51767.22</v>
      </c>
      <c r="W57" s="19">
        <v>51874.43</v>
      </c>
      <c r="X57" s="19">
        <v>53670.04</v>
      </c>
      <c r="Y57" s="19">
        <v>49707.07</v>
      </c>
      <c r="Z57" s="19">
        <f t="shared" si="6"/>
        <v>611356.29</v>
      </c>
      <c r="AA57" s="15">
        <f t="shared" si="7"/>
        <v>5.6402252166224146E-2</v>
      </c>
      <c r="AC57" s="19">
        <v>691360.83388510102</v>
      </c>
      <c r="AD57" s="15">
        <f t="shared" si="8"/>
        <v>6.1513446363078192E-2</v>
      </c>
      <c r="AE57" s="47">
        <f t="shared" si="9"/>
        <v>-80004.543885100982</v>
      </c>
      <c r="AF57" s="19">
        <v>729043.61</v>
      </c>
      <c r="AG57" s="15">
        <f t="shared" si="10"/>
        <v>5.6339407938813861E-2</v>
      </c>
      <c r="AH57" s="47">
        <f t="shared" si="11"/>
        <v>-117687.31999999995</v>
      </c>
      <c r="AI57" s="538" t="str">
        <f t="shared" si="12"/>
        <v>-0.51 pts.</v>
      </c>
      <c r="AJ57" s="539"/>
      <c r="AK57" s="538" t="str">
        <f t="shared" si="13"/>
        <v>0.01 pts.</v>
      </c>
      <c r="AL57" s="539"/>
    </row>
    <row r="58" spans="1:38" x14ac:dyDescent="0.2">
      <c r="A58" s="6" t="s">
        <v>25</v>
      </c>
      <c r="B58" s="7"/>
      <c r="G58" s="10" t="s">
        <v>514</v>
      </c>
      <c r="H58" s="10" t="s">
        <v>464</v>
      </c>
      <c r="I58" s="25" t="e">
        <f ca="1">_xll.EVPRO($B$1,$H58,"STYLE")</f>
        <v>#NAME?</v>
      </c>
      <c r="J58" s="25" t="e">
        <f ca="1">_xll.EVPRO($B$1,$H58,"CALC")</f>
        <v>#NAME?</v>
      </c>
      <c r="L58" s="1"/>
      <c r="M58" s="24" t="e">
        <f ca="1">IF(_xll.EVDES(G58,$B$1)="#NODATA","",_xll.EVDES(G58,$B$1))</f>
        <v>#NAME?</v>
      </c>
      <c r="N58" s="19">
        <v>19027.919999999998</v>
      </c>
      <c r="O58" s="19">
        <v>17780.57</v>
      </c>
      <c r="P58" s="19">
        <v>17707.89</v>
      </c>
      <c r="Q58" s="19">
        <v>18979.79</v>
      </c>
      <c r="R58" s="19">
        <v>18614.34</v>
      </c>
      <c r="S58" s="19">
        <v>23889.84</v>
      </c>
      <c r="T58" s="19">
        <v>20181.95</v>
      </c>
      <c r="U58" s="19">
        <v>18514.490000000002</v>
      </c>
      <c r="V58" s="19">
        <v>19587.580000000002</v>
      </c>
      <c r="W58" s="19">
        <v>19909.29</v>
      </c>
      <c r="X58" s="19">
        <v>19037.73</v>
      </c>
      <c r="Y58" s="19">
        <v>14932.3</v>
      </c>
      <c r="Z58" s="19">
        <f t="shared" si="6"/>
        <v>228163.69</v>
      </c>
      <c r="AA58" s="15">
        <f t="shared" si="7"/>
        <v>2.1049830007565953E-2</v>
      </c>
      <c r="AC58" s="19">
        <v>203664</v>
      </c>
      <c r="AD58" s="15">
        <f t="shared" si="8"/>
        <v>1.8120891329189801E-2</v>
      </c>
      <c r="AE58" s="47">
        <f t="shared" si="9"/>
        <v>24499.690000000002</v>
      </c>
      <c r="AF58" s="19">
        <v>236355.64</v>
      </c>
      <c r="AG58" s="15">
        <f t="shared" si="10"/>
        <v>1.8265212996791003E-2</v>
      </c>
      <c r="AH58" s="47">
        <f t="shared" si="11"/>
        <v>-8191.9500000000116</v>
      </c>
      <c r="AI58" s="538" t="str">
        <f t="shared" si="12"/>
        <v>0.29 pts.</v>
      </c>
      <c r="AJ58" s="539"/>
      <c r="AK58" s="538" t="str">
        <f t="shared" si="13"/>
        <v>0.28 pts.</v>
      </c>
      <c r="AL58" s="539"/>
    </row>
    <row r="59" spans="1:38" x14ac:dyDescent="0.2">
      <c r="A59" s="6" t="s">
        <v>26</v>
      </c>
      <c r="B59" s="7"/>
      <c r="I59" s="1"/>
      <c r="J59" s="1"/>
      <c r="L59" s="1"/>
      <c r="M59" s="23" t="e">
        <f ca="1">"Total "&amp;M53</f>
        <v>#NAME?</v>
      </c>
      <c r="N59" s="30">
        <f t="shared" ref="N59:Y59" si="14">SUM(N54:N58)</f>
        <v>294012.74</v>
      </c>
      <c r="O59" s="30">
        <f t="shared" si="14"/>
        <v>301566.32</v>
      </c>
      <c r="P59" s="30">
        <f t="shared" si="14"/>
        <v>315684.39999999997</v>
      </c>
      <c r="Q59" s="30">
        <f t="shared" si="14"/>
        <v>281652.33999999997</v>
      </c>
      <c r="R59" s="30">
        <f t="shared" si="14"/>
        <v>284220.76000000007</v>
      </c>
      <c r="S59" s="30">
        <f t="shared" si="14"/>
        <v>242848.46</v>
      </c>
      <c r="T59" s="30">
        <f t="shared" si="14"/>
        <v>254320.89</v>
      </c>
      <c r="U59" s="30">
        <f t="shared" si="14"/>
        <v>244196.87</v>
      </c>
      <c r="V59" s="30">
        <f t="shared" si="14"/>
        <v>231527.62</v>
      </c>
      <c r="W59" s="30">
        <f t="shared" si="14"/>
        <v>255474.57</v>
      </c>
      <c r="X59" s="30">
        <f t="shared" si="14"/>
        <v>261098.87000000002</v>
      </c>
      <c r="Y59" s="30">
        <f t="shared" si="14"/>
        <v>278830.83</v>
      </c>
      <c r="Z59" s="30">
        <f t="shared" si="6"/>
        <v>3245434.67</v>
      </c>
      <c r="AA59" s="31">
        <f t="shared" si="7"/>
        <v>0.29941595047030012</v>
      </c>
      <c r="AC59" s="30">
        <f>SUM(AC54:AC58)</f>
        <v>3386644.0409649708</v>
      </c>
      <c r="AD59" s="31">
        <f t="shared" si="8"/>
        <v>0.30132477333733232</v>
      </c>
      <c r="AE59" s="49">
        <f t="shared" si="9"/>
        <v>-141209.37096497091</v>
      </c>
      <c r="AF59" s="30">
        <f>SUM(AF54:AF58)</f>
        <v>3561608.84</v>
      </c>
      <c r="AG59" s="31">
        <f t="shared" si="10"/>
        <v>0.2752358440604748</v>
      </c>
      <c r="AH59" s="49">
        <f t="shared" si="11"/>
        <v>-316174.16999999993</v>
      </c>
      <c r="AI59" s="544" t="str">
        <f t="shared" si="12"/>
        <v>-0.19 pts.</v>
      </c>
      <c r="AJ59" s="545"/>
      <c r="AK59" s="544" t="str">
        <f t="shared" si="13"/>
        <v>2.42 pts.</v>
      </c>
      <c r="AL59" s="545"/>
    </row>
    <row r="60" spans="1:38" x14ac:dyDescent="0.2">
      <c r="A60" s="6" t="s">
        <v>27</v>
      </c>
      <c r="B60" s="7"/>
      <c r="G60" s="23"/>
      <c r="H60" s="23"/>
      <c r="I60" s="23"/>
      <c r="J60" s="23"/>
      <c r="L60" s="1">
        <f>COUNTIF(N60:AH60,FALSE)</f>
        <v>0</v>
      </c>
      <c r="M60" s="204" t="str">
        <f>IF(L60=0,"","Expense - database validation failed")</f>
        <v/>
      </c>
      <c r="N60" s="244" t="str">
        <f t="shared" ref="N60:Z60" si="15">IF(ROUND(N59,2)&lt;&gt;ROUND(N100,2),N59-N100,"")</f>
        <v/>
      </c>
      <c r="O60" s="245" t="str">
        <f t="shared" si="15"/>
        <v/>
      </c>
      <c r="P60" s="245" t="str">
        <f t="shared" si="15"/>
        <v/>
      </c>
      <c r="Q60" s="245" t="str">
        <f t="shared" si="15"/>
        <v/>
      </c>
      <c r="R60" s="245" t="str">
        <f t="shared" si="15"/>
        <v/>
      </c>
      <c r="S60" s="245" t="str">
        <f t="shared" si="15"/>
        <v/>
      </c>
      <c r="T60" s="245" t="str">
        <f t="shared" si="15"/>
        <v/>
      </c>
      <c r="U60" s="245" t="str">
        <f t="shared" si="15"/>
        <v/>
      </c>
      <c r="V60" s="245" t="str">
        <f t="shared" si="15"/>
        <v/>
      </c>
      <c r="W60" s="245" t="str">
        <f t="shared" si="15"/>
        <v/>
      </c>
      <c r="X60" s="245" t="str">
        <f t="shared" si="15"/>
        <v/>
      </c>
      <c r="Y60" s="245" t="str">
        <f t="shared" si="15"/>
        <v/>
      </c>
      <c r="Z60" s="245" t="str">
        <f t="shared" si="15"/>
        <v/>
      </c>
      <c r="AA60" s="173" t="b">
        <f>Z60=""</f>
        <v>1</v>
      </c>
      <c r="AC60" s="244" t="str">
        <f>IF(ROUND(AC59,2)&lt;&gt;ROUND(AC100,2),AC59-AC100,"")</f>
        <v/>
      </c>
      <c r="AD60" s="206" t="b">
        <f>AC60=""</f>
        <v>1</v>
      </c>
      <c r="AE60" s="51"/>
      <c r="AF60" s="244" t="str">
        <f>IF(ROUND(AF59,2)&lt;&gt;ROUND(AF100,2),AF59-AF100,"")</f>
        <v/>
      </c>
      <c r="AG60" s="206" t="b">
        <f>AF60=""</f>
        <v>1</v>
      </c>
      <c r="AH60" s="51"/>
    </row>
    <row r="61" spans="1:38" ht="16" thickBot="1" x14ac:dyDescent="0.25">
      <c r="A61" s="6" t="s">
        <v>28</v>
      </c>
      <c r="B61" s="7"/>
      <c r="F61" s="10" t="s">
        <v>567</v>
      </c>
      <c r="I61" s="1"/>
      <c r="J61" s="1"/>
      <c r="L61" s="1"/>
      <c r="M61" s="23" t="e">
        <f ca="1">IF(_xll.EVDES(F61,$B$1)="#NODATA","",_xll.EVDES(F61,$B$1))</f>
        <v>#NAME?</v>
      </c>
      <c r="N61" s="58">
        <f t="shared" ref="N61:Y61" si="16">N43-N49-N59</f>
        <v>604914.20000000019</v>
      </c>
      <c r="O61" s="58">
        <f t="shared" si="16"/>
        <v>789449.2799999998</v>
      </c>
      <c r="P61" s="58">
        <f t="shared" si="16"/>
        <v>713453.45000000019</v>
      </c>
      <c r="Q61" s="58">
        <f t="shared" si="16"/>
        <v>527688.28000000014</v>
      </c>
      <c r="R61" s="58">
        <f t="shared" si="16"/>
        <v>340221.16999999987</v>
      </c>
      <c r="S61" s="58">
        <f t="shared" si="16"/>
        <v>178785.67999999996</v>
      </c>
      <c r="T61" s="58">
        <f t="shared" si="16"/>
        <v>178496.35000000003</v>
      </c>
      <c r="U61" s="58">
        <f t="shared" si="16"/>
        <v>142338.72999999992</v>
      </c>
      <c r="V61" s="58">
        <f t="shared" si="16"/>
        <v>84274.159999999916</v>
      </c>
      <c r="W61" s="58">
        <f t="shared" si="16"/>
        <v>266580.84999999998</v>
      </c>
      <c r="X61" s="58">
        <f t="shared" si="16"/>
        <v>338389.29999999993</v>
      </c>
      <c r="Y61" s="58">
        <f t="shared" si="16"/>
        <v>599225.40999999968</v>
      </c>
      <c r="Z61" s="58">
        <f>SUM(N61:Y61)</f>
        <v>4763816.8600000003</v>
      </c>
      <c r="AA61" s="59">
        <f>IF(Z61=0,"",IFERROR(Z61/Z$43,""))</f>
        <v>0.4394982176619629</v>
      </c>
      <c r="AC61" s="58">
        <f>AC43-AC49-AC59</f>
        <v>5285643.5880861096</v>
      </c>
      <c r="AD61" s="59">
        <f>IF(AC61=0,"",IFERROR(AC61/AC$43,""))</f>
        <v>0.4702872037499865</v>
      </c>
      <c r="AE61" s="60">
        <f>IF(AND($Z61="",AC61=""),"",$Z61-AC61)</f>
        <v>-521826.72808610927</v>
      </c>
      <c r="AF61" s="58">
        <f>AF43-AF49-AF59</f>
        <v>4738204.4400000004</v>
      </c>
      <c r="AG61" s="59">
        <f>IF(AF61=0,"",IFERROR(AF61/AF$43,""))</f>
        <v>0.36616140540983427</v>
      </c>
      <c r="AH61" s="60">
        <f>IF(AND($Z61="",AF61=""),"",$Z61-AF61)</f>
        <v>25612.419999999925</v>
      </c>
      <c r="AI61" s="548" t="str">
        <f>+IFERROR(ROUND(($AA61-AD61)*100,2)&amp;" pts.",0)</f>
        <v>-3.08 pts.</v>
      </c>
      <c r="AJ61" s="549"/>
      <c r="AK61" s="548" t="str">
        <f>+IFERROR(ROUND(($AA61-AG61)*100,2)&amp;" pts.",0)</f>
        <v>7.33 pts.</v>
      </c>
      <c r="AL61" s="549"/>
    </row>
    <row r="62" spans="1:38" ht="16" thickTop="1" x14ac:dyDescent="0.2">
      <c r="A62" s="6" t="s">
        <v>29</v>
      </c>
      <c r="B62" s="7"/>
      <c r="I62" s="1"/>
      <c r="J62" s="1"/>
      <c r="L62" s="1">
        <f>COUNTIF(N62:AH62,FALSE)</f>
        <v>0</v>
      </c>
      <c r="M62" s="204" t="str">
        <f>IF(L62=0,"","GOP - database validation failed")</f>
        <v/>
      </c>
      <c r="N62" s="244" t="str">
        <f t="shared" ref="N62:Z62" si="17">IF(ROUND(N61,2)&lt;&gt;ROUND(N101,2),N61-N101,"")</f>
        <v/>
      </c>
      <c r="O62" s="245" t="str">
        <f t="shared" si="17"/>
        <v/>
      </c>
      <c r="P62" s="245" t="str">
        <f t="shared" si="17"/>
        <v/>
      </c>
      <c r="Q62" s="245" t="str">
        <f t="shared" si="17"/>
        <v/>
      </c>
      <c r="R62" s="245" t="str">
        <f t="shared" si="17"/>
        <v/>
      </c>
      <c r="S62" s="245" t="str">
        <f t="shared" si="17"/>
        <v/>
      </c>
      <c r="T62" s="245" t="str">
        <f t="shared" si="17"/>
        <v/>
      </c>
      <c r="U62" s="245" t="str">
        <f t="shared" si="17"/>
        <v/>
      </c>
      <c r="V62" s="245" t="str">
        <f t="shared" si="17"/>
        <v/>
      </c>
      <c r="W62" s="245" t="str">
        <f t="shared" si="17"/>
        <v/>
      </c>
      <c r="X62" s="245" t="str">
        <f t="shared" si="17"/>
        <v/>
      </c>
      <c r="Y62" s="245" t="str">
        <f t="shared" si="17"/>
        <v/>
      </c>
      <c r="Z62" s="245" t="str">
        <f t="shared" si="17"/>
        <v/>
      </c>
      <c r="AA62" s="173" t="b">
        <f>Z62=""</f>
        <v>1</v>
      </c>
      <c r="AC62" s="244" t="str">
        <f>IF(ROUND(AC61,2)&lt;&gt;ROUND(AC101,2),AC61-AC101,"")</f>
        <v/>
      </c>
      <c r="AD62" s="206" t="b">
        <f>AC62=""</f>
        <v>1</v>
      </c>
      <c r="AE62" s="51"/>
      <c r="AF62" s="244" t="str">
        <f>IF(ROUND(AF61,2)&lt;&gt;ROUND(AF101,2),AF61-AF101,"")</f>
        <v/>
      </c>
      <c r="AG62" s="206" t="b">
        <f>AF62=""</f>
        <v>1</v>
      </c>
      <c r="AH62" s="51"/>
    </row>
    <row r="63" spans="1:38" x14ac:dyDescent="0.2">
      <c r="A63" s="6" t="s">
        <v>30</v>
      </c>
      <c r="B63" s="7" t="s">
        <v>78</v>
      </c>
      <c r="G63" s="10" t="s">
        <v>516</v>
      </c>
      <c r="H63" s="10" t="s">
        <v>79</v>
      </c>
      <c r="I63" s="25" t="e">
        <f ca="1">_xll.EVPRO($B$1,$H63,"STYLE")</f>
        <v>#NAME?</v>
      </c>
      <c r="J63" s="25" t="e">
        <f ca="1">_xll.EVPRO($B$1,$H63,"CALC")</f>
        <v>#NAME?</v>
      </c>
      <c r="L63" s="1"/>
      <c r="M63" s="24" t="e">
        <f ca="1">IF(_xll.EVDES(G63,$B$1)="#NODATA","",_xll.EVDES(G63,$B$1))</f>
        <v>#NAME?</v>
      </c>
      <c r="N63" s="19">
        <v>44432.91</v>
      </c>
      <c r="O63" s="19">
        <v>49459.71</v>
      </c>
      <c r="P63" s="19">
        <v>49331.040000000001</v>
      </c>
      <c r="Q63" s="19">
        <v>39811.57</v>
      </c>
      <c r="R63" s="19">
        <v>36762.019999999997</v>
      </c>
      <c r="S63" s="19">
        <v>27160.29</v>
      </c>
      <c r="T63" s="19">
        <v>27418.13</v>
      </c>
      <c r="U63" s="19">
        <v>25430.41</v>
      </c>
      <c r="V63" s="19">
        <v>22653.86</v>
      </c>
      <c r="W63" s="19">
        <v>29689.18</v>
      </c>
      <c r="X63" s="19">
        <v>39042.370000000003</v>
      </c>
      <c r="Y63" s="19">
        <v>44403.47</v>
      </c>
      <c r="Z63" s="19">
        <f>SUM(N63:Y63)</f>
        <v>435594.95999999996</v>
      </c>
      <c r="AA63" s="15">
        <f>IF(Z63=0,"",IFERROR(Z63/Z$43,""))</f>
        <v>4.0186937107093992E-2</v>
      </c>
      <c r="AC63" s="19">
        <v>441273.4228</v>
      </c>
      <c r="AD63" s="15">
        <f>IF(AC63=0,"",IFERROR(AC63/AC$43,""))</f>
        <v>3.9262057806084653E-2</v>
      </c>
      <c r="AE63" s="47">
        <f>IF(AND($Z63="",AC63=""),"",$Z63-AC63)</f>
        <v>-5678.4628000000375</v>
      </c>
      <c r="AF63" s="19">
        <v>404603.61</v>
      </c>
      <c r="AG63" s="15">
        <f>IF(AF63=0,"",IFERROR(AF63/AF$43,""))</f>
        <v>3.1267166359645819E-2</v>
      </c>
      <c r="AH63" s="47">
        <f>IF(AND($Z63="",AF63=""),"",$Z63-AF63)</f>
        <v>30991.349999999977</v>
      </c>
      <c r="AI63" s="538" t="str">
        <f>+IFERROR(ROUND(($AA63-AD63)*100,2)&amp;" pts.",0)</f>
        <v>0.09 pts.</v>
      </c>
      <c r="AJ63" s="539"/>
      <c r="AK63" s="538" t="str">
        <f>+IFERROR(ROUND(($AA63-AG63)*100,2)&amp;" pts.",0)</f>
        <v>0.89 pts.</v>
      </c>
      <c r="AL63" s="539"/>
    </row>
    <row r="64" spans="1:38" x14ac:dyDescent="0.2">
      <c r="A64" s="6" t="s">
        <v>31</v>
      </c>
      <c r="B64" s="7" t="s">
        <v>78</v>
      </c>
      <c r="F64" s="10" t="s">
        <v>574</v>
      </c>
      <c r="I64" s="1"/>
      <c r="J64" s="1"/>
      <c r="L64" s="1"/>
      <c r="M64" s="23" t="e">
        <f ca="1">IF(_xll.EVDES(F64,$B$1)="#NODATA","",_xll.EVDES(F64,$B$1))</f>
        <v>#NAME?</v>
      </c>
      <c r="N64" s="145">
        <f t="shared" ref="N64:Y64" si="18">N61-N63</f>
        <v>560481.29000000015</v>
      </c>
      <c r="O64" s="145">
        <f t="shared" si="18"/>
        <v>739989.56999999983</v>
      </c>
      <c r="P64" s="145">
        <f t="shared" si="18"/>
        <v>664122.41000000015</v>
      </c>
      <c r="Q64" s="145">
        <f t="shared" si="18"/>
        <v>487876.71000000014</v>
      </c>
      <c r="R64" s="145">
        <f t="shared" si="18"/>
        <v>303459.14999999985</v>
      </c>
      <c r="S64" s="145">
        <f t="shared" si="18"/>
        <v>151625.38999999996</v>
      </c>
      <c r="T64" s="145">
        <f t="shared" si="18"/>
        <v>151078.22000000003</v>
      </c>
      <c r="U64" s="145">
        <f t="shared" si="18"/>
        <v>116908.31999999992</v>
      </c>
      <c r="V64" s="145">
        <f t="shared" si="18"/>
        <v>61620.299999999916</v>
      </c>
      <c r="W64" s="145">
        <f t="shared" si="18"/>
        <v>236891.66999999998</v>
      </c>
      <c r="X64" s="145">
        <f t="shared" si="18"/>
        <v>299346.92999999993</v>
      </c>
      <c r="Y64" s="145">
        <f t="shared" si="18"/>
        <v>554821.93999999971</v>
      </c>
      <c r="Z64" s="145">
        <f>SUM(N64:Y64)</f>
        <v>4328221.8999999994</v>
      </c>
      <c r="AA64" s="156">
        <f>IF(Z64=0,"",IFERROR(Z64/Z$43,""))</f>
        <v>0.39931128055486881</v>
      </c>
      <c r="AC64" s="145">
        <f>AC61-AC63</f>
        <v>4844370.1652861098</v>
      </c>
      <c r="AD64" s="156">
        <f>IF(AC64=0,"",IFERROR(AC64/AC$43,""))</f>
        <v>0.43102514594390184</v>
      </c>
      <c r="AE64" s="146">
        <f>IF(AND($Z64="",AC64=""),"",$Z64-AC64)</f>
        <v>-516148.26528611034</v>
      </c>
      <c r="AF64" s="145">
        <f>AF61-AF63</f>
        <v>4333600.83</v>
      </c>
      <c r="AG64" s="156">
        <f>IF(AF64=0,"",IFERROR(AF64/AF$43,""))</f>
        <v>0.33489423905018845</v>
      </c>
      <c r="AH64" s="146">
        <f>IF(AND($Z64="",AF64=""),"",$Z64-AF64)</f>
        <v>-5378.9300000006333</v>
      </c>
      <c r="AI64" s="546" t="str">
        <f>+IFERROR(ROUND(($AA64-AD64)*100,2)&amp;" pts.",0)</f>
        <v>-3.17 pts.</v>
      </c>
      <c r="AJ64" s="547"/>
      <c r="AK64" s="546" t="str">
        <f>+IFERROR(ROUND(($AA64-AG64)*100,2)&amp;" pts.",0)</f>
        <v>6.44 pts.</v>
      </c>
      <c r="AL64" s="547"/>
    </row>
    <row r="65" spans="1:38" x14ac:dyDescent="0.2">
      <c r="A65" s="6" t="s">
        <v>32</v>
      </c>
      <c r="B65" s="7"/>
      <c r="I65" s="1"/>
      <c r="J65" s="1"/>
      <c r="L65" s="1"/>
      <c r="M65" s="204"/>
      <c r="N65" s="205"/>
      <c r="O65" s="243"/>
      <c r="P65" s="243"/>
      <c r="Q65" s="243"/>
      <c r="R65" s="243"/>
      <c r="S65" s="243"/>
      <c r="T65" s="243"/>
      <c r="U65" s="243"/>
      <c r="V65" s="243"/>
      <c r="W65" s="243"/>
      <c r="X65" s="243"/>
      <c r="Y65" s="243"/>
      <c r="Z65" s="243"/>
      <c r="AA65" s="173"/>
      <c r="AC65" s="205"/>
      <c r="AD65" s="206"/>
      <c r="AE65" s="51"/>
      <c r="AF65" s="205"/>
      <c r="AG65" s="206"/>
      <c r="AH65" s="51"/>
    </row>
    <row r="66" spans="1:38" x14ac:dyDescent="0.2">
      <c r="A66" s="6" t="s">
        <v>33</v>
      </c>
      <c r="B66" s="7"/>
      <c r="H66" s="1" t="s">
        <v>575</v>
      </c>
      <c r="I66" s="11" t="e">
        <f ca="1">_xll.EVPRO($B$1,$H66,"STYLE")</f>
        <v>#NAME?</v>
      </c>
      <c r="J66" s="11" t="e">
        <f ca="1">_xll.EVPRO($B$1,$H66,"CALC")</f>
        <v>#NAME?</v>
      </c>
      <c r="L66" s="1"/>
      <c r="M66" s="37" t="e">
        <f ca="1">IF(_xll.EVDES(H66,$B$1)="#NODATA","",_xll.EVDES(H66,$B$1))</f>
        <v>#NAME?</v>
      </c>
      <c r="N66" s="40"/>
      <c r="O66" s="43"/>
      <c r="P66" s="43"/>
      <c r="Q66" s="43"/>
      <c r="R66" s="43"/>
      <c r="S66" s="43"/>
      <c r="T66" s="43"/>
      <c r="U66" s="43"/>
      <c r="V66" s="43"/>
      <c r="W66" s="43"/>
      <c r="X66" s="43"/>
      <c r="Y66" s="43"/>
      <c r="Z66" s="43"/>
      <c r="AA66" s="41"/>
      <c r="AC66" s="40"/>
      <c r="AD66" s="43"/>
      <c r="AE66" s="41"/>
      <c r="AF66" s="40"/>
      <c r="AG66" s="43"/>
      <c r="AH66" s="41"/>
    </row>
    <row r="67" spans="1:38" x14ac:dyDescent="0.2">
      <c r="A67" s="6" t="s">
        <v>34</v>
      </c>
      <c r="B67" s="7"/>
      <c r="G67" s="10" t="s">
        <v>519</v>
      </c>
      <c r="H67" s="10" t="s">
        <v>525</v>
      </c>
      <c r="I67" s="25" t="e">
        <f ca="1">_xll.EVPRO($B$1,$H67,"STYLE")</f>
        <v>#NAME?</v>
      </c>
      <c r="J67" s="25" t="e">
        <f ca="1">_xll.EVPRO($B$1,$H67,"CALC")</f>
        <v>#NAME?</v>
      </c>
      <c r="L67" s="1"/>
      <c r="M67" s="24" t="e">
        <f ca="1">IF(_xll.EVDES(H67,$B$1)="#NODATA","",REPLACE(_xll.EVDES(H67,$B$1),1,6,""))</f>
        <v>#NAME?</v>
      </c>
      <c r="N67" s="19">
        <v>-1939.85</v>
      </c>
      <c r="O67" s="19">
        <v>-1838.2</v>
      </c>
      <c r="P67" s="19">
        <v>-2002.55</v>
      </c>
      <c r="Q67" s="19">
        <v>-1967.65</v>
      </c>
      <c r="R67" s="19">
        <v>-2116.0700000000002</v>
      </c>
      <c r="S67" s="19">
        <v>-2077.4899999999998</v>
      </c>
      <c r="T67" s="19">
        <v>-2152.0300000000002</v>
      </c>
      <c r="U67" s="19">
        <v>-2157.5</v>
      </c>
      <c r="V67" s="19">
        <v>-1997.83</v>
      </c>
      <c r="W67" s="19">
        <v>-1918.92</v>
      </c>
      <c r="X67" s="19"/>
      <c r="Y67" s="19"/>
      <c r="Z67" s="19">
        <f t="shared" ref="Z67:Z72" si="19">SUM(N67:Y67)</f>
        <v>-20168.089999999997</v>
      </c>
      <c r="AA67" s="15">
        <f t="shared" ref="AA67:AA72" si="20">IF(Z67=0,"",IFERROR(Z67/Z$43,""))</f>
        <v>-1.8606591876090834E-3</v>
      </c>
      <c r="AC67" s="19"/>
      <c r="AD67" s="15" t="str">
        <f t="shared" ref="AD67:AD72" si="21">IF(AC67=0,"",IFERROR(AC67/AC$43,""))</f>
        <v/>
      </c>
      <c r="AE67" s="47">
        <f t="shared" ref="AE67:AE72" si="22">IF(AND($Z67="",AC67=""),"",$Z67-AC67)</f>
        <v>-20168.089999999997</v>
      </c>
      <c r="AF67" s="19">
        <v>-9638.44</v>
      </c>
      <c r="AG67" s="15">
        <f t="shared" ref="AG67:AG72" si="23">IF(AF67=0,"",IFERROR(AF67/AF$43,""))</f>
        <v>-7.4484433524323892E-4</v>
      </c>
      <c r="AH67" s="47">
        <f t="shared" ref="AH67:AH72" si="24">IF(AND($Z67="",AF67=""),"",$Z67-AF67)</f>
        <v>-10529.649999999996</v>
      </c>
      <c r="AI67" s="538">
        <f t="shared" ref="AI67:AI72" si="25">+IFERROR(ROUND(($AA67-AD67)*100,2)&amp;" pts.",0)</f>
        <v>0</v>
      </c>
      <c r="AJ67" s="539"/>
      <c r="AK67" s="538" t="str">
        <f t="shared" ref="AK67:AK72" si="26">+IFERROR(ROUND(($AA67-AG67)*100,2)&amp;" pts.",0)</f>
        <v>-0.11 pts.</v>
      </c>
      <c r="AL67" s="539"/>
    </row>
    <row r="68" spans="1:38" x14ac:dyDescent="0.2">
      <c r="A68" s="6" t="s">
        <v>35</v>
      </c>
      <c r="B68" s="7"/>
      <c r="G68" s="10" t="s">
        <v>519</v>
      </c>
      <c r="H68" s="10" t="s">
        <v>520</v>
      </c>
      <c r="I68" s="25" t="e">
        <f ca="1">_xll.EVPRO($B$1,$H68,"STYLE")</f>
        <v>#NAME?</v>
      </c>
      <c r="J68" s="25" t="e">
        <f ca="1">_xll.EVPRO($B$1,$H68,"CALC")</f>
        <v>#NAME?</v>
      </c>
      <c r="L68" s="1"/>
      <c r="M68" s="24" t="e">
        <f ca="1">IF(_xll.EVDES(H68,$B$1)="#NODATA","",REPLACE(_xll.EVDES(H68,$B$1),1,6,""))</f>
        <v>#NAME?</v>
      </c>
      <c r="N68" s="19">
        <v>999.18</v>
      </c>
      <c r="O68" s="19">
        <v>1697.89</v>
      </c>
      <c r="P68" s="19">
        <v>1671.22</v>
      </c>
      <c r="Q68" s="19">
        <v>-196.17</v>
      </c>
      <c r="R68" s="19">
        <v>1870.24</v>
      </c>
      <c r="S68" s="19">
        <v>658.13</v>
      </c>
      <c r="T68" s="19">
        <v>837.03</v>
      </c>
      <c r="U68" s="19">
        <v>517.89</v>
      </c>
      <c r="V68" s="19">
        <v>3514.57</v>
      </c>
      <c r="W68" s="19">
        <v>-800.55</v>
      </c>
      <c r="X68" s="19">
        <v>2224.88</v>
      </c>
      <c r="Y68" s="19">
        <v>-2950.36</v>
      </c>
      <c r="Z68" s="19">
        <f t="shared" si="19"/>
        <v>10043.950000000001</v>
      </c>
      <c r="AA68" s="15">
        <f t="shared" si="20"/>
        <v>9.2663052611259957E-4</v>
      </c>
      <c r="AC68" s="19">
        <v>16322.0000000004</v>
      </c>
      <c r="AD68" s="15">
        <f t="shared" si="21"/>
        <v>1.4522408883015318E-3</v>
      </c>
      <c r="AE68" s="47">
        <f t="shared" si="22"/>
        <v>-6278.0500000003995</v>
      </c>
      <c r="AF68" s="19">
        <v>17917.740000000002</v>
      </c>
      <c r="AG68" s="15">
        <f t="shared" si="23"/>
        <v>1.3846563488864579E-3</v>
      </c>
      <c r="AH68" s="47">
        <f t="shared" si="24"/>
        <v>-7873.7900000000009</v>
      </c>
      <c r="AI68" s="538" t="str">
        <f t="shared" si="25"/>
        <v>-0.05 pts.</v>
      </c>
      <c r="AJ68" s="539"/>
      <c r="AK68" s="538" t="str">
        <f t="shared" si="26"/>
        <v>-0.05 pts.</v>
      </c>
      <c r="AL68" s="539"/>
    </row>
    <row r="69" spans="1:38" x14ac:dyDescent="0.2">
      <c r="A69" s="6" t="s">
        <v>36</v>
      </c>
      <c r="B69" s="7"/>
      <c r="G69" s="10" t="s">
        <v>519</v>
      </c>
      <c r="H69" s="10" t="s">
        <v>521</v>
      </c>
      <c r="I69" s="25" t="e">
        <f ca="1">_xll.EVPRO($B$1,$H69,"STYLE")</f>
        <v>#NAME?</v>
      </c>
      <c r="J69" s="25" t="e">
        <f ca="1">_xll.EVPRO($B$1,$H69,"CALC")</f>
        <v>#NAME?</v>
      </c>
      <c r="L69" s="1"/>
      <c r="M69" s="24" t="e">
        <f ca="1">IF(_xll.EVDES(H69,$B$1)="#NODATA","",REPLACE(_xll.EVDES(H69,$B$1),1,6,""))</f>
        <v>#NAME?</v>
      </c>
      <c r="N69" s="19">
        <v>48927</v>
      </c>
      <c r="O69" s="19">
        <v>45461</v>
      </c>
      <c r="P69" s="19">
        <v>45461</v>
      </c>
      <c r="Q69" s="19">
        <v>62050.2</v>
      </c>
      <c r="R69" s="19">
        <v>45461</v>
      </c>
      <c r="S69" s="19">
        <v>45461</v>
      </c>
      <c r="T69" s="19">
        <v>45461</v>
      </c>
      <c r="U69" s="19">
        <v>45461</v>
      </c>
      <c r="V69" s="19">
        <v>45461</v>
      </c>
      <c r="W69" s="19">
        <v>45461</v>
      </c>
      <c r="X69" s="19">
        <v>86358.56</v>
      </c>
      <c r="Y69" s="19">
        <v>132652.87</v>
      </c>
      <c r="Z69" s="19">
        <f t="shared" si="19"/>
        <v>693676.63</v>
      </c>
      <c r="AA69" s="15">
        <f t="shared" si="20"/>
        <v>6.3996927564246645E-2</v>
      </c>
      <c r="AC69" s="19">
        <v>566087.36</v>
      </c>
      <c r="AD69" s="15">
        <f t="shared" si="21"/>
        <v>5.0367308573866489E-2</v>
      </c>
      <c r="AE69" s="47">
        <f t="shared" si="22"/>
        <v>127589.27000000002</v>
      </c>
      <c r="AF69" s="19">
        <v>496949.2</v>
      </c>
      <c r="AG69" s="15">
        <f t="shared" si="23"/>
        <v>3.8403496470762841E-2</v>
      </c>
      <c r="AH69" s="47">
        <f t="shared" si="24"/>
        <v>196727.43</v>
      </c>
      <c r="AI69" s="538" t="str">
        <f t="shared" si="25"/>
        <v>1.36 pts.</v>
      </c>
      <c r="AJ69" s="539"/>
      <c r="AK69" s="538" t="str">
        <f t="shared" si="26"/>
        <v>2.56 pts.</v>
      </c>
      <c r="AL69" s="539"/>
    </row>
    <row r="70" spans="1:38" x14ac:dyDescent="0.2">
      <c r="A70" s="6" t="s">
        <v>37</v>
      </c>
      <c r="B70" s="7"/>
      <c r="G70" s="10" t="s">
        <v>519</v>
      </c>
      <c r="H70" s="10" t="s">
        <v>537</v>
      </c>
      <c r="I70" s="25" t="e">
        <f ca="1">_xll.EVPRO($B$1,$H70,"STYLE")</f>
        <v>#NAME?</v>
      </c>
      <c r="J70" s="25" t="e">
        <f ca="1">_xll.EVPRO($B$1,$H70,"CALC")</f>
        <v>#NAME?</v>
      </c>
      <c r="L70" s="1"/>
      <c r="M70" s="24" t="e">
        <f ca="1">IF(_xll.EVDES(H70,$B$1)="#NODATA","",REPLACE(_xll.EVDES(H70,$B$1),1,6,""))</f>
        <v>#NAME?</v>
      </c>
      <c r="N70" s="19">
        <v>123620.33</v>
      </c>
      <c r="O70" s="19">
        <v>123613.87</v>
      </c>
      <c r="P70" s="19">
        <v>123613.87</v>
      </c>
      <c r="Q70" s="19">
        <v>123877.24</v>
      </c>
      <c r="R70" s="19">
        <v>110100.64</v>
      </c>
      <c r="S70" s="19">
        <v>110363.9</v>
      </c>
      <c r="T70" s="19">
        <v>110363.86</v>
      </c>
      <c r="U70" s="19">
        <v>109206</v>
      </c>
      <c r="V70" s="19">
        <v>110610.39</v>
      </c>
      <c r="W70" s="19">
        <v>110610.27</v>
      </c>
      <c r="X70" s="19">
        <v>110610.27</v>
      </c>
      <c r="Y70" s="19">
        <v>123615.72</v>
      </c>
      <c r="Z70" s="19">
        <f t="shared" si="19"/>
        <v>1390206.3599999999</v>
      </c>
      <c r="AA70" s="15">
        <f t="shared" si="20"/>
        <v>0.12825707523154553</v>
      </c>
      <c r="AC70" s="19">
        <v>1552298</v>
      </c>
      <c r="AD70" s="15">
        <f t="shared" si="21"/>
        <v>0.1381148527403894</v>
      </c>
      <c r="AE70" s="47">
        <f t="shared" si="22"/>
        <v>-162091.64000000013</v>
      </c>
      <c r="AF70" s="19">
        <v>1351728.11</v>
      </c>
      <c r="AG70" s="15">
        <f t="shared" si="23"/>
        <v>0.1044595417435342</v>
      </c>
      <c r="AH70" s="47">
        <f t="shared" si="24"/>
        <v>38478.249999999767</v>
      </c>
      <c r="AI70" s="538" t="str">
        <f t="shared" si="25"/>
        <v>-0.99 pts.</v>
      </c>
      <c r="AJ70" s="539"/>
      <c r="AK70" s="538" t="str">
        <f t="shared" si="26"/>
        <v>2.38 pts.</v>
      </c>
      <c r="AL70" s="539"/>
    </row>
    <row r="71" spans="1:38" x14ac:dyDescent="0.2">
      <c r="A71" s="6" t="s">
        <v>38</v>
      </c>
      <c r="B71" s="7"/>
      <c r="I71" s="1"/>
      <c r="J71" s="1"/>
      <c r="L71" s="1"/>
      <c r="M71" s="24" t="s">
        <v>586</v>
      </c>
      <c r="N71" s="19" t="str">
        <f t="shared" ref="N71:Y71" ca="1" si="27">N95</f>
        <v/>
      </c>
      <c r="O71" s="19" t="str">
        <f t="shared" ca="1" si="27"/>
        <v/>
      </c>
      <c r="P71" s="19" t="str">
        <f t="shared" ca="1" si="27"/>
        <v/>
      </c>
      <c r="Q71" s="19" t="str">
        <f t="shared" ca="1" si="27"/>
        <v/>
      </c>
      <c r="R71" s="19" t="str">
        <f t="shared" ca="1" si="27"/>
        <v/>
      </c>
      <c r="S71" s="19" t="str">
        <f t="shared" ca="1" si="27"/>
        <v/>
      </c>
      <c r="T71" s="19" t="str">
        <f t="shared" ca="1" si="27"/>
        <v/>
      </c>
      <c r="U71" s="19" t="str">
        <f t="shared" ca="1" si="27"/>
        <v/>
      </c>
      <c r="V71" s="19" t="str">
        <f t="shared" ca="1" si="27"/>
        <v/>
      </c>
      <c r="W71" s="19" t="str">
        <f t="shared" ca="1" si="27"/>
        <v/>
      </c>
      <c r="X71" s="19" t="str">
        <f t="shared" ca="1" si="27"/>
        <v/>
      </c>
      <c r="Y71" s="19" t="str">
        <f t="shared" ca="1" si="27"/>
        <v/>
      </c>
      <c r="Z71" s="19">
        <f t="shared" ca="1" si="19"/>
        <v>0</v>
      </c>
      <c r="AA71" s="15" t="str">
        <f t="shared" ca="1" si="20"/>
        <v/>
      </c>
      <c r="AC71" s="19" t="str">
        <f ca="1">AC95</f>
        <v/>
      </c>
      <c r="AD71" s="15" t="str">
        <f t="shared" ca="1" si="21"/>
        <v/>
      </c>
      <c r="AE71" s="47" t="e">
        <f t="shared" ca="1" si="22"/>
        <v>#VALUE!</v>
      </c>
      <c r="AF71" s="19" t="str">
        <f ca="1">AF95</f>
        <v/>
      </c>
      <c r="AG71" s="15" t="str">
        <f t="shared" ca="1" si="23"/>
        <v/>
      </c>
      <c r="AH71" s="47" t="e">
        <f t="shared" ca="1" si="24"/>
        <v>#VALUE!</v>
      </c>
      <c r="AI71" s="538">
        <f t="shared" ca="1" si="25"/>
        <v>0</v>
      </c>
      <c r="AJ71" s="539"/>
      <c r="AK71" s="538">
        <f t="shared" ca="1" si="26"/>
        <v>0</v>
      </c>
      <c r="AL71" s="539"/>
    </row>
    <row r="72" spans="1:38" x14ac:dyDescent="0.2">
      <c r="A72" s="6" t="s">
        <v>39</v>
      </c>
      <c r="B72" s="7"/>
      <c r="I72" s="1"/>
      <c r="J72" s="1"/>
      <c r="M72" s="23" t="e">
        <f ca="1">"Total "&amp;M66</f>
        <v>#NAME?</v>
      </c>
      <c r="N72" s="30">
        <f t="shared" ref="N72:Y72" ca="1" si="28">SUM(N67:N71)</f>
        <v>171606.66</v>
      </c>
      <c r="O72" s="30">
        <f t="shared" ca="1" si="28"/>
        <v>168934.56</v>
      </c>
      <c r="P72" s="30">
        <f t="shared" ca="1" si="28"/>
        <v>168743.53999999998</v>
      </c>
      <c r="Q72" s="30">
        <f t="shared" ca="1" si="28"/>
        <v>183763.62</v>
      </c>
      <c r="R72" s="30">
        <f t="shared" ca="1" si="28"/>
        <v>155315.81</v>
      </c>
      <c r="S72" s="30">
        <f t="shared" ca="1" si="28"/>
        <v>154405.53999999998</v>
      </c>
      <c r="T72" s="30">
        <f t="shared" ca="1" si="28"/>
        <v>154509.85999999999</v>
      </c>
      <c r="U72" s="30">
        <f t="shared" ca="1" si="28"/>
        <v>153027.39000000001</v>
      </c>
      <c r="V72" s="30">
        <f t="shared" ca="1" si="28"/>
        <v>157588.13</v>
      </c>
      <c r="W72" s="30">
        <f t="shared" ca="1" si="28"/>
        <v>153351.79999999999</v>
      </c>
      <c r="X72" s="30">
        <f t="shared" ca="1" si="28"/>
        <v>199193.71000000002</v>
      </c>
      <c r="Y72" s="30">
        <f t="shared" ca="1" si="28"/>
        <v>253318.22999999998</v>
      </c>
      <c r="Z72" s="30">
        <f t="shared" ca="1" si="19"/>
        <v>2073758.8499999999</v>
      </c>
      <c r="AA72" s="31">
        <f t="shared" ca="1" si="20"/>
        <v>0.19131997413429569</v>
      </c>
      <c r="AC72" s="30">
        <f ca="1">SUM(AC67:AC71)</f>
        <v>2134707.3600000003</v>
      </c>
      <c r="AD72" s="31">
        <f t="shared" ca="1" si="21"/>
        <v>0.18993440220255742</v>
      </c>
      <c r="AE72" s="49">
        <f t="shared" ca="1" si="22"/>
        <v>-60948.510000000475</v>
      </c>
      <c r="AF72" s="30">
        <f ca="1">SUM(AF67:AF71)</f>
        <v>1856956.61</v>
      </c>
      <c r="AG72" s="31">
        <f t="shared" ca="1" si="23"/>
        <v>0.14350285022794027</v>
      </c>
      <c r="AH72" s="49">
        <f t="shared" ca="1" si="24"/>
        <v>216802.23999999976</v>
      </c>
      <c r="AI72" s="544" t="str">
        <f t="shared" ca="1" si="25"/>
        <v>0.14 pts.</v>
      </c>
      <c r="AJ72" s="545"/>
      <c r="AK72" s="544" t="str">
        <f t="shared" ca="1" si="26"/>
        <v>4.78 pts.</v>
      </c>
      <c r="AL72" s="545"/>
    </row>
    <row r="73" spans="1:38" x14ac:dyDescent="0.2">
      <c r="A73" s="6" t="s">
        <v>40</v>
      </c>
      <c r="B73" s="7"/>
      <c r="N73" s="38"/>
      <c r="O73" s="42"/>
      <c r="P73" s="42"/>
      <c r="Q73" s="42"/>
      <c r="R73" s="42"/>
      <c r="S73" s="42"/>
      <c r="T73" s="42"/>
      <c r="U73" s="42"/>
      <c r="V73" s="42"/>
      <c r="W73" s="42"/>
      <c r="X73" s="42"/>
      <c r="Y73" s="42"/>
      <c r="Z73" s="42"/>
      <c r="AA73" s="39"/>
      <c r="AC73" s="38"/>
      <c r="AD73" s="42"/>
      <c r="AE73" s="39"/>
      <c r="AF73" s="38"/>
      <c r="AG73" s="42"/>
      <c r="AH73" s="39"/>
    </row>
    <row r="74" spans="1:38" ht="16" thickBot="1" x14ac:dyDescent="0.25">
      <c r="A74" s="6" t="s">
        <v>41</v>
      </c>
      <c r="B74" s="7"/>
      <c r="F74" s="10" t="s">
        <v>570</v>
      </c>
      <c r="I74" s="1"/>
      <c r="J74" s="1"/>
      <c r="L74" s="1"/>
      <c r="M74" s="23" t="e">
        <f ca="1">IF(_xll.EVDES(F74,$B$1)="#NODATA","",_xll.EVDES(F74,$B$1))</f>
        <v>#NAME?</v>
      </c>
      <c r="N74" s="58">
        <f t="shared" ref="N74:Y74" ca="1" si="29">N64-N72</f>
        <v>388874.63000000012</v>
      </c>
      <c r="O74" s="58">
        <f t="shared" ca="1" si="29"/>
        <v>571055.00999999978</v>
      </c>
      <c r="P74" s="58">
        <f t="shared" ca="1" si="29"/>
        <v>495378.87000000017</v>
      </c>
      <c r="Q74" s="58">
        <f t="shared" ca="1" si="29"/>
        <v>304113.09000000014</v>
      </c>
      <c r="R74" s="58">
        <f t="shared" ca="1" si="29"/>
        <v>148143.33999999985</v>
      </c>
      <c r="S74" s="58">
        <f t="shared" ca="1" si="29"/>
        <v>-2780.1500000000233</v>
      </c>
      <c r="T74" s="58">
        <f t="shared" ca="1" si="29"/>
        <v>-3431.6399999999558</v>
      </c>
      <c r="U74" s="58">
        <f t="shared" ca="1" si="29"/>
        <v>-36119.070000000094</v>
      </c>
      <c r="V74" s="58">
        <f t="shared" ca="1" si="29"/>
        <v>-95967.830000000089</v>
      </c>
      <c r="W74" s="58">
        <f t="shared" ca="1" si="29"/>
        <v>83539.87</v>
      </c>
      <c r="X74" s="58">
        <f t="shared" ca="1" si="29"/>
        <v>100153.21999999991</v>
      </c>
      <c r="Y74" s="58">
        <f t="shared" ca="1" si="29"/>
        <v>301503.70999999973</v>
      </c>
      <c r="Z74" s="58">
        <f ca="1">SUM(N74:Y74)</f>
        <v>2254463.0499999998</v>
      </c>
      <c r="AA74" s="59">
        <f ca="1">IF(Z74=0,"",IFERROR(Z74/Z$43,""))</f>
        <v>0.20799130642057315</v>
      </c>
      <c r="AC74" s="58">
        <f ca="1">AC64-AC72</f>
        <v>2709662.8052861094</v>
      </c>
      <c r="AD74" s="59">
        <f ca="1">IF(AC74=0,"",IFERROR(AC74/AC$43,""))</f>
        <v>0.24109074374134443</v>
      </c>
      <c r="AE74" s="60">
        <f ca="1">IF(AND($Z74="",AC74=""),"",$Z74-AC74)</f>
        <v>-455199.75528610963</v>
      </c>
      <c r="AF74" s="58">
        <f ca="1">AF64-AF72</f>
        <v>2476644.2199999997</v>
      </c>
      <c r="AG74" s="59">
        <f ca="1">IF(AF74=0,"",IFERROR(AF74/AF$43,""))</f>
        <v>0.19139138882224818</v>
      </c>
      <c r="AH74" s="60">
        <f ca="1">IF(AND($Z74="",AF74=""),"",$Z74-AF74)</f>
        <v>-222181.16999999993</v>
      </c>
      <c r="AI74" s="548" t="str">
        <f ca="1">+IFERROR(ROUND(($AA74-AD74)*100,2)&amp;" pts.",0)</f>
        <v>-3.31 pts.</v>
      </c>
      <c r="AJ74" s="549"/>
      <c r="AK74" s="548" t="str">
        <f ca="1">+IFERROR(ROUND(($AA74-AG74)*100,2)&amp;" pts.",0)</f>
        <v>1.66 pts.</v>
      </c>
      <c r="AL74" s="549"/>
    </row>
    <row r="75" spans="1:38" ht="16" thickTop="1" x14ac:dyDescent="0.2">
      <c r="A75" s="6" t="s">
        <v>42</v>
      </c>
      <c r="B75" s="7"/>
      <c r="H75" s="11"/>
      <c r="J75" s="1"/>
      <c r="L75" s="1">
        <f ca="1">COUNTIF(N75:AH75,FALSE)</f>
        <v>0</v>
      </c>
      <c r="M75" s="204" t="str">
        <f ca="1">IF(L75=0,"","EBITDA- database validation failed")</f>
        <v/>
      </c>
      <c r="N75" s="244" t="str">
        <f t="shared" ref="N75:Z75" ca="1" si="30">IF(ROUND(N74,2)&lt;&gt;ROUND(N103,2),N74-N103,"")</f>
        <v/>
      </c>
      <c r="O75" s="245" t="str">
        <f t="shared" ca="1" si="30"/>
        <v/>
      </c>
      <c r="P75" s="245" t="str">
        <f t="shared" ca="1" si="30"/>
        <v/>
      </c>
      <c r="Q75" s="245" t="str">
        <f t="shared" ca="1" si="30"/>
        <v/>
      </c>
      <c r="R75" s="245" t="str">
        <f t="shared" ca="1" si="30"/>
        <v/>
      </c>
      <c r="S75" s="245" t="str">
        <f t="shared" ca="1" si="30"/>
        <v/>
      </c>
      <c r="T75" s="245" t="str">
        <f t="shared" ca="1" si="30"/>
        <v/>
      </c>
      <c r="U75" s="245" t="str">
        <f t="shared" ca="1" si="30"/>
        <v/>
      </c>
      <c r="V75" s="245" t="str">
        <f t="shared" ca="1" si="30"/>
        <v/>
      </c>
      <c r="W75" s="245" t="str">
        <f t="shared" ca="1" si="30"/>
        <v/>
      </c>
      <c r="X75" s="245" t="str">
        <f t="shared" ca="1" si="30"/>
        <v/>
      </c>
      <c r="Y75" s="245" t="str">
        <f t="shared" ca="1" si="30"/>
        <v/>
      </c>
      <c r="Z75" s="245" t="str">
        <f t="shared" ca="1" si="30"/>
        <v/>
      </c>
      <c r="AA75" s="173" t="b">
        <f ca="1">Z75=""</f>
        <v>1</v>
      </c>
      <c r="AC75" s="244" t="str">
        <f ca="1">IF(ROUND(AC74,2)&lt;&gt;ROUND(AC103,2),AC74-AC103,"")</f>
        <v/>
      </c>
      <c r="AD75" s="206" t="b">
        <f ca="1">AC75=""</f>
        <v>1</v>
      </c>
      <c r="AE75" s="51"/>
      <c r="AF75" s="244" t="str">
        <f ca="1">IF(ROUND(AF74,2)&lt;&gt;ROUND(AF103,2),AF74-AF103,"")</f>
        <v/>
      </c>
      <c r="AG75" s="206" t="b">
        <f ca="1">AF75=""</f>
        <v>1</v>
      </c>
      <c r="AH75" s="51"/>
    </row>
    <row r="76" spans="1:38" x14ac:dyDescent="0.2">
      <c r="A76" s="6" t="s">
        <v>43</v>
      </c>
      <c r="B76" s="7"/>
      <c r="H76" s="1" t="s">
        <v>576</v>
      </c>
      <c r="I76" s="11" t="e">
        <f ca="1">_xll.EVPRO($B$1,$H76,"STYLE")</f>
        <v>#NAME?</v>
      </c>
      <c r="J76" s="11" t="e">
        <f ca="1">_xll.EVPRO($B$1,$H76,"CALC")</f>
        <v>#NAME?</v>
      </c>
      <c r="L76" s="1"/>
      <c r="M76" s="37" t="e">
        <f ca="1">IF(_xll.EVDES(H76,$B$1)="#NODATA","",_xll.EVDES(H76,$B$1))</f>
        <v>#NAME?</v>
      </c>
      <c r="N76" s="40"/>
      <c r="O76" s="43"/>
      <c r="P76" s="43"/>
      <c r="Q76" s="43"/>
      <c r="R76" s="43"/>
      <c r="S76" s="43"/>
      <c r="T76" s="43"/>
      <c r="U76" s="43"/>
      <c r="V76" s="43"/>
      <c r="W76" s="43"/>
      <c r="X76" s="43"/>
      <c r="Y76" s="43"/>
      <c r="Z76" s="43"/>
      <c r="AA76" s="41"/>
      <c r="AC76" s="40"/>
      <c r="AD76" s="43"/>
      <c r="AE76" s="41"/>
      <c r="AF76" s="40"/>
      <c r="AG76" s="43"/>
      <c r="AH76" s="41"/>
    </row>
    <row r="77" spans="1:38" x14ac:dyDescent="0.2">
      <c r="A77" s="6" t="s">
        <v>44</v>
      </c>
      <c r="B77" s="7"/>
      <c r="G77" s="10" t="s">
        <v>519</v>
      </c>
      <c r="H77" s="10" t="s">
        <v>571</v>
      </c>
      <c r="I77" s="25" t="e">
        <f ca="1">_xll.EVPRO($B$1,$H77,"STYLE")</f>
        <v>#NAME?</v>
      </c>
      <c r="J77" s="25" t="e">
        <f ca="1">_xll.EVPRO($B$1,$H77,"CALC")</f>
        <v>#NAME?</v>
      </c>
      <c r="L77" s="1"/>
      <c r="M77" s="24" t="e">
        <f ca="1">IF(_xll.EVDES(H77,$B$1)="#NODATA","",_xll.EVDES(H77,$B$1))</f>
        <v>#NAME?</v>
      </c>
      <c r="N77" s="19">
        <v>292803.61</v>
      </c>
      <c r="O77" s="19">
        <v>273376.56</v>
      </c>
      <c r="P77" s="19">
        <v>273376.56</v>
      </c>
      <c r="Q77" s="19">
        <v>277192</v>
      </c>
      <c r="R77" s="19">
        <v>269799.65999999997</v>
      </c>
      <c r="S77" s="19">
        <v>268477.21999999997</v>
      </c>
      <c r="T77" s="19">
        <v>260249.22</v>
      </c>
      <c r="U77" s="19">
        <v>268652.89</v>
      </c>
      <c r="V77" s="19">
        <v>254093.33</v>
      </c>
      <c r="W77" s="19">
        <v>253809.06</v>
      </c>
      <c r="X77" s="19">
        <v>254642.37</v>
      </c>
      <c r="Y77" s="19">
        <v>196889.05</v>
      </c>
      <c r="Z77" s="19">
        <f>SUM(N77:Y77)</f>
        <v>3143361.53</v>
      </c>
      <c r="AA77" s="15">
        <f>IF(Z77=0,"",IFERROR(Z77/Z$43,""))</f>
        <v>0.28999892953529294</v>
      </c>
      <c r="AC77" s="19">
        <v>3203919</v>
      </c>
      <c r="AD77" s="15">
        <f>IF(AC77=0,"",IFERROR(AC77/AC$43,""))</f>
        <v>0.28506691426332809</v>
      </c>
      <c r="AE77" s="47">
        <f>IF(AND($Z77="",AC77=""),"",$Z77-AC77)</f>
        <v>-60557.470000000205</v>
      </c>
      <c r="AF77" s="19">
        <v>3331041.64</v>
      </c>
      <c r="AG77" s="15">
        <f>IF(AF77=0,"",IFERROR(AF77/AF$43,""))</f>
        <v>0.25741795311412929</v>
      </c>
      <c r="AH77" s="47">
        <f>IF(AND($Z77="",AF77=""),"",$Z77-AF77)</f>
        <v>-187680.11000000034</v>
      </c>
      <c r="AI77" s="538" t="str">
        <f>+IFERROR(ROUND(($AA77-AD77)*100,2)&amp;" pts.",0)</f>
        <v>0.49 pts.</v>
      </c>
      <c r="AJ77" s="539"/>
      <c r="AK77" s="538" t="str">
        <f>+IFERROR(ROUND(($AA77-AG77)*100,2)&amp;" pts.",0)</f>
        <v>3.26 pts.</v>
      </c>
      <c r="AL77" s="539"/>
    </row>
    <row r="78" spans="1:38" x14ac:dyDescent="0.2">
      <c r="A78" s="6" t="s">
        <v>45</v>
      </c>
      <c r="B78" s="7"/>
      <c r="G78" s="10" t="s">
        <v>519</v>
      </c>
      <c r="H78" s="10" t="s">
        <v>572</v>
      </c>
      <c r="I78" s="25" t="e">
        <f ca="1">_xll.EVPRO($B$1,$H78,"STYLE")</f>
        <v>#NAME?</v>
      </c>
      <c r="J78" s="25" t="e">
        <f ca="1">_xll.EVPRO($B$1,$H78,"CALC")</f>
        <v>#NAME?</v>
      </c>
      <c r="L78" s="1"/>
      <c r="M78" s="24" t="e">
        <f ca="1">IF(_xll.EVDES(H78,$B$1)="#NODATA","",_xll.EVDES(H78,$B$1))</f>
        <v>#NAME?</v>
      </c>
      <c r="N78" s="19">
        <v>42107.71</v>
      </c>
      <c r="O78" s="19">
        <v>42107.71</v>
      </c>
      <c r="P78" s="19">
        <v>42107.71</v>
      </c>
      <c r="Q78" s="19">
        <v>42107.71</v>
      </c>
      <c r="R78" s="19">
        <v>42107.71</v>
      </c>
      <c r="S78" s="19">
        <v>42107.71</v>
      </c>
      <c r="T78" s="19">
        <v>42107.71</v>
      </c>
      <c r="U78" s="19">
        <v>42107.71</v>
      </c>
      <c r="V78" s="19">
        <v>42107.75</v>
      </c>
      <c r="W78" s="19">
        <v>42065.23</v>
      </c>
      <c r="X78" s="19">
        <v>41983.62</v>
      </c>
      <c r="Y78" s="19">
        <v>41983.59</v>
      </c>
      <c r="Z78" s="19">
        <f>SUM(N78:Y78)</f>
        <v>505001.87</v>
      </c>
      <c r="AA78" s="15">
        <f>IF(Z78=0,"",IFERROR(Z78/Z$43,""))</f>
        <v>4.6590250696782298E-2</v>
      </c>
      <c r="AC78" s="19">
        <v>505296</v>
      </c>
      <c r="AD78" s="15">
        <f>IF(AC78=0,"",IFERROR(AC78/AC$43,""))</f>
        <v>4.4958431068201986E-2</v>
      </c>
      <c r="AE78" s="47">
        <f>IF(AND($Z78="",AC78=""),"",$Z78-AC78)</f>
        <v>-294.13000000000466</v>
      </c>
      <c r="AF78" s="19">
        <v>495870.37</v>
      </c>
      <c r="AG78" s="15">
        <f>IF(AF78=0,"",IFERROR(AF78/AF$43,""))</f>
        <v>3.832012608985156E-2</v>
      </c>
      <c r="AH78" s="47">
        <f>IF(AND($Z78="",AF78=""),"",$Z78-AF78)</f>
        <v>9131.5</v>
      </c>
      <c r="AI78" s="538" t="str">
        <f>+IFERROR(ROUND(($AA78-AD78)*100,2)&amp;" pts.",0)</f>
        <v>0.16 pts.</v>
      </c>
      <c r="AJ78" s="539"/>
      <c r="AK78" s="538" t="str">
        <f>+IFERROR(ROUND(($AA78-AG78)*100,2)&amp;" pts.",0)</f>
        <v>0.83 pts.</v>
      </c>
      <c r="AL78" s="539"/>
    </row>
    <row r="79" spans="1:38" x14ac:dyDescent="0.2">
      <c r="A79" s="6" t="s">
        <v>46</v>
      </c>
      <c r="B79" s="7"/>
      <c r="G79" s="10" t="s">
        <v>519</v>
      </c>
      <c r="H79" s="10" t="s">
        <v>573</v>
      </c>
      <c r="I79" s="25" t="e">
        <f ca="1">_xll.EVPRO($B$1,$H79,"STYLE")</f>
        <v>#NAME?</v>
      </c>
      <c r="J79" s="25" t="e">
        <f ca="1">_xll.EVPRO($B$1,$H79,"CALC")</f>
        <v>#NAME?</v>
      </c>
      <c r="L79" s="1"/>
      <c r="M79" s="24" t="e">
        <f ca="1">IF(_xll.EVDES(H79,$B$1)="#NODATA","",_xll.EVDES(H79,$B$1))</f>
        <v>#NAME?</v>
      </c>
      <c r="N79" s="19"/>
      <c r="O79" s="19"/>
      <c r="P79" s="19"/>
      <c r="Q79" s="19"/>
      <c r="R79" s="19"/>
      <c r="S79" s="19"/>
      <c r="T79" s="19"/>
      <c r="U79" s="19"/>
      <c r="V79" s="19"/>
      <c r="W79" s="19"/>
      <c r="X79" s="19"/>
      <c r="Y79" s="19"/>
      <c r="Z79" s="19">
        <f>SUM(N79:Y79)</f>
        <v>0</v>
      </c>
      <c r="AA79" s="15" t="str">
        <f>IF(Z79=0,"",IFERROR(Z79/Z$43,""))</f>
        <v/>
      </c>
      <c r="AC79" s="19"/>
      <c r="AD79" s="15" t="str">
        <f>IF(AC79=0,"",IFERROR(AC79/AC$43,""))</f>
        <v/>
      </c>
      <c r="AE79" s="47">
        <f>IF(AND($Z79="",AC79=""),"",$Z79-AC79)</f>
        <v>0</v>
      </c>
      <c r="AF79" s="19"/>
      <c r="AG79" s="15" t="str">
        <f>IF(AF79=0,"",IFERROR(AF79/AF$43,""))</f>
        <v/>
      </c>
      <c r="AH79" s="47">
        <f>IF(AND($Z79="",AF79=""),"",$Z79-AF79)</f>
        <v>0</v>
      </c>
      <c r="AI79" s="538">
        <f>+IFERROR(ROUND(($AA79-AD79)*100,2)&amp;" pts.",0)</f>
        <v>0</v>
      </c>
      <c r="AJ79" s="539"/>
      <c r="AK79" s="538">
        <f>+IFERROR(ROUND(($AA79-AG79)*100,2)&amp;" pts.",0)</f>
        <v>0</v>
      </c>
      <c r="AL79" s="539"/>
    </row>
    <row r="80" spans="1:38" x14ac:dyDescent="0.2">
      <c r="I80" s="1"/>
      <c r="J80" s="1"/>
      <c r="L80" s="1"/>
      <c r="M80" s="23" t="e">
        <f ca="1">"Total "&amp;M76</f>
        <v>#NAME?</v>
      </c>
      <c r="N80" s="30">
        <f t="shared" ref="N80:Y80" si="31">SUM(N77:N79)</f>
        <v>334911.32</v>
      </c>
      <c r="O80" s="30">
        <f t="shared" si="31"/>
        <v>315484.27</v>
      </c>
      <c r="P80" s="30">
        <f t="shared" si="31"/>
        <v>315484.27</v>
      </c>
      <c r="Q80" s="30">
        <f t="shared" si="31"/>
        <v>319299.71000000002</v>
      </c>
      <c r="R80" s="30">
        <f t="shared" si="31"/>
        <v>311907.37</v>
      </c>
      <c r="S80" s="30">
        <f t="shared" si="31"/>
        <v>310584.93</v>
      </c>
      <c r="T80" s="30">
        <f t="shared" si="31"/>
        <v>302356.93</v>
      </c>
      <c r="U80" s="30">
        <f t="shared" si="31"/>
        <v>310760.60000000003</v>
      </c>
      <c r="V80" s="30">
        <f t="shared" si="31"/>
        <v>296201.07999999996</v>
      </c>
      <c r="W80" s="30">
        <f t="shared" si="31"/>
        <v>295874.28999999998</v>
      </c>
      <c r="X80" s="30">
        <f t="shared" si="31"/>
        <v>296625.99</v>
      </c>
      <c r="Y80" s="30">
        <f t="shared" si="31"/>
        <v>238872.63999999998</v>
      </c>
      <c r="Z80" s="30">
        <f>SUM(N80:Y80)</f>
        <v>3648363.4</v>
      </c>
      <c r="AA80" s="31">
        <f>IF(Z80=0,"",IFERROR(Z80/Z$43,""))</f>
        <v>0.33658918023207524</v>
      </c>
      <c r="AC80" s="30">
        <f>SUM(AC77:AC79)</f>
        <v>3709215</v>
      </c>
      <c r="AD80" s="31">
        <f>IF(AC80=0,"",IFERROR(AC80/AC$43,""))</f>
        <v>0.33002534533153011</v>
      </c>
      <c r="AE80" s="49">
        <f>IF(AND($Z80="",AC80=""),"",$Z80-AC80)</f>
        <v>-60851.600000000093</v>
      </c>
      <c r="AF80" s="30">
        <f>SUM(AF77:AF79)</f>
        <v>3826912.0100000002</v>
      </c>
      <c r="AG80" s="31">
        <f>IF(AF80=0,"",IFERROR(AF80/AF$43,""))</f>
        <v>0.29573807920398087</v>
      </c>
      <c r="AH80" s="49">
        <f>IF(AND($Z80="",AF80=""),"",$Z80-AF80)</f>
        <v>-178548.61000000034</v>
      </c>
      <c r="AI80" s="544" t="str">
        <f>+IFERROR(ROUND(($AA80-AD80)*100,2)&amp;" pts.",0)</f>
        <v>0.66 pts.</v>
      </c>
      <c r="AJ80" s="545"/>
      <c r="AK80" s="544" t="str">
        <f>+IFERROR(ROUND(($AA80-AG80)*100,2)&amp;" pts.",0)</f>
        <v>4.09 pts.</v>
      </c>
      <c r="AL80" s="545"/>
    </row>
    <row r="81" spans="6:38" x14ac:dyDescent="0.2">
      <c r="H81" s="11"/>
      <c r="J81" s="1"/>
      <c r="N81" s="38"/>
      <c r="O81" s="42"/>
      <c r="P81" s="42"/>
      <c r="Q81" s="42"/>
      <c r="R81" s="42"/>
      <c r="S81" s="42"/>
      <c r="T81" s="42"/>
      <c r="U81" s="42"/>
      <c r="V81" s="42"/>
      <c r="W81" s="42"/>
      <c r="X81" s="42"/>
      <c r="Y81" s="42"/>
      <c r="Z81" s="42"/>
      <c r="AA81" s="39"/>
      <c r="AC81" s="38"/>
      <c r="AD81" s="42"/>
      <c r="AE81" s="39"/>
      <c r="AF81" s="38"/>
      <c r="AG81" s="42"/>
      <c r="AH81" s="39"/>
    </row>
    <row r="82" spans="6:38" x14ac:dyDescent="0.2">
      <c r="F82" s="10" t="s">
        <v>577</v>
      </c>
      <c r="I82" s="1"/>
      <c r="J82" s="1"/>
      <c r="L82" s="1"/>
      <c r="M82" s="23" t="e">
        <f ca="1">IF(_xll.EVDES(F82,$B$1)="#NODATA","",_xll.EVDES(F82,$B$1))</f>
        <v>#NAME?</v>
      </c>
      <c r="N82" s="145">
        <f t="shared" ref="N82:Y82" ca="1" si="32">N74-N80</f>
        <v>53963.310000000114</v>
      </c>
      <c r="O82" s="145">
        <f t="shared" ca="1" si="32"/>
        <v>255570.73999999976</v>
      </c>
      <c r="P82" s="145">
        <f t="shared" ca="1" si="32"/>
        <v>179894.60000000015</v>
      </c>
      <c r="Q82" s="145">
        <f t="shared" ca="1" si="32"/>
        <v>-15186.619999999879</v>
      </c>
      <c r="R82" s="145">
        <f t="shared" ca="1" si="32"/>
        <v>-163764.03000000014</v>
      </c>
      <c r="S82" s="145">
        <f t="shared" ca="1" si="32"/>
        <v>-313365.08</v>
      </c>
      <c r="T82" s="145">
        <f t="shared" ca="1" si="32"/>
        <v>-305788.56999999995</v>
      </c>
      <c r="U82" s="145">
        <f t="shared" ca="1" si="32"/>
        <v>-346879.67000000016</v>
      </c>
      <c r="V82" s="145">
        <f t="shared" ca="1" si="32"/>
        <v>-392168.91000000003</v>
      </c>
      <c r="W82" s="145">
        <f t="shared" ca="1" si="32"/>
        <v>-212334.41999999998</v>
      </c>
      <c r="X82" s="145">
        <f t="shared" ca="1" si="32"/>
        <v>-196472.77000000008</v>
      </c>
      <c r="Y82" s="145">
        <f t="shared" ca="1" si="32"/>
        <v>62631.069999999745</v>
      </c>
      <c r="Z82" s="145">
        <f ca="1">SUM(N82:Y82)</f>
        <v>-1393900.3500000003</v>
      </c>
      <c r="AA82" s="156">
        <f ca="1">IF(Z82=0,"",IFERROR(Z82/Z$43,""))</f>
        <v>-0.12859787381150214</v>
      </c>
      <c r="AC82" s="145">
        <f ca="1">AC74-AC80</f>
        <v>-999552.19471389055</v>
      </c>
      <c r="AD82" s="156">
        <f ca="1">IF(AC82=0,"",IFERROR(AC82/AC$43,""))</f>
        <v>-8.8934601590185666E-2</v>
      </c>
      <c r="AE82" s="146">
        <f ca="1">IF(AND($Z82="",AC82=""),"",$Z82-AC82)</f>
        <v>-394348.15528610977</v>
      </c>
      <c r="AF82" s="145">
        <f ca="1">AF74-AF80</f>
        <v>-1350267.7900000005</v>
      </c>
      <c r="AG82" s="156">
        <f ca="1">IF(AF82=0,"",IFERROR(AF82/AF$43,""))</f>
        <v>-0.10434669038173269</v>
      </c>
      <c r="AH82" s="146">
        <f ca="1">IF(AND($Z82="",AF82=""),"",$Z82-AF82)</f>
        <v>-43632.559999999823</v>
      </c>
      <c r="AI82" s="546" t="str">
        <f ca="1">+IFERROR(ROUND(($AA82-AD82)*100,2)&amp;" pts.",0)</f>
        <v>-3.97 pts.</v>
      </c>
      <c r="AJ82" s="547"/>
      <c r="AK82" s="546" t="str">
        <f ca="1">+IFERROR(ROUND(($AA82-AG82)*100,2)&amp;" pts.",0)</f>
        <v>-2.43 pts.</v>
      </c>
      <c r="AL82" s="547"/>
    </row>
    <row r="83" spans="6:38" x14ac:dyDescent="0.2">
      <c r="G83" s="10" t="s">
        <v>519</v>
      </c>
      <c r="H83" s="10" t="s">
        <v>578</v>
      </c>
      <c r="I83" s="25" t="e">
        <f ca="1">_xll.EVPRO($B$1,$H83,"STYLE")</f>
        <v>#NAME?</v>
      </c>
      <c r="J83" s="25" t="e">
        <f ca="1">_xll.EVPRO($B$1,$H83,"CALC")</f>
        <v>#NAME?</v>
      </c>
      <c r="L83" s="1"/>
      <c r="M83" s="24" t="e">
        <f ca="1">IF(_xll.EVDES(H83,$B$1)="#NODATA","",_xll.EVDES(H83,$B$1))</f>
        <v>#NAME?</v>
      </c>
      <c r="N83" s="19"/>
      <c r="O83" s="19"/>
      <c r="P83" s="19"/>
      <c r="Q83" s="19"/>
      <c r="R83" s="19"/>
      <c r="S83" s="19"/>
      <c r="T83" s="19"/>
      <c r="U83" s="19"/>
      <c r="V83" s="19"/>
      <c r="W83" s="19"/>
      <c r="X83" s="19"/>
      <c r="Y83" s="19"/>
      <c r="Z83" s="19">
        <f>SUM(N83:Y83)</f>
        <v>0</v>
      </c>
      <c r="AA83" s="15" t="str">
        <f>IF(Z83=0,"",IFERROR(Z83/Z$43,""))</f>
        <v/>
      </c>
      <c r="AC83" s="19"/>
      <c r="AD83" s="15" t="str">
        <f>IF(AC83=0,"",IFERROR(AC83/AC$43,""))</f>
        <v/>
      </c>
      <c r="AE83" s="47">
        <f>IF(AND($Z83="",AC83=""),"",$Z83-AC83)</f>
        <v>0</v>
      </c>
      <c r="AF83" s="19"/>
      <c r="AG83" s="15" t="str">
        <f>IF(AF83=0,"",IFERROR(AF83/AF$43,""))</f>
        <v/>
      </c>
      <c r="AH83" s="47">
        <f>IF(AND($Z83="",AF83=""),"",$Z83-AF83)</f>
        <v>0</v>
      </c>
      <c r="AI83" s="538">
        <f>+IFERROR(ROUND(($AA83-AD83)*100,2)&amp;" pts.",0)</f>
        <v>0</v>
      </c>
      <c r="AJ83" s="539"/>
      <c r="AK83" s="538">
        <f>+IFERROR(ROUND(($AA83-AG83)*100,2)&amp;" pts.",0)</f>
        <v>0</v>
      </c>
      <c r="AL83" s="539"/>
    </row>
    <row r="84" spans="6:38" ht="16" thickBot="1" x14ac:dyDescent="0.25">
      <c r="F84" s="10" t="s">
        <v>579</v>
      </c>
      <c r="I84" s="1"/>
      <c r="J84" s="1"/>
      <c r="L84" s="1"/>
      <c r="M84" s="23" t="e">
        <f ca="1">IF(_xll.EVDES(F84,$B$1)="#NODATA","",_xll.EVDES(F84,$B$1))</f>
        <v>#NAME?</v>
      </c>
      <c r="N84" s="58">
        <f t="shared" ref="N84:Y84" ca="1" si="33">N82-N83</f>
        <v>53963.310000000114</v>
      </c>
      <c r="O84" s="58">
        <f t="shared" ca="1" si="33"/>
        <v>255570.73999999976</v>
      </c>
      <c r="P84" s="58">
        <f t="shared" ca="1" si="33"/>
        <v>179894.60000000015</v>
      </c>
      <c r="Q84" s="58">
        <f t="shared" ca="1" si="33"/>
        <v>-15186.619999999879</v>
      </c>
      <c r="R84" s="58">
        <f t="shared" ca="1" si="33"/>
        <v>-163764.03000000014</v>
      </c>
      <c r="S84" s="58">
        <f t="shared" ca="1" si="33"/>
        <v>-313365.08</v>
      </c>
      <c r="T84" s="58">
        <f t="shared" ca="1" si="33"/>
        <v>-305788.56999999995</v>
      </c>
      <c r="U84" s="58">
        <f t="shared" ca="1" si="33"/>
        <v>-346879.67000000016</v>
      </c>
      <c r="V84" s="58">
        <f t="shared" ca="1" si="33"/>
        <v>-392168.91000000003</v>
      </c>
      <c r="W84" s="58">
        <f t="shared" ca="1" si="33"/>
        <v>-212334.41999999998</v>
      </c>
      <c r="X84" s="58">
        <f t="shared" ca="1" si="33"/>
        <v>-196472.77000000008</v>
      </c>
      <c r="Y84" s="58">
        <f t="shared" ca="1" si="33"/>
        <v>62631.069999999745</v>
      </c>
      <c r="Z84" s="58">
        <f ca="1">SUM(N84:Y84)</f>
        <v>-1393900.3500000003</v>
      </c>
      <c r="AA84" s="59">
        <f ca="1">IF(Z84=0,"",IFERROR(Z84/Z$43,""))</f>
        <v>-0.12859787381150214</v>
      </c>
      <c r="AC84" s="58">
        <f ca="1">AC82-AC83</f>
        <v>-999552.19471389055</v>
      </c>
      <c r="AD84" s="59">
        <f ca="1">IF(AC84=0,"",IFERROR(AC84/AC$43,""))</f>
        <v>-8.8934601590185666E-2</v>
      </c>
      <c r="AE84" s="60">
        <f ca="1">IF(AND($Z84="",AC84=""),"",$Z84-AC84)</f>
        <v>-394348.15528610977</v>
      </c>
      <c r="AF84" s="58">
        <f ca="1">AF82-AF83</f>
        <v>-1350267.7900000005</v>
      </c>
      <c r="AG84" s="59">
        <f ca="1">IF(AF84=0,"",IFERROR(AF84/AF$43,""))</f>
        <v>-0.10434669038173269</v>
      </c>
      <c r="AH84" s="60">
        <f ca="1">IF(AND($Z84="",AF84=""),"",$Z84-AF84)</f>
        <v>-43632.559999999823</v>
      </c>
      <c r="AI84" s="548" t="str">
        <f ca="1">+IFERROR(ROUND(($AA84-AD84)*100,2)&amp;" pts.",0)</f>
        <v>-3.97 pts.</v>
      </c>
      <c r="AJ84" s="549"/>
      <c r="AK84" s="548" t="str">
        <f ca="1">+IFERROR(ROUND(($AA84-AG84)*100,2)&amp;" pts.",0)</f>
        <v>-2.43 pts.</v>
      </c>
      <c r="AL84" s="549"/>
    </row>
    <row r="85" spans="6:38" ht="16" thickTop="1" x14ac:dyDescent="0.2">
      <c r="H85" s="11"/>
      <c r="J85" s="1"/>
      <c r="L85" s="1">
        <f ca="1">COUNTIF(N85:AH85,FALSE)</f>
        <v>0</v>
      </c>
      <c r="M85" s="204" t="str">
        <f ca="1">IF(L85=0,"","Net Income - database validation failed")</f>
        <v/>
      </c>
      <c r="N85" s="244" t="str">
        <f t="shared" ref="N85:Z85" ca="1" si="34">IF(ROUND(N84,2)&lt;&gt;ROUND(N105,2),N84-N105,"")</f>
        <v/>
      </c>
      <c r="O85" s="244" t="str">
        <f t="shared" ca="1" si="34"/>
        <v/>
      </c>
      <c r="P85" s="244" t="str">
        <f t="shared" ca="1" si="34"/>
        <v/>
      </c>
      <c r="Q85" s="244" t="str">
        <f t="shared" ca="1" si="34"/>
        <v/>
      </c>
      <c r="R85" s="244" t="str">
        <f t="shared" ca="1" si="34"/>
        <v/>
      </c>
      <c r="S85" s="244" t="str">
        <f t="shared" ca="1" si="34"/>
        <v/>
      </c>
      <c r="T85" s="244" t="str">
        <f t="shared" ca="1" si="34"/>
        <v/>
      </c>
      <c r="U85" s="244" t="str">
        <f t="shared" ca="1" si="34"/>
        <v/>
      </c>
      <c r="V85" s="244" t="str">
        <f t="shared" ca="1" si="34"/>
        <v/>
      </c>
      <c r="W85" s="244" t="str">
        <f t="shared" ca="1" si="34"/>
        <v/>
      </c>
      <c r="X85" s="244" t="str">
        <f t="shared" ca="1" si="34"/>
        <v/>
      </c>
      <c r="Y85" s="244" t="str">
        <f t="shared" ca="1" si="34"/>
        <v/>
      </c>
      <c r="Z85" s="244" t="str">
        <f t="shared" ca="1" si="34"/>
        <v/>
      </c>
      <c r="AA85" s="173" t="b">
        <f ca="1">Z85=""</f>
        <v>1</v>
      </c>
      <c r="AC85" s="244" t="str">
        <f ca="1">IF(ROUND(AC84,2)&lt;&gt;ROUND(AC105,2),AC84-AC105,"")</f>
        <v/>
      </c>
      <c r="AD85" s="206" t="b">
        <f ca="1">AC85=""</f>
        <v>1</v>
      </c>
      <c r="AE85" s="51"/>
      <c r="AF85" s="244" t="str">
        <f ca="1">IF(ROUND(AF84,2)&lt;&gt;ROUND(AF105,2),AF84-AF105,"")</f>
        <v/>
      </c>
      <c r="AG85" s="206" t="b">
        <f ca="1">AF85=""</f>
        <v>1</v>
      </c>
      <c r="AH85" s="51"/>
    </row>
    <row r="86" spans="6:38" x14ac:dyDescent="0.2">
      <c r="F86" s="10" t="s">
        <v>570</v>
      </c>
      <c r="I86" s="1"/>
      <c r="J86" s="1"/>
      <c r="L86" s="1"/>
      <c r="M86" s="23" t="e">
        <f ca="1">IF(_xll.EVDES(F86,$B$1)="#NODATA","",_xll.EVDES(F86,$B$1))</f>
        <v>#NAME?</v>
      </c>
      <c r="N86" s="145">
        <f t="shared" ref="N86:Y86" ca="1" si="35">N74</f>
        <v>388874.63000000012</v>
      </c>
      <c r="O86" s="145">
        <f t="shared" ca="1" si="35"/>
        <v>571055.00999999978</v>
      </c>
      <c r="P86" s="145">
        <f t="shared" ca="1" si="35"/>
        <v>495378.87000000017</v>
      </c>
      <c r="Q86" s="145">
        <f t="shared" ca="1" si="35"/>
        <v>304113.09000000014</v>
      </c>
      <c r="R86" s="145">
        <f t="shared" ca="1" si="35"/>
        <v>148143.33999999985</v>
      </c>
      <c r="S86" s="145">
        <f t="shared" ca="1" si="35"/>
        <v>-2780.1500000000233</v>
      </c>
      <c r="T86" s="145">
        <f t="shared" ca="1" si="35"/>
        <v>-3431.6399999999558</v>
      </c>
      <c r="U86" s="145">
        <f t="shared" ca="1" si="35"/>
        <v>-36119.070000000094</v>
      </c>
      <c r="V86" s="145">
        <f t="shared" ca="1" si="35"/>
        <v>-95967.830000000089</v>
      </c>
      <c r="W86" s="145">
        <f t="shared" ca="1" si="35"/>
        <v>83539.87</v>
      </c>
      <c r="X86" s="145">
        <f t="shared" ca="1" si="35"/>
        <v>100153.21999999991</v>
      </c>
      <c r="Y86" s="145">
        <f t="shared" ca="1" si="35"/>
        <v>301503.70999999973</v>
      </c>
      <c r="Z86" s="145">
        <f ca="1">SUM(N86:Y86)</f>
        <v>2254463.0499999998</v>
      </c>
      <c r="AA86" s="156">
        <f ca="1">IF(Z86=0,"",IFERROR(Z86/Z$43,""))</f>
        <v>0.20799130642057315</v>
      </c>
      <c r="AC86" s="145">
        <f ca="1">AC74</f>
        <v>2709662.8052861094</v>
      </c>
      <c r="AD86" s="156">
        <f ca="1">IF(AC86=0,"",IFERROR(AC86/AC$43,""))</f>
        <v>0.24109074374134443</v>
      </c>
      <c r="AE86" s="146">
        <f ca="1">IF(AND($Z86="",AC86=""),"",$Z86-AC86)</f>
        <v>-455199.75528610963</v>
      </c>
      <c r="AF86" s="145">
        <f ca="1">AF74</f>
        <v>2476644.2199999997</v>
      </c>
      <c r="AG86" s="156">
        <f ca="1">IF(AF86=0,"",IFERROR(AF86/AF$43,""))</f>
        <v>0.19139138882224818</v>
      </c>
      <c r="AH86" s="146">
        <f ca="1">IF(AND($Z86="",AF86=""),"",$Z86-AF86)</f>
        <v>-222181.16999999993</v>
      </c>
    </row>
    <row r="87" spans="6:38" x14ac:dyDescent="0.2">
      <c r="G87" s="10" t="s">
        <v>519</v>
      </c>
      <c r="H87" s="10" t="s">
        <v>580</v>
      </c>
      <c r="I87" s="25" t="e">
        <f ca="1">_xll.EVPRO($B$1,$H87,"STYLE")</f>
        <v>#NAME?</v>
      </c>
      <c r="J87" s="25" t="e">
        <f ca="1">_xll.EVPRO($B$1,$H87,"CALC")</f>
        <v>#NAME?</v>
      </c>
      <c r="M87" s="24" t="e">
        <f ca="1">IF(_xll.EVDES(H87,$B$1)="#NODATA","",_xll.EVDES(H87,$B$1))</f>
        <v>#NAME?</v>
      </c>
      <c r="N87" s="19">
        <v>46891.79</v>
      </c>
      <c r="O87" s="19">
        <v>53078.52</v>
      </c>
      <c r="P87" s="19">
        <v>52920.36</v>
      </c>
      <c r="Q87" s="19">
        <v>41201.79</v>
      </c>
      <c r="R87" s="19">
        <v>37452.9</v>
      </c>
      <c r="S87" s="19">
        <v>25636.09</v>
      </c>
      <c r="T87" s="19">
        <v>25576.33</v>
      </c>
      <c r="U87" s="19">
        <v>23500.66</v>
      </c>
      <c r="V87" s="19">
        <v>20076.54</v>
      </c>
      <c r="W87" s="19">
        <v>28745.65</v>
      </c>
      <c r="X87" s="19">
        <v>37357.47</v>
      </c>
      <c r="Y87" s="19">
        <v>46855.55</v>
      </c>
      <c r="Z87" s="19">
        <f>SUM(N87:Y87)</f>
        <v>439293.64999999997</v>
      </c>
      <c r="AA87" s="15">
        <f>IF(Z87=0,"",IFERROR(Z87/Z$43,""))</f>
        <v>4.0528169297679113E-2</v>
      </c>
      <c r="AC87" s="19">
        <v>449567.28960000002</v>
      </c>
      <c r="AD87" s="15">
        <f>IF(AC87=0,"",IFERROR(AC87/AC$43,""))</f>
        <v>0.04</v>
      </c>
      <c r="AE87" s="47">
        <f>IF(AND($Z87="",AC87=""),"",$Z87-AC87)</f>
        <v>-10273.639600000053</v>
      </c>
      <c r="AF87" s="19">
        <v>498259.69</v>
      </c>
      <c r="AG87" s="15">
        <f>IF(AF87=0,"",IFERROR(AF87/AF$43,""))</f>
        <v>3.8504769192582229E-2</v>
      </c>
      <c r="AH87" s="47">
        <f>IF(AND($Z87="",AF87=""),"",$Z87-AF87)</f>
        <v>-58966.040000000037</v>
      </c>
    </row>
    <row r="88" spans="6:38" ht="16" thickBot="1" x14ac:dyDescent="0.25">
      <c r="I88" s="1"/>
      <c r="J88" s="1"/>
      <c r="L88" s="1"/>
      <c r="M88" s="23" t="s">
        <v>581</v>
      </c>
      <c r="N88" s="58">
        <f ca="1">N86-N87</f>
        <v>341982.84000000014</v>
      </c>
      <c r="O88" s="58">
        <f t="shared" ref="O88:Y88" ca="1" si="36">O86-O87</f>
        <v>517976.48999999976</v>
      </c>
      <c r="P88" s="58">
        <f t="shared" ca="1" si="36"/>
        <v>442458.51000000018</v>
      </c>
      <c r="Q88" s="58">
        <f t="shared" ca="1" si="36"/>
        <v>262911.30000000016</v>
      </c>
      <c r="R88" s="58">
        <f t="shared" ca="1" si="36"/>
        <v>110690.43999999986</v>
      </c>
      <c r="S88" s="58">
        <f t="shared" ca="1" si="36"/>
        <v>-28416.240000000023</v>
      </c>
      <c r="T88" s="58">
        <f t="shared" ca="1" si="36"/>
        <v>-29007.969999999958</v>
      </c>
      <c r="U88" s="58">
        <f t="shared" ca="1" si="36"/>
        <v>-59619.730000000098</v>
      </c>
      <c r="V88" s="58">
        <f t="shared" ca="1" si="36"/>
        <v>-116044.37000000008</v>
      </c>
      <c r="W88" s="58">
        <f t="shared" ca="1" si="36"/>
        <v>54794.219999999994</v>
      </c>
      <c r="X88" s="58">
        <f t="shared" ca="1" si="36"/>
        <v>62795.749999999913</v>
      </c>
      <c r="Y88" s="58">
        <f t="shared" ca="1" si="36"/>
        <v>254648.15999999974</v>
      </c>
      <c r="Z88" s="58">
        <f ca="1">SUM(N88:Y88)</f>
        <v>1815169.3999999997</v>
      </c>
      <c r="AA88" s="59">
        <f ca="1">IF(Z88=0,"",IFERROR(Z88/Z$43,""))</f>
        <v>0.16746313712289401</v>
      </c>
      <c r="AC88" s="58">
        <f ca="1">AC86-AC87</f>
        <v>2260095.5156861097</v>
      </c>
      <c r="AD88" s="59">
        <f ca="1">IF(AC88=0,"",IFERROR(AC88/AC$43,""))</f>
        <v>0.20109074374134445</v>
      </c>
      <c r="AE88" s="60">
        <f ca="1">IF(AND($Z88="",AC88=""),"",$Z88-AC88)</f>
        <v>-444926.11568610999</v>
      </c>
      <c r="AF88" s="58">
        <f ca="1">AF86-AF87</f>
        <v>1978384.5299999998</v>
      </c>
      <c r="AG88" s="59">
        <f ca="1">IF(AF88=0,"",IFERROR(AF88/AF$43,""))</f>
        <v>0.15288661962966593</v>
      </c>
      <c r="AH88" s="60">
        <f ca="1">IF(AND($Z88="",AF88=""),"",$Z88-AF88)</f>
        <v>-163215.13000000012</v>
      </c>
    </row>
    <row r="89" spans="6:38" ht="16" thickTop="1" x14ac:dyDescent="0.2">
      <c r="H89" s="11"/>
      <c r="J89" s="1"/>
      <c r="M89" s="8" t="s">
        <v>754</v>
      </c>
      <c r="AD89" s="153">
        <f>+IF(AND(AE43&gt;0,AE61&gt;0),+AE61/+AE43)+IF(AND(AE43&gt;0,AE61&lt;0),AE61/+AE43)+IF(AND(AE43&lt;0,AE61&lt;0),+(1-(AE61/+AE43)))+IF(AND(AE43&lt;0,AE61&gt;0),+(1-(AE61/+AE43)))</f>
        <v>-0.30468248031715017</v>
      </c>
      <c r="AE89" s="175" t="str">
        <f>IF(AE43&lt;0,"Flex","")</f>
        <v>Flex</v>
      </c>
      <c r="AG89" s="153">
        <f>+IF(AND(AH43&gt;0,AH61&gt;0),+AH61/+AH43)+IF(AND(AH43&gt;0,AH61&lt;0),AH61/+AH43)+IF(AND(AH43&lt;0,AH61&lt;0),+(1-(AH61/+AH43)))+IF(AND(AH43&lt;0,AH61&gt;0),+(1-(AH61/+AH43)))</f>
        <v>1.0121906465918205</v>
      </c>
      <c r="AH89" s="175" t="str">
        <f>IF(AH43&lt;0,"Flex","")</f>
        <v>Flex</v>
      </c>
    </row>
    <row r="90" spans="6:38" x14ac:dyDescent="0.2">
      <c r="H90" s="11"/>
      <c r="J90" s="1"/>
    </row>
    <row r="91" spans="6:38" hidden="1" outlineLevel="1" x14ac:dyDescent="0.2">
      <c r="H91" s="11"/>
      <c r="J91" s="1"/>
      <c r="M91" s="8" t="e">
        <f ca="1">M66</f>
        <v>#NAME?</v>
      </c>
    </row>
    <row r="92" spans="6:38" hidden="1" outlineLevel="1" x14ac:dyDescent="0.2">
      <c r="H92" s="11"/>
      <c r="J92" s="1"/>
      <c r="M92" s="8" t="s">
        <v>587</v>
      </c>
    </row>
    <row r="93" spans="6:38" hidden="1" outlineLevel="1" x14ac:dyDescent="0.2">
      <c r="G93" s="10" t="s">
        <v>519</v>
      </c>
      <c r="H93" s="10" t="s">
        <v>542</v>
      </c>
      <c r="I93" s="25" t="e">
        <f ca="1">_xll.EVPRO($B$1,$H93,"STYLE")</f>
        <v>#NAME?</v>
      </c>
      <c r="J93" s="25" t="e">
        <f ca="1">_xll.EVPRO($B$1,$H93,"CALC")</f>
        <v>#NAME?</v>
      </c>
      <c r="L93" s="1"/>
      <c r="M93" s="196" t="e">
        <f ca="1">IF(_xll.EVDES(H93,$B$1)="#NODATA","",_xll.EVDES(H93,$B$1))</f>
        <v>#NAME?</v>
      </c>
      <c r="N93" s="197"/>
      <c r="O93" s="197"/>
      <c r="P93" s="197"/>
      <c r="Q93" s="197"/>
      <c r="R93" s="197"/>
      <c r="S93" s="197"/>
      <c r="T93" s="197"/>
      <c r="U93" s="197"/>
      <c r="V93" s="197"/>
      <c r="W93" s="197"/>
      <c r="X93" s="197"/>
      <c r="Y93" s="197"/>
      <c r="Z93" s="197">
        <f>SUM(N93:Y93)</f>
        <v>0</v>
      </c>
      <c r="AA93" s="198"/>
      <c r="AC93" s="197"/>
      <c r="AD93" s="198"/>
      <c r="AE93" s="197">
        <f>IF(AND($Z93="",AC93=""),"",$Z93-AC93)</f>
        <v>0</v>
      </c>
      <c r="AF93" s="197"/>
      <c r="AG93" s="198"/>
      <c r="AH93" s="197">
        <f>IF(AND($Z93="",AF93=""),"",$Z93-AF93)</f>
        <v>0</v>
      </c>
    </row>
    <row r="94" spans="6:38" hidden="1" outlineLevel="1" x14ac:dyDescent="0.2">
      <c r="G94" s="10" t="s">
        <v>583</v>
      </c>
      <c r="H94" s="10" t="s">
        <v>584</v>
      </c>
      <c r="I94" s="25" t="e">
        <f ca="1">_xll.EVPRO($B$1,$H94,"STYLE")</f>
        <v>#NAME?</v>
      </c>
      <c r="J94" s="25" t="e">
        <f ca="1">_xll.EVPRO($B$1,$H94,"CALC")</f>
        <v>#NAME?</v>
      </c>
      <c r="L94" s="1"/>
      <c r="M94" s="199" t="e">
        <f ca="1">IF(_xll.EVDES(H94,$B$1)="#NODATA","",_xll.EVDES(H94,$B$1))&amp;"-"&amp;_xll.EVDES(G94)</f>
        <v>#NAME?</v>
      </c>
      <c r="N94" s="200" t="e">
        <f ca="1">_xll.EVGTS($B$1,1,$B$3,$B$5,$B$7,$B$9,N$16,N$17,N$18,$G$94,$H$94)</f>
        <v>#NAME?</v>
      </c>
      <c r="O94" s="200" t="e">
        <f ca="1">_xll.EVGTS($B$1,1,$B$3,$B$5,$B$7,$B$9,O$16,O$17,O$18,$G$94,$H$94)</f>
        <v>#NAME?</v>
      </c>
      <c r="P94" s="200" t="e">
        <f ca="1">_xll.EVGTS($B$1,1,$B$3,$B$5,$B$7,$B$9,P$16,P$17,P$18,$G$94,$H$94)</f>
        <v>#NAME?</v>
      </c>
      <c r="Q94" s="200" t="e">
        <f ca="1">_xll.EVGTS($B$1,1,$B$3,$B$5,$B$7,$B$9,Q$16,Q$17,Q$18,$G$94,$H$94)</f>
        <v>#NAME?</v>
      </c>
      <c r="R94" s="200" t="e">
        <f ca="1">_xll.EVGTS($B$1,1,$B$3,$B$5,$B$7,$B$9,R$16,R$17,R$18,$G$94,$H$94)</f>
        <v>#NAME?</v>
      </c>
      <c r="S94" s="200" t="e">
        <f ca="1">_xll.EVGTS($B$1,1,$B$3,$B$5,$B$7,$B$9,S$16,S$17,S$18,$G$94,$H$94)</f>
        <v>#NAME?</v>
      </c>
      <c r="T94" s="200" t="e">
        <f ca="1">_xll.EVGTS($B$1,1,$B$3,$B$5,$B$7,$B$9,T$16,T$17,T$18,$G$94,$H$94)</f>
        <v>#NAME?</v>
      </c>
      <c r="U94" s="200" t="e">
        <f ca="1">_xll.EVGTS($B$1,1,$B$3,$B$5,$B$7,$B$9,U$16,U$17,U$18,$G$94,$H$94)</f>
        <v>#NAME?</v>
      </c>
      <c r="V94" s="200" t="e">
        <f ca="1">_xll.EVGTS($B$1,1,$B$3,$B$5,$B$7,$B$9,V$16,V$17,V$18,$G$94,$H$94)</f>
        <v>#NAME?</v>
      </c>
      <c r="W94" s="200" t="e">
        <f ca="1">_xll.EVGTS($B$1,1,$B$3,$B$5,$B$7,$B$9,W$16,W$17,W$18,$G$94,$H$94)</f>
        <v>#NAME?</v>
      </c>
      <c r="X94" s="200" t="e">
        <f ca="1">_xll.EVGTS($B$1,1,$B$3,$B$5,$B$7,$B$9,X$16,X$17,X$18,$G$94,$H$94)</f>
        <v>#NAME?</v>
      </c>
      <c r="Y94" s="200" t="e">
        <f ca="1">_xll.EVGTS($B$1,1,$B$3,$B$5,$B$7,$B$9,Y$16,Y$17,Y$18,$G$94,$H$94)</f>
        <v>#NAME?</v>
      </c>
      <c r="Z94" s="197" t="e">
        <f ca="1">SUM(N94:Y94)</f>
        <v>#NAME?</v>
      </c>
      <c r="AA94" s="201"/>
      <c r="AC94" s="200" t="e">
        <f ca="1">_xll.EVGTS($B$1,1,$B$3,$B$5,$B$7,$B$9,AC$16,AC$17,AC$18,$G$94,$H$94)</f>
        <v>#NAME?</v>
      </c>
      <c r="AD94" s="201"/>
      <c r="AE94" s="197" t="e">
        <f ca="1">IF(AND($Z94="",AC94=""),"",$Z94-AC94)</f>
        <v>#NAME?</v>
      </c>
      <c r="AF94" s="200" t="e">
        <f ca="1">_xll.EVGTS($B$1,1,$B$3,$B$5,$B$7,$B$9,AF$16,AF$17,AF$18,$G$94,$H$94)</f>
        <v>#NAME?</v>
      </c>
      <c r="AG94" s="201"/>
      <c r="AH94" s="197" t="e">
        <f ca="1">IF(AND($Z94="",AF94=""),"",$Z94-AF94)</f>
        <v>#NAME?</v>
      </c>
    </row>
    <row r="95" spans="6:38" hidden="1" outlineLevel="1" x14ac:dyDescent="0.2">
      <c r="I95" s="1"/>
      <c r="J95" s="1"/>
      <c r="L95" s="1"/>
      <c r="M95" s="196" t="s">
        <v>585</v>
      </c>
      <c r="N95" s="197" t="str">
        <f t="shared" ref="N95:Y95" ca="1" si="37">IFERROR(N93-N94,"")</f>
        <v/>
      </c>
      <c r="O95" s="197" t="str">
        <f t="shared" ca="1" si="37"/>
        <v/>
      </c>
      <c r="P95" s="197" t="str">
        <f t="shared" ca="1" si="37"/>
        <v/>
      </c>
      <c r="Q95" s="197" t="str">
        <f t="shared" ca="1" si="37"/>
        <v/>
      </c>
      <c r="R95" s="197" t="str">
        <f t="shared" ca="1" si="37"/>
        <v/>
      </c>
      <c r="S95" s="197" t="str">
        <f t="shared" ca="1" si="37"/>
        <v/>
      </c>
      <c r="T95" s="197" t="str">
        <f t="shared" ca="1" si="37"/>
        <v/>
      </c>
      <c r="U95" s="197" t="str">
        <f t="shared" ca="1" si="37"/>
        <v/>
      </c>
      <c r="V95" s="197" t="str">
        <f t="shared" ca="1" si="37"/>
        <v/>
      </c>
      <c r="W95" s="197" t="str">
        <f t="shared" ca="1" si="37"/>
        <v/>
      </c>
      <c r="X95" s="197" t="str">
        <f t="shared" ca="1" si="37"/>
        <v/>
      </c>
      <c r="Y95" s="197" t="str">
        <f t="shared" ca="1" si="37"/>
        <v/>
      </c>
      <c r="Z95" s="197">
        <f ca="1">SUM(N95:Y95)</f>
        <v>0</v>
      </c>
      <c r="AA95" s="198"/>
      <c r="AC95" s="197" t="str">
        <f ca="1">IFERROR(AC93-AC94,"")</f>
        <v/>
      </c>
      <c r="AD95" s="198"/>
      <c r="AE95" s="197" t="e">
        <f ca="1">IF(AND($Z95="",AC95=""),"",$Z95-AC95)</f>
        <v>#VALUE!</v>
      </c>
      <c r="AF95" s="197" t="str">
        <f ca="1">IFERROR(AF93-AF94,"")</f>
        <v/>
      </c>
      <c r="AG95" s="198"/>
      <c r="AH95" s="197" t="e">
        <f ca="1">IF(AND($Z95="",AF95=""),"",$Z95-AF95)</f>
        <v>#VALUE!</v>
      </c>
    </row>
    <row r="96" spans="6:38" hidden="1" outlineLevel="1" x14ac:dyDescent="0.2">
      <c r="I96" s="1"/>
      <c r="J96" s="1"/>
      <c r="L96" s="1"/>
    </row>
    <row r="97" spans="7:34" hidden="1" outlineLevel="1" x14ac:dyDescent="0.2">
      <c r="G97" s="10" t="s">
        <v>499</v>
      </c>
      <c r="H97" s="10">
        <v>400000</v>
      </c>
      <c r="I97" s="25" t="e">
        <f ca="1">_xll.EVPRO($B$1,$H97,"STYLE")</f>
        <v>#NAME?</v>
      </c>
      <c r="J97" s="25" t="e">
        <f ca="1">_xll.EVPRO($B$1,$H97,"CALC")</f>
        <v>#NAME?</v>
      </c>
      <c r="M97" s="24" t="e">
        <f ca="1">IF(_xll.EVDES(H97,$B$1)="#NODATA","",_xll.EVDES(H97,$B$1))</f>
        <v>#NAME?</v>
      </c>
      <c r="N97" s="19">
        <v>1176929.01</v>
      </c>
      <c r="O97" s="19">
        <v>1356809.16</v>
      </c>
      <c r="P97" s="19">
        <v>1295733.29</v>
      </c>
      <c r="Q97" s="19">
        <v>1074347.0900000001</v>
      </c>
      <c r="R97" s="19">
        <v>894357.51</v>
      </c>
      <c r="S97" s="19">
        <v>630684.44999999995</v>
      </c>
      <c r="T97" s="19">
        <v>649800.93000000005</v>
      </c>
      <c r="U97" s="19">
        <v>589394.93999999994</v>
      </c>
      <c r="V97" s="19">
        <v>502527.81</v>
      </c>
      <c r="W97" s="19">
        <v>718138.97</v>
      </c>
      <c r="X97" s="19">
        <v>816401.49</v>
      </c>
      <c r="Y97" s="19">
        <v>1134093.05</v>
      </c>
      <c r="Z97" s="19">
        <f t="shared" ref="Z97:Z105" si="38">SUM(N97:Y97)</f>
        <v>10839217.699999999</v>
      </c>
      <c r="AA97" s="15">
        <f t="shared" ref="AA97:AA105" si="39">IF(N97=0,"",IFERROR(N97/N$43,""))</f>
        <v>0.99999999999999978</v>
      </c>
      <c r="AC97" s="19">
        <v>11239182.24</v>
      </c>
      <c r="AD97" s="15">
        <f t="shared" ref="AD97:AD105" si="40">IF(AC97=0,"",IFERROR(AC97/AC$43,""))</f>
        <v>1</v>
      </c>
      <c r="AE97" s="47">
        <f t="shared" ref="AE97:AE105" si="41">IF(AND($Z97="",AC97=""),"",$Z97-AC97)</f>
        <v>-399964.54000000097</v>
      </c>
      <c r="AF97" s="19">
        <v>12940207.16</v>
      </c>
      <c r="AG97" s="15">
        <f>IF(AF97=0,"",IFERROR(AF97/AF$43,""))</f>
        <v>1</v>
      </c>
      <c r="AH97" s="47">
        <f>IF(AND($Z97="",AF97=""),"",$Z97-AF97)</f>
        <v>-2100989.4600000009</v>
      </c>
    </row>
    <row r="98" spans="7:34" hidden="1" outlineLevel="1" x14ac:dyDescent="0.2">
      <c r="G98" s="10" t="s">
        <v>563</v>
      </c>
      <c r="H98" s="10" t="s">
        <v>464</v>
      </c>
      <c r="I98" s="25" t="e">
        <f ca="1">_xll.EVPRO($B$1,$H98,"STYLE")</f>
        <v>#NAME?</v>
      </c>
      <c r="J98" s="25" t="e">
        <f ca="1">_xll.EVPRO($B$1,$H98,"CALC")</f>
        <v>#NAME?</v>
      </c>
      <c r="M98" s="24" t="e">
        <f ca="1">IF(_xll.EVDES(H98,$B$1)="#NODATA","",_xll.EVDES(H98,$B$1))</f>
        <v>#NAME?</v>
      </c>
      <c r="N98" s="19">
        <v>278002.07</v>
      </c>
      <c r="O98" s="19">
        <v>265793.56</v>
      </c>
      <c r="P98" s="19">
        <v>266595.44</v>
      </c>
      <c r="Q98" s="19">
        <v>265006.46999999997</v>
      </c>
      <c r="R98" s="19">
        <v>269915.58</v>
      </c>
      <c r="S98" s="19">
        <v>209050.31</v>
      </c>
      <c r="T98" s="19">
        <v>216983.69</v>
      </c>
      <c r="U98" s="19">
        <v>202859.34</v>
      </c>
      <c r="V98" s="19">
        <v>186726.03</v>
      </c>
      <c r="W98" s="19">
        <v>196083.55</v>
      </c>
      <c r="X98" s="19">
        <v>216913.32</v>
      </c>
      <c r="Y98" s="19">
        <v>256036.81</v>
      </c>
      <c r="Z98" s="19">
        <f t="shared" si="38"/>
        <v>2829966.17</v>
      </c>
      <c r="AA98" s="15">
        <f t="shared" si="39"/>
        <v>0.23620971837545235</v>
      </c>
      <c r="AC98" s="19">
        <v>2566894.6109489198</v>
      </c>
      <c r="AD98" s="15">
        <f t="shared" si="40"/>
        <v>0.2283880229126812</v>
      </c>
      <c r="AE98" s="47">
        <f t="shared" si="41"/>
        <v>263071.55905108014</v>
      </c>
      <c r="AF98" s="19">
        <v>4640393.88</v>
      </c>
      <c r="AG98" s="15">
        <f t="shared" ref="AG98:AG105" si="42">IF(AF98=0,"",IFERROR(AF98/AF$43,""))</f>
        <v>0.35860275052969087</v>
      </c>
      <c r="AH98" s="47">
        <f t="shared" ref="AH98:AH105" si="43">IF(AND($Z98="",AF98=""),"",$Z98-AF98)</f>
        <v>-1810427.71</v>
      </c>
    </row>
    <row r="99" spans="7:34" hidden="1" outlineLevel="1" x14ac:dyDescent="0.2">
      <c r="G99" s="10" t="s">
        <v>563</v>
      </c>
      <c r="H99" s="10" t="s">
        <v>56</v>
      </c>
      <c r="I99" s="25" t="e">
        <f ca="1">_xll.EVPRO($B$1,$H99,"STYLE")</f>
        <v>#NAME?</v>
      </c>
      <c r="J99" s="25" t="e">
        <f ca="1">_xll.EVPRO($B$1,$H99,"CALC")</f>
        <v>#NAME?</v>
      </c>
      <c r="L99" s="11" t="s">
        <v>591</v>
      </c>
      <c r="M99" s="24" t="e">
        <f ca="1">IF(_xll.EVDES(H99,$B$1)="#NODATA","",_xll.EVDES(H99,$B$1))</f>
        <v>#NAME?</v>
      </c>
      <c r="N99" s="19">
        <v>898926.94</v>
      </c>
      <c r="O99" s="19">
        <v>1091015.6000000001</v>
      </c>
      <c r="P99" s="19">
        <v>1029137.85</v>
      </c>
      <c r="Q99" s="19">
        <v>809340.62</v>
      </c>
      <c r="R99" s="19">
        <v>624441.93000000005</v>
      </c>
      <c r="S99" s="19">
        <v>421634.14</v>
      </c>
      <c r="T99" s="19">
        <v>432817.24</v>
      </c>
      <c r="U99" s="19">
        <v>386535.6</v>
      </c>
      <c r="V99" s="19">
        <v>315801.78000000003</v>
      </c>
      <c r="W99" s="19">
        <v>522055.42</v>
      </c>
      <c r="X99" s="19">
        <v>599488.17000000004</v>
      </c>
      <c r="Y99" s="19">
        <v>878056.24</v>
      </c>
      <c r="Z99" s="19">
        <f t="shared" si="38"/>
        <v>8009251.5300000003</v>
      </c>
      <c r="AA99" s="15">
        <f t="shared" si="39"/>
        <v>0.76379028162454743</v>
      </c>
      <c r="AC99" s="19">
        <v>8672287.62905108</v>
      </c>
      <c r="AD99" s="15">
        <f t="shared" si="40"/>
        <v>0.77161197708731877</v>
      </c>
      <c r="AE99" s="47">
        <f t="shared" si="41"/>
        <v>-663036.09905107971</v>
      </c>
      <c r="AF99" s="19">
        <v>8299813.2800000003</v>
      </c>
      <c r="AG99" s="15">
        <f t="shared" si="42"/>
        <v>0.64139724947030907</v>
      </c>
      <c r="AH99" s="47">
        <f t="shared" si="43"/>
        <v>-290561.75</v>
      </c>
    </row>
    <row r="100" spans="7:34" hidden="1" outlineLevel="1" x14ac:dyDescent="0.2">
      <c r="G100" s="10" t="s">
        <v>566</v>
      </c>
      <c r="H100" s="10" t="s">
        <v>464</v>
      </c>
      <c r="I100" s="25" t="e">
        <f ca="1">_xll.EVPRO($B$1,$H100,"STYLE")</f>
        <v>#NAME?</v>
      </c>
      <c r="J100" s="25" t="e">
        <f ca="1">_xll.EVPRO($B$1,$H100,"CALC")</f>
        <v>#NAME?</v>
      </c>
      <c r="M100" s="24" t="e">
        <f ca="1">IF(_xll.EVDES(H100,$B$1)="#NODATA","",_xll.EVDES(H100,$B$1))</f>
        <v>#NAME?</v>
      </c>
      <c r="N100" s="19">
        <v>294012.74</v>
      </c>
      <c r="O100" s="19">
        <v>301566.32</v>
      </c>
      <c r="P100" s="19">
        <v>315684.40000000002</v>
      </c>
      <c r="Q100" s="19">
        <v>281652.34000000003</v>
      </c>
      <c r="R100" s="19">
        <v>284220.76</v>
      </c>
      <c r="S100" s="19">
        <v>242848.46</v>
      </c>
      <c r="T100" s="19">
        <v>254320.89</v>
      </c>
      <c r="U100" s="19">
        <v>244196.87</v>
      </c>
      <c r="V100" s="19">
        <v>231527.62</v>
      </c>
      <c r="W100" s="19">
        <v>255474.57</v>
      </c>
      <c r="X100" s="19">
        <v>261098.87</v>
      </c>
      <c r="Y100" s="19">
        <v>278830.83</v>
      </c>
      <c r="Z100" s="19">
        <f t="shared" si="38"/>
        <v>3245434.6700000004</v>
      </c>
      <c r="AA100" s="15">
        <f t="shared" si="39"/>
        <v>0.24981348705135575</v>
      </c>
      <c r="AC100" s="19">
        <v>3386644.0409649699</v>
      </c>
      <c r="AD100" s="15">
        <f t="shared" si="40"/>
        <v>0.30132477333733221</v>
      </c>
      <c r="AE100" s="47">
        <f t="shared" si="41"/>
        <v>-141209.37096496951</v>
      </c>
      <c r="AF100" s="19">
        <v>3561608.84</v>
      </c>
      <c r="AG100" s="15">
        <f t="shared" si="42"/>
        <v>0.2752358440604748</v>
      </c>
      <c r="AH100" s="47">
        <f t="shared" si="43"/>
        <v>-316174.16999999946</v>
      </c>
    </row>
    <row r="101" spans="7:34" hidden="1" outlineLevel="1" x14ac:dyDescent="0.2">
      <c r="G101" s="10" t="s">
        <v>568</v>
      </c>
      <c r="H101" s="10" t="s">
        <v>567</v>
      </c>
      <c r="I101" s="25" t="e">
        <f ca="1">_xll.EVPRO($B$1,$H101,"STYLE")</f>
        <v>#NAME?</v>
      </c>
      <c r="J101" s="25" t="e">
        <f ca="1">_xll.EVPRO($B$1,$H101,"CALC")</f>
        <v>#NAME?</v>
      </c>
      <c r="M101" s="24" t="e">
        <f ca="1">IF(_xll.EVDES(H101,$B$1)="#NODATA","",_xll.EVDES(H101,$B$1))</f>
        <v>#NAME?</v>
      </c>
      <c r="N101" s="19">
        <v>604914.200000001</v>
      </c>
      <c r="O101" s="19">
        <v>789449.28000000096</v>
      </c>
      <c r="P101" s="19">
        <v>713453.45</v>
      </c>
      <c r="Q101" s="19">
        <v>527688.28</v>
      </c>
      <c r="R101" s="19">
        <v>340221.17</v>
      </c>
      <c r="S101" s="19">
        <v>178785.68</v>
      </c>
      <c r="T101" s="19">
        <v>178496.35</v>
      </c>
      <c r="U101" s="19">
        <v>142338.73000000001</v>
      </c>
      <c r="V101" s="19">
        <v>84274.16</v>
      </c>
      <c r="W101" s="19">
        <v>266580.84999999998</v>
      </c>
      <c r="X101" s="19">
        <v>338389.3</v>
      </c>
      <c r="Y101" s="19">
        <v>599225.41</v>
      </c>
      <c r="Z101" s="19">
        <f t="shared" si="38"/>
        <v>4763816.8600000022</v>
      </c>
      <c r="AA101" s="15">
        <f t="shared" si="39"/>
        <v>0.51397679457319256</v>
      </c>
      <c r="AC101" s="19">
        <v>5285643.5880861096</v>
      </c>
      <c r="AD101" s="15">
        <f t="shared" si="40"/>
        <v>0.4702872037499865</v>
      </c>
      <c r="AE101" s="47">
        <f t="shared" si="41"/>
        <v>-521826.72808610741</v>
      </c>
      <c r="AF101" s="19">
        <v>4738204.4400000004</v>
      </c>
      <c r="AG101" s="15">
        <f t="shared" si="42"/>
        <v>0.36616140540983427</v>
      </c>
      <c r="AH101" s="47">
        <f t="shared" si="43"/>
        <v>25612.420000001788</v>
      </c>
    </row>
    <row r="102" spans="7:34" hidden="1" outlineLevel="1" x14ac:dyDescent="0.2">
      <c r="G102" s="10" t="s">
        <v>568</v>
      </c>
      <c r="H102" s="10" t="s">
        <v>574</v>
      </c>
      <c r="I102" s="25" t="e">
        <f ca="1">_xll.EVPRO($B$1,$H102,"STYLE")</f>
        <v>#NAME?</v>
      </c>
      <c r="J102" s="25" t="e">
        <f ca="1">_xll.EVPRO($B$1,$H102,"CALC")</f>
        <v>#NAME?</v>
      </c>
      <c r="M102" s="24" t="e">
        <f ca="1">IF(_xll.EVDES(H102,$B$1)="#NODATA","",_xll.EVDES(H102,$B$1))</f>
        <v>#NAME?</v>
      </c>
      <c r="N102" s="19">
        <v>560481.29000000097</v>
      </c>
      <c r="O102" s="19">
        <v>739989.570000001</v>
      </c>
      <c r="P102" s="19">
        <v>664122.41</v>
      </c>
      <c r="Q102" s="19">
        <v>487876.71</v>
      </c>
      <c r="R102" s="19">
        <v>303459.15000000002</v>
      </c>
      <c r="S102" s="19">
        <v>151625.39000000001</v>
      </c>
      <c r="T102" s="19">
        <v>151078.22</v>
      </c>
      <c r="U102" s="19">
        <v>116908.32</v>
      </c>
      <c r="V102" s="19">
        <v>61620.3</v>
      </c>
      <c r="W102" s="19">
        <v>236891.67</v>
      </c>
      <c r="X102" s="19">
        <v>299346.93</v>
      </c>
      <c r="Y102" s="19">
        <v>554821.93999999994</v>
      </c>
      <c r="Z102" s="19">
        <f t="shared" si="38"/>
        <v>4328221.9000000022</v>
      </c>
      <c r="AA102" s="15">
        <f t="shared" si="39"/>
        <v>0.47622353195287526</v>
      </c>
      <c r="AC102" s="19">
        <v>4844370.1652861098</v>
      </c>
      <c r="AD102" s="15">
        <f t="shared" si="40"/>
        <v>0.43102514594390184</v>
      </c>
      <c r="AE102" s="47">
        <f t="shared" si="41"/>
        <v>-516148.26528610755</v>
      </c>
      <c r="AF102" s="19">
        <v>4333600.83</v>
      </c>
      <c r="AG102" s="15">
        <f t="shared" si="42"/>
        <v>0.33489423905018845</v>
      </c>
      <c r="AH102" s="47">
        <f t="shared" si="43"/>
        <v>-5378.9299999978393</v>
      </c>
    </row>
    <row r="103" spans="7:34" hidden="1" outlineLevel="1" x14ac:dyDescent="0.2">
      <c r="G103" s="10" t="s">
        <v>499</v>
      </c>
      <c r="H103" s="10" t="s">
        <v>570</v>
      </c>
      <c r="I103" s="25" t="e">
        <f ca="1">_xll.EVPRO($B$1,$H103,"STYLE")</f>
        <v>#NAME?</v>
      </c>
      <c r="J103" s="25" t="e">
        <f ca="1">_xll.EVPRO($B$1,$H103,"CALC")</f>
        <v>#NAME?</v>
      </c>
      <c r="M103" s="24" t="e">
        <f ca="1">IF(_xll.EVDES(H103,$B$1)="#NODATA","",_xll.EVDES(H103,$B$1))</f>
        <v>#NAME?</v>
      </c>
      <c r="N103" s="19">
        <v>388874.63</v>
      </c>
      <c r="O103" s="19">
        <v>571055.01</v>
      </c>
      <c r="P103" s="19">
        <v>495378.87</v>
      </c>
      <c r="Q103" s="19">
        <v>304113.09000000003</v>
      </c>
      <c r="R103" s="19">
        <v>148143.34</v>
      </c>
      <c r="S103" s="19">
        <v>-2780.1500000000201</v>
      </c>
      <c r="T103" s="19">
        <v>-3431.6399999999298</v>
      </c>
      <c r="U103" s="19">
        <v>-36119.070000000203</v>
      </c>
      <c r="V103" s="19">
        <v>-95967.830000000104</v>
      </c>
      <c r="W103" s="19">
        <v>83539.870000000199</v>
      </c>
      <c r="X103" s="19">
        <v>100153.22</v>
      </c>
      <c r="Y103" s="19">
        <v>301503.71000000002</v>
      </c>
      <c r="Z103" s="19">
        <f t="shared" si="38"/>
        <v>2254463.0500000003</v>
      </c>
      <c r="AA103" s="15">
        <f t="shared" si="39"/>
        <v>0.33041468660883799</v>
      </c>
      <c r="AC103" s="19">
        <v>2709662.8052861099</v>
      </c>
      <c r="AD103" s="15">
        <f t="shared" si="40"/>
        <v>0.24109074374134445</v>
      </c>
      <c r="AE103" s="47">
        <f t="shared" si="41"/>
        <v>-455199.75528610963</v>
      </c>
      <c r="AF103" s="19">
        <v>2476644.2200000002</v>
      </c>
      <c r="AG103" s="15">
        <f t="shared" si="42"/>
        <v>0.19139138882224821</v>
      </c>
      <c r="AH103" s="47">
        <f t="shared" si="43"/>
        <v>-222181.16999999993</v>
      </c>
    </row>
    <row r="104" spans="7:34" hidden="1" outlineLevel="1" x14ac:dyDescent="0.2">
      <c r="G104" s="10" t="s">
        <v>499</v>
      </c>
      <c r="H104" s="10" t="s">
        <v>577</v>
      </c>
      <c r="I104" s="25" t="e">
        <f ca="1">_xll.EVPRO($B$1,$H104,"STYLE")</f>
        <v>#NAME?</v>
      </c>
      <c r="J104" s="25" t="e">
        <f ca="1">_xll.EVPRO($B$1,$H104,"CALC")</f>
        <v>#NAME?</v>
      </c>
      <c r="M104" s="24" t="e">
        <f ca="1">IF(_xll.EVDES(H104,$B$1)="#NODATA","",_xll.EVDES(H104,$B$1))</f>
        <v>#NAME?</v>
      </c>
      <c r="N104" s="19">
        <v>53963.309999999801</v>
      </c>
      <c r="O104" s="19">
        <v>255570.74</v>
      </c>
      <c r="P104" s="19">
        <v>179894.6</v>
      </c>
      <c r="Q104" s="19">
        <v>-15186.62</v>
      </c>
      <c r="R104" s="19">
        <v>-163764.03</v>
      </c>
      <c r="S104" s="19">
        <v>-313365.08</v>
      </c>
      <c r="T104" s="19">
        <v>-305788.57</v>
      </c>
      <c r="U104" s="19">
        <v>-346879.67</v>
      </c>
      <c r="V104" s="19">
        <v>-392168.91</v>
      </c>
      <c r="W104" s="19">
        <v>-212334.42</v>
      </c>
      <c r="X104" s="19">
        <v>-196472.77</v>
      </c>
      <c r="Y104" s="19">
        <v>62631.070000000102</v>
      </c>
      <c r="Z104" s="19">
        <f t="shared" si="38"/>
        <v>-1393900.35</v>
      </c>
      <c r="AA104" s="15">
        <f t="shared" si="39"/>
        <v>4.5850947288655748E-2</v>
      </c>
      <c r="AC104" s="19">
        <v>-999552.19471389102</v>
      </c>
      <c r="AD104" s="15">
        <f t="shared" si="40"/>
        <v>-8.8934601590185708E-2</v>
      </c>
      <c r="AE104" s="47">
        <f t="shared" si="41"/>
        <v>-394348.15528610907</v>
      </c>
      <c r="AF104" s="19">
        <v>-1350267.79</v>
      </c>
      <c r="AG104" s="15">
        <f t="shared" si="42"/>
        <v>-0.10434669038173265</v>
      </c>
      <c r="AH104" s="47">
        <f t="shared" si="43"/>
        <v>-43632.560000000056</v>
      </c>
    </row>
    <row r="105" spans="7:34" hidden="1" outlineLevel="1" x14ac:dyDescent="0.2">
      <c r="G105" s="10" t="s">
        <v>499</v>
      </c>
      <c r="H105" s="10" t="s">
        <v>579</v>
      </c>
      <c r="I105" s="25" t="e">
        <f ca="1">_xll.EVPRO($B$1,$H105,"STYLE")</f>
        <v>#NAME?</v>
      </c>
      <c r="J105" s="25" t="e">
        <f ca="1">_xll.EVPRO($B$1,$H105,"CALC")</f>
        <v>#NAME?</v>
      </c>
      <c r="M105" s="24" t="e">
        <f ca="1">IF(_xll.EVDES(H105,$B$1)="#NODATA","",_xll.EVDES(H105,$B$1))</f>
        <v>#NAME?</v>
      </c>
      <c r="N105" s="19">
        <v>53963.309999999801</v>
      </c>
      <c r="O105" s="19">
        <v>255570.74</v>
      </c>
      <c r="P105" s="19">
        <v>179894.6</v>
      </c>
      <c r="Q105" s="19">
        <v>-15186.620000000101</v>
      </c>
      <c r="R105" s="19">
        <v>-163764.03</v>
      </c>
      <c r="S105" s="19">
        <v>-313365.08</v>
      </c>
      <c r="T105" s="19">
        <v>-305788.57</v>
      </c>
      <c r="U105" s="19">
        <v>-346879.67</v>
      </c>
      <c r="V105" s="19">
        <v>-392168.91</v>
      </c>
      <c r="W105" s="19">
        <v>-212334.42</v>
      </c>
      <c r="X105" s="19">
        <v>-196472.77</v>
      </c>
      <c r="Y105" s="19">
        <v>62631.070000000102</v>
      </c>
      <c r="Z105" s="19">
        <f t="shared" si="38"/>
        <v>-1393900.35</v>
      </c>
      <c r="AA105" s="15">
        <f t="shared" si="39"/>
        <v>4.5850947288655748E-2</v>
      </c>
      <c r="AC105" s="19">
        <v>-999552.19471388997</v>
      </c>
      <c r="AD105" s="15">
        <f t="shared" si="40"/>
        <v>-8.8934601590185611E-2</v>
      </c>
      <c r="AE105" s="47">
        <f t="shared" si="41"/>
        <v>-394348.15528611012</v>
      </c>
      <c r="AF105" s="19">
        <v>-1350267.79</v>
      </c>
      <c r="AG105" s="15">
        <f t="shared" si="42"/>
        <v>-0.10434669038173265</v>
      </c>
      <c r="AH105" s="47">
        <f t="shared" si="43"/>
        <v>-43632.560000000056</v>
      </c>
    </row>
    <row r="106" spans="7:34" collapsed="1" x14ac:dyDescent="0.2"/>
    <row r="107" spans="7:34" x14ac:dyDescent="0.2">
      <c r="M107" s="550" t="s">
        <v>826</v>
      </c>
      <c r="N107" s="550"/>
      <c r="O107" s="550"/>
      <c r="P107" s="550"/>
      <c r="Q107" s="550"/>
      <c r="R107" s="550"/>
      <c r="S107" s="550"/>
      <c r="T107" s="550"/>
      <c r="U107" s="550"/>
      <c r="V107" s="550"/>
      <c r="W107" s="550"/>
      <c r="X107" s="550"/>
      <c r="Y107" s="550"/>
      <c r="Z107" s="550"/>
      <c r="AA107" s="550"/>
      <c r="AB107" s="550"/>
      <c r="AC107" s="550"/>
      <c r="AD107" s="550"/>
      <c r="AE107" s="550"/>
      <c r="AF107" s="550"/>
      <c r="AG107" s="550"/>
      <c r="AH107" s="550"/>
    </row>
    <row r="108" spans="7:34" x14ac:dyDescent="0.2">
      <c r="M108" s="550"/>
      <c r="N108" s="550"/>
      <c r="O108" s="550"/>
      <c r="P108" s="550"/>
      <c r="Q108" s="550"/>
      <c r="R108" s="550"/>
      <c r="S108" s="550"/>
      <c r="T108" s="550"/>
      <c r="U108" s="550"/>
      <c r="V108" s="550"/>
      <c r="W108" s="550"/>
      <c r="X108" s="550"/>
      <c r="Y108" s="550"/>
      <c r="Z108" s="550"/>
      <c r="AA108" s="550"/>
      <c r="AB108" s="550"/>
      <c r="AC108" s="550"/>
      <c r="AD108" s="550"/>
      <c r="AE108" s="550"/>
      <c r="AF108" s="550"/>
      <c r="AG108" s="550"/>
      <c r="AH108" s="550"/>
    </row>
    <row r="109" spans="7:34" x14ac:dyDescent="0.2">
      <c r="M109" s="550"/>
      <c r="N109" s="550"/>
      <c r="O109" s="550"/>
      <c r="P109" s="550"/>
      <c r="Q109" s="550"/>
      <c r="R109" s="550"/>
      <c r="S109" s="550"/>
      <c r="T109" s="550"/>
      <c r="U109" s="550"/>
      <c r="V109" s="550"/>
      <c r="W109" s="550"/>
      <c r="X109" s="550"/>
      <c r="Y109" s="550"/>
      <c r="Z109" s="550"/>
      <c r="AA109" s="550"/>
      <c r="AB109" s="550"/>
      <c r="AC109" s="550"/>
      <c r="AD109" s="550"/>
      <c r="AE109" s="550"/>
      <c r="AF109" s="550"/>
      <c r="AG109" s="550"/>
      <c r="AH109" s="550"/>
    </row>
    <row r="110" spans="7:34" x14ac:dyDescent="0.2">
      <c r="M110" s="550"/>
      <c r="N110" s="550"/>
      <c r="O110" s="550"/>
      <c r="P110" s="550"/>
      <c r="Q110" s="550"/>
      <c r="R110" s="550"/>
      <c r="S110" s="550"/>
      <c r="T110" s="550"/>
      <c r="U110" s="550"/>
      <c r="V110" s="550"/>
      <c r="W110" s="550"/>
      <c r="X110" s="550"/>
      <c r="Y110" s="550"/>
      <c r="Z110" s="550"/>
      <c r="AA110" s="550"/>
      <c r="AB110" s="550"/>
      <c r="AC110" s="550"/>
      <c r="AD110" s="550"/>
      <c r="AE110" s="550"/>
      <c r="AF110" s="550"/>
      <c r="AG110" s="550"/>
      <c r="AH110" s="550"/>
    </row>
    <row r="111" spans="7:34" x14ac:dyDescent="0.2">
      <c r="M111" s="550"/>
      <c r="N111" s="550"/>
      <c r="O111" s="550"/>
      <c r="P111" s="550"/>
      <c r="Q111" s="550"/>
      <c r="R111" s="550"/>
      <c r="S111" s="550"/>
      <c r="T111" s="550"/>
      <c r="U111" s="550"/>
      <c r="V111" s="550"/>
      <c r="W111" s="550"/>
      <c r="X111" s="550"/>
      <c r="Y111" s="550"/>
      <c r="Z111" s="550"/>
      <c r="AA111" s="550"/>
      <c r="AB111" s="550"/>
      <c r="AC111" s="550"/>
      <c r="AD111" s="550"/>
      <c r="AE111" s="550"/>
      <c r="AF111" s="550"/>
      <c r="AG111" s="550"/>
      <c r="AH111" s="550"/>
    </row>
    <row r="112" spans="7:34" x14ac:dyDescent="0.2">
      <c r="M112" s="550"/>
      <c r="N112" s="550"/>
      <c r="O112" s="550"/>
      <c r="P112" s="550"/>
      <c r="Q112" s="550"/>
      <c r="R112" s="550"/>
      <c r="S112" s="550"/>
      <c r="T112" s="550"/>
      <c r="U112" s="550"/>
      <c r="V112" s="550"/>
      <c r="W112" s="550"/>
      <c r="X112" s="550"/>
      <c r="Y112" s="550"/>
      <c r="Z112" s="550"/>
      <c r="AA112" s="550"/>
      <c r="AB112" s="550"/>
      <c r="AC112" s="550"/>
      <c r="AD112" s="550"/>
      <c r="AE112" s="550"/>
      <c r="AF112" s="550"/>
      <c r="AG112" s="550"/>
      <c r="AH112" s="550"/>
    </row>
    <row r="113" spans="13:34" x14ac:dyDescent="0.2">
      <c r="M113" s="550"/>
      <c r="N113" s="550"/>
      <c r="O113" s="550"/>
      <c r="P113" s="550"/>
      <c r="Q113" s="550"/>
      <c r="R113" s="550"/>
      <c r="S113" s="550"/>
      <c r="T113" s="550"/>
      <c r="U113" s="550"/>
      <c r="V113" s="550"/>
      <c r="W113" s="550"/>
      <c r="X113" s="550"/>
      <c r="Y113" s="550"/>
      <c r="Z113" s="550"/>
      <c r="AA113" s="550"/>
      <c r="AB113" s="550"/>
      <c r="AC113" s="550"/>
      <c r="AD113" s="550"/>
      <c r="AE113" s="550"/>
      <c r="AF113" s="550"/>
      <c r="AG113" s="550"/>
      <c r="AH113" s="550"/>
    </row>
    <row r="114" spans="13:34" x14ac:dyDescent="0.2">
      <c r="N114" s="147"/>
      <c r="O114" s="147"/>
      <c r="P114" s="147"/>
      <c r="Q114" s="147"/>
      <c r="R114" s="147"/>
      <c r="S114" s="147"/>
      <c r="T114" s="147"/>
      <c r="U114" s="147"/>
      <c r="V114" s="147"/>
      <c r="W114" s="147"/>
      <c r="X114" s="147"/>
      <c r="Y114" s="147"/>
      <c r="Z114" s="147"/>
    </row>
  </sheetData>
  <mergeCells count="59">
    <mergeCell ref="M107:AH113"/>
    <mergeCell ref="AI83:AJ83"/>
    <mergeCell ref="AK83:AL83"/>
    <mergeCell ref="AI84:AJ84"/>
    <mergeCell ref="AK84:AL84"/>
    <mergeCell ref="AI79:AJ79"/>
    <mergeCell ref="AK79:AL79"/>
    <mergeCell ref="AI80:AJ80"/>
    <mergeCell ref="AK80:AL80"/>
    <mergeCell ref="AI82:AJ82"/>
    <mergeCell ref="AK82:AL82"/>
    <mergeCell ref="AI74:AJ74"/>
    <mergeCell ref="AK74:AL74"/>
    <mergeCell ref="AI77:AJ77"/>
    <mergeCell ref="AK77:AL77"/>
    <mergeCell ref="AI78:AJ78"/>
    <mergeCell ref="AK78:AL78"/>
    <mergeCell ref="AI70:AJ70"/>
    <mergeCell ref="AK70:AL70"/>
    <mergeCell ref="AI71:AJ71"/>
    <mergeCell ref="AK71:AL71"/>
    <mergeCell ref="AI72:AJ72"/>
    <mergeCell ref="AK72:AL72"/>
    <mergeCell ref="AI67:AJ67"/>
    <mergeCell ref="AK67:AL67"/>
    <mergeCell ref="AI68:AJ68"/>
    <mergeCell ref="AK68:AL68"/>
    <mergeCell ref="AI69:AJ69"/>
    <mergeCell ref="AK69:AL69"/>
    <mergeCell ref="AI61:AJ61"/>
    <mergeCell ref="AK61:AL61"/>
    <mergeCell ref="AI63:AJ63"/>
    <mergeCell ref="AK63:AL63"/>
    <mergeCell ref="AI64:AJ64"/>
    <mergeCell ref="AK64:AL64"/>
    <mergeCell ref="AI59:AJ59"/>
    <mergeCell ref="AK59:AL59"/>
    <mergeCell ref="AI49:AJ49"/>
    <mergeCell ref="AK49:AL49"/>
    <mergeCell ref="AI51:AJ51"/>
    <mergeCell ref="AK51:AL51"/>
    <mergeCell ref="AI56:AJ56"/>
    <mergeCell ref="AK56:AL56"/>
    <mergeCell ref="AI57:AJ57"/>
    <mergeCell ref="AK57:AL57"/>
    <mergeCell ref="AI58:AJ58"/>
    <mergeCell ref="AK58:AL58"/>
    <mergeCell ref="AI48:AJ48"/>
    <mergeCell ref="AK48:AL48"/>
    <mergeCell ref="AI54:AJ54"/>
    <mergeCell ref="AK54:AL54"/>
    <mergeCell ref="AI55:AJ55"/>
    <mergeCell ref="AK55:AL55"/>
    <mergeCell ref="AI46:AJ46"/>
    <mergeCell ref="AK46:AL46"/>
    <mergeCell ref="AI47:AJ47"/>
    <mergeCell ref="AK47:AL47"/>
    <mergeCell ref="AC31:AD31"/>
    <mergeCell ref="AF31:AG31"/>
  </mergeCells>
  <dataValidations disablePrompts="1" count="2">
    <dataValidation type="list" allowBlank="1" sqref="B28" xr:uid="{00000000-0002-0000-0200-000000000000}">
      <formula1>"ACCOUNT,BUSINESSUNIT,CATEGORY,DATASRC,DEPARTMENT,INTCO,MEASURES,RPTCURRENCY,TIME"</formula1>
    </dataValidation>
    <dataValidation type="list" allowBlank="1" sqref="B29" xr:uid="{00000000-0002-0000-0200-000001000000}">
      <formula1>"SELF,ALL,BAS,DEP,BASMEMBERS,MEMBERS,NOEXPAND,GDEP"</formula1>
    </dataValidation>
  </dataValidations>
  <pageMargins left="0.25" right="0.25" top="0.5" bottom="0.5" header="0.3" footer="0.3"/>
  <pageSetup scale="48"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theme="5" tint="0.39997558519241921"/>
    <pageSetUpPr fitToPage="1"/>
  </sheetPr>
  <dimension ref="A1:AO130"/>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1" hidden="1" customWidth="1" outlineLevel="1" collapsed="1"/>
    <col min="13" max="13" width="9.6640625" style="1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c r="L1" s="69"/>
      <c r="M1" s="69"/>
    </row>
    <row r="2" spans="1:35" hidden="1" outlineLevel="1" x14ac:dyDescent="0.2">
      <c r="A2" s="8" t="s">
        <v>22</v>
      </c>
      <c r="B2" s="12" t="s">
        <v>56</v>
      </c>
      <c r="C2" s="1" t="e">
        <f ca="1">_xll.EVDES(B2,$B$1)</f>
        <v>#NAME?</v>
      </c>
      <c r="I2" s="1"/>
      <c r="J2" s="1"/>
      <c r="L2" s="69"/>
      <c r="M2" s="69"/>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60</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row>
    <row r="12" spans="1:35" hidden="1" outlineLevel="1" x14ac:dyDescent="0.2">
      <c r="A12" s="1" t="s">
        <v>115</v>
      </c>
      <c r="B12" s="46" t="e">
        <f ca="1">_xll.EVPRO($B$1,$B$10,"YEAR")</f>
        <v>#NAME?</v>
      </c>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_xll.EVRNG(H35:H51)</f>
        <v>#NAME?</v>
      </c>
      <c r="G19" s="16" t="str">
        <f>$B$6</f>
        <v>D_ROOMS_CON</v>
      </c>
      <c r="H19" s="16">
        <v>400000</v>
      </c>
      <c r="I19" s="17"/>
      <c r="J19" s="17"/>
      <c r="K19" s="16"/>
      <c r="L19" s="17"/>
      <c r="M19" s="17"/>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
        <v>749</v>
      </c>
      <c r="H20" s="16">
        <v>900200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row>
    <row r="22" spans="1:40" hidden="1" outlineLevel="1" x14ac:dyDescent="0.2">
      <c r="A22" s="6" t="s">
        <v>7</v>
      </c>
      <c r="B22" s="7" t="e">
        <f ca="1">_xll.EVRNG(A36:F41)</f>
        <v>#NAME?</v>
      </c>
    </row>
    <row r="23" spans="1:40" hidden="1" outlineLevel="1" x14ac:dyDescent="0.2">
      <c r="A23" s="6" t="s">
        <v>47</v>
      </c>
      <c r="B23" s="7" t="e">
        <f ca="1">_xll.EVRNG($A$89:$B$110)</f>
        <v>#NAME?</v>
      </c>
      <c r="K23" s="53"/>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IF(_xll.EVDES(B6,$B$1)="#NODATA","",_xll.EVDES(B6,$B$1)&amp;" Department")</f>
        <v>#NAME?</v>
      </c>
    </row>
    <row r="28" spans="1:40" ht="16" x14ac:dyDescent="0.2">
      <c r="A28" s="6" t="s">
        <v>12</v>
      </c>
      <c r="B28" s="7" t="s">
        <v>22</v>
      </c>
      <c r="N28" s="67" t="e">
        <f ca="1">"For the Period ended"&amp;" "&amp;IF(_xll.EVDES($B$10,$B$1)="#NODATA","",_xll.EVDES($B$10,$B$1))</f>
        <v>#NAME?</v>
      </c>
    </row>
    <row r="29" spans="1:40" ht="15" customHeight="1" x14ac:dyDescent="0.2">
      <c r="A29" s="6" t="s">
        <v>13</v>
      </c>
      <c r="B29" s="7" t="s">
        <v>118</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748</v>
      </c>
      <c r="AK30" s="209"/>
      <c r="AL30" s="209"/>
      <c r="AM30" s="210"/>
      <c r="AN30" s="209"/>
    </row>
    <row r="31" spans="1:40" x14ac:dyDescent="0.2">
      <c r="A31" s="6" t="s">
        <v>15</v>
      </c>
      <c r="B31" s="7"/>
      <c r="G31" s="13"/>
      <c r="K31" s="52"/>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11"/>
      <c r="AM31" s="238" t="e">
        <f ca="1">_xll.EVPRO($B$1,AG$16,"YEAR")</f>
        <v>#NAME?</v>
      </c>
      <c r="AN31" s="211"/>
    </row>
    <row r="32" spans="1:40" s="232" customFormat="1" ht="30" customHeight="1" x14ac:dyDescent="0.2">
      <c r="A32" s="230" t="s">
        <v>16</v>
      </c>
      <c r="B32" s="231"/>
      <c r="H32" s="233"/>
      <c r="I32" s="234"/>
      <c r="J32" s="234"/>
      <c r="K32" s="235" t="s">
        <v>117</v>
      </c>
      <c r="L32" s="234"/>
      <c r="M32" s="234"/>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s">
        <v>747</v>
      </c>
      <c r="AM32" s="237" t="e">
        <f ca="1">AG32</f>
        <v>#NAME?</v>
      </c>
      <c r="AN32" s="237" t="s">
        <v>747</v>
      </c>
    </row>
    <row r="33" spans="1:40" x14ac:dyDescent="0.2">
      <c r="A33" s="6" t="s">
        <v>17</v>
      </c>
      <c r="B33" s="7"/>
      <c r="H33" s="1" t="s">
        <v>69</v>
      </c>
      <c r="I33" s="11" t="e">
        <f ca="1">_xll.EVPRO($B$1,$H33,"STYLE")</f>
        <v>#NAME?</v>
      </c>
      <c r="J33" s="11" t="e">
        <f ca="1">_xll.EVPRO($B$1,$H33,"CALC")</f>
        <v>#NAME?</v>
      </c>
      <c r="L33" s="175" t="s">
        <v>364</v>
      </c>
      <c r="M33" s="175" t="s">
        <v>782</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0" x14ac:dyDescent="0.2">
      <c r="H34" s="1" t="s">
        <v>70</v>
      </c>
      <c r="I34" s="11" t="e">
        <f ca="1">_xll.EVPRO($B$1,$H34,"STYLE")</f>
        <v>#NAME?</v>
      </c>
      <c r="J34" s="11" t="e">
        <f ca="1">_xll.EVPRO($B$1,$H34,"CALC")</f>
        <v>#NAME?</v>
      </c>
      <c r="N34" s="8" t="e">
        <f ca="1">IF(_xll.EVDES(H34,$B$1)="#NODATA","",_xll.EVDES(H34,$B$1))</f>
        <v>#NAME?</v>
      </c>
      <c r="O34" s="40"/>
      <c r="P34" s="43"/>
      <c r="Q34" s="43"/>
      <c r="R34" s="43"/>
      <c r="S34" s="43"/>
      <c r="T34" s="43"/>
      <c r="U34" s="43"/>
      <c r="V34" s="43"/>
      <c r="W34" s="43"/>
      <c r="X34" s="43"/>
      <c r="Y34" s="43"/>
      <c r="Z34" s="43"/>
      <c r="AA34" s="43"/>
      <c r="AB34" s="41"/>
      <c r="AD34" s="40"/>
      <c r="AE34" s="43"/>
      <c r="AF34" s="41"/>
      <c r="AG34" s="40"/>
      <c r="AH34" s="43"/>
      <c r="AI34" s="41"/>
    </row>
    <row r="35" spans="1:40" x14ac:dyDescent="0.2">
      <c r="A35" s="20" t="s">
        <v>92</v>
      </c>
      <c r="B35" s="21" t="s">
        <v>93</v>
      </c>
      <c r="C35" s="21" t="s">
        <v>94</v>
      </c>
      <c r="D35" s="21" t="s">
        <v>95</v>
      </c>
      <c r="E35" s="21" t="s">
        <v>96</v>
      </c>
      <c r="F35" s="22" t="s">
        <v>97</v>
      </c>
      <c r="H35" s="10" t="s">
        <v>83</v>
      </c>
      <c r="I35" s="25" t="e">
        <f ca="1">_xll.EVPRO($B$1,$H35,"STYLE")</f>
        <v>#NAME?</v>
      </c>
      <c r="J35" s="25" t="e">
        <f ca="1">_xll.EVPRO($B$1,$H35,"CALC")</f>
        <v>#NAME?</v>
      </c>
      <c r="K35" s="64" t="e">
        <f ca="1">IF(AND(I35&gt;="T5"),"&gt;","")</f>
        <v>#NAME?</v>
      </c>
      <c r="L35" s="24" t="e">
        <f ca="1">_xll.EVPRO($B$1,H35,"JDEID")</f>
        <v>#NAME?</v>
      </c>
      <c r="M35" s="24" t="e">
        <f ca="1">IF(AND(I35="N",J35="N"),_xll.EVPRO($B$1,H35,"PSFTID"),"")</f>
        <v>#NAME?</v>
      </c>
      <c r="N35" s="24" t="e">
        <f ca="1">IF(_xll.EVDES(H35,$B$1)="#NODATA","",_xll.EVDES(H35,$B$1))</f>
        <v>#NAME?</v>
      </c>
      <c r="O35" s="19">
        <v>409446.1</v>
      </c>
      <c r="P35" s="19">
        <v>390204.06</v>
      </c>
      <c r="Q35" s="19">
        <v>421716.72</v>
      </c>
      <c r="R35" s="19">
        <v>337486.78</v>
      </c>
      <c r="S35" s="19">
        <v>318803.78999999998</v>
      </c>
      <c r="T35" s="19">
        <v>212201.48</v>
      </c>
      <c r="U35" s="19">
        <v>233844.69</v>
      </c>
      <c r="V35" s="19">
        <v>237097.36</v>
      </c>
      <c r="W35" s="19">
        <v>139558.24</v>
      </c>
      <c r="X35" s="19">
        <v>207462.37</v>
      </c>
      <c r="Y35" s="19">
        <v>244903.15</v>
      </c>
      <c r="Z35" s="19">
        <v>410943.94</v>
      </c>
      <c r="AA35" s="283" t="e">
        <f t="shared" ref="AA35:AA51" ca="1" si="0">IF($I35="B1","",SUM(O35:Z35))</f>
        <v>#NAME?</v>
      </c>
      <c r="AB35" s="15" t="e">
        <f t="shared" ref="AB35:AB51" ca="1" si="1">IF(AA35=0,"",IFERROR(AA35/AA$19,""))</f>
        <v>#NAME?</v>
      </c>
      <c r="AD35" s="19">
        <v>3880613.85</v>
      </c>
      <c r="AE35" s="15" t="str">
        <f t="shared" ref="AE35:AE51" ca="1" si="2">IF(AD35=0,"",IFERROR(AD35/AD$19,""))</f>
        <v/>
      </c>
      <c r="AF35" s="47" t="e">
        <f t="shared" ref="AF35:AF51" ca="1" si="3">IF(AND($AA35="",AD35=""),"",$AA35-AD35)</f>
        <v>#NAME?</v>
      </c>
      <c r="AG35" s="19">
        <v>4000119.86</v>
      </c>
      <c r="AH35" s="15" t="str">
        <f ca="1">IF(AG35=0,"",IFERROR(AG35/AG$19,""))</f>
        <v/>
      </c>
      <c r="AI35" s="47" t="e">
        <f ca="1">IF(AND($AA35="",AG35=""),"",$AA35-AG35)</f>
        <v>#NAME?</v>
      </c>
      <c r="AJ35" s="322">
        <f ca="1">IFERROR(AA35/AA$20,0)</f>
        <v>0</v>
      </c>
      <c r="AK35" s="323">
        <f ca="1">IFERROR(AD35/AD$20,0)</f>
        <v>0</v>
      </c>
      <c r="AL35" s="125">
        <f ca="1">AJ35-AK35</f>
        <v>0</v>
      </c>
      <c r="AM35" s="324">
        <f ca="1">IFERROR(AG35/AG$20,0)</f>
        <v>0</v>
      </c>
      <c r="AN35" s="125">
        <f ca="1">AJ35-AM35</f>
        <v>0</v>
      </c>
    </row>
    <row r="36" spans="1:40" x14ac:dyDescent="0.2">
      <c r="H36" s="133" t="s">
        <v>84</v>
      </c>
      <c r="I36" s="25" t="e">
        <f ca="1">_xll.EVPRO($B$1,$H36,"STYLE")</f>
        <v>#NAME?</v>
      </c>
      <c r="J36" s="25" t="e">
        <f ca="1">_xll.EVPRO($B$1,$H36,"CALC")</f>
        <v>#NAME?</v>
      </c>
      <c r="K36" s="64" t="e">
        <f t="shared" ref="K36:K51" ca="1" si="4">IF(AND(I36&gt;="T5"),"&gt;","")</f>
        <v>#NAME?</v>
      </c>
      <c r="L36" s="24" t="e">
        <f ca="1">_xll.EVPRO($B$1,H36,"JDEID")</f>
        <v>#NAME?</v>
      </c>
      <c r="M36" s="24" t="e">
        <f ca="1">IF(AND(I36="N",J36="N"),_xll.EVPRO($B$1,H36,"PSFTID"),"")</f>
        <v>#NAME?</v>
      </c>
      <c r="N36" s="24" t="e">
        <f ca="1">IF(_xll.EVDES(H36,$B$1)="#NODATA","",_xll.EVDES(H36,$B$1))</f>
        <v>#NAME?</v>
      </c>
      <c r="O36" s="19">
        <v>275789.27</v>
      </c>
      <c r="P36" s="19">
        <v>404269.8</v>
      </c>
      <c r="Q36" s="19">
        <v>466650.49</v>
      </c>
      <c r="R36" s="19">
        <v>425759.58</v>
      </c>
      <c r="S36" s="19">
        <v>238417.8</v>
      </c>
      <c r="T36" s="19">
        <v>186257.03</v>
      </c>
      <c r="U36" s="19">
        <v>211525</v>
      </c>
      <c r="V36" s="19">
        <v>184678.56</v>
      </c>
      <c r="W36" s="19">
        <v>131168.71</v>
      </c>
      <c r="X36" s="19">
        <v>232737.81</v>
      </c>
      <c r="Y36" s="19">
        <v>284922.38</v>
      </c>
      <c r="Z36" s="19">
        <v>410016.94</v>
      </c>
      <c r="AA36" s="283" t="e">
        <f t="shared" ca="1" si="0"/>
        <v>#NAME?</v>
      </c>
      <c r="AB36" s="15" t="e">
        <f t="shared" ca="1" si="1"/>
        <v>#NAME?</v>
      </c>
      <c r="AD36" s="19">
        <v>3430796.95</v>
      </c>
      <c r="AE36" s="15" t="str">
        <f t="shared" ca="1" si="2"/>
        <v/>
      </c>
      <c r="AF36" s="47" t="e">
        <f t="shared" ca="1" si="3"/>
        <v>#NAME?</v>
      </c>
      <c r="AG36" s="19">
        <v>3333028.5</v>
      </c>
      <c r="AH36" s="15" t="str">
        <f t="shared" ref="AH36:AH51" ca="1" si="5">IF(AG36=0,"",IFERROR(AG36/AG$19,""))</f>
        <v/>
      </c>
      <c r="AI36" s="47" t="e">
        <f t="shared" ref="AI36:AI51" ca="1" si="6">IF(AND($AA36="",AG36=""),"",$AA36-AG36)</f>
        <v>#NAME?</v>
      </c>
      <c r="AJ36" s="322">
        <f t="shared" ref="AJ36:AJ51" ca="1" si="7">IFERROR(AA36/AA$20,0)</f>
        <v>0</v>
      </c>
      <c r="AK36" s="323">
        <f t="shared" ref="AK36:AK51" ca="1" si="8">IFERROR(AD36/AD$20,0)</f>
        <v>0</v>
      </c>
      <c r="AL36" s="125">
        <f t="shared" ref="AL36:AL51" ca="1" si="9">AJ36-AK36</f>
        <v>0</v>
      </c>
      <c r="AM36" s="324">
        <f t="shared" ref="AM36:AM51" ca="1" si="10">IFERROR(AG36/AG$20,0)</f>
        <v>0</v>
      </c>
      <c r="AN36" s="125">
        <f t="shared" ref="AN36:AN51" ca="1" si="11">AJ36-AM36</f>
        <v>0</v>
      </c>
    </row>
    <row r="37" spans="1:40" x14ac:dyDescent="0.2">
      <c r="A37" s="1" t="s">
        <v>105</v>
      </c>
      <c r="C37" s="24" t="s">
        <v>101</v>
      </c>
      <c r="D37" s="1" t="s">
        <v>103</v>
      </c>
      <c r="F37" s="1" t="s">
        <v>98</v>
      </c>
      <c r="H37" s="133" t="s">
        <v>85</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19">
        <v>114544.5</v>
      </c>
      <c r="P37" s="19">
        <v>86625.88</v>
      </c>
      <c r="Q37" s="19">
        <v>47887.82</v>
      </c>
      <c r="R37" s="19">
        <v>23549.119999999999</v>
      </c>
      <c r="S37" s="19">
        <v>23372.92</v>
      </c>
      <c r="T37" s="19">
        <v>10561.42</v>
      </c>
      <c r="U37" s="19">
        <v>7016.83</v>
      </c>
      <c r="V37" s="19">
        <v>4694.17</v>
      </c>
      <c r="W37" s="19">
        <v>5946.8</v>
      </c>
      <c r="X37" s="19">
        <v>35823.64</v>
      </c>
      <c r="Y37" s="19">
        <v>47509.49</v>
      </c>
      <c r="Z37" s="19">
        <v>33742.129999999997</v>
      </c>
      <c r="AA37" s="283" t="e">
        <f t="shared" ca="1" si="0"/>
        <v>#NAME?</v>
      </c>
      <c r="AB37" s="15" t="e">
        <f t="shared" ca="1" si="1"/>
        <v>#NAME?</v>
      </c>
      <c r="AD37" s="19">
        <v>374028.5</v>
      </c>
      <c r="AE37" s="15" t="str">
        <f t="shared" ca="1" si="2"/>
        <v/>
      </c>
      <c r="AF37" s="47" t="e">
        <f t="shared" ca="1" si="3"/>
        <v>#NAME?</v>
      </c>
      <c r="AG37" s="19">
        <v>366021.56</v>
      </c>
      <c r="AH37" s="15" t="str">
        <f t="shared" ca="1" si="5"/>
        <v/>
      </c>
      <c r="AI37" s="47" t="e">
        <f t="shared" ca="1" si="6"/>
        <v>#NAME?</v>
      </c>
      <c r="AJ37" s="322">
        <f t="shared" ca="1" si="7"/>
        <v>0</v>
      </c>
      <c r="AK37" s="323">
        <f t="shared" ca="1" si="8"/>
        <v>0</v>
      </c>
      <c r="AL37" s="125">
        <f t="shared" ca="1" si="9"/>
        <v>0</v>
      </c>
      <c r="AM37" s="324">
        <f t="shared" ca="1" si="10"/>
        <v>0</v>
      </c>
      <c r="AN37" s="125">
        <f t="shared" ca="1" si="11"/>
        <v>0</v>
      </c>
    </row>
    <row r="38" spans="1:40" x14ac:dyDescent="0.2">
      <c r="A38" s="1" t="s">
        <v>104</v>
      </c>
      <c r="C38" s="24" t="s">
        <v>101</v>
      </c>
      <c r="D38" s="1" t="s">
        <v>106</v>
      </c>
      <c r="F38" s="1" t="s">
        <v>98</v>
      </c>
      <c r="H38" s="10" t="s">
        <v>86</v>
      </c>
      <c r="I38" s="25" t="e">
        <f ca="1">_xll.EVPRO($B$1,$H38,"STYLE")</f>
        <v>#NAME?</v>
      </c>
      <c r="J38" s="25" t="e">
        <f ca="1">_xll.EVPRO($B$1,$H38,"CALC")</f>
        <v>#NAME?</v>
      </c>
      <c r="K38" s="64" t="e">
        <f t="shared" ca="1" si="4"/>
        <v>#NAME?</v>
      </c>
      <c r="L38" s="24" t="e">
        <f ca="1">_xll.EVPRO($B$1,H38,"JDEID")</f>
        <v>#NAME?</v>
      </c>
      <c r="M38" s="24" t="e">
        <f ca="1">IF(AND(I38="N",J38="N"),_xll.EVPRO($B$1,H38,"PSFTID"),"")</f>
        <v>#NAME?</v>
      </c>
      <c r="N38" s="24" t="e">
        <f ca="1">IF(_xll.EVDES(H38,$B$1)="#NODATA","",_xll.EVDES(H38,$B$1))</f>
        <v>#NAME?</v>
      </c>
      <c r="O38" s="19">
        <v>24217.85</v>
      </c>
      <c r="P38" s="19">
        <v>32246.3</v>
      </c>
      <c r="Q38" s="19">
        <v>37521.449999999997</v>
      </c>
      <c r="R38" s="19">
        <v>35901.32</v>
      </c>
      <c r="S38" s="19">
        <v>9429.4500000000007</v>
      </c>
      <c r="T38" s="19">
        <v>13570.57</v>
      </c>
      <c r="U38" s="19">
        <v>17597.990000000002</v>
      </c>
      <c r="V38" s="19">
        <v>13246.2</v>
      </c>
      <c r="W38" s="19">
        <v>13199.85</v>
      </c>
      <c r="X38" s="19">
        <v>17639.95</v>
      </c>
      <c r="Y38" s="19">
        <v>14066.85</v>
      </c>
      <c r="Z38" s="19">
        <v>16862.599999999999</v>
      </c>
      <c r="AA38" s="283" t="e">
        <f t="shared" ca="1" si="0"/>
        <v>#NAME?</v>
      </c>
      <c r="AB38" s="15" t="e">
        <f t="shared" ca="1" si="1"/>
        <v>#NAME?</v>
      </c>
      <c r="AD38" s="19">
        <v>199692.43</v>
      </c>
      <c r="AE38" s="15" t="str">
        <f t="shared" ca="1" si="2"/>
        <v/>
      </c>
      <c r="AF38" s="47" t="e">
        <f t="shared" ca="1" si="3"/>
        <v>#NAME?</v>
      </c>
      <c r="AG38" s="19">
        <v>177497.13</v>
      </c>
      <c r="AH38" s="15" t="str">
        <f t="shared" ca="1" si="5"/>
        <v/>
      </c>
      <c r="AI38" s="47" t="e">
        <f t="shared" ca="1" si="6"/>
        <v>#NAME?</v>
      </c>
      <c r="AJ38" s="322">
        <f t="shared" ca="1" si="7"/>
        <v>0</v>
      </c>
      <c r="AK38" s="323">
        <f t="shared" ca="1" si="8"/>
        <v>0</v>
      </c>
      <c r="AL38" s="125">
        <f t="shared" ca="1" si="9"/>
        <v>0</v>
      </c>
      <c r="AM38" s="324">
        <f t="shared" ca="1" si="10"/>
        <v>0</v>
      </c>
      <c r="AN38" s="125">
        <f t="shared" ca="1" si="11"/>
        <v>0</v>
      </c>
    </row>
    <row r="39" spans="1:40" x14ac:dyDescent="0.2">
      <c r="A39" s="1" t="s">
        <v>100</v>
      </c>
      <c r="C39" s="8" t="s">
        <v>101</v>
      </c>
      <c r="D39" s="1" t="s">
        <v>106</v>
      </c>
      <c r="F39" s="1" t="s">
        <v>98</v>
      </c>
      <c r="H39" s="10" t="s">
        <v>65</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28">
        <v>49153.440000000002</v>
      </c>
      <c r="P39" s="28">
        <v>70534.16</v>
      </c>
      <c r="Q39" s="28">
        <v>91440.08</v>
      </c>
      <c r="R39" s="28">
        <v>91534.720000000001</v>
      </c>
      <c r="S39" s="28">
        <v>46881.34</v>
      </c>
      <c r="T39" s="28">
        <v>23617.33</v>
      </c>
      <c r="U39" s="28">
        <v>20933.22</v>
      </c>
      <c r="V39" s="28">
        <v>20053.060000000001</v>
      </c>
      <c r="W39" s="28">
        <v>13287.87</v>
      </c>
      <c r="X39" s="28">
        <v>22746.63</v>
      </c>
      <c r="Y39" s="28">
        <v>25739.74</v>
      </c>
      <c r="Z39" s="28">
        <v>30035.759999999998</v>
      </c>
      <c r="AA39" s="296" t="e">
        <f t="shared" ca="1" si="0"/>
        <v>#NAME?</v>
      </c>
      <c r="AB39" s="29" t="e">
        <f t="shared" ca="1" si="1"/>
        <v>#NAME?</v>
      </c>
      <c r="AD39" s="28">
        <v>678006.09</v>
      </c>
      <c r="AE39" s="29" t="str">
        <f t="shared" ca="1" si="2"/>
        <v/>
      </c>
      <c r="AF39" s="48" t="e">
        <f t="shared" ca="1" si="3"/>
        <v>#NAME?</v>
      </c>
      <c r="AG39" s="28">
        <v>618679.46</v>
      </c>
      <c r="AH39" s="29" t="str">
        <f t="shared" ca="1" si="5"/>
        <v/>
      </c>
      <c r="AI39" s="48" t="e">
        <f t="shared" ca="1" si="6"/>
        <v>#NAME?</v>
      </c>
      <c r="AJ39" s="329">
        <f t="shared" ca="1" si="7"/>
        <v>0</v>
      </c>
      <c r="AK39" s="330">
        <f t="shared" ca="1" si="8"/>
        <v>0</v>
      </c>
      <c r="AL39" s="126">
        <f t="shared" ca="1" si="9"/>
        <v>0</v>
      </c>
      <c r="AM39" s="331">
        <f t="shared" ca="1" si="10"/>
        <v>0</v>
      </c>
      <c r="AN39" s="126">
        <f t="shared" ca="1" si="11"/>
        <v>0</v>
      </c>
    </row>
    <row r="40" spans="1:40" x14ac:dyDescent="0.2">
      <c r="A40" s="1" t="s">
        <v>102</v>
      </c>
      <c r="C40" s="23" t="s">
        <v>101</v>
      </c>
      <c r="D40" s="1" t="s">
        <v>106</v>
      </c>
      <c r="F40" s="1" t="s">
        <v>98</v>
      </c>
      <c r="H40" s="10" t="s">
        <v>66</v>
      </c>
      <c r="I40" s="447" t="e">
        <f ca="1">_xll.EVPRO($B$1,$H40,"STYLE")</f>
        <v>#NAME?</v>
      </c>
      <c r="J40" s="447" t="e">
        <f ca="1">_xll.EVPRO($B$1,$H40,"CALC")</f>
        <v>#NAME?</v>
      </c>
      <c r="K40" s="448" t="e">
        <f t="shared" ca="1" si="4"/>
        <v>#NAME?</v>
      </c>
      <c r="L40" s="151" t="e">
        <f ca="1">_xll.EVPRO($B$1,H40,"JDEID")</f>
        <v>#NAME?</v>
      </c>
      <c r="M40" s="151" t="e">
        <f ca="1">IF(AND(I40="N",J40="N"),_xll.EVPRO($B$1,H40,"PSFTID"),"")</f>
        <v>#NAME?</v>
      </c>
      <c r="N40" s="151" t="e">
        <f ca="1">IF(_xll.EVDES(H40,$B$1)="#NODATA","",_xll.EVDES(H40,$B$1))</f>
        <v>#NAME?</v>
      </c>
      <c r="O40" s="120">
        <v>873151.16</v>
      </c>
      <c r="P40" s="120">
        <v>983880.2</v>
      </c>
      <c r="Q40" s="120">
        <v>1065216.56</v>
      </c>
      <c r="R40" s="120">
        <v>914231.52</v>
      </c>
      <c r="S40" s="120">
        <v>636905.30000000005</v>
      </c>
      <c r="T40" s="120">
        <v>446207.83</v>
      </c>
      <c r="U40" s="120">
        <v>490917.73</v>
      </c>
      <c r="V40" s="120">
        <v>459769.35</v>
      </c>
      <c r="W40" s="120">
        <v>303161.46999999997</v>
      </c>
      <c r="X40" s="120">
        <v>516410.4</v>
      </c>
      <c r="Y40" s="120">
        <v>617141.61</v>
      </c>
      <c r="Z40" s="120">
        <v>901601.37</v>
      </c>
      <c r="AA40" s="120" t="e">
        <f t="shared" ca="1" si="0"/>
        <v>#NAME?</v>
      </c>
      <c r="AB40" s="121" t="e">
        <f t="shared" ca="1" si="1"/>
        <v>#NAME?</v>
      </c>
      <c r="AC40" s="123"/>
      <c r="AD40" s="120">
        <v>8563137.8200000003</v>
      </c>
      <c r="AE40" s="121" t="str">
        <f t="shared" ca="1" si="2"/>
        <v/>
      </c>
      <c r="AF40" s="122" t="e">
        <f t="shared" ca="1" si="3"/>
        <v>#NAME?</v>
      </c>
      <c r="AG40" s="120">
        <v>8495346.5099999998</v>
      </c>
      <c r="AH40" s="121" t="str">
        <f t="shared" ca="1" si="5"/>
        <v/>
      </c>
      <c r="AI40" s="122" t="e">
        <f t="shared" ca="1" si="6"/>
        <v>#NAME?</v>
      </c>
      <c r="AJ40" s="332">
        <f t="shared" ca="1" si="7"/>
        <v>0</v>
      </c>
      <c r="AK40" s="333">
        <f t="shared" ca="1" si="8"/>
        <v>0</v>
      </c>
      <c r="AL40" s="334">
        <f t="shared" ca="1" si="9"/>
        <v>0</v>
      </c>
      <c r="AM40" s="335">
        <f t="shared" ca="1" si="10"/>
        <v>0</v>
      </c>
      <c r="AN40" s="334">
        <f t="shared" ca="1" si="11"/>
        <v>0</v>
      </c>
    </row>
    <row r="41" spans="1:40" x14ac:dyDescent="0.2">
      <c r="A41" s="1" t="s">
        <v>102</v>
      </c>
      <c r="C41" s="135" t="s">
        <v>101</v>
      </c>
      <c r="D41" s="1" t="s">
        <v>107</v>
      </c>
      <c r="F41" s="1" t="s">
        <v>99</v>
      </c>
      <c r="H41" s="10" t="s">
        <v>71</v>
      </c>
      <c r="I41" s="447" t="e">
        <f ca="1">_xll.EVPRO($B$1,$H41,"STYLE")</f>
        <v>#NAME?</v>
      </c>
      <c r="J41" s="447" t="e">
        <f ca="1">_xll.EVPRO($B$1,$H41,"CALC")</f>
        <v>#NAME?</v>
      </c>
      <c r="K41" s="448" t="e">
        <f t="shared" ca="1" si="4"/>
        <v>#NAME?</v>
      </c>
      <c r="L41" s="151" t="e">
        <f ca="1">_xll.EVPRO($B$1,H41,"JDEID")</f>
        <v>#NAME?</v>
      </c>
      <c r="M41" s="151" t="e">
        <f ca="1">IF(AND(I41="N",J41="N"),_xll.EVPRO($B$1,H41,"PSFTID"),"")</f>
        <v>#NAME?</v>
      </c>
      <c r="N41" s="151" t="e">
        <f ca="1">IF(_xll.EVDES(H41,$B$1)="#NODATA","",_xll.EVDES(H41,$B$1))</f>
        <v>#NAME?</v>
      </c>
      <c r="O41" s="35"/>
      <c r="P41" s="35"/>
      <c r="Q41" s="35"/>
      <c r="R41" s="35"/>
      <c r="S41" s="35"/>
      <c r="T41" s="35"/>
      <c r="U41" s="35"/>
      <c r="V41" s="35"/>
      <c r="W41" s="35"/>
      <c r="X41" s="35"/>
      <c r="Y41" s="35"/>
      <c r="Z41" s="35"/>
      <c r="AA41" s="288" t="e">
        <f t="shared" ca="1" si="0"/>
        <v>#NAME?</v>
      </c>
      <c r="AB41" s="36" t="e">
        <f t="shared" ca="1" si="1"/>
        <v>#NAME?</v>
      </c>
      <c r="AD41" s="35"/>
      <c r="AE41" s="36" t="str">
        <f t="shared" si="2"/>
        <v/>
      </c>
      <c r="AF41" s="118" t="e">
        <f t="shared" ca="1" si="3"/>
        <v>#NAME?</v>
      </c>
      <c r="AG41" s="35"/>
      <c r="AH41" s="36" t="str">
        <f t="shared" si="5"/>
        <v/>
      </c>
      <c r="AI41" s="118" t="e">
        <f t="shared" ca="1" si="6"/>
        <v>#NAME?</v>
      </c>
      <c r="AJ41" s="325">
        <f t="shared" ca="1" si="7"/>
        <v>0</v>
      </c>
      <c r="AK41" s="326">
        <f t="shared" ca="1" si="8"/>
        <v>0</v>
      </c>
      <c r="AL41" s="327">
        <f t="shared" ca="1" si="9"/>
        <v>0</v>
      </c>
      <c r="AM41" s="328">
        <f t="shared" ca="1" si="10"/>
        <v>0</v>
      </c>
      <c r="AN41" s="327">
        <f t="shared" ca="1" si="11"/>
        <v>0</v>
      </c>
    </row>
    <row r="42" spans="1:40" x14ac:dyDescent="0.2">
      <c r="H42" s="10" t="s">
        <v>87</v>
      </c>
      <c r="I42" s="25" t="e">
        <f ca="1">_xll.EVPRO($B$1,$H42,"STYLE")</f>
        <v>#NAME?</v>
      </c>
      <c r="J42" s="25" t="e">
        <f ca="1">_xll.EVPRO($B$1,$H42,"CALC")</f>
        <v>#NAME?</v>
      </c>
      <c r="K42" s="64" t="e">
        <f t="shared" ca="1" si="4"/>
        <v>#NAME?</v>
      </c>
      <c r="L42" s="24" t="e">
        <f ca="1">_xll.EVPRO($B$1,H42,"JDEID")</f>
        <v>#NAME?</v>
      </c>
      <c r="M42" s="24" t="e">
        <f ca="1">IF(AND(I42="N",J42="N"),_xll.EVPRO($B$1,H42,"PSFTID"),"")</f>
        <v>#NAME?</v>
      </c>
      <c r="N42" s="24" t="e">
        <f ca="1">IF(_xll.EVDES(H42,$B$1)="#NODATA","",_xll.EVDES(H42,$B$1))</f>
        <v>#NAME?</v>
      </c>
      <c r="O42" s="19">
        <v>153193</v>
      </c>
      <c r="P42" s="19">
        <v>258352</v>
      </c>
      <c r="Q42" s="19">
        <v>108699</v>
      </c>
      <c r="R42" s="19">
        <v>25733</v>
      </c>
      <c r="S42" s="19">
        <v>123458</v>
      </c>
      <c r="T42" s="19">
        <v>63950.86</v>
      </c>
      <c r="U42" s="19">
        <v>43861</v>
      </c>
      <c r="V42" s="19">
        <v>14301.52</v>
      </c>
      <c r="W42" s="19">
        <v>80503</v>
      </c>
      <c r="X42" s="19">
        <v>22792</v>
      </c>
      <c r="Y42" s="19">
        <v>64517</v>
      </c>
      <c r="Z42" s="19">
        <v>92069</v>
      </c>
      <c r="AA42" s="283" t="e">
        <f t="shared" ca="1" si="0"/>
        <v>#NAME?</v>
      </c>
      <c r="AB42" s="15" t="e">
        <f t="shared" ca="1" si="1"/>
        <v>#NAME?</v>
      </c>
      <c r="AD42" s="19">
        <v>1091365</v>
      </c>
      <c r="AE42" s="15" t="str">
        <f t="shared" ca="1" si="2"/>
        <v/>
      </c>
      <c r="AF42" s="47" t="e">
        <f t="shared" ca="1" si="3"/>
        <v>#NAME?</v>
      </c>
      <c r="AG42" s="19">
        <v>1082572.77</v>
      </c>
      <c r="AH42" s="15" t="str">
        <f t="shared" ca="1" si="5"/>
        <v/>
      </c>
      <c r="AI42" s="47" t="e">
        <f t="shared" ca="1" si="6"/>
        <v>#NAME?</v>
      </c>
      <c r="AJ42" s="322">
        <f t="shared" ca="1" si="7"/>
        <v>0</v>
      </c>
      <c r="AK42" s="323">
        <f t="shared" ca="1" si="8"/>
        <v>0</v>
      </c>
      <c r="AL42" s="125">
        <f t="shared" ca="1" si="9"/>
        <v>0</v>
      </c>
      <c r="AM42" s="324">
        <f t="shared" ca="1" si="10"/>
        <v>0</v>
      </c>
      <c r="AN42" s="125">
        <f t="shared" ca="1" si="11"/>
        <v>0</v>
      </c>
    </row>
    <row r="43" spans="1:40" x14ac:dyDescent="0.2">
      <c r="H43" s="10" t="s">
        <v>88</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19">
        <v>8523.35</v>
      </c>
      <c r="P43" s="19">
        <v>279.27999999999997</v>
      </c>
      <c r="Q43" s="19">
        <v>0.02</v>
      </c>
      <c r="R43" s="19">
        <v>0.05</v>
      </c>
      <c r="S43" s="19">
        <v>11495.01</v>
      </c>
      <c r="T43" s="19">
        <v>16526.689999999999</v>
      </c>
      <c r="U43" s="19">
        <v>75.02</v>
      </c>
      <c r="V43" s="19">
        <v>725</v>
      </c>
      <c r="W43" s="19">
        <v>31270</v>
      </c>
      <c r="X43" s="19">
        <v>62268</v>
      </c>
      <c r="Y43" s="19"/>
      <c r="Z43" s="19"/>
      <c r="AA43" s="283" t="e">
        <f t="shared" ca="1" si="0"/>
        <v>#NAME?</v>
      </c>
      <c r="AB43" s="15" t="e">
        <f t="shared" ca="1" si="1"/>
        <v>#NAME?</v>
      </c>
      <c r="AD43" s="19">
        <v>42740</v>
      </c>
      <c r="AE43" s="15" t="str">
        <f t="shared" ca="1" si="2"/>
        <v/>
      </c>
      <c r="AF43" s="47" t="e">
        <f t="shared" ca="1" si="3"/>
        <v>#NAME?</v>
      </c>
      <c r="AG43" s="19">
        <v>38100.949999999997</v>
      </c>
      <c r="AH43" s="15" t="str">
        <f t="shared" ca="1" si="5"/>
        <v/>
      </c>
      <c r="AI43" s="47" t="e">
        <f t="shared" ca="1" si="6"/>
        <v>#NAME?</v>
      </c>
      <c r="AJ43" s="322">
        <f t="shared" ca="1" si="7"/>
        <v>0</v>
      </c>
      <c r="AK43" s="323">
        <f t="shared" ca="1" si="8"/>
        <v>0</v>
      </c>
      <c r="AL43" s="125">
        <f t="shared" ca="1" si="9"/>
        <v>0</v>
      </c>
      <c r="AM43" s="324">
        <f t="shared" ca="1" si="10"/>
        <v>0</v>
      </c>
      <c r="AN43" s="125">
        <f t="shared" ca="1" si="11"/>
        <v>0</v>
      </c>
    </row>
    <row r="44" spans="1:40" x14ac:dyDescent="0.2">
      <c r="A44" s="4" t="e">
        <f ca="1">_xll.EVDRE($B$1,A47:B54,A57:B63)</f>
        <v>#NAME?</v>
      </c>
      <c r="H44" s="10" t="s">
        <v>89</v>
      </c>
      <c r="I44" s="25" t="e">
        <f ca="1">_xll.EVPRO($B$1,$H44,"STYLE")</f>
        <v>#NAME?</v>
      </c>
      <c r="J44" s="25" t="e">
        <f ca="1">_xll.EVPRO($B$1,$H44,"CALC")</f>
        <v>#NAME?</v>
      </c>
      <c r="K44" s="64" t="e">
        <f t="shared" ca="1" si="4"/>
        <v>#NAME?</v>
      </c>
      <c r="L44" s="24" t="e">
        <f ca="1">_xll.EVPRO($B$1,H44,"JDEID")</f>
        <v>#NAME?</v>
      </c>
      <c r="M44" s="24" t="e">
        <f ca="1">IF(AND(I44="N",J44="N"),_xll.EVPRO($B$1,H44,"PSFTID"),"")</f>
        <v>#NAME?</v>
      </c>
      <c r="N44" s="24" t="e">
        <f ca="1">IF(_xll.EVDES(H44,$B$1)="#NODATA","",_xll.EVDES(H44,$B$1))</f>
        <v>#NAME?</v>
      </c>
      <c r="O44" s="19"/>
      <c r="P44" s="19"/>
      <c r="Q44" s="19"/>
      <c r="R44" s="19"/>
      <c r="S44" s="19"/>
      <c r="T44" s="19"/>
      <c r="U44" s="19"/>
      <c r="V44" s="19"/>
      <c r="W44" s="19"/>
      <c r="X44" s="19"/>
      <c r="Y44" s="19"/>
      <c r="Z44" s="19"/>
      <c r="AA44" s="283" t="e">
        <f t="shared" ca="1" si="0"/>
        <v>#NAME?</v>
      </c>
      <c r="AB44" s="15" t="e">
        <f t="shared" ca="1" si="1"/>
        <v>#NAME?</v>
      </c>
      <c r="AD44" s="19"/>
      <c r="AE44" s="15" t="str">
        <f t="shared" si="2"/>
        <v/>
      </c>
      <c r="AF44" s="47" t="e">
        <f t="shared" ca="1" si="3"/>
        <v>#NAME?</v>
      </c>
      <c r="AG44" s="19"/>
      <c r="AH44" s="15" t="str">
        <f t="shared" si="5"/>
        <v/>
      </c>
      <c r="AI44" s="47" t="e">
        <f t="shared" ca="1" si="6"/>
        <v>#NAME?</v>
      </c>
      <c r="AJ44" s="322">
        <f t="shared" ca="1" si="7"/>
        <v>0</v>
      </c>
      <c r="AK44" s="323">
        <f t="shared" ca="1" si="8"/>
        <v>0</v>
      </c>
      <c r="AL44" s="125">
        <f t="shared" ca="1" si="9"/>
        <v>0</v>
      </c>
      <c r="AM44" s="324">
        <f t="shared" ca="1" si="10"/>
        <v>0</v>
      </c>
      <c r="AN44" s="125">
        <f t="shared" ca="1" si="11"/>
        <v>0</v>
      </c>
    </row>
    <row r="45" spans="1:40" x14ac:dyDescent="0.2">
      <c r="H45" s="10" t="s">
        <v>90</v>
      </c>
      <c r="I45" s="25" t="e">
        <f ca="1">_xll.EVPRO($B$1,$H45,"STYLE")</f>
        <v>#NAME?</v>
      </c>
      <c r="J45" s="25" t="e">
        <f ca="1">_xll.EVPRO($B$1,$H45,"CALC")</f>
        <v>#NAME?</v>
      </c>
      <c r="K45" s="64" t="e">
        <f t="shared" ca="1" si="4"/>
        <v>#NAME?</v>
      </c>
      <c r="L45" s="24" t="e">
        <f ca="1">_xll.EVPRO($B$1,H45,"JDEID")</f>
        <v>#NAME?</v>
      </c>
      <c r="M45" s="24" t="e">
        <f ca="1">IF(AND(I45="N",J45="N"),_xll.EVPRO($B$1,H45,"PSFTID"),"")</f>
        <v>#NAME?</v>
      </c>
      <c r="N45" s="24" t="e">
        <f ca="1">IF(_xll.EVDES(H45,$B$1)="#NODATA","",_xll.EVDES(H45,$B$1))</f>
        <v>#NAME?</v>
      </c>
      <c r="O45" s="19">
        <v>6229</v>
      </c>
      <c r="P45" s="19"/>
      <c r="Q45" s="19"/>
      <c r="R45" s="19"/>
      <c r="S45" s="19"/>
      <c r="T45" s="19"/>
      <c r="U45" s="19"/>
      <c r="V45" s="19"/>
      <c r="W45" s="19"/>
      <c r="X45" s="19"/>
      <c r="Y45" s="19"/>
      <c r="Z45" s="19"/>
      <c r="AA45" s="283" t="e">
        <f t="shared" ca="1" si="0"/>
        <v>#NAME?</v>
      </c>
      <c r="AB45" s="15" t="e">
        <f t="shared" ca="1" si="1"/>
        <v>#NAME?</v>
      </c>
      <c r="AD45" s="19">
        <v>43619</v>
      </c>
      <c r="AE45" s="15" t="str">
        <f t="shared" ca="1" si="2"/>
        <v/>
      </c>
      <c r="AF45" s="47" t="e">
        <f t="shared" ca="1" si="3"/>
        <v>#NAME?</v>
      </c>
      <c r="AG45" s="19"/>
      <c r="AH45" s="15" t="str">
        <f t="shared" si="5"/>
        <v/>
      </c>
      <c r="AI45" s="47" t="e">
        <f t="shared" ca="1" si="6"/>
        <v>#NAME?</v>
      </c>
      <c r="AJ45" s="322">
        <f t="shared" ca="1" si="7"/>
        <v>0</v>
      </c>
      <c r="AK45" s="323">
        <f t="shared" ca="1" si="8"/>
        <v>0</v>
      </c>
      <c r="AL45" s="125">
        <f t="shared" ca="1" si="9"/>
        <v>0</v>
      </c>
      <c r="AM45" s="324">
        <f t="shared" ca="1" si="10"/>
        <v>0</v>
      </c>
      <c r="AN45" s="125">
        <f t="shared" ca="1" si="11"/>
        <v>0</v>
      </c>
    </row>
    <row r="46" spans="1:40" x14ac:dyDescent="0.2">
      <c r="A46" s="3" t="s">
        <v>0</v>
      </c>
      <c r="B46" s="5" t="s">
        <v>1</v>
      </c>
      <c r="H46" s="10" t="s">
        <v>68</v>
      </c>
      <c r="I46" s="25" t="e">
        <f ca="1">_xll.EVPRO($B$1,$H46,"STYLE")</f>
        <v>#NAME?</v>
      </c>
      <c r="J46" s="25" t="e">
        <f ca="1">_xll.EVPRO($B$1,$H46,"CALC")</f>
        <v>#NAME?</v>
      </c>
      <c r="K46" s="64" t="e">
        <f t="shared" ca="1" si="4"/>
        <v>#NAME?</v>
      </c>
      <c r="L46" s="24" t="e">
        <f ca="1">_xll.EVPRO($B$1,H46,"JDEID")</f>
        <v>#NAME?</v>
      </c>
      <c r="M46" s="24" t="e">
        <f ca="1">IF(AND(I46="N",J46="N"),_xll.EVPRO($B$1,H46,"PSFTID"),"")</f>
        <v>#NAME?</v>
      </c>
      <c r="N46" s="24" t="e">
        <f ca="1">IF(_xll.EVDES(H46,$B$1)="#NODATA","",_xll.EVDES(H46,$B$1))</f>
        <v>#NAME?</v>
      </c>
      <c r="O46" s="28"/>
      <c r="P46" s="28"/>
      <c r="Q46" s="28"/>
      <c r="R46" s="28">
        <v>10825</v>
      </c>
      <c r="S46" s="28"/>
      <c r="T46" s="28"/>
      <c r="U46" s="28"/>
      <c r="V46" s="28">
        <v>1592</v>
      </c>
      <c r="W46" s="28"/>
      <c r="X46" s="28"/>
      <c r="Y46" s="28">
        <v>8142</v>
      </c>
      <c r="Z46" s="28"/>
      <c r="AA46" s="296" t="e">
        <f t="shared" ca="1" si="0"/>
        <v>#NAME?</v>
      </c>
      <c r="AB46" s="29" t="e">
        <f t="shared" ca="1" si="1"/>
        <v>#NAME?</v>
      </c>
      <c r="AD46" s="28">
        <v>136525</v>
      </c>
      <c r="AE46" s="29" t="str">
        <f t="shared" ca="1" si="2"/>
        <v/>
      </c>
      <c r="AF46" s="48" t="e">
        <f t="shared" ca="1" si="3"/>
        <v>#NAME?</v>
      </c>
      <c r="AG46" s="28">
        <v>76702.67</v>
      </c>
      <c r="AH46" s="29" t="str">
        <f t="shared" ca="1" si="5"/>
        <v/>
      </c>
      <c r="AI46" s="48" t="e">
        <f t="shared" ca="1" si="6"/>
        <v>#NAME?</v>
      </c>
      <c r="AJ46" s="329">
        <f t="shared" ca="1" si="7"/>
        <v>0</v>
      </c>
      <c r="AK46" s="330">
        <f t="shared" ca="1" si="8"/>
        <v>0</v>
      </c>
      <c r="AL46" s="126">
        <f t="shared" ca="1" si="9"/>
        <v>0</v>
      </c>
      <c r="AM46" s="331">
        <f t="shared" ca="1" si="10"/>
        <v>0</v>
      </c>
      <c r="AN46" s="126">
        <f t="shared" ca="1" si="11"/>
        <v>0</v>
      </c>
    </row>
    <row r="47" spans="1:40" x14ac:dyDescent="0.2">
      <c r="A47" s="6" t="s">
        <v>2</v>
      </c>
      <c r="B47" s="7" t="e">
        <f ca="1">_xll.EVRNG($B$2:$B$10)</f>
        <v>#NAME?</v>
      </c>
      <c r="H47" s="10" t="s">
        <v>64</v>
      </c>
      <c r="I47" s="447" t="e">
        <f ca="1">_xll.EVPRO($B$1,$H47,"STYLE")</f>
        <v>#NAME?</v>
      </c>
      <c r="J47" s="447" t="e">
        <f ca="1">_xll.EVPRO($B$1,$H47,"CALC")</f>
        <v>#NAME?</v>
      </c>
      <c r="K47" s="448" t="e">
        <f t="shared" ca="1" si="4"/>
        <v>#NAME?</v>
      </c>
      <c r="L47" s="151" t="e">
        <f ca="1">_xll.EVPRO($B$1,H47,"JDEID")</f>
        <v>#NAME?</v>
      </c>
      <c r="M47" s="151" t="e">
        <f ca="1">IF(AND(I47="N",J47="N"),_xll.EVPRO($B$1,H47,"PSFTID"),"")</f>
        <v>#NAME?</v>
      </c>
      <c r="N47" s="151" t="e">
        <f ca="1">IF(_xll.EVDES(H47,$B$1)="#NODATA","",_xll.EVDES(H47,$B$1))</f>
        <v>#NAME?</v>
      </c>
      <c r="O47" s="120">
        <v>167945.35</v>
      </c>
      <c r="P47" s="120">
        <v>258631.28</v>
      </c>
      <c r="Q47" s="120">
        <v>108699.02</v>
      </c>
      <c r="R47" s="120">
        <v>36558.050000000003</v>
      </c>
      <c r="S47" s="120">
        <v>134953.01</v>
      </c>
      <c r="T47" s="120">
        <v>80477.55</v>
      </c>
      <c r="U47" s="120">
        <v>43936.02</v>
      </c>
      <c r="V47" s="120">
        <v>16618.52</v>
      </c>
      <c r="W47" s="120">
        <v>111773</v>
      </c>
      <c r="X47" s="120">
        <v>85060</v>
      </c>
      <c r="Y47" s="120">
        <v>72659</v>
      </c>
      <c r="Z47" s="120">
        <v>92069</v>
      </c>
      <c r="AA47" s="120" t="e">
        <f t="shared" ca="1" si="0"/>
        <v>#NAME?</v>
      </c>
      <c r="AB47" s="121" t="e">
        <f t="shared" ca="1" si="1"/>
        <v>#NAME?</v>
      </c>
      <c r="AC47" s="123"/>
      <c r="AD47" s="120">
        <v>1314249</v>
      </c>
      <c r="AE47" s="121" t="str">
        <f t="shared" ca="1" si="2"/>
        <v/>
      </c>
      <c r="AF47" s="122" t="e">
        <f t="shared" ca="1" si="3"/>
        <v>#NAME?</v>
      </c>
      <c r="AG47" s="120">
        <v>1197376.3899999999</v>
      </c>
      <c r="AH47" s="121" t="str">
        <f t="shared" ca="1" si="5"/>
        <v/>
      </c>
      <c r="AI47" s="122" t="e">
        <f t="shared" ca="1" si="6"/>
        <v>#NAME?</v>
      </c>
      <c r="AJ47" s="332">
        <f t="shared" ca="1" si="7"/>
        <v>0</v>
      </c>
      <c r="AK47" s="333">
        <f t="shared" ca="1" si="8"/>
        <v>0</v>
      </c>
      <c r="AL47" s="334">
        <f t="shared" ca="1" si="9"/>
        <v>0</v>
      </c>
      <c r="AM47" s="335">
        <f t="shared" ca="1" si="10"/>
        <v>0</v>
      </c>
      <c r="AN47" s="334">
        <f t="shared" ca="1" si="11"/>
        <v>0</v>
      </c>
    </row>
    <row r="48" spans="1:40" x14ac:dyDescent="0.2">
      <c r="A48" s="6" t="s">
        <v>3</v>
      </c>
      <c r="B48" s="7" t="e">
        <f ca="1">_xll.EVRNG($O$16:$AN$18)</f>
        <v>#NAME?</v>
      </c>
      <c r="H48" s="10" t="s">
        <v>119</v>
      </c>
      <c r="I48" s="25" t="e">
        <f ca="1">_xll.EVPRO($B$1,$H48,"STYLE")</f>
        <v>#NAME?</v>
      </c>
      <c r="J48" s="25" t="e">
        <f ca="1">_xll.EVPRO($B$1,$H48,"CALC")</f>
        <v>#NAME?</v>
      </c>
      <c r="K48" s="64" t="e">
        <f t="shared" ca="1" si="4"/>
        <v>#NAME?</v>
      </c>
      <c r="L48" s="24" t="e">
        <f ca="1">_xll.EVPRO($B$1,H48,"JDEID")</f>
        <v>#NAME?</v>
      </c>
      <c r="M48" s="24" t="e">
        <f ca="1">IF(AND(I48="N",J48="N"),_xll.EVPRO($B$1,H48,"PSFTID"),"")</f>
        <v>#NAME?</v>
      </c>
      <c r="N48" s="24" t="e">
        <f ca="1">IF(_xll.EVDES(H48,$B$1)="#NODATA","",_xll.EVDES(H48,$B$1))</f>
        <v>#NAME?</v>
      </c>
      <c r="O48" s="35"/>
      <c r="P48" s="35"/>
      <c r="Q48" s="35"/>
      <c r="R48" s="35"/>
      <c r="S48" s="35"/>
      <c r="T48" s="35"/>
      <c r="U48" s="35"/>
      <c r="V48" s="35"/>
      <c r="W48" s="35"/>
      <c r="X48" s="35"/>
      <c r="Y48" s="35"/>
      <c r="Z48" s="35"/>
      <c r="AA48" s="288" t="e">
        <f t="shared" ca="1" si="0"/>
        <v>#NAME?</v>
      </c>
      <c r="AB48" s="36" t="e">
        <f t="shared" ca="1" si="1"/>
        <v>#NAME?</v>
      </c>
      <c r="AD48" s="35"/>
      <c r="AE48" s="36" t="str">
        <f t="shared" si="2"/>
        <v/>
      </c>
      <c r="AF48" s="118" t="e">
        <f t="shared" ca="1" si="3"/>
        <v>#NAME?</v>
      </c>
      <c r="AG48" s="35"/>
      <c r="AH48" s="36" t="str">
        <f t="shared" si="5"/>
        <v/>
      </c>
      <c r="AI48" s="118" t="e">
        <f t="shared" ca="1" si="6"/>
        <v>#NAME?</v>
      </c>
      <c r="AJ48" s="325">
        <f t="shared" ca="1" si="7"/>
        <v>0</v>
      </c>
      <c r="AK48" s="326">
        <f t="shared" ca="1" si="8"/>
        <v>0</v>
      </c>
      <c r="AL48" s="327">
        <f t="shared" ca="1" si="9"/>
        <v>0</v>
      </c>
      <c r="AM48" s="328">
        <f t="shared" ca="1" si="10"/>
        <v>0</v>
      </c>
      <c r="AN48" s="327">
        <f t="shared" ca="1" si="11"/>
        <v>0</v>
      </c>
    </row>
    <row r="49" spans="1:40" x14ac:dyDescent="0.2">
      <c r="A49" s="6" t="s">
        <v>4</v>
      </c>
      <c r="B49" s="7" t="e">
        <f ca="1">_xll.EVRNG(H55:H56,H58:H69,H72:H94)</f>
        <v>#NAME?</v>
      </c>
      <c r="H49" s="10" t="s">
        <v>67</v>
      </c>
      <c r="I49" s="25" t="e">
        <f ca="1">_xll.EVPRO($B$1,$H49,"STYLE")</f>
        <v>#NAME?</v>
      </c>
      <c r="J49" s="25" t="e">
        <f ca="1">_xll.EVPRO($B$1,$H49,"CALC")</f>
        <v>#NAME?</v>
      </c>
      <c r="K49" s="64" t="e">
        <f t="shared" ca="1" si="4"/>
        <v>#NAME?</v>
      </c>
      <c r="L49" s="24" t="e">
        <f ca="1">_xll.EVPRO($B$1,H49,"JDEID")</f>
        <v>#NAME?</v>
      </c>
      <c r="M49" s="24" t="e">
        <f ca="1">IF(AND(I49="N",J49="N"),_xll.EVPRO($B$1,H49,"PSFTID"),"")</f>
        <v>#NAME?</v>
      </c>
      <c r="N49" s="24" t="e">
        <f ca="1">IF(_xll.EVDES(H49,$B$1)="#NODATA","",_xll.EVDES(H49,$B$1))</f>
        <v>#NAME?</v>
      </c>
      <c r="O49" s="19">
        <v>11403.47</v>
      </c>
      <c r="P49" s="19">
        <v>7310.84</v>
      </c>
      <c r="Q49" s="19">
        <v>11381.43</v>
      </c>
      <c r="R49" s="19">
        <v>5024.12</v>
      </c>
      <c r="S49" s="19">
        <v>8875.4599999999991</v>
      </c>
      <c r="T49" s="19">
        <v>7934.76</v>
      </c>
      <c r="U49" s="19">
        <v>9371.02</v>
      </c>
      <c r="V49" s="19">
        <v>6181.48</v>
      </c>
      <c r="W49" s="19">
        <v>8622.94</v>
      </c>
      <c r="X49" s="19">
        <v>10744.81</v>
      </c>
      <c r="Y49" s="19">
        <v>8508.26</v>
      </c>
      <c r="Z49" s="19">
        <v>10935.08</v>
      </c>
      <c r="AA49" s="283" t="e">
        <f t="shared" ca="1" si="0"/>
        <v>#NAME?</v>
      </c>
      <c r="AB49" s="15" t="e">
        <f t="shared" ca="1" si="1"/>
        <v>#NAME?</v>
      </c>
      <c r="AD49" s="19">
        <v>145272</v>
      </c>
      <c r="AE49" s="15" t="str">
        <f t="shared" ca="1" si="2"/>
        <v/>
      </c>
      <c r="AF49" s="47" t="e">
        <f t="shared" ca="1" si="3"/>
        <v>#NAME?</v>
      </c>
      <c r="AG49" s="19">
        <v>145974.13</v>
      </c>
      <c r="AH49" s="15" t="str">
        <f t="shared" ca="1" si="5"/>
        <v/>
      </c>
      <c r="AI49" s="47" t="e">
        <f t="shared" ca="1" si="6"/>
        <v>#NAME?</v>
      </c>
      <c r="AJ49" s="322">
        <f t="shared" ca="1" si="7"/>
        <v>0</v>
      </c>
      <c r="AK49" s="323">
        <f t="shared" ca="1" si="8"/>
        <v>0</v>
      </c>
      <c r="AL49" s="125">
        <f t="shared" ca="1" si="9"/>
        <v>0</v>
      </c>
      <c r="AM49" s="324">
        <f t="shared" ca="1" si="10"/>
        <v>0</v>
      </c>
      <c r="AN49" s="125">
        <f t="shared" ca="1" si="11"/>
        <v>0</v>
      </c>
    </row>
    <row r="50" spans="1:40" x14ac:dyDescent="0.2">
      <c r="A50" s="6" t="s">
        <v>5</v>
      </c>
      <c r="B50" s="7"/>
      <c r="H50" s="10" t="s">
        <v>91</v>
      </c>
      <c r="I50" s="25" t="e">
        <f ca="1">_xll.EVPRO($B$1,$H50,"STYLE")</f>
        <v>#NAME?</v>
      </c>
      <c r="J50" s="25" t="e">
        <f ca="1">_xll.EVPRO($B$1,$H50,"CALC")</f>
        <v>#NAME?</v>
      </c>
      <c r="K50" s="64" t="e">
        <f t="shared" ca="1" si="4"/>
        <v>#NAME?</v>
      </c>
      <c r="L50" s="24" t="e">
        <f ca="1">_xll.EVPRO($B$1,H50,"JDEID")</f>
        <v>#NAME?</v>
      </c>
      <c r="M50" s="24" t="e">
        <f ca="1">IF(AND(I50="N",J50="N"),_xll.EVPRO($B$1,H50,"PSFTID"),"")</f>
        <v>#NAME?</v>
      </c>
      <c r="N50" s="24" t="e">
        <f ca="1">IF(_xll.EVDES(H50,$B$1)="#NODATA","",_xll.EVDES(H50,$B$1))</f>
        <v>#NAME?</v>
      </c>
      <c r="O50" s="28">
        <v>-1741.22</v>
      </c>
      <c r="P50" s="28">
        <v>-1025.6099999999999</v>
      </c>
      <c r="Q50" s="28">
        <v>-1058.22</v>
      </c>
      <c r="R50" s="28">
        <v>-1626.32</v>
      </c>
      <c r="S50" s="28">
        <v>-3710.56</v>
      </c>
      <c r="T50" s="28">
        <v>-3639.44</v>
      </c>
      <c r="U50" s="28">
        <v>-3073.46</v>
      </c>
      <c r="V50" s="28">
        <v>-1723.49</v>
      </c>
      <c r="W50" s="28">
        <v>-2501.6799999999998</v>
      </c>
      <c r="X50" s="28">
        <v>-1993.38</v>
      </c>
      <c r="Y50" s="28">
        <v>-3049.66</v>
      </c>
      <c r="Z50" s="28">
        <v>-2717.71</v>
      </c>
      <c r="AA50" s="296" t="e">
        <f t="shared" ca="1" si="0"/>
        <v>#NAME?</v>
      </c>
      <c r="AB50" s="29" t="e">
        <f t="shared" ca="1" si="1"/>
        <v>#NAME?</v>
      </c>
      <c r="AD50" s="28">
        <v>-37087</v>
      </c>
      <c r="AE50" s="29" t="str">
        <f t="shared" ca="1" si="2"/>
        <v/>
      </c>
      <c r="AF50" s="48" t="e">
        <f t="shared" ca="1" si="3"/>
        <v>#NAME?</v>
      </c>
      <c r="AG50" s="28">
        <v>-30703.7</v>
      </c>
      <c r="AH50" s="29" t="str">
        <f t="shared" ca="1" si="5"/>
        <v/>
      </c>
      <c r="AI50" s="48" t="e">
        <f t="shared" ca="1" si="6"/>
        <v>#NAME?</v>
      </c>
      <c r="AJ50" s="329">
        <f t="shared" ca="1" si="7"/>
        <v>0</v>
      </c>
      <c r="AK50" s="330">
        <f t="shared" ca="1" si="8"/>
        <v>0</v>
      </c>
      <c r="AL50" s="126">
        <f t="shared" ca="1" si="9"/>
        <v>0</v>
      </c>
      <c r="AM50" s="331">
        <f t="shared" ca="1" si="10"/>
        <v>0</v>
      </c>
      <c r="AN50" s="126">
        <f t="shared" ca="1" si="11"/>
        <v>0</v>
      </c>
    </row>
    <row r="51" spans="1:40" x14ac:dyDescent="0.2">
      <c r="A51" s="6" t="s">
        <v>6</v>
      </c>
      <c r="B51" s="7"/>
      <c r="H51" s="10" t="s">
        <v>72</v>
      </c>
      <c r="I51" s="447" t="e">
        <f ca="1">_xll.EVPRO($B$1,$H51,"STYLE")</f>
        <v>#NAME?</v>
      </c>
      <c r="J51" s="447" t="e">
        <f ca="1">_xll.EVPRO($B$1,$H51,"CALC")</f>
        <v>#NAME?</v>
      </c>
      <c r="K51" s="448" t="e">
        <f t="shared" ca="1" si="4"/>
        <v>#NAME?</v>
      </c>
      <c r="L51" s="151" t="e">
        <f ca="1">_xll.EVPRO($B$1,H51,"JDEID")</f>
        <v>#NAME?</v>
      </c>
      <c r="M51" s="151" t="e">
        <f ca="1">IF(AND(I51="N",J51="N"),_xll.EVPRO($B$1,H51,"PSFTID"),"")</f>
        <v>#NAME?</v>
      </c>
      <c r="N51" s="151" t="e">
        <f ca="1">IF(_xll.EVDES(H51,$B$1)="#NODATA","",_xll.EVDES(H51,$B$1))</f>
        <v>#NAME?</v>
      </c>
      <c r="O51" s="120">
        <v>1050758.76</v>
      </c>
      <c r="P51" s="120">
        <v>1248796.71</v>
      </c>
      <c r="Q51" s="120">
        <v>1184238.79</v>
      </c>
      <c r="R51" s="120">
        <v>954187.37</v>
      </c>
      <c r="S51" s="120">
        <v>777023.21</v>
      </c>
      <c r="T51" s="120">
        <v>530980.69999999995</v>
      </c>
      <c r="U51" s="120">
        <v>541151.31000000006</v>
      </c>
      <c r="V51" s="120">
        <v>480845.86</v>
      </c>
      <c r="W51" s="120">
        <v>421055.73</v>
      </c>
      <c r="X51" s="120">
        <v>610221.82999999996</v>
      </c>
      <c r="Y51" s="120">
        <v>695259.21</v>
      </c>
      <c r="Z51" s="120">
        <v>1001887.74</v>
      </c>
      <c r="AA51" s="120" t="e">
        <f t="shared" ca="1" si="0"/>
        <v>#NAME?</v>
      </c>
      <c r="AB51" s="121" t="e">
        <f t="shared" ca="1" si="1"/>
        <v>#NAME?</v>
      </c>
      <c r="AC51" s="123"/>
      <c r="AD51" s="120">
        <v>9985571.8200000003</v>
      </c>
      <c r="AE51" s="121" t="str">
        <f t="shared" ca="1" si="2"/>
        <v/>
      </c>
      <c r="AF51" s="122" t="e">
        <f t="shared" ca="1" si="3"/>
        <v>#NAME?</v>
      </c>
      <c r="AG51" s="120">
        <v>9807993.3300000001</v>
      </c>
      <c r="AH51" s="121" t="str">
        <f t="shared" ca="1" si="5"/>
        <v/>
      </c>
      <c r="AI51" s="122" t="e">
        <f t="shared" ca="1" si="6"/>
        <v>#NAME?</v>
      </c>
      <c r="AJ51" s="332">
        <f t="shared" ca="1" si="7"/>
        <v>0</v>
      </c>
      <c r="AK51" s="333">
        <f t="shared" ca="1" si="8"/>
        <v>0</v>
      </c>
      <c r="AL51" s="334">
        <f t="shared" ca="1" si="9"/>
        <v>0</v>
      </c>
      <c r="AM51" s="335">
        <f t="shared" ca="1" si="10"/>
        <v>0</v>
      </c>
      <c r="AN51" s="334">
        <f t="shared" ca="1" si="11"/>
        <v>0</v>
      </c>
    </row>
    <row r="52" spans="1:40" x14ac:dyDescent="0.2">
      <c r="A52" s="6" t="s">
        <v>7</v>
      </c>
      <c r="B52" s="7" t="e">
        <f ca="1">_xll.EVRNG(A66:F72)</f>
        <v>#NAME?</v>
      </c>
      <c r="G52" s="13"/>
      <c r="O52" s="50"/>
      <c r="AB52" s="51"/>
      <c r="AD52" s="50"/>
      <c r="AF52" s="51"/>
      <c r="AG52" s="50"/>
      <c r="AI52" s="51"/>
    </row>
    <row r="53" spans="1:40" x14ac:dyDescent="0.2">
      <c r="A53" s="6" t="s">
        <v>47</v>
      </c>
      <c r="B53" s="7" t="e">
        <f ca="1">_xll.EVRNG($A$89:$B$110)</f>
        <v>#NAME?</v>
      </c>
      <c r="H53" s="1" t="s">
        <v>73</v>
      </c>
      <c r="I53" s="11" t="e">
        <f ca="1">_xll.EVPRO($B$1,$H53,"STYLE")</f>
        <v>#NAME?</v>
      </c>
      <c r="J53" s="11" t="e">
        <f ca="1">_xll.EVPRO($B$1,$H53,"CALC")</f>
        <v>#NAME?</v>
      </c>
      <c r="M53" s="24"/>
      <c r="N53" s="37" t="e">
        <f ca="1">IF(_xll.EVDES(H53,$B$1)="#NODATA","",_xll.EVDES(H53,$B$1))</f>
        <v>#NAME?</v>
      </c>
      <c r="O53" s="50"/>
      <c r="AB53" s="51"/>
      <c r="AD53" s="50"/>
      <c r="AF53" s="51"/>
      <c r="AG53" s="50"/>
      <c r="AI53" s="51"/>
    </row>
    <row r="54" spans="1:40" x14ac:dyDescent="0.2">
      <c r="A54" s="6" t="s">
        <v>8</v>
      </c>
      <c r="B54" s="7"/>
      <c r="H54" s="1" t="s">
        <v>74</v>
      </c>
      <c r="I54" s="11" t="e">
        <f ca="1">_xll.EVPRO($B$1,$H54,"STYLE")</f>
        <v>#NAME?</v>
      </c>
      <c r="J54" s="11" t="e">
        <f ca="1">_xll.EVPRO($B$1,$H54,"CALC")</f>
        <v>#NAME?</v>
      </c>
      <c r="M54" s="24"/>
      <c r="N54" s="8" t="e">
        <f ca="1">IF(_xll.EVDES(H54,$B$1)="#NODATA","",_xll.EVDES(H54,$B$1))</f>
        <v>#NAME?</v>
      </c>
      <c r="O54" s="40"/>
      <c r="P54" s="43"/>
      <c r="Q54" s="43"/>
      <c r="R54" s="43"/>
      <c r="S54" s="43"/>
      <c r="T54" s="43"/>
      <c r="U54" s="43"/>
      <c r="V54" s="43"/>
      <c r="W54" s="43"/>
      <c r="X54" s="43"/>
      <c r="Y54" s="43"/>
      <c r="Z54" s="43"/>
      <c r="AA54" s="43"/>
      <c r="AB54" s="41"/>
      <c r="AD54" s="40"/>
      <c r="AE54" s="43"/>
      <c r="AF54" s="41"/>
      <c r="AG54" s="40"/>
      <c r="AH54" s="43"/>
      <c r="AI54" s="41"/>
    </row>
    <row r="55" spans="1:40" x14ac:dyDescent="0.2">
      <c r="H55" s="10" t="s">
        <v>856</v>
      </c>
      <c r="I55" s="25" t="e">
        <f ca="1">_xll.EVPRO($B$1,$H55,"STYLE")</f>
        <v>#NAME?</v>
      </c>
      <c r="J55" s="25" t="e">
        <f ca="1">_xll.EVPRO($B$1,$H55,"CALC")</f>
        <v>#NAME?</v>
      </c>
      <c r="K55" s="64" t="e">
        <f ca="1">IF(AND(I55&gt;="T3"),"&gt;","")</f>
        <v>#NAME?</v>
      </c>
      <c r="L55" s="24" t="e">
        <f ca="1">_xll.EVPRO($B$1,H55,"JDEID")</f>
        <v>#NAME?</v>
      </c>
      <c r="M55" s="24" t="e">
        <f ca="1">IF(AND(I55="N",J55="N"),_xll.EVPRO($B$1,H55,"PSFTID"),"")</f>
        <v>#NAME?</v>
      </c>
      <c r="N55" s="24" t="e">
        <f ca="1">IF(_xll.EVDES(H55,$B$1)="#NODATA","",_xll.EVDES(H55,$B$1))</f>
        <v>#NAME?</v>
      </c>
      <c r="O55" s="35">
        <v>4731.05</v>
      </c>
      <c r="P55" s="35">
        <v>8583.33</v>
      </c>
      <c r="Q55" s="35">
        <v>8628.4599999999991</v>
      </c>
      <c r="R55" s="35">
        <v>12785.27</v>
      </c>
      <c r="S55" s="35">
        <v>12428.73</v>
      </c>
      <c r="T55" s="35">
        <v>11465.76</v>
      </c>
      <c r="U55" s="35">
        <v>12178.99</v>
      </c>
      <c r="V55" s="35">
        <v>11715.65</v>
      </c>
      <c r="W55" s="35">
        <v>11109.37</v>
      </c>
      <c r="X55" s="35">
        <v>11002.58</v>
      </c>
      <c r="Y55" s="35">
        <v>12285.38</v>
      </c>
      <c r="Z55" s="35">
        <v>12535.64</v>
      </c>
      <c r="AA55" s="19" t="e">
        <f ca="1">IF($I55="B1","",SUM(O55:Z55))</f>
        <v>#NAME?</v>
      </c>
      <c r="AB55" s="36" t="e">
        <f ca="1">IF(AA55=0,"",IFERROR(AA55/AA$19,""))</f>
        <v>#NAME?</v>
      </c>
      <c r="AD55" s="19">
        <v>142135.614725903</v>
      </c>
      <c r="AE55" s="15" t="str">
        <f ca="1">IF(AD55=0,"",IFERROR(AD55/AD$19,""))</f>
        <v/>
      </c>
      <c r="AF55" s="47" t="e">
        <f ca="1">IF(AND($AA55="",AD55=""),"",$AA55-AD55)</f>
        <v>#NAME?</v>
      </c>
      <c r="AG55" s="19">
        <v>121874.73</v>
      </c>
      <c r="AH55" s="15" t="str">
        <f ca="1">IF(AG55=0,"",IFERROR(AG55/AG$19,""))</f>
        <v/>
      </c>
      <c r="AI55" s="47" t="e">
        <f ca="1">IF(AND($AA55="",AG55=""),"",$AA55-AG55)</f>
        <v>#NAME?</v>
      </c>
      <c r="AJ55" s="322">
        <f ca="1">IFERROR(AA55/AA$20,0)</f>
        <v>0</v>
      </c>
      <c r="AK55" s="323">
        <f ca="1">IFERROR(AD55/AD$20,0)</f>
        <v>0</v>
      </c>
      <c r="AL55" s="125">
        <f ca="1">AJ55-AK55</f>
        <v>0</v>
      </c>
      <c r="AM55" s="324">
        <f ca="1">IFERROR(AG55/AG$20,0)</f>
        <v>0</v>
      </c>
      <c r="AN55" s="125">
        <f ca="1">AJ55-AM55</f>
        <v>0</v>
      </c>
    </row>
    <row r="56" spans="1:40" hidden="1" x14ac:dyDescent="0.2">
      <c r="A56" s="3" t="s">
        <v>9</v>
      </c>
      <c r="B56" s="5" t="s">
        <v>10</v>
      </c>
      <c r="H56" s="10"/>
      <c r="I56" s="25" t="e">
        <f ca="1">_xll.EVPRO($B$1,$H56,"STYLE")</f>
        <v>#NAME?</v>
      </c>
      <c r="J56" s="25" t="e">
        <f ca="1">_xll.EVPRO($B$1,$H56,"CALC")</f>
        <v>#NAME?</v>
      </c>
      <c r="K56" s="64" t="e">
        <f ca="1">IF(AND(I56&gt;="T3"),"&gt;","")</f>
        <v>#NAME?</v>
      </c>
      <c r="L56" s="24" t="e">
        <f ca="1">_xll.EVPRO($B$1,H56,"JDEID")</f>
        <v>#NAME?</v>
      </c>
      <c r="M56" s="24" t="e">
        <f ca="1">IF(AND(I56="N",J56="N"),_xll.EVPRO($B$1,H56,"PSFTID"),"")</f>
        <v>#NAME?</v>
      </c>
      <c r="N56" s="24" t="e">
        <f ca="1">IF(_xll.EVDES(H56,$B$1)="#NODATA","",_xll.EVDES(H56,$B$1))</f>
        <v>#NAME?</v>
      </c>
      <c r="O56" s="35"/>
      <c r="P56" s="35"/>
      <c r="Q56" s="35"/>
      <c r="R56" s="35"/>
      <c r="S56" s="35"/>
      <c r="T56" s="35"/>
      <c r="U56" s="35"/>
      <c r="V56" s="35"/>
      <c r="W56" s="35"/>
      <c r="X56" s="35"/>
      <c r="Y56" s="35"/>
      <c r="Z56" s="35"/>
      <c r="AA56" s="19" t="e">
        <f ca="1">IF($I56="B1","",SUM(O56:Z56))</f>
        <v>#NAME?</v>
      </c>
      <c r="AB56" s="36" t="e">
        <f ca="1">IF(AA56=0,"",IFERROR(AA56/AA$19,""))</f>
        <v>#NAME?</v>
      </c>
      <c r="AD56" s="19"/>
      <c r="AE56" s="15" t="str">
        <f>IF(AD56=0,"",IFERROR(AD56/AD$19,""))</f>
        <v/>
      </c>
      <c r="AF56" s="47" t="e">
        <f ca="1">IF(AND($AA56="",AD56=""),"",$AA56-AD56)</f>
        <v>#NAME?</v>
      </c>
      <c r="AG56" s="19"/>
      <c r="AH56" s="15" t="str">
        <f>IF(AG56=0,"",IFERROR(AG56/AG$19,""))</f>
        <v/>
      </c>
      <c r="AI56" s="47" t="e">
        <f ca="1">IF(AND($AA56="",AG56=""),"",$AA56-AG56)</f>
        <v>#NAME?</v>
      </c>
      <c r="AJ56" s="322">
        <f ca="1">IFERROR(AA56/AA$20,0)</f>
        <v>0</v>
      </c>
      <c r="AK56" s="323">
        <f ca="1">IFERROR(AD56/AD$20,0)</f>
        <v>0</v>
      </c>
      <c r="AL56" s="125">
        <f ca="1">AJ56-AK56</f>
        <v>0</v>
      </c>
      <c r="AM56" s="324">
        <f ca="1">IFERROR(AG56/AG$20,0)</f>
        <v>0</v>
      </c>
      <c r="AN56" s="125">
        <f ca="1">AJ56-AM56</f>
        <v>0</v>
      </c>
    </row>
    <row r="57" spans="1:40" x14ac:dyDescent="0.2">
      <c r="A57" s="6" t="s">
        <v>11</v>
      </c>
      <c r="B57" s="7" t="s">
        <v>21</v>
      </c>
      <c r="H57" s="10" t="s">
        <v>75</v>
      </c>
      <c r="I57" s="25" t="e">
        <f ca="1">_xll.EVPRO($B$1,$H57,"STYLE")</f>
        <v>#NAME?</v>
      </c>
      <c r="J57" s="25" t="e">
        <f ca="1">_xll.EVPRO($B$1,$H57,"CALC")</f>
        <v>#NAME?</v>
      </c>
      <c r="K57" s="64" t="e">
        <f ca="1">IF(AND(I57&gt;="T3"),"&gt;","")</f>
        <v>#NAME?</v>
      </c>
      <c r="L57" s="24" t="e">
        <f ca="1">_xll.EVPRO($B$1,H57,"JDEID")</f>
        <v>#NAME?</v>
      </c>
      <c r="M57" s="24" t="e">
        <f ca="1">IF(AND(I57="N",J57="N"),_xll.EVPRO($B$1,H57,"PSFTID"),"")</f>
        <v>#NAME?</v>
      </c>
      <c r="N57" s="23" t="e">
        <f ca="1">IF(_xll.EVDES(H57,$B$1)="#NODATA","",_xll.EVDES(H57,$B$1))</f>
        <v>#NAME?</v>
      </c>
      <c r="O57" s="35"/>
      <c r="P57" s="35"/>
      <c r="Q57" s="35"/>
      <c r="R57" s="35"/>
      <c r="S57" s="35"/>
      <c r="T57" s="35"/>
      <c r="U57" s="35"/>
      <c r="V57" s="35"/>
      <c r="W57" s="35"/>
      <c r="X57" s="35"/>
      <c r="Y57" s="35"/>
      <c r="Z57" s="35"/>
      <c r="AA57" s="19"/>
      <c r="AB57" s="36"/>
      <c r="AD57" s="19"/>
      <c r="AE57" s="15"/>
      <c r="AF57" s="47"/>
      <c r="AG57" s="19"/>
      <c r="AH57" s="15"/>
      <c r="AI57" s="47"/>
      <c r="AJ57" s="322">
        <f ca="1">IFERROR(AA57/AA$20,0)</f>
        <v>0</v>
      </c>
      <c r="AK57" s="323">
        <f ca="1">IFERROR(AD57/AD$20,0)</f>
        <v>0</v>
      </c>
      <c r="AL57" s="125">
        <f ca="1">AJ57-AK57</f>
        <v>0</v>
      </c>
      <c r="AM57" s="324">
        <f ca="1">IFERROR(AG57/AG$20,0)</f>
        <v>0</v>
      </c>
      <c r="AN57" s="125">
        <f ca="1">AJ57-AM57</f>
        <v>0</v>
      </c>
    </row>
    <row r="58" spans="1:40" x14ac:dyDescent="0.2">
      <c r="A58" s="6" t="s">
        <v>12</v>
      </c>
      <c r="B58" s="7" t="s">
        <v>22</v>
      </c>
      <c r="H58" s="10" t="s">
        <v>939</v>
      </c>
      <c r="I58" s="25" t="e">
        <f ca="1">_xll.EVPRO($B$1,$H58,"STYLE")</f>
        <v>#NAME?</v>
      </c>
      <c r="J58" s="25" t="e">
        <f ca="1">_xll.EVPRO($B$1,$H58,"CALC")</f>
        <v>#NAME?</v>
      </c>
      <c r="K58" s="64" t="e">
        <f ca="1">IF(AND(I58&gt;="T3"),"&gt;","")</f>
        <v>#NAME?</v>
      </c>
      <c r="L58" s="24" t="e">
        <f ca="1">_xll.EVPRO($B$1,H58,"JDEID")</f>
        <v>#NAME?</v>
      </c>
      <c r="M58" s="24" t="e">
        <f ca="1">IF(AND(I58="N",J58="N"),_xll.EVPRO($B$1,H58,"PSFTID"),"")</f>
        <v>#NAME?</v>
      </c>
      <c r="N58" s="24" t="e">
        <f ca="1">IF(_xll.EVDES(H58,$B$1)="#NODATA","",_xll.EVDES(H58,$B$1))</f>
        <v>#NAME?</v>
      </c>
      <c r="O58" s="44">
        <v>9163.81</v>
      </c>
      <c r="P58" s="44">
        <v>6272.97</v>
      </c>
      <c r="Q58" s="44">
        <v>8047.82</v>
      </c>
      <c r="R58" s="44">
        <v>14397.6</v>
      </c>
      <c r="S58" s="44">
        <v>14951.98</v>
      </c>
      <c r="T58" s="44">
        <v>12352.96</v>
      </c>
      <c r="U58" s="44">
        <v>14088.04</v>
      </c>
      <c r="V58" s="44">
        <v>13137.64</v>
      </c>
      <c r="W58" s="44">
        <v>13226.94</v>
      </c>
      <c r="X58" s="44">
        <v>15020.52</v>
      </c>
      <c r="Y58" s="44">
        <v>16594.080000000002</v>
      </c>
      <c r="Z58" s="44">
        <v>13651.33</v>
      </c>
      <c r="AA58" s="28" t="e">
        <f t="shared" ref="AA58:AA69" ca="1" si="12">IF($I58="B1","",SUM(O58:Z58))</f>
        <v>#NAME?</v>
      </c>
      <c r="AB58" s="45" t="e">
        <f t="shared" ref="AB58:AB69" ca="1" si="13">IF(AA58=0,"",IFERROR(AA58/AA$19,""))</f>
        <v>#NAME?</v>
      </c>
      <c r="AD58" s="28">
        <v>139785.58285714299</v>
      </c>
      <c r="AE58" s="29" t="str">
        <f t="shared" ref="AE58:AE69" ca="1" si="14">IF(AD58=0,"",IFERROR(AD58/AD$19,""))</f>
        <v/>
      </c>
      <c r="AF58" s="48" t="e">
        <f t="shared" ref="AF58:AF69" ca="1" si="15">IF(AND($AA58="",AD58=""),"",$AA58-AD58)</f>
        <v>#NAME?</v>
      </c>
      <c r="AG58" s="28">
        <v>137175.46</v>
      </c>
      <c r="AH58" s="29" t="str">
        <f ca="1">IF(AG58=0,"",IFERROR(AG58/AG$19,""))</f>
        <v/>
      </c>
      <c r="AI58" s="48" t="e">
        <f ca="1">IF(AND($AA58="",AG58=""),"",$AA58-AG58)</f>
        <v>#NAME?</v>
      </c>
      <c r="AJ58" s="322">
        <f ca="1">IFERROR(AA58/AA$20,0)</f>
        <v>0</v>
      </c>
      <c r="AK58" s="323">
        <f ca="1">IFERROR(AD58/AD$20,0)</f>
        <v>0</v>
      </c>
      <c r="AL58" s="125">
        <f ca="1">AJ58-AK58</f>
        <v>0</v>
      </c>
      <c r="AM58" s="324">
        <f ca="1">IFERROR(AG58/AG$20,0)</f>
        <v>0</v>
      </c>
      <c r="AN58" s="125">
        <f ca="1">AJ58-AM58</f>
        <v>0</v>
      </c>
    </row>
    <row r="59" spans="1:40" x14ac:dyDescent="0.2">
      <c r="A59" s="6" t="s">
        <v>13</v>
      </c>
      <c r="B59" s="7" t="s">
        <v>735</v>
      </c>
      <c r="H59" s="10" t="s">
        <v>940</v>
      </c>
      <c r="I59" s="25" t="e">
        <f ca="1">_xll.EVPRO($B$1,$H59,"STYLE")</f>
        <v>#NAME?</v>
      </c>
      <c r="J59" s="25" t="e">
        <f ca="1">_xll.EVPRO($B$1,$H59,"CALC")</f>
        <v>#NAME?</v>
      </c>
      <c r="K59" s="64" t="e">
        <f t="shared" ref="K59:K69" ca="1" si="16">IF(AND(I59&gt;="T3"),"&gt;","")</f>
        <v>#NAME?</v>
      </c>
      <c r="L59" s="24" t="e">
        <f ca="1">_xll.EVPRO($B$1,H59,"JDEID")</f>
        <v>#NAME?</v>
      </c>
      <c r="M59" s="24" t="e">
        <f ca="1">IF(AND(I59="N",J59="N"),_xll.EVPRO($B$1,H59,"PSFTID"),"")</f>
        <v>#NAME?</v>
      </c>
      <c r="N59" s="24" t="e">
        <f ca="1">IF(_xll.EVDES(H59,$B$1)="#NODATA","",_xll.EVDES(H59,$B$1))</f>
        <v>#NAME?</v>
      </c>
      <c r="O59" s="44">
        <v>32353.39</v>
      </c>
      <c r="P59" s="44">
        <v>34636.14</v>
      </c>
      <c r="Q59" s="44">
        <v>39585.14</v>
      </c>
      <c r="R59" s="44">
        <v>44186.67</v>
      </c>
      <c r="S59" s="44">
        <v>35570.410000000003</v>
      </c>
      <c r="T59" s="44">
        <v>29770.43</v>
      </c>
      <c r="U59" s="44">
        <v>32196.22</v>
      </c>
      <c r="V59" s="44">
        <v>29804.14</v>
      </c>
      <c r="W59" s="44">
        <v>25821.52</v>
      </c>
      <c r="X59" s="44">
        <v>30001.55</v>
      </c>
      <c r="Y59" s="44">
        <v>36128.269999999997</v>
      </c>
      <c r="Z59" s="44">
        <v>40543.360000000001</v>
      </c>
      <c r="AA59" s="28" t="e">
        <f t="shared" ca="1" si="12"/>
        <v>#NAME?</v>
      </c>
      <c r="AB59" s="45" t="e">
        <f t="shared" ca="1" si="13"/>
        <v>#NAME?</v>
      </c>
      <c r="AD59" s="28">
        <v>177929.142857142</v>
      </c>
      <c r="AE59" s="29" t="str">
        <f t="shared" ca="1" si="14"/>
        <v/>
      </c>
      <c r="AF59" s="48" t="e">
        <f t="shared" ca="1" si="15"/>
        <v>#NAME?</v>
      </c>
      <c r="AG59" s="28">
        <v>177447.21</v>
      </c>
      <c r="AH59" s="29" t="str">
        <f t="shared" ref="AH59:AH69" ca="1" si="17">IF(AG59=0,"",IFERROR(AG59/AG$19,""))</f>
        <v/>
      </c>
      <c r="AI59" s="48" t="e">
        <f t="shared" ref="AI59:AI69" ca="1" si="18">IF(AND($AA59="",AG59=""),"",$AA59-AG59)</f>
        <v>#NAME?</v>
      </c>
      <c r="AJ59" s="329">
        <f t="shared" ref="AJ59:AJ69" ca="1" si="19">IFERROR(AA59/AA$20,0)</f>
        <v>0</v>
      </c>
      <c r="AK59" s="330">
        <f t="shared" ref="AK59:AK69" ca="1" si="20">IFERROR(AD59/AD$20,0)</f>
        <v>0</v>
      </c>
      <c r="AL59" s="126">
        <f t="shared" ref="AL59:AL69" ca="1" si="21">AJ59-AK59</f>
        <v>0</v>
      </c>
      <c r="AM59" s="331">
        <f t="shared" ref="AM59:AM69" ca="1" si="22">IFERROR(AG59/AG$20,0)</f>
        <v>0</v>
      </c>
      <c r="AN59" s="126">
        <f t="shared" ref="AN59:AN69" ca="1" si="23">AJ59-AM59</f>
        <v>0</v>
      </c>
    </row>
    <row r="60" spans="1:40" x14ac:dyDescent="0.2">
      <c r="A60" s="6" t="s">
        <v>14</v>
      </c>
      <c r="B60" s="7"/>
      <c r="H60" s="10" t="s">
        <v>849</v>
      </c>
      <c r="I60" s="447" t="e">
        <f ca="1">_xll.EVPRO($B$1,$H60,"STYLE")</f>
        <v>#NAME?</v>
      </c>
      <c r="J60" s="447" t="e">
        <f ca="1">_xll.EVPRO($B$1,$H60,"CALC")</f>
        <v>#NAME?</v>
      </c>
      <c r="K60" s="448" t="e">
        <f t="shared" ca="1" si="16"/>
        <v>#NAME?</v>
      </c>
      <c r="L60" s="151" t="e">
        <f ca="1">_xll.EVPRO($B$1,H60,"JDEID")</f>
        <v>#NAME?</v>
      </c>
      <c r="M60" s="151" t="e">
        <f ca="1">IF(AND(I60="N",J60="N"),_xll.EVPRO($B$1,H60,"PSFTID"),"")</f>
        <v>#NAME?</v>
      </c>
      <c r="N60" s="151" t="e">
        <f ca="1">IF(_xll.EVDES(H60,$B$1)="#NODATA","",_xll.EVDES(H60,$B$1))</f>
        <v>#NAME?</v>
      </c>
      <c r="O60" s="120">
        <v>46248.25</v>
      </c>
      <c r="P60" s="120">
        <v>49492.44</v>
      </c>
      <c r="Q60" s="120">
        <v>56261.42</v>
      </c>
      <c r="R60" s="120">
        <v>71369.539999999994</v>
      </c>
      <c r="S60" s="120">
        <v>62951.12</v>
      </c>
      <c r="T60" s="120">
        <v>53589.15</v>
      </c>
      <c r="U60" s="120">
        <v>58463.25</v>
      </c>
      <c r="V60" s="120">
        <v>54657.43</v>
      </c>
      <c r="W60" s="120">
        <v>50157.83</v>
      </c>
      <c r="X60" s="120">
        <v>56024.65</v>
      </c>
      <c r="Y60" s="120">
        <v>65007.73</v>
      </c>
      <c r="Z60" s="120">
        <v>66730.33</v>
      </c>
      <c r="AA60" s="120" t="e">
        <f t="shared" ca="1" si="12"/>
        <v>#NAME?</v>
      </c>
      <c r="AB60" s="121" t="e">
        <f t="shared" ca="1" si="13"/>
        <v>#NAME?</v>
      </c>
      <c r="AC60" s="123"/>
      <c r="AD60" s="120">
        <v>459850.340440189</v>
      </c>
      <c r="AE60" s="121" t="str">
        <f t="shared" ca="1" si="14"/>
        <v/>
      </c>
      <c r="AF60" s="122" t="e">
        <f t="shared" ca="1" si="15"/>
        <v>#NAME?</v>
      </c>
      <c r="AG60" s="120">
        <v>436497.4</v>
      </c>
      <c r="AH60" s="121" t="str">
        <f t="shared" ca="1" si="17"/>
        <v/>
      </c>
      <c r="AI60" s="122" t="e">
        <f t="shared" ca="1" si="18"/>
        <v>#NAME?</v>
      </c>
      <c r="AJ60" s="332">
        <f t="shared" ca="1" si="19"/>
        <v>0</v>
      </c>
      <c r="AK60" s="333">
        <f t="shared" ca="1" si="20"/>
        <v>0</v>
      </c>
      <c r="AL60" s="334">
        <f t="shared" ca="1" si="21"/>
        <v>0</v>
      </c>
      <c r="AM60" s="335">
        <f t="shared" ca="1" si="22"/>
        <v>0</v>
      </c>
      <c r="AN60" s="334">
        <f t="shared" ca="1" si="23"/>
        <v>0</v>
      </c>
    </row>
    <row r="61" spans="1:40" x14ac:dyDescent="0.2">
      <c r="A61" s="6" t="s">
        <v>15</v>
      </c>
      <c r="B61" s="7"/>
      <c r="H61" s="10" t="s">
        <v>862</v>
      </c>
      <c r="I61" s="25" t="e">
        <f ca="1">_xll.EVPRO($B$1,$H61,"STYLE")</f>
        <v>#NAME?</v>
      </c>
      <c r="J61" s="25" t="e">
        <f ca="1">_xll.EVPRO($B$1,$H61,"CALC")</f>
        <v>#NAME?</v>
      </c>
      <c r="K61" s="64" t="e">
        <f t="shared" ca="1" si="16"/>
        <v>#NAME?</v>
      </c>
      <c r="L61" s="24" t="e">
        <f ca="1">_xll.EVPRO($B$1,H61,"JDEID")</f>
        <v>#NAME?</v>
      </c>
      <c r="M61" s="24" t="e">
        <f ca="1">IF(AND(I61="N",J61="N"),_xll.EVPRO($B$1,H61,"PSFTID"),"")</f>
        <v>#NAME?</v>
      </c>
      <c r="N61" s="24" t="e">
        <f ca="1">IF(_xll.EVDES(H61,$B$1)="#NODATA","",_xll.EVDES(H61,$B$1))</f>
        <v>#NAME?</v>
      </c>
      <c r="O61" s="44"/>
      <c r="P61" s="44"/>
      <c r="Q61" s="44"/>
      <c r="R61" s="44"/>
      <c r="S61" s="44"/>
      <c r="T61" s="44"/>
      <c r="U61" s="44"/>
      <c r="V61" s="44"/>
      <c r="W61" s="44"/>
      <c r="X61" s="44"/>
      <c r="Y61" s="44"/>
      <c r="Z61" s="44">
        <v>-35</v>
      </c>
      <c r="AA61" s="44" t="e">
        <f t="shared" ca="1" si="12"/>
        <v>#NAME?</v>
      </c>
      <c r="AB61" s="45" t="e">
        <f t="shared" ca="1" si="13"/>
        <v>#NAME?</v>
      </c>
      <c r="AD61" s="44"/>
      <c r="AE61" s="45" t="str">
        <f t="shared" si="14"/>
        <v/>
      </c>
      <c r="AF61" s="134" t="e">
        <f t="shared" ca="1" si="15"/>
        <v>#NAME?</v>
      </c>
      <c r="AG61" s="44"/>
      <c r="AH61" s="45" t="str">
        <f t="shared" si="17"/>
        <v/>
      </c>
      <c r="AI61" s="134" t="e">
        <f t="shared" ca="1" si="18"/>
        <v>#NAME?</v>
      </c>
      <c r="AJ61" s="325">
        <f t="shared" ca="1" si="19"/>
        <v>0</v>
      </c>
      <c r="AK61" s="326">
        <f t="shared" ca="1" si="20"/>
        <v>0</v>
      </c>
      <c r="AL61" s="327">
        <f t="shared" ca="1" si="21"/>
        <v>0</v>
      </c>
      <c r="AM61" s="328">
        <f t="shared" ca="1" si="22"/>
        <v>0</v>
      </c>
      <c r="AN61" s="327">
        <f t="shared" ca="1" si="23"/>
        <v>0</v>
      </c>
    </row>
    <row r="62" spans="1:40" x14ac:dyDescent="0.2">
      <c r="A62" s="6" t="s">
        <v>16</v>
      </c>
      <c r="B62" s="7" t="s">
        <v>78</v>
      </c>
      <c r="H62" s="10" t="s">
        <v>863</v>
      </c>
      <c r="I62" s="25" t="e">
        <f ca="1">_xll.EVPRO($B$1,$H62,"STYLE")</f>
        <v>#NAME?</v>
      </c>
      <c r="J62" s="25" t="e">
        <f ca="1">_xll.EVPRO($B$1,$H62,"CALC")</f>
        <v>#NAME?</v>
      </c>
      <c r="K62" s="64" t="e">
        <f t="shared" ca="1" si="16"/>
        <v>#NAME?</v>
      </c>
      <c r="L62" s="24" t="e">
        <f ca="1">_xll.EVPRO($B$1,H62,"JDEID")</f>
        <v>#NAME?</v>
      </c>
      <c r="M62" s="24" t="e">
        <f ca="1">IF(AND(I62="N",J62="N"),_xll.EVPRO($B$1,H62,"PSFTID"),"")</f>
        <v>#NAME?</v>
      </c>
      <c r="N62" s="24" t="e">
        <f ca="1">IF(_xll.EVDES(H62,$B$1)="#NODATA","",_xll.EVDES(H62,$B$1))</f>
        <v>#NAME?</v>
      </c>
      <c r="O62" s="44">
        <v>66239.66</v>
      </c>
      <c r="P62" s="44">
        <v>69297.73</v>
      </c>
      <c r="Q62" s="44">
        <v>69830.17</v>
      </c>
      <c r="R62" s="44">
        <v>42248.9</v>
      </c>
      <c r="S62" s="44">
        <v>52093.46</v>
      </c>
      <c r="T62" s="44">
        <v>48080.91</v>
      </c>
      <c r="U62" s="44">
        <v>45460.41</v>
      </c>
      <c r="V62" s="44">
        <v>44787.96</v>
      </c>
      <c r="W62" s="44">
        <v>38167.26</v>
      </c>
      <c r="X62" s="44">
        <v>39872.639999999999</v>
      </c>
      <c r="Y62" s="44">
        <v>41748.29</v>
      </c>
      <c r="Z62" s="44">
        <v>51210.28</v>
      </c>
      <c r="AA62" s="28" t="e">
        <f t="shared" ca="1" si="12"/>
        <v>#NAME?</v>
      </c>
      <c r="AB62" s="45" t="e">
        <f t="shared" ca="1" si="13"/>
        <v>#NAME?</v>
      </c>
      <c r="AD62" s="28">
        <v>754397.59</v>
      </c>
      <c r="AE62" s="29" t="str">
        <f t="shared" ca="1" si="14"/>
        <v/>
      </c>
      <c r="AF62" s="48" t="e">
        <f t="shared" ca="1" si="15"/>
        <v>#NAME?</v>
      </c>
      <c r="AG62" s="28">
        <v>767629.8</v>
      </c>
      <c r="AH62" s="29" t="str">
        <f t="shared" ca="1" si="17"/>
        <v/>
      </c>
      <c r="AI62" s="48" t="e">
        <f t="shared" ca="1" si="18"/>
        <v>#NAME?</v>
      </c>
      <c r="AJ62" s="322">
        <f t="shared" ca="1" si="19"/>
        <v>0</v>
      </c>
      <c r="AK62" s="323">
        <f t="shared" ca="1" si="20"/>
        <v>0</v>
      </c>
      <c r="AL62" s="125">
        <f t="shared" ca="1" si="21"/>
        <v>0</v>
      </c>
      <c r="AM62" s="324">
        <f t="shared" ca="1" si="22"/>
        <v>0</v>
      </c>
      <c r="AN62" s="125">
        <f t="shared" ca="1" si="23"/>
        <v>0</v>
      </c>
    </row>
    <row r="63" spans="1:40" x14ac:dyDescent="0.2">
      <c r="A63" s="6" t="s">
        <v>17</v>
      </c>
      <c r="B63" s="7"/>
      <c r="H63" s="10" t="s">
        <v>850</v>
      </c>
      <c r="I63" s="25" t="e">
        <f ca="1">_xll.EVPRO($B$1,$H63,"STYLE")</f>
        <v>#NAME?</v>
      </c>
      <c r="J63" s="25" t="e">
        <f ca="1">_xll.EVPRO($B$1,$H63,"CALC")</f>
        <v>#NAME?</v>
      </c>
      <c r="K63" s="64" t="e">
        <f t="shared" ca="1" si="16"/>
        <v>#NAME?</v>
      </c>
      <c r="L63" s="24" t="e">
        <f ca="1">_xll.EVPRO($B$1,H63,"JDEID")</f>
        <v>#NAME?</v>
      </c>
      <c r="M63" s="24" t="e">
        <f ca="1">IF(AND(I63="N",J63="N"),_xll.EVPRO($B$1,H63,"PSFTID"),"")</f>
        <v>#NAME?</v>
      </c>
      <c r="N63" s="24" t="e">
        <f ca="1">IF(_xll.EVDES(H63,$B$1)="#NODATA","",_xll.EVDES(H63,$B$1))</f>
        <v>#NAME?</v>
      </c>
      <c r="O63" s="44">
        <v>1779.57</v>
      </c>
      <c r="P63" s="44">
        <v>785.91</v>
      </c>
      <c r="Q63" s="44">
        <v>1105.05</v>
      </c>
      <c r="R63" s="44">
        <v>2262.7800000000002</v>
      </c>
      <c r="S63" s="44">
        <v>3510.66</v>
      </c>
      <c r="T63" s="44">
        <v>1593.82</v>
      </c>
      <c r="U63" s="44">
        <v>-458.71</v>
      </c>
      <c r="V63" s="44">
        <v>2120.36</v>
      </c>
      <c r="W63" s="44">
        <v>3212.52</v>
      </c>
      <c r="X63" s="44">
        <v>5764.16</v>
      </c>
      <c r="Y63" s="44">
        <v>-2249.54</v>
      </c>
      <c r="Z63" s="44">
        <v>-1175.57</v>
      </c>
      <c r="AA63" s="28" t="e">
        <f t="shared" ca="1" si="12"/>
        <v>#NAME?</v>
      </c>
      <c r="AB63" s="45" t="e">
        <f t="shared" ca="1" si="13"/>
        <v>#NAME?</v>
      </c>
      <c r="AD63" s="28">
        <v>14406.812211844799</v>
      </c>
      <c r="AE63" s="29" t="str">
        <f t="shared" ca="1" si="14"/>
        <v/>
      </c>
      <c r="AF63" s="48" t="e">
        <f t="shared" ca="1" si="15"/>
        <v>#NAME?</v>
      </c>
      <c r="AG63" s="28">
        <v>26964.720000000001</v>
      </c>
      <c r="AH63" s="29" t="str">
        <f t="shared" ca="1" si="17"/>
        <v/>
      </c>
      <c r="AI63" s="48" t="e">
        <f t="shared" ca="1" si="18"/>
        <v>#NAME?</v>
      </c>
      <c r="AJ63" s="329">
        <f t="shared" ca="1" si="19"/>
        <v>0</v>
      </c>
      <c r="AK63" s="330">
        <f t="shared" ca="1" si="20"/>
        <v>0</v>
      </c>
      <c r="AL63" s="126">
        <f t="shared" ca="1" si="21"/>
        <v>0</v>
      </c>
      <c r="AM63" s="331">
        <f t="shared" ca="1" si="22"/>
        <v>0</v>
      </c>
      <c r="AN63" s="126">
        <f t="shared" ca="1" si="23"/>
        <v>0</v>
      </c>
    </row>
    <row r="64" spans="1:40" x14ac:dyDescent="0.2">
      <c r="H64" s="10" t="s">
        <v>851</v>
      </c>
      <c r="I64" s="447" t="e">
        <f ca="1">_xll.EVPRO($B$1,$H64,"STYLE")</f>
        <v>#NAME?</v>
      </c>
      <c r="J64" s="447" t="e">
        <f ca="1">_xll.EVPRO($B$1,$H64,"CALC")</f>
        <v>#NAME?</v>
      </c>
      <c r="K64" s="448" t="e">
        <f t="shared" ca="1" si="16"/>
        <v>#NAME?</v>
      </c>
      <c r="L64" s="151" t="e">
        <f ca="1">_xll.EVPRO($B$1,H64,"JDEID")</f>
        <v>#NAME?</v>
      </c>
      <c r="M64" s="151" t="e">
        <f ca="1">IF(AND(I64="N",J64="N"),_xll.EVPRO($B$1,H64,"PSFTID"),"")</f>
        <v>#NAME?</v>
      </c>
      <c r="N64" s="151" t="e">
        <f ca="1">IF(_xll.EVDES(H64,$B$1)="#NODATA","",_xll.EVDES(H64,$B$1))</f>
        <v>#NAME?</v>
      </c>
      <c r="O64" s="120">
        <v>114267.48</v>
      </c>
      <c r="P64" s="120">
        <v>119576.08</v>
      </c>
      <c r="Q64" s="120">
        <v>127196.64</v>
      </c>
      <c r="R64" s="120">
        <v>115881.22</v>
      </c>
      <c r="S64" s="120">
        <v>118555.24</v>
      </c>
      <c r="T64" s="120">
        <v>103263.88</v>
      </c>
      <c r="U64" s="120">
        <v>103464.95</v>
      </c>
      <c r="V64" s="120">
        <v>101565.75</v>
      </c>
      <c r="W64" s="120">
        <v>91537.61</v>
      </c>
      <c r="X64" s="120">
        <v>101661.45</v>
      </c>
      <c r="Y64" s="120">
        <v>104506.48</v>
      </c>
      <c r="Z64" s="120">
        <v>116730.04</v>
      </c>
      <c r="AA64" s="120" t="e">
        <f t="shared" ca="1" si="12"/>
        <v>#NAME?</v>
      </c>
      <c r="AB64" s="121" t="e">
        <f t="shared" ca="1" si="13"/>
        <v>#NAME?</v>
      </c>
      <c r="AC64" s="123"/>
      <c r="AD64" s="120">
        <v>1228654.74265203</v>
      </c>
      <c r="AE64" s="121" t="str">
        <f t="shared" ca="1" si="14"/>
        <v/>
      </c>
      <c r="AF64" s="122" t="e">
        <f t="shared" ca="1" si="15"/>
        <v>#NAME?</v>
      </c>
      <c r="AG64" s="120">
        <v>1231091.92</v>
      </c>
      <c r="AH64" s="121" t="str">
        <f t="shared" ca="1" si="17"/>
        <v/>
      </c>
      <c r="AI64" s="122" t="e">
        <f t="shared" ca="1" si="18"/>
        <v>#NAME?</v>
      </c>
      <c r="AJ64" s="332">
        <f t="shared" ca="1" si="19"/>
        <v>0</v>
      </c>
      <c r="AK64" s="333">
        <f t="shared" ca="1" si="20"/>
        <v>0</v>
      </c>
      <c r="AL64" s="334">
        <f t="shared" ca="1" si="21"/>
        <v>0</v>
      </c>
      <c r="AM64" s="335">
        <f t="shared" ca="1" si="22"/>
        <v>0</v>
      </c>
      <c r="AN64" s="334">
        <f t="shared" ca="1" si="23"/>
        <v>0</v>
      </c>
    </row>
    <row r="65" spans="1:40" x14ac:dyDescent="0.2">
      <c r="A65" s="20" t="s">
        <v>92</v>
      </c>
      <c r="B65" s="21" t="s">
        <v>93</v>
      </c>
      <c r="C65" s="21" t="s">
        <v>94</v>
      </c>
      <c r="D65" s="21" t="s">
        <v>95</v>
      </c>
      <c r="E65" s="21" t="s">
        <v>96</v>
      </c>
      <c r="F65" s="22" t="s">
        <v>97</v>
      </c>
      <c r="H65" s="10" t="s">
        <v>852</v>
      </c>
      <c r="I65" s="25" t="e">
        <f ca="1">_xll.EVPRO($B$1,$H65,"STYLE")</f>
        <v>#NAME?</v>
      </c>
      <c r="J65" s="25" t="e">
        <f ca="1">_xll.EVPRO($B$1,$H65,"CALC")</f>
        <v>#NAME?</v>
      </c>
      <c r="K65" s="64" t="e">
        <f t="shared" ca="1" si="16"/>
        <v>#NAME?</v>
      </c>
      <c r="L65" s="24" t="e">
        <f ca="1">_xll.EVPRO($B$1,H65,"JDEID")</f>
        <v>#NAME?</v>
      </c>
      <c r="M65" s="24" t="e">
        <f ca="1">IF(AND(I65="N",J65="N"),_xll.EVPRO($B$1,H65,"PSFTID"),"")</f>
        <v>#NAME?</v>
      </c>
      <c r="N65" s="24" t="e">
        <f ca="1">IF(_xll.EVDES(H65,$B$1)="#NODATA","",_xll.EVDES(H65,$B$1))</f>
        <v>#NAME?</v>
      </c>
      <c r="O65" s="44">
        <v>3862.19</v>
      </c>
      <c r="P65" s="44">
        <v>4261.93</v>
      </c>
      <c r="Q65" s="44">
        <v>4712.13</v>
      </c>
      <c r="R65" s="44">
        <v>5896.52</v>
      </c>
      <c r="S65" s="44">
        <v>5158.62</v>
      </c>
      <c r="T65" s="44">
        <v>4167.83</v>
      </c>
      <c r="U65" s="44">
        <v>4577.93</v>
      </c>
      <c r="V65" s="44">
        <v>4315.28</v>
      </c>
      <c r="W65" s="44">
        <v>4327.5</v>
      </c>
      <c r="X65" s="44">
        <v>4384.0200000000004</v>
      </c>
      <c r="Y65" s="44">
        <v>4702.2</v>
      </c>
      <c r="Z65" s="44">
        <v>5544.6</v>
      </c>
      <c r="AA65" s="44" t="e">
        <f t="shared" ca="1" si="12"/>
        <v>#NAME?</v>
      </c>
      <c r="AB65" s="45" t="e">
        <f t="shared" ca="1" si="13"/>
        <v>#NAME?</v>
      </c>
      <c r="AD65" s="44">
        <v>36096.909292256503</v>
      </c>
      <c r="AE65" s="45" t="str">
        <f t="shared" ca="1" si="14"/>
        <v/>
      </c>
      <c r="AF65" s="134" t="e">
        <f t="shared" ca="1" si="15"/>
        <v>#NAME?</v>
      </c>
      <c r="AG65" s="44">
        <v>33049.83</v>
      </c>
      <c r="AH65" s="45" t="str">
        <f t="shared" ca="1" si="17"/>
        <v/>
      </c>
      <c r="AI65" s="134" t="e">
        <f t="shared" ca="1" si="18"/>
        <v>#NAME?</v>
      </c>
      <c r="AJ65" s="325">
        <f t="shared" ca="1" si="19"/>
        <v>0</v>
      </c>
      <c r="AK65" s="326">
        <f t="shared" ca="1" si="20"/>
        <v>0</v>
      </c>
      <c r="AL65" s="327">
        <f t="shared" ca="1" si="21"/>
        <v>0</v>
      </c>
      <c r="AM65" s="328">
        <f t="shared" ca="1" si="22"/>
        <v>0</v>
      </c>
      <c r="AN65" s="327">
        <f t="shared" ca="1" si="23"/>
        <v>0</v>
      </c>
    </row>
    <row r="66" spans="1:40" x14ac:dyDescent="0.2">
      <c r="H66" s="10" t="s">
        <v>853</v>
      </c>
      <c r="I66" s="25" t="e">
        <f ca="1">_xll.EVPRO($B$1,$H66,"STYLE")</f>
        <v>#NAME?</v>
      </c>
      <c r="J66" s="25" t="e">
        <f ca="1">_xll.EVPRO($B$1,$H66,"CALC")</f>
        <v>#NAME?</v>
      </c>
      <c r="K66" s="64" t="e">
        <f t="shared" ca="1" si="16"/>
        <v>#NAME?</v>
      </c>
      <c r="L66" s="24" t="e">
        <f ca="1">_xll.EVPRO($B$1,H66,"JDEID")</f>
        <v>#NAME?</v>
      </c>
      <c r="M66" s="24" t="e">
        <f ca="1">IF(AND(I66="N",J66="N"),_xll.EVPRO($B$1,H66,"PSFTID"),"")</f>
        <v>#NAME?</v>
      </c>
      <c r="N66" s="24" t="e">
        <f ca="1">IF(_xll.EVDES(H66,$B$1)="#NODATA","",_xll.EVDES(H66,$B$1))</f>
        <v>#NAME?</v>
      </c>
      <c r="O66" s="44">
        <v>5365.7</v>
      </c>
      <c r="P66" s="44">
        <v>4604.5200000000004</v>
      </c>
      <c r="Q66" s="44">
        <v>3329.24</v>
      </c>
      <c r="R66" s="44">
        <v>3428.29</v>
      </c>
      <c r="S66" s="44">
        <v>8701.5499999999993</v>
      </c>
      <c r="T66" s="44">
        <v>3455.26</v>
      </c>
      <c r="U66" s="44">
        <v>10232.709999999999</v>
      </c>
      <c r="V66" s="44">
        <v>2693.32</v>
      </c>
      <c r="W66" s="44">
        <v>7499.76</v>
      </c>
      <c r="X66" s="44">
        <v>2906.29</v>
      </c>
      <c r="Y66" s="44">
        <v>3025.18</v>
      </c>
      <c r="Z66" s="44">
        <v>1169.28</v>
      </c>
      <c r="AA66" s="28" t="e">
        <f t="shared" ca="1" si="12"/>
        <v>#NAME?</v>
      </c>
      <c r="AB66" s="45" t="e">
        <f t="shared" ca="1" si="13"/>
        <v>#NAME?</v>
      </c>
      <c r="AD66" s="28">
        <v>54784.801621557497</v>
      </c>
      <c r="AE66" s="29" t="str">
        <f t="shared" ca="1" si="14"/>
        <v/>
      </c>
      <c r="AF66" s="48" t="e">
        <f t="shared" ca="1" si="15"/>
        <v>#NAME?</v>
      </c>
      <c r="AG66" s="28">
        <v>52250.05</v>
      </c>
      <c r="AH66" s="29" t="str">
        <f t="shared" ca="1" si="17"/>
        <v/>
      </c>
      <c r="AI66" s="48" t="e">
        <f t="shared" ca="1" si="18"/>
        <v>#NAME?</v>
      </c>
      <c r="AJ66" s="322">
        <f t="shared" ca="1" si="19"/>
        <v>0</v>
      </c>
      <c r="AK66" s="323">
        <f t="shared" ca="1" si="20"/>
        <v>0</v>
      </c>
      <c r="AL66" s="125">
        <f t="shared" ca="1" si="21"/>
        <v>0</v>
      </c>
      <c r="AM66" s="324">
        <f t="shared" ca="1" si="22"/>
        <v>0</v>
      </c>
      <c r="AN66" s="125">
        <f t="shared" ca="1" si="23"/>
        <v>0</v>
      </c>
    </row>
    <row r="67" spans="1:40" x14ac:dyDescent="0.2">
      <c r="A67" s="1" t="s">
        <v>108</v>
      </c>
      <c r="C67" s="24" t="s">
        <v>101</v>
      </c>
      <c r="D67" s="1" t="s">
        <v>106</v>
      </c>
      <c r="F67" s="1" t="s">
        <v>98</v>
      </c>
      <c r="G67" s="13"/>
      <c r="H67" s="10" t="s">
        <v>854</v>
      </c>
      <c r="I67" s="25" t="e">
        <f ca="1">_xll.EVPRO($B$1,$H67,"STYLE")</f>
        <v>#NAME?</v>
      </c>
      <c r="J67" s="25" t="e">
        <f ca="1">_xll.EVPRO($B$1,$H67,"CALC")</f>
        <v>#NAME?</v>
      </c>
      <c r="K67" s="64" t="e">
        <f t="shared" ca="1" si="16"/>
        <v>#NAME?</v>
      </c>
      <c r="L67" s="24" t="e">
        <f ca="1">_xll.EVPRO($B$1,H67,"JDEID")</f>
        <v>#NAME?</v>
      </c>
      <c r="M67" s="24" t="e">
        <f ca="1">IF(AND(I67="N",J67="N"),_xll.EVPRO($B$1,H67,"PSFTID"),"")</f>
        <v>#NAME?</v>
      </c>
      <c r="N67" s="24" t="e">
        <f ca="1">IF(_xll.EVDES(H67,$B$1)="#NODATA","",_xll.EVDES(H67,$B$1))</f>
        <v>#NAME?</v>
      </c>
      <c r="O67" s="44">
        <v>9325.85</v>
      </c>
      <c r="P67" s="44">
        <v>8787.26</v>
      </c>
      <c r="Q67" s="44">
        <v>9252.77</v>
      </c>
      <c r="R67" s="44">
        <v>8947.57</v>
      </c>
      <c r="S67" s="44">
        <v>9211.61</v>
      </c>
      <c r="T67" s="44">
        <v>8358.9500000000007</v>
      </c>
      <c r="U67" s="44">
        <v>8472.0499999999993</v>
      </c>
      <c r="V67" s="44">
        <v>7053.56</v>
      </c>
      <c r="W67" s="44">
        <v>7192.46</v>
      </c>
      <c r="X67" s="44">
        <v>7753.02</v>
      </c>
      <c r="Y67" s="44">
        <v>7682.44</v>
      </c>
      <c r="Z67" s="44">
        <v>7356.2</v>
      </c>
      <c r="AA67" s="28" t="e">
        <f t="shared" ca="1" si="12"/>
        <v>#NAME?</v>
      </c>
      <c r="AB67" s="45" t="e">
        <f t="shared" ca="1" si="13"/>
        <v>#NAME?</v>
      </c>
      <c r="AD67" s="28">
        <v>109009.43582307</v>
      </c>
      <c r="AE67" s="29" t="str">
        <f t="shared" ca="1" si="14"/>
        <v/>
      </c>
      <c r="AF67" s="48" t="e">
        <f t="shared" ca="1" si="15"/>
        <v>#NAME?</v>
      </c>
      <c r="AG67" s="28">
        <v>96382.03</v>
      </c>
      <c r="AH67" s="29" t="str">
        <f t="shared" ca="1" si="17"/>
        <v/>
      </c>
      <c r="AI67" s="48" t="e">
        <f t="shared" ca="1" si="18"/>
        <v>#NAME?</v>
      </c>
      <c r="AJ67" s="329">
        <f t="shared" ca="1" si="19"/>
        <v>0</v>
      </c>
      <c r="AK67" s="330">
        <f t="shared" ca="1" si="20"/>
        <v>0</v>
      </c>
      <c r="AL67" s="126">
        <f t="shared" ca="1" si="21"/>
        <v>0</v>
      </c>
      <c r="AM67" s="331">
        <f t="shared" ca="1" si="22"/>
        <v>0</v>
      </c>
      <c r="AN67" s="126">
        <f t="shared" ca="1" si="23"/>
        <v>0</v>
      </c>
    </row>
    <row r="68" spans="1:40" x14ac:dyDescent="0.2">
      <c r="A68" s="1" t="s">
        <v>100</v>
      </c>
      <c r="C68" s="8" t="s">
        <v>101</v>
      </c>
      <c r="D68" s="1" t="s">
        <v>106</v>
      </c>
      <c r="F68" s="1" t="s">
        <v>98</v>
      </c>
      <c r="H68" s="10" t="s">
        <v>855</v>
      </c>
      <c r="I68" s="447" t="e">
        <f ca="1">_xll.EVPRO($B$1,$H68,"STYLE")</f>
        <v>#NAME?</v>
      </c>
      <c r="J68" s="447" t="e">
        <f ca="1">_xll.EVPRO($B$1,$H68,"CALC")</f>
        <v>#NAME?</v>
      </c>
      <c r="K68" s="448" t="e">
        <f t="shared" ca="1" si="16"/>
        <v>#NAME?</v>
      </c>
      <c r="L68" s="151" t="e">
        <f ca="1">_xll.EVPRO($B$1,H68,"JDEID")</f>
        <v>#NAME?</v>
      </c>
      <c r="M68" s="151" t="e">
        <f ca="1">IF(AND(I68="N",J68="N"),_xll.EVPRO($B$1,H68,"PSFTID"),"")</f>
        <v>#NAME?</v>
      </c>
      <c r="N68" s="151" t="e">
        <f ca="1">IF(_xll.EVDES(H68,$B$1)="#NODATA","",_xll.EVDES(H68,$B$1))</f>
        <v>#NAME?</v>
      </c>
      <c r="O68" s="33">
        <v>18553.740000000002</v>
      </c>
      <c r="P68" s="33">
        <v>17653.71</v>
      </c>
      <c r="Q68" s="33">
        <v>17294.14</v>
      </c>
      <c r="R68" s="33">
        <v>18272.38</v>
      </c>
      <c r="S68" s="33">
        <v>23071.78</v>
      </c>
      <c r="T68" s="33">
        <v>15982.04</v>
      </c>
      <c r="U68" s="33">
        <v>23282.69</v>
      </c>
      <c r="V68" s="33">
        <v>14062.16</v>
      </c>
      <c r="W68" s="33">
        <v>19019.72</v>
      </c>
      <c r="X68" s="33">
        <v>15043.33</v>
      </c>
      <c r="Y68" s="33">
        <v>15409.82</v>
      </c>
      <c r="Z68" s="33">
        <v>14070.08</v>
      </c>
      <c r="AA68" s="33" t="e">
        <f t="shared" ca="1" si="12"/>
        <v>#NAME?</v>
      </c>
      <c r="AB68" s="34" t="e">
        <f t="shared" ca="1" si="13"/>
        <v>#NAME?</v>
      </c>
      <c r="AC68" s="32"/>
      <c r="AD68" s="33">
        <v>199891.14673688399</v>
      </c>
      <c r="AE68" s="34" t="str">
        <f t="shared" ca="1" si="14"/>
        <v/>
      </c>
      <c r="AF68" s="54" t="e">
        <f t="shared" ca="1" si="15"/>
        <v>#NAME?</v>
      </c>
      <c r="AG68" s="33">
        <v>181681.91</v>
      </c>
      <c r="AH68" s="34" t="str">
        <f t="shared" ca="1" si="17"/>
        <v/>
      </c>
      <c r="AI68" s="54" t="e">
        <f t="shared" ca="1" si="18"/>
        <v>#NAME?</v>
      </c>
      <c r="AJ68" s="344">
        <f t="shared" ca="1" si="19"/>
        <v>0</v>
      </c>
      <c r="AK68" s="345">
        <f t="shared" ca="1" si="20"/>
        <v>0</v>
      </c>
      <c r="AL68" s="346">
        <f t="shared" ca="1" si="21"/>
        <v>0</v>
      </c>
      <c r="AM68" s="347">
        <f t="shared" ca="1" si="22"/>
        <v>0</v>
      </c>
      <c r="AN68" s="346">
        <f t="shared" ca="1" si="23"/>
        <v>0</v>
      </c>
    </row>
    <row r="69" spans="1:40" x14ac:dyDescent="0.2">
      <c r="A69" s="1" t="s">
        <v>109</v>
      </c>
      <c r="C69" s="23" t="s">
        <v>101</v>
      </c>
      <c r="D69" s="1" t="s">
        <v>106</v>
      </c>
      <c r="F69" s="1" t="s">
        <v>98</v>
      </c>
      <c r="H69" s="10" t="s">
        <v>76</v>
      </c>
      <c r="I69" s="447" t="e">
        <f ca="1">_xll.EVPRO($B$1,$H69,"STYLE")</f>
        <v>#NAME?</v>
      </c>
      <c r="J69" s="447" t="e">
        <f ca="1">_xll.EVPRO($B$1,$H69,"CALC")</f>
        <v>#NAME?</v>
      </c>
      <c r="K69" s="448" t="e">
        <f t="shared" ca="1" si="16"/>
        <v>#NAME?</v>
      </c>
      <c r="L69" s="151" t="e">
        <f ca="1">_xll.EVPRO($B$1,H69,"JDEID")</f>
        <v>#NAME?</v>
      </c>
      <c r="M69" s="151" t="e">
        <f ca="1">IF(AND(I69="N",J69="N"),_xll.EVPRO($B$1,H69,"PSFTID"),"")</f>
        <v>#NAME?</v>
      </c>
      <c r="N69" s="151" t="e">
        <f ca="1">IF(_xll.EVDES(H69,$B$1)="#NODATA","",_xll.EVDES(H69,$B$1))</f>
        <v>#NAME?</v>
      </c>
      <c r="O69" s="33">
        <v>132821.22</v>
      </c>
      <c r="P69" s="33">
        <v>137229.79</v>
      </c>
      <c r="Q69" s="33">
        <v>144490.78</v>
      </c>
      <c r="R69" s="33">
        <v>134153.60000000001</v>
      </c>
      <c r="S69" s="33">
        <v>141627.01999999999</v>
      </c>
      <c r="T69" s="33">
        <v>119245.92</v>
      </c>
      <c r="U69" s="33">
        <v>126747.64</v>
      </c>
      <c r="V69" s="33">
        <v>115627.91</v>
      </c>
      <c r="W69" s="33">
        <v>110557.33</v>
      </c>
      <c r="X69" s="33">
        <v>116704.78</v>
      </c>
      <c r="Y69" s="33">
        <v>119916.3</v>
      </c>
      <c r="Z69" s="33">
        <v>130800.12</v>
      </c>
      <c r="AA69" s="33" t="e">
        <f t="shared" ca="1" si="12"/>
        <v>#NAME?</v>
      </c>
      <c r="AB69" s="34" t="e">
        <f t="shared" ca="1" si="13"/>
        <v>#NAME?</v>
      </c>
      <c r="AC69" s="32"/>
      <c r="AD69" s="33">
        <v>1428545.88938892</v>
      </c>
      <c r="AE69" s="34" t="str">
        <f t="shared" ca="1" si="14"/>
        <v/>
      </c>
      <c r="AF69" s="54" t="e">
        <f t="shared" ca="1" si="15"/>
        <v>#NAME?</v>
      </c>
      <c r="AG69" s="33">
        <v>1412773.83</v>
      </c>
      <c r="AH69" s="34" t="str">
        <f t="shared" ca="1" si="17"/>
        <v/>
      </c>
      <c r="AI69" s="54" t="e">
        <f t="shared" ca="1" si="18"/>
        <v>#NAME?</v>
      </c>
      <c r="AJ69" s="336">
        <f t="shared" ca="1" si="19"/>
        <v>0</v>
      </c>
      <c r="AK69" s="337">
        <f t="shared" ca="1" si="20"/>
        <v>0</v>
      </c>
      <c r="AL69" s="338">
        <f t="shared" ca="1" si="21"/>
        <v>0</v>
      </c>
      <c r="AM69" s="339">
        <f t="shared" ca="1" si="22"/>
        <v>0</v>
      </c>
      <c r="AN69" s="338">
        <f t="shared" ca="1" si="23"/>
        <v>0</v>
      </c>
    </row>
    <row r="70" spans="1:40" x14ac:dyDescent="0.2">
      <c r="A70" s="1" t="s">
        <v>109</v>
      </c>
      <c r="C70" s="135" t="s">
        <v>101</v>
      </c>
      <c r="D70" s="1" t="s">
        <v>107</v>
      </c>
      <c r="F70" s="1" t="s">
        <v>99</v>
      </c>
      <c r="O70" s="38"/>
      <c r="P70" s="42"/>
      <c r="Q70" s="42"/>
      <c r="R70" s="42"/>
      <c r="S70" s="42"/>
      <c r="T70" s="42"/>
      <c r="U70" s="42"/>
      <c r="V70" s="42"/>
      <c r="W70" s="42"/>
      <c r="X70" s="42"/>
      <c r="Y70" s="42"/>
      <c r="Z70" s="42"/>
      <c r="AA70" s="42"/>
      <c r="AB70" s="39"/>
      <c r="AD70" s="38"/>
      <c r="AE70" s="42"/>
      <c r="AF70" s="39"/>
      <c r="AG70" s="38"/>
      <c r="AH70" s="42"/>
      <c r="AI70" s="39"/>
    </row>
    <row r="71" spans="1:40" x14ac:dyDescent="0.2">
      <c r="A71" s="1" t="s">
        <v>110</v>
      </c>
      <c r="C71" s="23" t="s">
        <v>101</v>
      </c>
      <c r="D71" s="1" t="s">
        <v>106</v>
      </c>
      <c r="F71" s="1" t="s">
        <v>98</v>
      </c>
      <c r="H71" s="1" t="s">
        <v>82</v>
      </c>
      <c r="I71" s="11" t="e">
        <f ca="1">_xll.EVPRO($B$1,$H71,"STYLE")</f>
        <v>#NAME?</v>
      </c>
      <c r="J71" s="11" t="e">
        <f ca="1">_xll.EVPRO($B$1,$H71,"CALC")</f>
        <v>#NAME?</v>
      </c>
      <c r="N71" s="37" t="e">
        <f ca="1">IF(_xll.EVDES(H71,$B$1)="#NODATA","",_xll.EVDES(H71,$B$1))</f>
        <v>#NAME?</v>
      </c>
      <c r="O71" s="40"/>
      <c r="P71" s="43"/>
      <c r="Q71" s="43"/>
      <c r="R71" s="43"/>
      <c r="S71" s="43"/>
      <c r="T71" s="43"/>
      <c r="U71" s="43"/>
      <c r="V71" s="43"/>
      <c r="W71" s="43"/>
      <c r="X71" s="43"/>
      <c r="Y71" s="43"/>
      <c r="Z71" s="43"/>
      <c r="AA71" s="43"/>
      <c r="AB71" s="41"/>
      <c r="AD71" s="40"/>
      <c r="AE71" s="43"/>
      <c r="AF71" s="41"/>
      <c r="AG71" s="40"/>
      <c r="AH71" s="43"/>
      <c r="AI71" s="41"/>
    </row>
    <row r="72" spans="1:40" x14ac:dyDescent="0.2">
      <c r="A72" s="1" t="s">
        <v>110</v>
      </c>
      <c r="C72" s="27" t="s">
        <v>101</v>
      </c>
      <c r="D72" s="1" t="s">
        <v>107</v>
      </c>
      <c r="F72" s="1" t="s">
        <v>99</v>
      </c>
      <c r="G72" s="13"/>
      <c r="H72" s="10" t="s">
        <v>829</v>
      </c>
      <c r="I72" s="25" t="e">
        <f ca="1">_xll.EVPRO($B$1,$H72,"STYLE")</f>
        <v>#NAME?</v>
      </c>
      <c r="J72" s="25" t="e">
        <f ca="1">_xll.EVPRO($B$1,$H72,"CALC")</f>
        <v>#NAME?</v>
      </c>
      <c r="K72" s="64" t="e">
        <f ca="1">IF(AND(I72&lt;&gt;"B1",J72="Y"),"&gt;","")</f>
        <v>#NAME?</v>
      </c>
      <c r="L72" s="24" t="e">
        <f ca="1">_xll.EVPRO($B$1,H72,"JDEID")</f>
        <v>#NAME?</v>
      </c>
      <c r="M72" s="24" t="e">
        <f ca="1">IF(AND(I72="N",J72="N"),_xll.EVPRO($B$1,H72,"PSFTID"),"")</f>
        <v>#NAME?</v>
      </c>
      <c r="N72" s="24" t="e">
        <f ca="1">IF(_xll.EVDES(H72,$B$1)="#NODATA","",_xll.EVDES(H72,$B$1))</f>
        <v>#NAME?</v>
      </c>
      <c r="O72" s="19"/>
      <c r="P72" s="19"/>
      <c r="Q72" s="19"/>
      <c r="R72" s="19"/>
      <c r="S72" s="19"/>
      <c r="T72" s="19"/>
      <c r="U72" s="19">
        <v>660</v>
      </c>
      <c r="V72" s="19"/>
      <c r="W72" s="19"/>
      <c r="X72" s="19"/>
      <c r="Y72" s="19"/>
      <c r="Z72" s="19"/>
      <c r="AA72" s="19" t="e">
        <f t="shared" ref="AA72:AA95" ca="1" si="24">IF($I72="B1","",SUM(O72:Z72))</f>
        <v>#NAME?</v>
      </c>
      <c r="AB72" s="15" t="e">
        <f t="shared" ref="AB72:AB95" ca="1" si="25">IF(AA72=0,"",IFERROR(AA72/AA$19,""))</f>
        <v>#NAME?</v>
      </c>
      <c r="AD72" s="19"/>
      <c r="AE72" s="15" t="str">
        <f t="shared" ref="AE72:AE95" si="26">IF(AD72=0,"",IFERROR(AD72/AD$19,""))</f>
        <v/>
      </c>
      <c r="AF72" s="47" t="e">
        <f t="shared" ref="AF72:AF95" ca="1" si="27">IF(AND($AA72="",AD72=""),"",$AA72-AD72)</f>
        <v>#NAME?</v>
      </c>
      <c r="AG72" s="19"/>
      <c r="AH72" s="15" t="str">
        <f>IF(AG72=0,"",IFERROR(AG72/AG$19,""))</f>
        <v/>
      </c>
      <c r="AI72" s="47" t="e">
        <f ca="1">IF(AND($AA72="",AG72=""),"",$AA72-AG72)</f>
        <v>#NAME?</v>
      </c>
      <c r="AJ72" s="322">
        <f ca="1">IFERROR(AA72/AA$20,0)</f>
        <v>0</v>
      </c>
      <c r="AK72" s="323">
        <f ca="1">IFERROR(AD72/AD$20,0)</f>
        <v>0</v>
      </c>
      <c r="AL72" s="125">
        <f ca="1">AJ72-AK72</f>
        <v>0</v>
      </c>
      <c r="AM72" s="324">
        <f ca="1">IFERROR(AG72/AG$20,0)</f>
        <v>0</v>
      </c>
      <c r="AN72" s="125">
        <f ca="1">AJ72-AM72</f>
        <v>0</v>
      </c>
    </row>
    <row r="73" spans="1:40" x14ac:dyDescent="0.2">
      <c r="C73" s="23"/>
      <c r="G73" s="13"/>
      <c r="H73" s="10" t="s">
        <v>868</v>
      </c>
      <c r="I73" s="25" t="e">
        <f ca="1">_xll.EVPRO($B$1,$H73,"STYLE")</f>
        <v>#NAME?</v>
      </c>
      <c r="J73" s="25" t="e">
        <f ca="1">_xll.EVPRO($B$1,$H73,"CALC")</f>
        <v>#NAME?</v>
      </c>
      <c r="K73" s="64" t="e">
        <f t="shared" ref="K73:K94" ca="1" si="28">IF(AND(I73&lt;&gt;"B1",J73="Y"),"&gt;","")</f>
        <v>#NAME?</v>
      </c>
      <c r="L73" s="24" t="e">
        <f ca="1">_xll.EVPRO($B$1,H73,"JDEID")</f>
        <v>#NAME?</v>
      </c>
      <c r="M73" s="24" t="e">
        <f ca="1">IF(AND(I73="N",J73="N"),_xll.EVPRO($B$1,H73,"PSFTID"),"")</f>
        <v>#NAME?</v>
      </c>
      <c r="N73" s="24" t="e">
        <f ca="1">IF(_xll.EVDES(H73,$B$1)="#NODATA","",_xll.EVDES(H73,$B$1))</f>
        <v>#NAME?</v>
      </c>
      <c r="O73" s="19">
        <v>833.33</v>
      </c>
      <c r="P73" s="19">
        <v>700</v>
      </c>
      <c r="Q73" s="19">
        <v>11.67</v>
      </c>
      <c r="R73" s="19">
        <v>297.08</v>
      </c>
      <c r="S73" s="19">
        <v>579.26</v>
      </c>
      <c r="T73" s="19">
        <v>926.1</v>
      </c>
      <c r="U73" s="19">
        <v>816.3</v>
      </c>
      <c r="V73" s="19">
        <v>186.4</v>
      </c>
      <c r="W73" s="19">
        <v>149.55000000000001</v>
      </c>
      <c r="X73" s="19">
        <v>1340.05</v>
      </c>
      <c r="Y73" s="19">
        <v>549.20000000000005</v>
      </c>
      <c r="Z73" s="19">
        <v>15.07</v>
      </c>
      <c r="AA73" s="19" t="e">
        <f t="shared" ca="1" si="24"/>
        <v>#NAME?</v>
      </c>
      <c r="AB73" s="15" t="e">
        <f t="shared" ca="1" si="25"/>
        <v>#NAME?</v>
      </c>
      <c r="AD73" s="19">
        <v>9253.1299999999992</v>
      </c>
      <c r="AE73" s="15" t="str">
        <f t="shared" ca="1" si="26"/>
        <v/>
      </c>
      <c r="AF73" s="47" t="e">
        <f t="shared" ca="1" si="27"/>
        <v>#NAME?</v>
      </c>
      <c r="AG73" s="19">
        <v>8934.4500000000007</v>
      </c>
      <c r="AH73" s="15" t="str">
        <f t="shared" ref="AH73:AH94" ca="1" si="29">IF(AG73=0,"",IFERROR(AG73/AG$19,""))</f>
        <v/>
      </c>
      <c r="AI73" s="47" t="e">
        <f t="shared" ref="AI73:AI94" ca="1" si="30">IF(AND($AA73="",AG73=""),"",$AA73-AG73)</f>
        <v>#NAME?</v>
      </c>
      <c r="AJ73" s="322">
        <f t="shared" ref="AJ73:AJ94" ca="1" si="31">IFERROR(AA73/AA$20,0)</f>
        <v>0</v>
      </c>
      <c r="AK73" s="323">
        <f t="shared" ref="AK73:AK94" ca="1" si="32">IFERROR(AD73/AD$20,0)</f>
        <v>0</v>
      </c>
      <c r="AL73" s="125">
        <f t="shared" ref="AL73:AL94" ca="1" si="33">AJ73-AK73</f>
        <v>0</v>
      </c>
      <c r="AM73" s="324">
        <f t="shared" ref="AM73:AM94" ca="1" si="34">IFERROR(AG73/AG$20,0)</f>
        <v>0</v>
      </c>
      <c r="AN73" s="125">
        <f t="shared" ref="AN73:AN94" ca="1" si="35">AJ73-AM73</f>
        <v>0</v>
      </c>
    </row>
    <row r="74" spans="1:40" x14ac:dyDescent="0.2">
      <c r="H74" s="10" t="s">
        <v>832</v>
      </c>
      <c r="I74" s="25" t="e">
        <f ca="1">_xll.EVPRO($B$1,$H74,"STYLE")</f>
        <v>#NAME?</v>
      </c>
      <c r="J74" s="25" t="e">
        <f ca="1">_xll.EVPRO($B$1,$H74,"CALC")</f>
        <v>#NAME?</v>
      </c>
      <c r="K74" s="64" t="e">
        <f t="shared" ca="1" si="28"/>
        <v>#NAME?</v>
      </c>
      <c r="L74" s="24" t="e">
        <f ca="1">_xll.EVPRO($B$1,H74,"JDEID")</f>
        <v>#NAME?</v>
      </c>
      <c r="M74" s="24" t="e">
        <f ca="1">IF(AND(I74="N",J74="N"),_xll.EVPRO($B$1,H74,"PSFTID"),"")</f>
        <v>#NAME?</v>
      </c>
      <c r="N74" s="24" t="e">
        <f ca="1">IF(_xll.EVDES(H74,$B$1)="#NODATA","",_xll.EVDES(H74,$B$1))</f>
        <v>#NAME?</v>
      </c>
      <c r="O74" s="19">
        <v>3865.87</v>
      </c>
      <c r="P74" s="19">
        <v>3343.59</v>
      </c>
      <c r="Q74" s="19">
        <v>4238.5200000000004</v>
      </c>
      <c r="R74" s="19">
        <v>5256.29</v>
      </c>
      <c r="S74" s="19">
        <v>4549.7</v>
      </c>
      <c r="T74" s="19">
        <v>3892.35</v>
      </c>
      <c r="U74" s="19">
        <v>4019.63</v>
      </c>
      <c r="V74" s="19">
        <v>3166.95</v>
      </c>
      <c r="W74" s="19">
        <v>1134.68</v>
      </c>
      <c r="X74" s="19">
        <v>3859.89</v>
      </c>
      <c r="Y74" s="19">
        <v>2590.37</v>
      </c>
      <c r="Z74" s="19">
        <v>6548.53</v>
      </c>
      <c r="AA74" s="19" t="e">
        <f t="shared" ca="1" si="24"/>
        <v>#NAME?</v>
      </c>
      <c r="AB74" s="15" t="e">
        <f t="shared" ca="1" si="25"/>
        <v>#NAME?</v>
      </c>
      <c r="AD74" s="19">
        <v>46163.34</v>
      </c>
      <c r="AE74" s="15" t="str">
        <f t="shared" ca="1" si="26"/>
        <v/>
      </c>
      <c r="AF74" s="47" t="e">
        <f t="shared" ca="1" si="27"/>
        <v>#NAME?</v>
      </c>
      <c r="AG74" s="19">
        <v>45401.54</v>
      </c>
      <c r="AH74" s="15" t="str">
        <f t="shared" ca="1" si="29"/>
        <v/>
      </c>
      <c r="AI74" s="47" t="e">
        <f t="shared" ca="1" si="30"/>
        <v>#NAME?</v>
      </c>
      <c r="AJ74" s="322">
        <f t="shared" ca="1" si="31"/>
        <v>0</v>
      </c>
      <c r="AK74" s="323">
        <f t="shared" ca="1" si="32"/>
        <v>0</v>
      </c>
      <c r="AL74" s="125">
        <f t="shared" ca="1" si="33"/>
        <v>0</v>
      </c>
      <c r="AM74" s="324">
        <f t="shared" ca="1" si="34"/>
        <v>0</v>
      </c>
      <c r="AN74" s="125">
        <f t="shared" ca="1" si="35"/>
        <v>0</v>
      </c>
    </row>
    <row r="75" spans="1:40" x14ac:dyDescent="0.2">
      <c r="A75" s="4" t="e">
        <f ca="1">_xll.EVDRE($B$1,A78:B85)</f>
        <v>#NAME?</v>
      </c>
      <c r="B75" s="1" t="s">
        <v>736</v>
      </c>
      <c r="H75" s="10" t="s">
        <v>857</v>
      </c>
      <c r="I75" s="25" t="e">
        <f ca="1">_xll.EVPRO($B$1,$H75,"STYLE")</f>
        <v>#NAME?</v>
      </c>
      <c r="J75" s="25" t="e">
        <f ca="1">_xll.EVPRO($B$1,$H75,"CALC")</f>
        <v>#NAME?</v>
      </c>
      <c r="K75" s="64" t="e">
        <f t="shared" ca="1" si="28"/>
        <v>#NAME?</v>
      </c>
      <c r="L75" s="24" t="e">
        <f ca="1">_xll.EVPRO($B$1,H75,"JDEID")</f>
        <v>#NAME?</v>
      </c>
      <c r="M75" s="24" t="e">
        <f ca="1">IF(AND(I75="N",J75="N"),_xll.EVPRO($B$1,H75,"PSFTID"),"")</f>
        <v>#NAME?</v>
      </c>
      <c r="N75" s="24" t="e">
        <f ca="1">IF(_xll.EVDES(H75,$B$1)="#NODATA","",_xll.EVDES(H75,$B$1))</f>
        <v>#NAME?</v>
      </c>
      <c r="O75" s="19">
        <v>1622.3</v>
      </c>
      <c r="P75" s="19">
        <v>1389.37</v>
      </c>
      <c r="Q75" s="19">
        <v>1683.36</v>
      </c>
      <c r="R75" s="19">
        <v>1881.25</v>
      </c>
      <c r="S75" s="19">
        <v>1092.99</v>
      </c>
      <c r="T75" s="19">
        <v>1969.57</v>
      </c>
      <c r="U75" s="19">
        <v>1904.17</v>
      </c>
      <c r="V75" s="19">
        <v>484.42</v>
      </c>
      <c r="W75" s="19">
        <v>1492.06</v>
      </c>
      <c r="X75" s="19">
        <v>939.51</v>
      </c>
      <c r="Y75" s="19">
        <v>1265.07</v>
      </c>
      <c r="Z75" s="19">
        <v>1176.0999999999999</v>
      </c>
      <c r="AA75" s="19" t="e">
        <f t="shared" ca="1" si="24"/>
        <v>#NAME?</v>
      </c>
      <c r="AB75" s="15" t="e">
        <f t="shared" ca="1" si="25"/>
        <v>#NAME?</v>
      </c>
      <c r="AD75" s="19">
        <v>17701.64</v>
      </c>
      <c r="AE75" s="15" t="str">
        <f t="shared" ca="1" si="26"/>
        <v/>
      </c>
      <c r="AF75" s="47" t="e">
        <f t="shared" ca="1" si="27"/>
        <v>#NAME?</v>
      </c>
      <c r="AG75" s="19">
        <v>17889.91</v>
      </c>
      <c r="AH75" s="15" t="str">
        <f t="shared" ca="1" si="29"/>
        <v/>
      </c>
      <c r="AI75" s="47" t="e">
        <f t="shared" ca="1" si="30"/>
        <v>#NAME?</v>
      </c>
      <c r="AJ75" s="322">
        <f t="shared" ca="1" si="31"/>
        <v>0</v>
      </c>
      <c r="AK75" s="323">
        <f t="shared" ca="1" si="32"/>
        <v>0</v>
      </c>
      <c r="AL75" s="125">
        <f t="shared" ca="1" si="33"/>
        <v>0</v>
      </c>
      <c r="AM75" s="324">
        <f t="shared" ca="1" si="34"/>
        <v>0</v>
      </c>
      <c r="AN75" s="125">
        <f t="shared" ca="1" si="35"/>
        <v>0</v>
      </c>
    </row>
    <row r="76" spans="1:40" x14ac:dyDescent="0.2">
      <c r="H76" s="10" t="s">
        <v>932</v>
      </c>
      <c r="I76" s="25" t="e">
        <f ca="1">_xll.EVPRO($B$1,$H76,"STYLE")</f>
        <v>#NAME?</v>
      </c>
      <c r="J76" s="25" t="e">
        <f ca="1">_xll.EVPRO($B$1,$H76,"CALC")</f>
        <v>#NAME?</v>
      </c>
      <c r="K76" s="64" t="e">
        <f t="shared" ca="1" si="28"/>
        <v>#NAME?</v>
      </c>
      <c r="L76" s="24" t="e">
        <f ca="1">_xll.EVPRO($B$1,H76,"JDEID")</f>
        <v>#NAME?</v>
      </c>
      <c r="M76" s="24" t="e">
        <f ca="1">IF(AND(I76="N",J76="N"),_xll.EVPRO($B$1,H76,"PSFTID"),"")</f>
        <v>#NAME?</v>
      </c>
      <c r="N76" s="24" t="e">
        <f ca="1">IF(_xll.EVDES(H76,$B$1)="#NODATA","",_xll.EVDES(H76,$B$1))</f>
        <v>#NAME?</v>
      </c>
      <c r="O76" s="19">
        <v>3147.15</v>
      </c>
      <c r="P76" s="19">
        <v>2895.04</v>
      </c>
      <c r="Q76" s="19">
        <v>3324.62</v>
      </c>
      <c r="R76" s="19">
        <v>4136.93</v>
      </c>
      <c r="S76" s="19">
        <v>4532.8599999999997</v>
      </c>
      <c r="T76" s="19">
        <v>3600.43</v>
      </c>
      <c r="U76" s="19">
        <v>3050.54</v>
      </c>
      <c r="V76" s="19">
        <v>2374.5500000000002</v>
      </c>
      <c r="W76" s="19">
        <v>2594.37</v>
      </c>
      <c r="X76" s="19">
        <v>2658.36</v>
      </c>
      <c r="Y76" s="19">
        <v>3160.65</v>
      </c>
      <c r="Z76" s="19">
        <v>3254.25</v>
      </c>
      <c r="AA76" s="19" t="e">
        <f t="shared" ca="1" si="24"/>
        <v>#NAME?</v>
      </c>
      <c r="AB76" s="15" t="e">
        <f t="shared" ca="1" si="25"/>
        <v>#NAME?</v>
      </c>
      <c r="AD76" s="19">
        <v>36610.21</v>
      </c>
      <c r="AE76" s="15" t="str">
        <f t="shared" ca="1" si="26"/>
        <v/>
      </c>
      <c r="AF76" s="47" t="e">
        <f t="shared" ca="1" si="27"/>
        <v>#NAME?</v>
      </c>
      <c r="AG76" s="19">
        <v>35906.699999999997</v>
      </c>
      <c r="AH76" s="15" t="str">
        <f t="shared" ca="1" si="29"/>
        <v/>
      </c>
      <c r="AI76" s="47" t="e">
        <f t="shared" ca="1" si="30"/>
        <v>#NAME?</v>
      </c>
      <c r="AJ76" s="322">
        <f t="shared" ca="1" si="31"/>
        <v>0</v>
      </c>
      <c r="AK76" s="323">
        <f t="shared" ca="1" si="32"/>
        <v>0</v>
      </c>
      <c r="AL76" s="125">
        <f t="shared" ca="1" si="33"/>
        <v>0</v>
      </c>
      <c r="AM76" s="324">
        <f t="shared" ca="1" si="34"/>
        <v>0</v>
      </c>
      <c r="AN76" s="125">
        <f t="shared" ca="1" si="35"/>
        <v>0</v>
      </c>
    </row>
    <row r="77" spans="1:40" x14ac:dyDescent="0.2">
      <c r="A77" s="3" t="s">
        <v>0</v>
      </c>
      <c r="B77" s="5" t="s">
        <v>1</v>
      </c>
      <c r="H77" s="10" t="s">
        <v>859</v>
      </c>
      <c r="I77" s="25" t="e">
        <f ca="1">_xll.EVPRO($B$1,$H77,"STYLE")</f>
        <v>#NAME?</v>
      </c>
      <c r="J77" s="25" t="e">
        <f ca="1">_xll.EVPRO($B$1,$H77,"CALC")</f>
        <v>#NAME?</v>
      </c>
      <c r="K77" s="64" t="e">
        <f t="shared" ca="1" si="28"/>
        <v>#NAME?</v>
      </c>
      <c r="L77" s="24" t="e">
        <f ca="1">_xll.EVPRO($B$1,H77,"JDEID")</f>
        <v>#NAME?</v>
      </c>
      <c r="M77" s="24" t="e">
        <f ca="1">IF(AND(I77="N",J77="N"),_xll.EVPRO($B$1,H77,"PSFTID"),"")</f>
        <v>#NAME?</v>
      </c>
      <c r="N77" s="24" t="e">
        <f ca="1">IF(_xll.EVDES(H77,$B$1)="#NODATA","",_xll.EVDES(H77,$B$1))</f>
        <v>#NAME?</v>
      </c>
      <c r="O77" s="19">
        <v>-3600</v>
      </c>
      <c r="P77" s="19"/>
      <c r="Q77" s="19"/>
      <c r="R77" s="19"/>
      <c r="S77" s="19"/>
      <c r="T77" s="19"/>
      <c r="U77" s="19"/>
      <c r="V77" s="19"/>
      <c r="W77" s="19"/>
      <c r="X77" s="19"/>
      <c r="Y77" s="19"/>
      <c r="Z77" s="19">
        <v>2134.85</v>
      </c>
      <c r="AA77" s="19" t="e">
        <f t="shared" ca="1" si="24"/>
        <v>#NAME?</v>
      </c>
      <c r="AB77" s="15" t="e">
        <f t="shared" ca="1" si="25"/>
        <v>#NAME?</v>
      </c>
      <c r="AD77" s="19">
        <v>5000</v>
      </c>
      <c r="AE77" s="15" t="str">
        <f t="shared" ca="1" si="26"/>
        <v/>
      </c>
      <c r="AF77" s="47" t="e">
        <f t="shared" ca="1" si="27"/>
        <v>#NAME?</v>
      </c>
      <c r="AG77" s="19">
        <v>6058.97</v>
      </c>
      <c r="AH77" s="15" t="str">
        <f t="shared" ca="1" si="29"/>
        <v/>
      </c>
      <c r="AI77" s="47" t="e">
        <f t="shared" ca="1" si="30"/>
        <v>#NAME?</v>
      </c>
      <c r="AJ77" s="322">
        <f t="shared" ca="1" si="31"/>
        <v>0</v>
      </c>
      <c r="AK77" s="323">
        <f t="shared" ca="1" si="32"/>
        <v>0</v>
      </c>
      <c r="AL77" s="125">
        <f t="shared" ca="1" si="33"/>
        <v>0</v>
      </c>
      <c r="AM77" s="324">
        <f t="shared" ca="1" si="34"/>
        <v>0</v>
      </c>
      <c r="AN77" s="125">
        <f t="shared" ca="1" si="35"/>
        <v>0</v>
      </c>
    </row>
    <row r="78" spans="1:40" x14ac:dyDescent="0.2">
      <c r="A78" s="6" t="s">
        <v>2</v>
      </c>
      <c r="B78" s="7" t="e">
        <f ca="1">_xll.EVRNG($B$2:$B$10)</f>
        <v>#NAME?</v>
      </c>
      <c r="H78" s="10" t="s">
        <v>933</v>
      </c>
      <c r="I78" s="25" t="e">
        <f ca="1">_xll.EVPRO($B$1,$H78,"STYLE")</f>
        <v>#NAME?</v>
      </c>
      <c r="J78" s="25" t="e">
        <f ca="1">_xll.EVPRO($B$1,$H78,"CALC")</f>
        <v>#NAME?</v>
      </c>
      <c r="K78" s="64" t="e">
        <f t="shared" ca="1" si="28"/>
        <v>#NAME?</v>
      </c>
      <c r="L78" s="24" t="e">
        <f ca="1">_xll.EVPRO($B$1,H78,"JDEID")</f>
        <v>#NAME?</v>
      </c>
      <c r="M78" s="24" t="e">
        <f ca="1">IF(AND(I78="N",J78="N"),_xll.EVPRO($B$1,H78,"PSFTID"),"")</f>
        <v>#NAME?</v>
      </c>
      <c r="N78" s="24" t="e">
        <f ca="1">IF(_xll.EVDES(H78,$B$1)="#NODATA","",_xll.EVDES(H78,$B$1))</f>
        <v>#NAME?</v>
      </c>
      <c r="O78" s="19">
        <v>21998.9</v>
      </c>
      <c r="P78" s="19">
        <v>20512.93</v>
      </c>
      <c r="Q78" s="19">
        <v>24167.63</v>
      </c>
      <c r="R78" s="19">
        <v>23910.28</v>
      </c>
      <c r="S78" s="19">
        <v>22372.27</v>
      </c>
      <c r="T78" s="19">
        <v>20614.57</v>
      </c>
      <c r="U78" s="19">
        <v>21919.14</v>
      </c>
      <c r="V78" s="19">
        <v>21065.07</v>
      </c>
      <c r="W78" s="19">
        <v>16383.19</v>
      </c>
      <c r="X78" s="19">
        <v>18099.349999999999</v>
      </c>
      <c r="Y78" s="19">
        <v>20830.759999999998</v>
      </c>
      <c r="Z78" s="19">
        <v>21917.94</v>
      </c>
      <c r="AA78" s="19" t="e">
        <f t="shared" ca="1" si="24"/>
        <v>#NAME?</v>
      </c>
      <c r="AB78" s="15" t="e">
        <f t="shared" ca="1" si="25"/>
        <v>#NAME?</v>
      </c>
      <c r="AD78" s="19">
        <v>245409.1</v>
      </c>
      <c r="AE78" s="15" t="str">
        <f t="shared" ca="1" si="26"/>
        <v/>
      </c>
      <c r="AF78" s="47" t="e">
        <f t="shared" ca="1" si="27"/>
        <v>#NAME?</v>
      </c>
      <c r="AG78" s="19">
        <v>244709.7</v>
      </c>
      <c r="AH78" s="15" t="str">
        <f t="shared" ca="1" si="29"/>
        <v/>
      </c>
      <c r="AI78" s="47" t="e">
        <f t="shared" ca="1" si="30"/>
        <v>#NAME?</v>
      </c>
      <c r="AJ78" s="322">
        <f t="shared" ca="1" si="31"/>
        <v>0</v>
      </c>
      <c r="AK78" s="323">
        <f t="shared" ca="1" si="32"/>
        <v>0</v>
      </c>
      <c r="AL78" s="125">
        <f t="shared" ca="1" si="33"/>
        <v>0</v>
      </c>
      <c r="AM78" s="324">
        <f t="shared" ca="1" si="34"/>
        <v>0</v>
      </c>
      <c r="AN78" s="125">
        <f t="shared" ca="1" si="35"/>
        <v>0</v>
      </c>
    </row>
    <row r="79" spans="1:40" x14ac:dyDescent="0.2">
      <c r="A79" s="6" t="s">
        <v>3</v>
      </c>
      <c r="B79" s="7" t="e">
        <f ca="1">_xll.EVRNG($O$16:$AN$18)</f>
        <v>#NAME?</v>
      </c>
      <c r="H79" s="10" t="s">
        <v>833</v>
      </c>
      <c r="I79" s="25" t="e">
        <f ca="1">_xll.EVPRO($B$1,$H79,"STYLE")</f>
        <v>#NAME?</v>
      </c>
      <c r="J79" s="25" t="e">
        <f ca="1">_xll.EVPRO($B$1,$H79,"CALC")</f>
        <v>#NAME?</v>
      </c>
      <c r="K79" s="64" t="e">
        <f t="shared" ca="1" si="28"/>
        <v>#NAME?</v>
      </c>
      <c r="L79" s="24" t="e">
        <f ca="1">_xll.EVPRO($B$1,H79,"JDEID")</f>
        <v>#NAME?</v>
      </c>
      <c r="M79" s="24" t="e">
        <f ca="1">IF(AND(I79="N",J79="N"),_xll.EVPRO($B$1,H79,"PSFTID"),"")</f>
        <v>#NAME?</v>
      </c>
      <c r="N79" s="24" t="e">
        <f ca="1">IF(_xll.EVDES(H79,$B$1)="#NODATA","",_xll.EVDES(H79,$B$1))</f>
        <v>#NAME?</v>
      </c>
      <c r="O79" s="19">
        <v>5123.49</v>
      </c>
      <c r="P79" s="19">
        <v>750</v>
      </c>
      <c r="Q79" s="19">
        <v>2972</v>
      </c>
      <c r="R79" s="19">
        <v>2160</v>
      </c>
      <c r="S79" s="19">
        <v>3109</v>
      </c>
      <c r="T79" s="19">
        <v>3490.65</v>
      </c>
      <c r="U79" s="19">
        <v>2868</v>
      </c>
      <c r="V79" s="19">
        <v>2848.26</v>
      </c>
      <c r="W79" s="19">
        <v>3693</v>
      </c>
      <c r="X79" s="19">
        <v>4353</v>
      </c>
      <c r="Y79" s="19">
        <v>2700.95</v>
      </c>
      <c r="Z79" s="19">
        <v>3048.74</v>
      </c>
      <c r="AA79" s="19" t="e">
        <f t="shared" ca="1" si="24"/>
        <v>#NAME?</v>
      </c>
      <c r="AB79" s="15" t="e">
        <f t="shared" ca="1" si="25"/>
        <v>#NAME?</v>
      </c>
      <c r="AD79" s="19">
        <v>40182</v>
      </c>
      <c r="AE79" s="15" t="str">
        <f t="shared" ca="1" si="26"/>
        <v/>
      </c>
      <c r="AF79" s="47" t="e">
        <f t="shared" ca="1" si="27"/>
        <v>#NAME?</v>
      </c>
      <c r="AG79" s="19">
        <v>40111.5</v>
      </c>
      <c r="AH79" s="15" t="str">
        <f t="shared" ca="1" si="29"/>
        <v/>
      </c>
      <c r="AI79" s="47" t="e">
        <f t="shared" ca="1" si="30"/>
        <v>#NAME?</v>
      </c>
      <c r="AJ79" s="322">
        <f t="shared" ca="1" si="31"/>
        <v>0</v>
      </c>
      <c r="AK79" s="323">
        <f t="shared" ca="1" si="32"/>
        <v>0</v>
      </c>
      <c r="AL79" s="125">
        <f t="shared" ca="1" si="33"/>
        <v>0</v>
      </c>
      <c r="AM79" s="324">
        <f t="shared" ca="1" si="34"/>
        <v>0</v>
      </c>
      <c r="AN79" s="125">
        <f t="shared" ca="1" si="35"/>
        <v>0</v>
      </c>
    </row>
    <row r="80" spans="1:40" x14ac:dyDescent="0.2">
      <c r="A80" s="6" t="s">
        <v>4</v>
      </c>
      <c r="B80" s="7" t="e">
        <f ca="1">_xll.EVRNG(H95:H98)</f>
        <v>#NAME?</v>
      </c>
      <c r="H80" s="10" t="s">
        <v>834</v>
      </c>
      <c r="I80" s="25" t="e">
        <f ca="1">_xll.EVPRO($B$1,$H80,"STYLE")</f>
        <v>#NAME?</v>
      </c>
      <c r="J80" s="25" t="e">
        <f ca="1">_xll.EVPRO($B$1,$H80,"CALC")</f>
        <v>#NAME?</v>
      </c>
      <c r="K80" s="64" t="e">
        <f t="shared" ca="1" si="28"/>
        <v>#NAME?</v>
      </c>
      <c r="L80" s="24" t="e">
        <f ca="1">_xll.EVPRO($B$1,H80,"JDEID")</f>
        <v>#NAME?</v>
      </c>
      <c r="M80" s="24" t="e">
        <f ca="1">IF(AND(I80="N",J80="N"),_xll.EVPRO($B$1,H80,"PSFTID"),"")</f>
        <v>#NAME?</v>
      </c>
      <c r="N80" s="24" t="e">
        <f ca="1">IF(_xll.EVDES(H80,$B$1)="#NODATA","",_xll.EVDES(H80,$B$1))</f>
        <v>#NAME?</v>
      </c>
      <c r="O80" s="19">
        <v>1169.1500000000001</v>
      </c>
      <c r="P80" s="19">
        <v>270.51</v>
      </c>
      <c r="Q80" s="19">
        <v>547.53</v>
      </c>
      <c r="R80" s="19">
        <v>2105.0300000000002</v>
      </c>
      <c r="S80" s="19">
        <v>-99.09</v>
      </c>
      <c r="T80" s="19">
        <v>2.73</v>
      </c>
      <c r="U80" s="19">
        <v>21.28</v>
      </c>
      <c r="V80" s="19">
        <v>209.59</v>
      </c>
      <c r="W80" s="19">
        <v>-0.3</v>
      </c>
      <c r="X80" s="19"/>
      <c r="Y80" s="19">
        <v>220.27</v>
      </c>
      <c r="Z80" s="19">
        <v>-3</v>
      </c>
      <c r="AA80" s="19" t="e">
        <f t="shared" ca="1" si="24"/>
        <v>#NAME?</v>
      </c>
      <c r="AB80" s="15" t="e">
        <f t="shared" ca="1" si="25"/>
        <v>#NAME?</v>
      </c>
      <c r="AD80" s="19"/>
      <c r="AE80" s="15" t="str">
        <f t="shared" si="26"/>
        <v/>
      </c>
      <c r="AF80" s="47" t="e">
        <f t="shared" ca="1" si="27"/>
        <v>#NAME?</v>
      </c>
      <c r="AG80" s="19">
        <v>125.11</v>
      </c>
      <c r="AH80" s="15" t="str">
        <f t="shared" ca="1" si="29"/>
        <v/>
      </c>
      <c r="AI80" s="47" t="e">
        <f t="shared" ca="1" si="30"/>
        <v>#NAME?</v>
      </c>
      <c r="AJ80" s="322">
        <f t="shared" ca="1" si="31"/>
        <v>0</v>
      </c>
      <c r="AK80" s="323">
        <f t="shared" ca="1" si="32"/>
        <v>0</v>
      </c>
      <c r="AL80" s="125">
        <f t="shared" ca="1" si="33"/>
        <v>0</v>
      </c>
      <c r="AM80" s="324">
        <f t="shared" ca="1" si="34"/>
        <v>0</v>
      </c>
      <c r="AN80" s="125">
        <f t="shared" ca="1" si="35"/>
        <v>0</v>
      </c>
    </row>
    <row r="81" spans="1:40" x14ac:dyDescent="0.2">
      <c r="A81" s="6" t="s">
        <v>5</v>
      </c>
      <c r="B81" s="7"/>
      <c r="H81" s="10" t="s">
        <v>835</v>
      </c>
      <c r="I81" s="25" t="e">
        <f ca="1">_xll.EVPRO($B$1,$H81,"STYLE")</f>
        <v>#NAME?</v>
      </c>
      <c r="J81" s="25" t="e">
        <f ca="1">_xll.EVPRO($B$1,$H81,"CALC")</f>
        <v>#NAME?</v>
      </c>
      <c r="K81" s="64" t="e">
        <f t="shared" ca="1" si="28"/>
        <v>#NAME?</v>
      </c>
      <c r="L81" s="24" t="e">
        <f ca="1">_xll.EVPRO($B$1,H81,"JDEID")</f>
        <v>#NAME?</v>
      </c>
      <c r="M81" s="24" t="e">
        <f ca="1">IF(AND(I81="N",J81="N"),_xll.EVPRO($B$1,H81,"PSFTID"),"")</f>
        <v>#NAME?</v>
      </c>
      <c r="N81" s="24" t="e">
        <f ca="1">IF(_xll.EVDES(H81,$B$1)="#NODATA","",_xll.EVDES(H81,$B$1))</f>
        <v>#NAME?</v>
      </c>
      <c r="O81" s="19">
        <v>1167.43</v>
      </c>
      <c r="P81" s="19">
        <v>1656.54</v>
      </c>
      <c r="Q81" s="19">
        <v>1239.32</v>
      </c>
      <c r="R81" s="19">
        <v>588.1</v>
      </c>
      <c r="S81" s="19"/>
      <c r="T81" s="19"/>
      <c r="U81" s="19">
        <v>25.83</v>
      </c>
      <c r="V81" s="19"/>
      <c r="W81" s="19"/>
      <c r="X81" s="19"/>
      <c r="Y81" s="19">
        <v>126.5</v>
      </c>
      <c r="Z81" s="19">
        <v>59.45</v>
      </c>
      <c r="AA81" s="19" t="e">
        <f t="shared" ca="1" si="24"/>
        <v>#NAME?</v>
      </c>
      <c r="AB81" s="15" t="e">
        <f t="shared" ca="1" si="25"/>
        <v>#NAME?</v>
      </c>
      <c r="AD81" s="19"/>
      <c r="AE81" s="15" t="str">
        <f t="shared" si="26"/>
        <v/>
      </c>
      <c r="AF81" s="47" t="e">
        <f t="shared" ca="1" si="27"/>
        <v>#NAME?</v>
      </c>
      <c r="AG81" s="19">
        <v>43.76</v>
      </c>
      <c r="AH81" s="15" t="str">
        <f t="shared" ca="1" si="29"/>
        <v/>
      </c>
      <c r="AI81" s="47" t="e">
        <f t="shared" ca="1" si="30"/>
        <v>#NAME?</v>
      </c>
      <c r="AJ81" s="322">
        <f t="shared" ca="1" si="31"/>
        <v>0</v>
      </c>
      <c r="AK81" s="323">
        <f t="shared" ca="1" si="32"/>
        <v>0</v>
      </c>
      <c r="AL81" s="125">
        <f t="shared" ca="1" si="33"/>
        <v>0</v>
      </c>
      <c r="AM81" s="324">
        <f t="shared" ca="1" si="34"/>
        <v>0</v>
      </c>
      <c r="AN81" s="125">
        <f t="shared" ca="1" si="35"/>
        <v>0</v>
      </c>
    </row>
    <row r="82" spans="1:40" x14ac:dyDescent="0.2">
      <c r="A82" s="6" t="s">
        <v>6</v>
      </c>
      <c r="B82" s="7"/>
      <c r="H82" s="10" t="s">
        <v>934</v>
      </c>
      <c r="I82" s="25" t="e">
        <f ca="1">_xll.EVPRO($B$1,$H82,"STYLE")</f>
        <v>#NAME?</v>
      </c>
      <c r="J82" s="25" t="e">
        <f ca="1">_xll.EVPRO($B$1,$H82,"CALC")</f>
        <v>#NAME?</v>
      </c>
      <c r="K82" s="64" t="e">
        <f t="shared" ca="1" si="28"/>
        <v>#NAME?</v>
      </c>
      <c r="L82" s="24" t="e">
        <f ca="1">_xll.EVPRO($B$1,H82,"JDEID")</f>
        <v>#NAME?</v>
      </c>
      <c r="M82" s="24" t="e">
        <f ca="1">IF(AND(I82="N",J82="N"),_xll.EVPRO($B$1,H82,"PSFTID"),"")</f>
        <v>#NAME?</v>
      </c>
      <c r="N82" s="24" t="e">
        <f ca="1">IF(_xll.EVDES(H82,$B$1)="#NODATA","",_xll.EVDES(H82,$B$1))</f>
        <v>#NAME?</v>
      </c>
      <c r="O82" s="19">
        <v>3208.76</v>
      </c>
      <c r="P82" s="19">
        <v>6921.67</v>
      </c>
      <c r="Q82" s="19">
        <v>5807.18</v>
      </c>
      <c r="R82" s="19">
        <v>4649.59</v>
      </c>
      <c r="S82" s="19">
        <v>9769.61</v>
      </c>
      <c r="T82" s="19">
        <v>6333.16</v>
      </c>
      <c r="U82" s="19">
        <v>6381.16</v>
      </c>
      <c r="V82" s="19">
        <v>6179.46</v>
      </c>
      <c r="W82" s="19">
        <v>3964.49</v>
      </c>
      <c r="X82" s="19">
        <v>4308.32</v>
      </c>
      <c r="Y82" s="19">
        <v>4342.5</v>
      </c>
      <c r="Z82" s="19">
        <v>5655.77</v>
      </c>
      <c r="AA82" s="19" t="e">
        <f t="shared" ca="1" si="24"/>
        <v>#NAME?</v>
      </c>
      <c r="AB82" s="15" t="e">
        <f t="shared" ca="1" si="25"/>
        <v>#NAME?</v>
      </c>
      <c r="AD82" s="19">
        <v>49484.13</v>
      </c>
      <c r="AE82" s="15" t="str">
        <f t="shared" ca="1" si="26"/>
        <v/>
      </c>
      <c r="AF82" s="47" t="e">
        <f t="shared" ca="1" si="27"/>
        <v>#NAME?</v>
      </c>
      <c r="AG82" s="19">
        <v>51597.31</v>
      </c>
      <c r="AH82" s="15" t="str">
        <f t="shared" ca="1" si="29"/>
        <v/>
      </c>
      <c r="AI82" s="47" t="e">
        <f t="shared" ca="1" si="30"/>
        <v>#NAME?</v>
      </c>
      <c r="AJ82" s="322">
        <f t="shared" ca="1" si="31"/>
        <v>0</v>
      </c>
      <c r="AK82" s="323">
        <f t="shared" ca="1" si="32"/>
        <v>0</v>
      </c>
      <c r="AL82" s="125">
        <f t="shared" ca="1" si="33"/>
        <v>0</v>
      </c>
      <c r="AM82" s="324">
        <f t="shared" ca="1" si="34"/>
        <v>0</v>
      </c>
      <c r="AN82" s="125">
        <f t="shared" ca="1" si="35"/>
        <v>0</v>
      </c>
    </row>
    <row r="83" spans="1:40" x14ac:dyDescent="0.2">
      <c r="A83" s="6" t="s">
        <v>7</v>
      </c>
      <c r="B83" s="7"/>
      <c r="H83" s="10" t="s">
        <v>873</v>
      </c>
      <c r="I83" s="25" t="e">
        <f ca="1">_xll.EVPRO($B$1,$H83,"STYLE")</f>
        <v>#NAME?</v>
      </c>
      <c r="J83" s="25" t="e">
        <f ca="1">_xll.EVPRO($B$1,$H83,"CALC")</f>
        <v>#NAME?</v>
      </c>
      <c r="K83" s="64" t="e">
        <f t="shared" ca="1" si="28"/>
        <v>#NAME?</v>
      </c>
      <c r="L83" s="24" t="e">
        <f ca="1">_xll.EVPRO($B$1,H83,"JDEID")</f>
        <v>#NAME?</v>
      </c>
      <c r="M83" s="24" t="e">
        <f ca="1">IF(AND(I83="N",J83="N"),_xll.EVPRO($B$1,H83,"PSFTID"),"")</f>
        <v>#NAME?</v>
      </c>
      <c r="N83" s="24" t="e">
        <f ca="1">IF(_xll.EVDES(H83,$B$1)="#NODATA","",_xll.EVDES(H83,$B$1))</f>
        <v>#NAME?</v>
      </c>
      <c r="O83" s="19">
        <v>4905.1899999999996</v>
      </c>
      <c r="P83" s="19">
        <v>5087.9399999999996</v>
      </c>
      <c r="Q83" s="19">
        <v>4461.47</v>
      </c>
      <c r="R83" s="19">
        <v>6171.64</v>
      </c>
      <c r="S83" s="19">
        <v>6047.94</v>
      </c>
      <c r="T83" s="19">
        <v>7239.19</v>
      </c>
      <c r="U83" s="19">
        <v>7788.14</v>
      </c>
      <c r="V83" s="19">
        <v>5388.69</v>
      </c>
      <c r="W83" s="19">
        <v>6602.35</v>
      </c>
      <c r="X83" s="19">
        <v>7588.96</v>
      </c>
      <c r="Y83" s="19">
        <v>8100.6</v>
      </c>
      <c r="Z83" s="19">
        <v>15397.58</v>
      </c>
      <c r="AA83" s="19" t="e">
        <f t="shared" ca="1" si="24"/>
        <v>#NAME?</v>
      </c>
      <c r="AB83" s="15" t="e">
        <f t="shared" ca="1" si="25"/>
        <v>#NAME?</v>
      </c>
      <c r="AD83" s="19">
        <v>57530.33</v>
      </c>
      <c r="AE83" s="15" t="str">
        <f t="shared" ca="1" si="26"/>
        <v/>
      </c>
      <c r="AF83" s="47" t="e">
        <f t="shared" ca="1" si="27"/>
        <v>#NAME?</v>
      </c>
      <c r="AG83" s="19">
        <v>55556.97</v>
      </c>
      <c r="AH83" s="15" t="str">
        <f t="shared" ca="1" si="29"/>
        <v/>
      </c>
      <c r="AI83" s="47" t="e">
        <f t="shared" ca="1" si="30"/>
        <v>#NAME?</v>
      </c>
      <c r="AJ83" s="322">
        <f t="shared" ca="1" si="31"/>
        <v>0</v>
      </c>
      <c r="AK83" s="323">
        <f t="shared" ca="1" si="32"/>
        <v>0</v>
      </c>
      <c r="AL83" s="125">
        <f t="shared" ca="1" si="33"/>
        <v>0</v>
      </c>
      <c r="AM83" s="324">
        <f t="shared" ca="1" si="34"/>
        <v>0</v>
      </c>
      <c r="AN83" s="125">
        <f t="shared" ca="1" si="35"/>
        <v>0</v>
      </c>
    </row>
    <row r="84" spans="1:40" x14ac:dyDescent="0.2">
      <c r="A84" s="6" t="s">
        <v>47</v>
      </c>
      <c r="B84" s="7" t="e">
        <f ca="1">_xll.EVRNG($A$89:$B$110)</f>
        <v>#NAME?</v>
      </c>
      <c r="H84" s="10" t="s">
        <v>874</v>
      </c>
      <c r="I84" s="25" t="e">
        <f ca="1">_xll.EVPRO($B$1,$H84,"STYLE")</f>
        <v>#NAME?</v>
      </c>
      <c r="J84" s="25" t="e">
        <f ca="1">_xll.EVPRO($B$1,$H84,"CALC")</f>
        <v>#NAME?</v>
      </c>
      <c r="K84" s="64" t="e">
        <f t="shared" ca="1" si="28"/>
        <v>#NAME?</v>
      </c>
      <c r="L84" s="24" t="e">
        <f ca="1">_xll.EVPRO($B$1,H84,"JDEID")</f>
        <v>#NAME?</v>
      </c>
      <c r="M84" s="24" t="e">
        <f ca="1">IF(AND(I84="N",J84="N"),_xll.EVPRO($B$1,H84,"PSFTID"),"")</f>
        <v>#NAME?</v>
      </c>
      <c r="N84" s="24" t="e">
        <f ca="1">IF(_xll.EVDES(H84,$B$1)="#NODATA","",_xll.EVDES(H84,$B$1))</f>
        <v>#NAME?</v>
      </c>
      <c r="O84" s="19"/>
      <c r="P84" s="19"/>
      <c r="Q84" s="19"/>
      <c r="R84" s="19"/>
      <c r="S84" s="19"/>
      <c r="T84" s="19"/>
      <c r="U84" s="19"/>
      <c r="V84" s="19">
        <v>1200</v>
      </c>
      <c r="W84" s="19"/>
      <c r="X84" s="19"/>
      <c r="Y84" s="19"/>
      <c r="Z84" s="19"/>
      <c r="AA84" s="19" t="e">
        <f t="shared" ca="1" si="24"/>
        <v>#NAME?</v>
      </c>
      <c r="AB84" s="15" t="e">
        <f t="shared" ca="1" si="25"/>
        <v>#NAME?</v>
      </c>
      <c r="AD84" s="19"/>
      <c r="AE84" s="15" t="str">
        <f t="shared" si="26"/>
        <v/>
      </c>
      <c r="AF84" s="47" t="e">
        <f t="shared" ca="1" si="27"/>
        <v>#NAME?</v>
      </c>
      <c r="AG84" s="19">
        <v>22.23</v>
      </c>
      <c r="AH84" s="15" t="str">
        <f t="shared" ca="1" si="29"/>
        <v/>
      </c>
      <c r="AI84" s="47" t="e">
        <f t="shared" ca="1" si="30"/>
        <v>#NAME?</v>
      </c>
      <c r="AJ84" s="322">
        <f t="shared" ca="1" si="31"/>
        <v>0</v>
      </c>
      <c r="AK84" s="323">
        <f t="shared" ca="1" si="32"/>
        <v>0</v>
      </c>
      <c r="AL84" s="125">
        <f t="shared" ca="1" si="33"/>
        <v>0</v>
      </c>
      <c r="AM84" s="324">
        <f t="shared" ca="1" si="34"/>
        <v>0</v>
      </c>
      <c r="AN84" s="125">
        <f t="shared" ca="1" si="35"/>
        <v>0</v>
      </c>
    </row>
    <row r="85" spans="1:40" x14ac:dyDescent="0.2">
      <c r="A85" s="6" t="s">
        <v>8</v>
      </c>
      <c r="B85" s="7"/>
      <c r="H85" s="10" t="s">
        <v>875</v>
      </c>
      <c r="I85" s="25" t="e">
        <f ca="1">_xll.EVPRO($B$1,$H85,"STYLE")</f>
        <v>#NAME?</v>
      </c>
      <c r="J85" s="25" t="e">
        <f ca="1">_xll.EVPRO($B$1,$H85,"CALC")</f>
        <v>#NAME?</v>
      </c>
      <c r="K85" s="64" t="e">
        <f t="shared" ca="1" si="28"/>
        <v>#NAME?</v>
      </c>
      <c r="L85" s="24" t="e">
        <f ca="1">_xll.EVPRO($B$1,H85,"JDEID")</f>
        <v>#NAME?</v>
      </c>
      <c r="M85" s="24" t="e">
        <f ca="1">IF(AND(I85="N",J85="N"),_xll.EVPRO($B$1,H85,"PSFTID"),"")</f>
        <v>#NAME?</v>
      </c>
      <c r="N85" s="24" t="e">
        <f ca="1">IF(_xll.EVDES(H85,$B$1)="#NODATA","",_xll.EVDES(H85,$B$1))</f>
        <v>#NAME?</v>
      </c>
      <c r="O85" s="19">
        <v>500</v>
      </c>
      <c r="P85" s="19">
        <v>-500</v>
      </c>
      <c r="Q85" s="19"/>
      <c r="R85" s="19"/>
      <c r="S85" s="19"/>
      <c r="T85" s="19"/>
      <c r="U85" s="19">
        <v>328.54</v>
      </c>
      <c r="V85" s="19">
        <v>0.43</v>
      </c>
      <c r="W85" s="19"/>
      <c r="X85" s="19">
        <v>500</v>
      </c>
      <c r="Y85" s="19">
        <v>500</v>
      </c>
      <c r="Z85" s="19"/>
      <c r="AA85" s="19" t="e">
        <f t="shared" ca="1" si="24"/>
        <v>#NAME?</v>
      </c>
      <c r="AB85" s="15" t="e">
        <f t="shared" ca="1" si="25"/>
        <v>#NAME?</v>
      </c>
      <c r="AD85" s="19">
        <v>3000</v>
      </c>
      <c r="AE85" s="15" t="str">
        <f t="shared" ca="1" si="26"/>
        <v/>
      </c>
      <c r="AF85" s="47" t="e">
        <f t="shared" ca="1" si="27"/>
        <v>#NAME?</v>
      </c>
      <c r="AG85" s="19">
        <v>440.18</v>
      </c>
      <c r="AH85" s="15" t="str">
        <f t="shared" ca="1" si="29"/>
        <v/>
      </c>
      <c r="AI85" s="47" t="e">
        <f t="shared" ca="1" si="30"/>
        <v>#NAME?</v>
      </c>
      <c r="AJ85" s="322">
        <f t="shared" ca="1" si="31"/>
        <v>0</v>
      </c>
      <c r="AK85" s="323">
        <f t="shared" ca="1" si="32"/>
        <v>0</v>
      </c>
      <c r="AL85" s="125">
        <f t="shared" ca="1" si="33"/>
        <v>0</v>
      </c>
      <c r="AM85" s="324">
        <f t="shared" ca="1" si="34"/>
        <v>0</v>
      </c>
      <c r="AN85" s="125">
        <f t="shared" ca="1" si="35"/>
        <v>0</v>
      </c>
    </row>
    <row r="86" spans="1:40" x14ac:dyDescent="0.2">
      <c r="H86" s="10" t="s">
        <v>836</v>
      </c>
      <c r="I86" s="25" t="e">
        <f ca="1">_xll.EVPRO($B$1,$H86,"STYLE")</f>
        <v>#NAME?</v>
      </c>
      <c r="J86" s="25" t="e">
        <f ca="1">_xll.EVPRO($B$1,$H86,"CALC")</f>
        <v>#NAME?</v>
      </c>
      <c r="K86" s="64" t="e">
        <f t="shared" ca="1" si="28"/>
        <v>#NAME?</v>
      </c>
      <c r="L86" s="24" t="e">
        <f ca="1">_xll.EVPRO($B$1,H86,"JDEID")</f>
        <v>#NAME?</v>
      </c>
      <c r="M86" s="24" t="e">
        <f ca="1">IF(AND(I86="N",J86="N"),_xll.EVPRO($B$1,H86,"PSFTID"),"")</f>
        <v>#NAME?</v>
      </c>
      <c r="N86" s="24" t="e">
        <f ca="1">IF(_xll.EVDES(H86,$B$1)="#NODATA","",_xll.EVDES(H86,$B$1))</f>
        <v>#NAME?</v>
      </c>
      <c r="O86" s="19">
        <v>624.66</v>
      </c>
      <c r="P86" s="19">
        <v>388.35</v>
      </c>
      <c r="Q86" s="19">
        <v>288.35000000000002</v>
      </c>
      <c r="R86" s="19">
        <v>574.52</v>
      </c>
      <c r="S86" s="19">
        <v>356.6</v>
      </c>
      <c r="T86" s="19">
        <v>333.02</v>
      </c>
      <c r="U86" s="19">
        <v>368</v>
      </c>
      <c r="V86" s="19">
        <v>312.31</v>
      </c>
      <c r="W86" s="19">
        <v>340.25</v>
      </c>
      <c r="X86" s="19">
        <v>515.37</v>
      </c>
      <c r="Y86" s="19">
        <v>448.41</v>
      </c>
      <c r="Z86" s="19">
        <v>239.27</v>
      </c>
      <c r="AA86" s="19" t="e">
        <f t="shared" ca="1" si="24"/>
        <v>#NAME?</v>
      </c>
      <c r="AB86" s="15" t="e">
        <f t="shared" ca="1" si="25"/>
        <v>#NAME?</v>
      </c>
      <c r="AD86" s="19">
        <v>4023.1</v>
      </c>
      <c r="AE86" s="15" t="str">
        <f t="shared" ca="1" si="26"/>
        <v/>
      </c>
      <c r="AF86" s="47" t="e">
        <f t="shared" ca="1" si="27"/>
        <v>#NAME?</v>
      </c>
      <c r="AG86" s="19">
        <v>3869.62</v>
      </c>
      <c r="AH86" s="15" t="str">
        <f t="shared" ca="1" si="29"/>
        <v/>
      </c>
      <c r="AI86" s="47" t="e">
        <f t="shared" ca="1" si="30"/>
        <v>#NAME?</v>
      </c>
      <c r="AJ86" s="322">
        <f t="shared" ca="1" si="31"/>
        <v>0</v>
      </c>
      <c r="AK86" s="323">
        <f t="shared" ca="1" si="32"/>
        <v>0</v>
      </c>
      <c r="AL86" s="125">
        <f t="shared" ca="1" si="33"/>
        <v>0</v>
      </c>
      <c r="AM86" s="324">
        <f t="shared" ca="1" si="34"/>
        <v>0</v>
      </c>
      <c r="AN86" s="125">
        <f t="shared" ca="1" si="35"/>
        <v>0</v>
      </c>
    </row>
    <row r="87" spans="1:40" x14ac:dyDescent="0.2">
      <c r="H87" s="10" t="s">
        <v>876</v>
      </c>
      <c r="I87" s="25" t="e">
        <f ca="1">_xll.EVPRO($B$1,$H87,"STYLE")</f>
        <v>#NAME?</v>
      </c>
      <c r="J87" s="25" t="e">
        <f ca="1">_xll.EVPRO($B$1,$H87,"CALC")</f>
        <v>#NAME?</v>
      </c>
      <c r="K87" s="64" t="e">
        <f t="shared" ca="1" si="28"/>
        <v>#NAME?</v>
      </c>
      <c r="L87" s="24" t="e">
        <f ca="1">_xll.EVPRO($B$1,H87,"JDEID")</f>
        <v>#NAME?</v>
      </c>
      <c r="M87" s="24" t="e">
        <f ca="1">IF(AND(I87="N",J87="N"),_xll.EVPRO($B$1,H87,"PSFTID"),"")</f>
        <v>#NAME?</v>
      </c>
      <c r="N87" s="24" t="e">
        <f ca="1">IF(_xll.EVDES(H87,$B$1)="#NODATA","",_xll.EVDES(H87,$B$1))</f>
        <v>#NAME?</v>
      </c>
      <c r="O87" s="19">
        <v>5490.13</v>
      </c>
      <c r="P87" s="19">
        <v>7331.27</v>
      </c>
      <c r="Q87" s="19">
        <v>4583.5200000000004</v>
      </c>
      <c r="R87" s="19">
        <v>5976.55</v>
      </c>
      <c r="S87" s="19">
        <v>4417.04</v>
      </c>
      <c r="T87" s="19">
        <v>4563.7700000000004</v>
      </c>
      <c r="U87" s="19">
        <v>5182.53</v>
      </c>
      <c r="V87" s="19">
        <v>5019.3900000000003</v>
      </c>
      <c r="W87" s="19">
        <v>3496</v>
      </c>
      <c r="X87" s="19">
        <v>2172.36</v>
      </c>
      <c r="Y87" s="19">
        <v>8330.2900000000009</v>
      </c>
      <c r="Z87" s="19">
        <v>7658.28</v>
      </c>
      <c r="AA87" s="19" t="e">
        <f t="shared" ca="1" si="24"/>
        <v>#NAME?</v>
      </c>
      <c r="AB87" s="15" t="e">
        <f t="shared" ca="1" si="25"/>
        <v>#NAME?</v>
      </c>
      <c r="AD87" s="19">
        <v>16800</v>
      </c>
      <c r="AE87" s="15" t="str">
        <f t="shared" ca="1" si="26"/>
        <v/>
      </c>
      <c r="AF87" s="47" t="e">
        <f t="shared" ca="1" si="27"/>
        <v>#NAME?</v>
      </c>
      <c r="AG87" s="19">
        <v>75311.429999999993</v>
      </c>
      <c r="AH87" s="15" t="str">
        <f t="shared" ca="1" si="29"/>
        <v/>
      </c>
      <c r="AI87" s="47" t="e">
        <f t="shared" ca="1" si="30"/>
        <v>#NAME?</v>
      </c>
      <c r="AJ87" s="322">
        <f t="shared" ca="1" si="31"/>
        <v>0</v>
      </c>
      <c r="AK87" s="323">
        <f t="shared" ca="1" si="32"/>
        <v>0</v>
      </c>
      <c r="AL87" s="125">
        <f t="shared" ca="1" si="33"/>
        <v>0</v>
      </c>
      <c r="AM87" s="324">
        <f t="shared" ca="1" si="34"/>
        <v>0</v>
      </c>
      <c r="AN87" s="125">
        <f t="shared" ca="1" si="35"/>
        <v>0</v>
      </c>
    </row>
    <row r="88" spans="1:40" x14ac:dyDescent="0.2">
      <c r="A88" s="3" t="s">
        <v>23</v>
      </c>
      <c r="B88" s="5" t="s">
        <v>24</v>
      </c>
      <c r="H88" s="10" t="s">
        <v>935</v>
      </c>
      <c r="I88" s="25" t="e">
        <f ca="1">_xll.EVPRO($B$1,$H88,"STYLE")</f>
        <v>#NAME?</v>
      </c>
      <c r="J88" s="25" t="e">
        <f ca="1">_xll.EVPRO($B$1,$H88,"CALC")</f>
        <v>#NAME?</v>
      </c>
      <c r="K88" s="64" t="e">
        <f t="shared" ca="1" si="28"/>
        <v>#NAME?</v>
      </c>
      <c r="L88" s="24" t="e">
        <f ca="1">_xll.EVPRO($B$1,H88,"JDEID")</f>
        <v>#NAME?</v>
      </c>
      <c r="M88" s="24" t="e">
        <f ca="1">IF(AND(I88="N",J88="N"),_xll.EVPRO($B$1,H88,"PSFTID"),"")</f>
        <v>#NAME?</v>
      </c>
      <c r="N88" s="24" t="e">
        <f ca="1">IF(_xll.EVDES(H88,$B$1)="#NODATA","",_xll.EVDES(H88,$B$1))</f>
        <v>#NAME?</v>
      </c>
      <c r="O88" s="19">
        <v>2423.69</v>
      </c>
      <c r="P88" s="19">
        <v>2423.69</v>
      </c>
      <c r="Q88" s="19">
        <v>2423.69</v>
      </c>
      <c r="R88" s="19">
        <v>2423.69</v>
      </c>
      <c r="S88" s="19">
        <v>2423.69</v>
      </c>
      <c r="T88" s="19">
        <v>2423.69</v>
      </c>
      <c r="U88" s="19">
        <v>2424.1999999999998</v>
      </c>
      <c r="V88" s="19">
        <v>2423.69</v>
      </c>
      <c r="W88" s="19">
        <v>2399.27</v>
      </c>
      <c r="X88" s="19">
        <v>2482.9499999999998</v>
      </c>
      <c r="Y88" s="19">
        <v>2482.9499999999998</v>
      </c>
      <c r="Z88" s="19">
        <v>2481.9499999999998</v>
      </c>
      <c r="AA88" s="19" t="e">
        <f t="shared" ca="1" si="24"/>
        <v>#NAME?</v>
      </c>
      <c r="AB88" s="15" t="e">
        <f t="shared" ca="1" si="25"/>
        <v>#NAME?</v>
      </c>
      <c r="AD88" s="19">
        <v>29400.934499999999</v>
      </c>
      <c r="AE88" s="15" t="str">
        <f t="shared" ca="1" si="26"/>
        <v/>
      </c>
      <c r="AF88" s="47" t="e">
        <f t="shared" ca="1" si="27"/>
        <v>#NAME?</v>
      </c>
      <c r="AG88" s="19">
        <v>28574.49</v>
      </c>
      <c r="AH88" s="15" t="str">
        <f t="shared" ca="1" si="29"/>
        <v/>
      </c>
      <c r="AI88" s="47" t="e">
        <f t="shared" ca="1" si="30"/>
        <v>#NAME?</v>
      </c>
      <c r="AJ88" s="322">
        <f t="shared" ca="1" si="31"/>
        <v>0</v>
      </c>
      <c r="AK88" s="323">
        <f t="shared" ca="1" si="32"/>
        <v>0</v>
      </c>
      <c r="AL88" s="125">
        <f t="shared" ca="1" si="33"/>
        <v>0</v>
      </c>
      <c r="AM88" s="324">
        <f t="shared" ca="1" si="34"/>
        <v>0</v>
      </c>
      <c r="AN88" s="125">
        <f t="shared" ca="1" si="35"/>
        <v>0</v>
      </c>
    </row>
    <row r="89" spans="1:40" x14ac:dyDescent="0.2">
      <c r="A89" s="6" t="s">
        <v>25</v>
      </c>
      <c r="B89" s="7"/>
      <c r="H89" s="10" t="s">
        <v>936</v>
      </c>
      <c r="I89" s="25" t="e">
        <f ca="1">_xll.EVPRO($B$1,$H89,"STYLE")</f>
        <v>#NAME?</v>
      </c>
      <c r="J89" s="25" t="e">
        <f ca="1">_xll.EVPRO($B$1,$H89,"CALC")</f>
        <v>#NAME?</v>
      </c>
      <c r="K89" s="64" t="e">
        <f t="shared" ca="1" si="28"/>
        <v>#NAME?</v>
      </c>
      <c r="L89" s="24" t="e">
        <f ca="1">_xll.EVPRO($B$1,H89,"JDEID")</f>
        <v>#NAME?</v>
      </c>
      <c r="M89" s="24" t="e">
        <f ca="1">IF(AND(I89="N",J89="N"),_xll.EVPRO($B$1,H89,"PSFTID"),"")</f>
        <v>#NAME?</v>
      </c>
      <c r="N89" s="24" t="e">
        <f ca="1">IF(_xll.EVDES(H89,$B$1)="#NODATA","",_xll.EVDES(H89,$B$1))</f>
        <v>#NAME?</v>
      </c>
      <c r="O89" s="19">
        <v>45200.83</v>
      </c>
      <c r="P89" s="19">
        <v>37310.82</v>
      </c>
      <c r="Q89" s="19">
        <v>46129</v>
      </c>
      <c r="R89" s="19">
        <v>48857.42</v>
      </c>
      <c r="S89" s="19">
        <v>44994.29</v>
      </c>
      <c r="T89" s="19">
        <v>25909.65</v>
      </c>
      <c r="U89" s="19">
        <v>23883.52</v>
      </c>
      <c r="V89" s="19">
        <v>28872.79</v>
      </c>
      <c r="W89" s="19">
        <v>18227.54</v>
      </c>
      <c r="X89" s="19">
        <v>19450.09</v>
      </c>
      <c r="Y89" s="19">
        <v>28363.9</v>
      </c>
      <c r="Z89" s="19">
        <v>37444.050000000003</v>
      </c>
      <c r="AA89" s="19" t="e">
        <f t="shared" ca="1" si="24"/>
        <v>#NAME?</v>
      </c>
      <c r="AB89" s="15" t="e">
        <f t="shared" ca="1" si="25"/>
        <v>#NAME?</v>
      </c>
      <c r="AD89" s="19">
        <v>415312.18427000003</v>
      </c>
      <c r="AE89" s="15" t="str">
        <f t="shared" ca="1" si="26"/>
        <v/>
      </c>
      <c r="AF89" s="47" t="e">
        <f t="shared" ca="1" si="27"/>
        <v>#NAME?</v>
      </c>
      <c r="AG89" s="19">
        <v>424577.86</v>
      </c>
      <c r="AH89" s="15" t="str">
        <f t="shared" ca="1" si="29"/>
        <v/>
      </c>
      <c r="AI89" s="47" t="e">
        <f t="shared" ca="1" si="30"/>
        <v>#NAME?</v>
      </c>
      <c r="AJ89" s="322">
        <f t="shared" ca="1" si="31"/>
        <v>0</v>
      </c>
      <c r="AK89" s="323">
        <f t="shared" ca="1" si="32"/>
        <v>0</v>
      </c>
      <c r="AL89" s="125">
        <f t="shared" ca="1" si="33"/>
        <v>0</v>
      </c>
      <c r="AM89" s="324">
        <f t="shared" ca="1" si="34"/>
        <v>0</v>
      </c>
      <c r="AN89" s="125">
        <f t="shared" ca="1" si="35"/>
        <v>0</v>
      </c>
    </row>
    <row r="90" spans="1:40" x14ac:dyDescent="0.2">
      <c r="A90" s="6" t="s">
        <v>26</v>
      </c>
      <c r="B90" s="7"/>
      <c r="H90" s="10" t="s">
        <v>937</v>
      </c>
      <c r="I90" s="25" t="e">
        <f ca="1">_xll.EVPRO($B$1,$H90,"STYLE")</f>
        <v>#NAME?</v>
      </c>
      <c r="J90" s="25" t="e">
        <f ca="1">_xll.EVPRO($B$1,$H90,"CALC")</f>
        <v>#NAME?</v>
      </c>
      <c r="K90" s="64" t="e">
        <f t="shared" ca="1" si="28"/>
        <v>#NAME?</v>
      </c>
      <c r="L90" s="24" t="e">
        <f ca="1">_xll.EVPRO($B$1,H90,"JDEID")</f>
        <v>#NAME?</v>
      </c>
      <c r="M90" s="24" t="e">
        <f ca="1">IF(AND(I90="N",J90="N"),_xll.EVPRO($B$1,H90,"PSFTID"),"")</f>
        <v>#NAME?</v>
      </c>
      <c r="N90" s="24" t="e">
        <f ca="1">IF(_xll.EVDES(H90,$B$1)="#NODATA","",_xll.EVDES(H90,$B$1))</f>
        <v>#NAME?</v>
      </c>
      <c r="O90" s="19">
        <v>8148.2</v>
      </c>
      <c r="P90" s="19">
        <v>13676.22</v>
      </c>
      <c r="Q90" s="19">
        <v>4913.71</v>
      </c>
      <c r="R90" s="19">
        <v>9039.5</v>
      </c>
      <c r="S90" s="19">
        <v>11466.91</v>
      </c>
      <c r="T90" s="19">
        <v>751.76</v>
      </c>
      <c r="U90" s="19">
        <v>697.47</v>
      </c>
      <c r="V90" s="19">
        <v>59.5</v>
      </c>
      <c r="W90" s="19">
        <v>10118.540000000001</v>
      </c>
      <c r="X90" s="19">
        <v>3050.82</v>
      </c>
      <c r="Y90" s="19">
        <v>3543.9</v>
      </c>
      <c r="Z90" s="19">
        <v>6332.6</v>
      </c>
      <c r="AA90" s="19" t="e">
        <f t="shared" ca="1" si="24"/>
        <v>#NAME?</v>
      </c>
      <c r="AB90" s="15" t="e">
        <f t="shared" ca="1" si="25"/>
        <v>#NAME?</v>
      </c>
      <c r="AD90" s="19">
        <v>28913.477999999999</v>
      </c>
      <c r="AE90" s="15" t="str">
        <f t="shared" ca="1" si="26"/>
        <v/>
      </c>
      <c r="AF90" s="47" t="e">
        <f t="shared" ca="1" si="27"/>
        <v>#NAME?</v>
      </c>
      <c r="AG90" s="19">
        <v>35909.199999999997</v>
      </c>
      <c r="AH90" s="15" t="str">
        <f t="shared" ca="1" si="29"/>
        <v/>
      </c>
      <c r="AI90" s="47" t="e">
        <f t="shared" ca="1" si="30"/>
        <v>#NAME?</v>
      </c>
      <c r="AJ90" s="322">
        <f t="shared" ca="1" si="31"/>
        <v>0</v>
      </c>
      <c r="AK90" s="323">
        <f t="shared" ca="1" si="32"/>
        <v>0</v>
      </c>
      <c r="AL90" s="125">
        <f t="shared" ca="1" si="33"/>
        <v>0</v>
      </c>
      <c r="AM90" s="324">
        <f t="shared" ca="1" si="34"/>
        <v>0</v>
      </c>
      <c r="AN90" s="125">
        <f t="shared" ca="1" si="35"/>
        <v>0</v>
      </c>
    </row>
    <row r="91" spans="1:40" x14ac:dyDescent="0.2">
      <c r="A91" s="6" t="s">
        <v>27</v>
      </c>
      <c r="B91" s="7"/>
      <c r="H91" s="10" t="s">
        <v>938</v>
      </c>
      <c r="I91" s="25" t="e">
        <f ca="1">_xll.EVPRO($B$1,$H91,"STYLE")</f>
        <v>#NAME?</v>
      </c>
      <c r="J91" s="25" t="e">
        <f ca="1">_xll.EVPRO($B$1,$H91,"CALC")</f>
        <v>#NAME?</v>
      </c>
      <c r="K91" s="64" t="e">
        <f t="shared" ca="1" si="28"/>
        <v>#NAME?</v>
      </c>
      <c r="L91" s="24" t="e">
        <f ca="1">_xll.EVPRO($B$1,H91,"JDEID")</f>
        <v>#NAME?</v>
      </c>
      <c r="M91" s="24" t="e">
        <f ca="1">IF(AND(I91="N",J91="N"),_xll.EVPRO($B$1,H91,"PSFTID"),"")</f>
        <v>#NAME?</v>
      </c>
      <c r="N91" s="24" t="e">
        <f ca="1">IF(_xll.EVDES(H91,$B$1)="#NODATA","",_xll.EVDES(H91,$B$1))</f>
        <v>#NAME?</v>
      </c>
      <c r="O91" s="19">
        <v>535.62</v>
      </c>
      <c r="P91" s="19">
        <v>1505.94</v>
      </c>
      <c r="Q91" s="19"/>
      <c r="R91" s="19"/>
      <c r="S91" s="19">
        <v>1796.64</v>
      </c>
      <c r="T91" s="19"/>
      <c r="U91" s="19"/>
      <c r="V91" s="19"/>
      <c r="W91" s="19"/>
      <c r="X91" s="19"/>
      <c r="Y91" s="19"/>
      <c r="Z91" s="19"/>
      <c r="AA91" s="19" t="e">
        <f t="shared" ca="1" si="24"/>
        <v>#NAME?</v>
      </c>
      <c r="AB91" s="15" t="e">
        <f t="shared" ca="1" si="25"/>
        <v>#NAME?</v>
      </c>
      <c r="AD91" s="19">
        <v>2413.86</v>
      </c>
      <c r="AE91" s="15" t="str">
        <f t="shared" ca="1" si="26"/>
        <v/>
      </c>
      <c r="AF91" s="47" t="e">
        <f t="shared" ca="1" si="27"/>
        <v>#NAME?</v>
      </c>
      <c r="AG91" s="19">
        <v>2079.14</v>
      </c>
      <c r="AH91" s="15" t="str">
        <f t="shared" ca="1" si="29"/>
        <v/>
      </c>
      <c r="AI91" s="47" t="e">
        <f t="shared" ca="1" si="30"/>
        <v>#NAME?</v>
      </c>
      <c r="AJ91" s="322">
        <f t="shared" ca="1" si="31"/>
        <v>0</v>
      </c>
      <c r="AK91" s="323">
        <f t="shared" ca="1" si="32"/>
        <v>0</v>
      </c>
      <c r="AL91" s="125">
        <f t="shared" ca="1" si="33"/>
        <v>0</v>
      </c>
      <c r="AM91" s="324">
        <f t="shared" ca="1" si="34"/>
        <v>0</v>
      </c>
      <c r="AN91" s="125">
        <f t="shared" ca="1" si="35"/>
        <v>0</v>
      </c>
    </row>
    <row r="92" spans="1:40" x14ac:dyDescent="0.2">
      <c r="A92" s="6" t="s">
        <v>28</v>
      </c>
      <c r="B92" s="7"/>
      <c r="H92" s="10" t="s">
        <v>845</v>
      </c>
      <c r="I92" s="25" t="e">
        <f ca="1">_xll.EVPRO($B$1,$H92,"STYLE")</f>
        <v>#NAME?</v>
      </c>
      <c r="J92" s="25" t="e">
        <f ca="1">_xll.EVPRO($B$1,$H92,"CALC")</f>
        <v>#NAME?</v>
      </c>
      <c r="K92" s="64" t="e">
        <f t="shared" ca="1" si="28"/>
        <v>#NAME?</v>
      </c>
      <c r="L92" s="24" t="e">
        <f ca="1">_xll.EVPRO($B$1,H92,"JDEID")</f>
        <v>#NAME?</v>
      </c>
      <c r="M92" s="24" t="e">
        <f ca="1">IF(AND(I92="N",J92="N"),_xll.EVPRO($B$1,H92,"PSFTID"),"")</f>
        <v>#NAME?</v>
      </c>
      <c r="N92" s="24" t="e">
        <f ca="1">IF(_xll.EVDES(H92,$B$1)="#NODATA","",_xll.EVDES(H92,$B$1))</f>
        <v>#NAME?</v>
      </c>
      <c r="O92" s="19"/>
      <c r="P92" s="19"/>
      <c r="Q92" s="19"/>
      <c r="R92" s="19"/>
      <c r="S92" s="19"/>
      <c r="T92" s="19"/>
      <c r="U92" s="19"/>
      <c r="V92" s="19"/>
      <c r="W92" s="19"/>
      <c r="X92" s="19"/>
      <c r="Y92" s="19">
        <v>0.01</v>
      </c>
      <c r="Z92" s="19"/>
      <c r="AA92" s="19" t="e">
        <f t="shared" ca="1" si="24"/>
        <v>#NAME?</v>
      </c>
      <c r="AB92" s="15" t="e">
        <f t="shared" ca="1" si="25"/>
        <v>#NAME?</v>
      </c>
      <c r="AD92" s="19"/>
      <c r="AE92" s="15" t="str">
        <f t="shared" si="26"/>
        <v/>
      </c>
      <c r="AF92" s="47" t="e">
        <f t="shared" ca="1" si="27"/>
        <v>#NAME?</v>
      </c>
      <c r="AG92" s="19"/>
      <c r="AH92" s="15" t="str">
        <f t="shared" si="29"/>
        <v/>
      </c>
      <c r="AI92" s="47" t="e">
        <f t="shared" ca="1" si="30"/>
        <v>#NAME?</v>
      </c>
      <c r="AJ92" s="322">
        <f t="shared" ca="1" si="31"/>
        <v>0</v>
      </c>
      <c r="AK92" s="323">
        <f t="shared" ca="1" si="32"/>
        <v>0</v>
      </c>
      <c r="AL92" s="125">
        <f t="shared" ca="1" si="33"/>
        <v>0</v>
      </c>
      <c r="AM92" s="324">
        <f t="shared" ca="1" si="34"/>
        <v>0</v>
      </c>
      <c r="AN92" s="125">
        <f t="shared" ca="1" si="35"/>
        <v>0</v>
      </c>
    </row>
    <row r="93" spans="1:40" x14ac:dyDescent="0.2">
      <c r="A93" s="6" t="s">
        <v>29</v>
      </c>
      <c r="B93" s="7"/>
      <c r="H93" s="10" t="s">
        <v>846</v>
      </c>
      <c r="I93" s="25" t="e">
        <f ca="1">_xll.EVPRO($B$1,$H93,"STYLE")</f>
        <v>#NAME?</v>
      </c>
      <c r="J93" s="25" t="e">
        <f ca="1">_xll.EVPRO($B$1,$H93,"CALC")</f>
        <v>#NAME?</v>
      </c>
      <c r="K93" s="64" t="e">
        <f t="shared" ca="1" si="28"/>
        <v>#NAME?</v>
      </c>
      <c r="L93" s="24" t="e">
        <f ca="1">_xll.EVPRO($B$1,H93,"JDEID")</f>
        <v>#NAME?</v>
      </c>
      <c r="M93" s="24" t="e">
        <f ca="1">IF(AND(I93="N",J93="N"),_xll.EVPRO($B$1,H93,"PSFTID"),"")</f>
        <v>#NAME?</v>
      </c>
      <c r="N93" s="24" t="e">
        <f ca="1">IF(_xll.EVDES(H93,$B$1)="#NODATA","",_xll.EVDES(H93,$B$1))</f>
        <v>#NAME?</v>
      </c>
      <c r="O93" s="19">
        <v>10507.59</v>
      </c>
      <c r="P93" s="19">
        <v>12274.22</v>
      </c>
      <c r="Q93" s="19">
        <v>12056.13</v>
      </c>
      <c r="R93" s="19">
        <v>9158.99</v>
      </c>
      <c r="S93" s="19">
        <v>8153.12</v>
      </c>
      <c r="T93" s="19">
        <v>5310.31</v>
      </c>
      <c r="U93" s="19">
        <v>5412.37</v>
      </c>
      <c r="V93" s="19">
        <v>4807.1000000000004</v>
      </c>
      <c r="W93" s="19">
        <v>4210.55</v>
      </c>
      <c r="X93" s="19">
        <v>6102.22</v>
      </c>
      <c r="Y93" s="19">
        <v>6952.69</v>
      </c>
      <c r="Z93" s="19">
        <v>10470.18</v>
      </c>
      <c r="AA93" s="19" t="e">
        <f t="shared" ca="1" si="24"/>
        <v>#NAME?</v>
      </c>
      <c r="AB93" s="15" t="e">
        <f t="shared" ca="1" si="25"/>
        <v>#NAME?</v>
      </c>
      <c r="AD93" s="19">
        <v>99855.718200000003</v>
      </c>
      <c r="AE93" s="15" t="str">
        <f t="shared" ca="1" si="26"/>
        <v/>
      </c>
      <c r="AF93" s="47" t="e">
        <f t="shared" ca="1" si="27"/>
        <v>#NAME?</v>
      </c>
      <c r="AG93" s="19">
        <v>100166.42</v>
      </c>
      <c r="AH93" s="15" t="str">
        <f t="shared" ca="1" si="29"/>
        <v/>
      </c>
      <c r="AI93" s="47" t="e">
        <f t="shared" ca="1" si="30"/>
        <v>#NAME?</v>
      </c>
      <c r="AJ93" s="322">
        <f t="shared" ca="1" si="31"/>
        <v>0</v>
      </c>
      <c r="AK93" s="323">
        <f t="shared" ca="1" si="32"/>
        <v>0</v>
      </c>
      <c r="AL93" s="125">
        <f t="shared" ca="1" si="33"/>
        <v>0</v>
      </c>
      <c r="AM93" s="324">
        <f t="shared" ca="1" si="34"/>
        <v>0</v>
      </c>
      <c r="AN93" s="125">
        <f t="shared" ca="1" si="35"/>
        <v>0</v>
      </c>
    </row>
    <row r="94" spans="1:40" x14ac:dyDescent="0.2">
      <c r="A94" s="6" t="s">
        <v>30</v>
      </c>
      <c r="B94" s="7" t="s">
        <v>78</v>
      </c>
      <c r="H94" s="10" t="s">
        <v>77</v>
      </c>
      <c r="I94" s="25" t="e">
        <f ca="1">_xll.EVPRO($B$1,$H94,"STYLE")</f>
        <v>#NAME?</v>
      </c>
      <c r="J94" s="25" t="e">
        <f ca="1">_xll.EVPRO($B$1,$H94,"CALC")</f>
        <v>#NAME?</v>
      </c>
      <c r="K94" s="64" t="e">
        <f t="shared" ca="1" si="28"/>
        <v>#NAME?</v>
      </c>
      <c r="L94" s="24" t="e">
        <f ca="1">_xll.EVPRO($B$1,H94,"JDEID")</f>
        <v>#NAME?</v>
      </c>
      <c r="M94" s="24" t="e">
        <f ca="1">IF(AND(I94="N",J94="N"),_xll.EVPRO($B$1,H94,"PSFTID"),"")</f>
        <v>#NAME?</v>
      </c>
      <c r="N94" s="24" t="e">
        <f ca="1">IF(_xll.EVDES(H94,$B$1)="#NODATA","",_xll.EVDES(H94,$B$1))</f>
        <v>#NAME?</v>
      </c>
      <c r="O94" s="19">
        <v>108</v>
      </c>
      <c r="P94" s="19">
        <v>230.4</v>
      </c>
      <c r="Q94" s="19">
        <v>396.8</v>
      </c>
      <c r="R94" s="19">
        <v>518.4</v>
      </c>
      <c r="S94" s="19">
        <v>134.4</v>
      </c>
      <c r="T94" s="19">
        <v>275.2</v>
      </c>
      <c r="U94" s="19">
        <v>275.2</v>
      </c>
      <c r="V94" s="19">
        <v>275.5</v>
      </c>
      <c r="W94" s="19">
        <v>96</v>
      </c>
      <c r="X94" s="19">
        <v>172.8</v>
      </c>
      <c r="Y94" s="19">
        <v>172.8</v>
      </c>
      <c r="Z94" s="19">
        <v>219.2</v>
      </c>
      <c r="AA94" s="19" t="e">
        <f t="shared" ca="1" si="24"/>
        <v>#NAME?</v>
      </c>
      <c r="AB94" s="15" t="e">
        <f t="shared" ca="1" si="25"/>
        <v>#NAME?</v>
      </c>
      <c r="AD94" s="19">
        <v>2956.8</v>
      </c>
      <c r="AE94" s="15" t="str">
        <f t="shared" ca="1" si="26"/>
        <v/>
      </c>
      <c r="AF94" s="47" t="e">
        <f t="shared" ca="1" si="27"/>
        <v>#NAME?</v>
      </c>
      <c r="AG94" s="19">
        <v>2779.8</v>
      </c>
      <c r="AH94" s="15" t="str">
        <f t="shared" ca="1" si="29"/>
        <v/>
      </c>
      <c r="AI94" s="47" t="e">
        <f t="shared" ca="1" si="30"/>
        <v>#NAME?</v>
      </c>
      <c r="AJ94" s="322">
        <f t="shared" ca="1" si="31"/>
        <v>0</v>
      </c>
      <c r="AK94" s="323">
        <f t="shared" ca="1" si="32"/>
        <v>0</v>
      </c>
      <c r="AL94" s="125">
        <f t="shared" ca="1" si="33"/>
        <v>0</v>
      </c>
      <c r="AM94" s="324">
        <f t="shared" ca="1" si="34"/>
        <v>0</v>
      </c>
      <c r="AN94" s="125">
        <f t="shared" ca="1" si="35"/>
        <v>0</v>
      </c>
    </row>
    <row r="95" spans="1:40" x14ac:dyDescent="0.2">
      <c r="A95" s="6" t="s">
        <v>31</v>
      </c>
      <c r="B95" s="7" t="s">
        <v>78</v>
      </c>
      <c r="H95" s="10" t="s">
        <v>79</v>
      </c>
      <c r="I95" s="25" t="e">
        <f ca="1">_xll.EVPRO($B$1,$H95,"STYLE")</f>
        <v>#NAME?</v>
      </c>
      <c r="J95" s="25" t="e">
        <f ca="1">_xll.EVPRO($B$1,$H95,"CALC")</f>
        <v>#NAME?</v>
      </c>
      <c r="K95" s="24"/>
      <c r="N95" s="23" t="e">
        <f ca="1">IF(_xll.EVDES(H95,$B$1)="#NODATA","",_xll.EVDES(H95,$B$1))</f>
        <v>#NAME?</v>
      </c>
      <c r="O95" s="30">
        <v>116980.29</v>
      </c>
      <c r="P95" s="30">
        <v>118168.5</v>
      </c>
      <c r="Q95" s="30">
        <v>119244.5</v>
      </c>
      <c r="R95" s="30">
        <v>127705.26</v>
      </c>
      <c r="S95" s="30">
        <v>125697.23</v>
      </c>
      <c r="T95" s="30">
        <v>87636.15</v>
      </c>
      <c r="U95" s="30">
        <v>88026.02</v>
      </c>
      <c r="V95" s="30">
        <v>84874.1</v>
      </c>
      <c r="W95" s="30">
        <v>74901.539999999994</v>
      </c>
      <c r="X95" s="30">
        <v>77594.05</v>
      </c>
      <c r="Y95" s="30">
        <v>94681.82</v>
      </c>
      <c r="Z95" s="30">
        <v>124050.81</v>
      </c>
      <c r="AA95" s="30" t="e">
        <f t="shared" ca="1" si="24"/>
        <v>#NAME?</v>
      </c>
      <c r="AB95" s="31" t="e">
        <f t="shared" ca="1" si="25"/>
        <v>#NAME?</v>
      </c>
      <c r="AD95" s="30">
        <v>1110009.9549700001</v>
      </c>
      <c r="AE95" s="31" t="str">
        <f t="shared" ca="1" si="26"/>
        <v/>
      </c>
      <c r="AF95" s="49" t="e">
        <f t="shared" ca="1" si="27"/>
        <v>#NAME?</v>
      </c>
      <c r="AG95" s="30">
        <v>1180066.29</v>
      </c>
      <c r="AH95" s="31" t="str">
        <f ca="1">IF(AG95=0,"",IFERROR(AG95/AG$19,""))</f>
        <v/>
      </c>
      <c r="AI95" s="49" t="e">
        <f ca="1">IF(AND($AA95="",AG95=""),"",$AA95-AG95)</f>
        <v>#NAME?</v>
      </c>
      <c r="AJ95" s="336">
        <f ca="1">IFERROR(AA95/AA$20,0)</f>
        <v>0</v>
      </c>
      <c r="AK95" s="337">
        <f ca="1">IFERROR(AD95/AD$20,0)</f>
        <v>0</v>
      </c>
      <c r="AL95" s="338">
        <f ca="1">AJ95-AK95</f>
        <v>0</v>
      </c>
      <c r="AM95" s="339">
        <f ca="1">IFERROR(AG95/AG$20,0)</f>
        <v>0</v>
      </c>
      <c r="AN95" s="338">
        <f ca="1">AJ95-AM95</f>
        <v>0</v>
      </c>
    </row>
    <row r="96" spans="1:40" x14ac:dyDescent="0.2">
      <c r="A96" s="6" t="s">
        <v>32</v>
      </c>
      <c r="B96" s="7"/>
    </row>
    <row r="97" spans="1:40" x14ac:dyDescent="0.2">
      <c r="A97" s="6" t="s">
        <v>33</v>
      </c>
      <c r="B97" s="7"/>
      <c r="H97" s="10" t="s">
        <v>80</v>
      </c>
      <c r="I97" s="25" t="e">
        <f ca="1">_xll.EVPRO($B$1,$H97,"STYLE")</f>
        <v>#NAME?</v>
      </c>
      <c r="J97" s="25" t="e">
        <f ca="1">_xll.EVPRO($B$1,$H97,"CALC")</f>
        <v>#NAME?</v>
      </c>
      <c r="K97" s="23"/>
      <c r="M97" s="24"/>
      <c r="N97" s="23" t="e">
        <f ca="1">IF(_xll.EVDES(H97,$B$1)="#NODATA","",_xll.EVDES(H97,$B$1))</f>
        <v>#NAME?</v>
      </c>
      <c r="O97" s="33">
        <v>249801.51</v>
      </c>
      <c r="P97" s="33">
        <v>255398.29</v>
      </c>
      <c r="Q97" s="33">
        <v>263735.28000000003</v>
      </c>
      <c r="R97" s="33">
        <v>261858.86</v>
      </c>
      <c r="S97" s="33">
        <v>267324.25</v>
      </c>
      <c r="T97" s="33">
        <v>206882.07</v>
      </c>
      <c r="U97" s="33">
        <v>214773.66</v>
      </c>
      <c r="V97" s="33">
        <v>200502.01</v>
      </c>
      <c r="W97" s="33">
        <v>185458.87</v>
      </c>
      <c r="X97" s="33">
        <v>194298.83</v>
      </c>
      <c r="Y97" s="33">
        <v>214598.12</v>
      </c>
      <c r="Z97" s="33">
        <v>254850.93</v>
      </c>
      <c r="AA97" s="33" t="e">
        <f ca="1">IF($I97="B1","",SUM(O97:Z97))</f>
        <v>#NAME?</v>
      </c>
      <c r="AB97" s="34" t="e">
        <f ca="1">IF(AA97=0,"",IFERROR(AA97/AA$19,""))</f>
        <v>#NAME?</v>
      </c>
      <c r="AD97" s="33">
        <v>2538555.8443589201</v>
      </c>
      <c r="AE97" s="34" t="str">
        <f ca="1">IF(AD97=0,"",IFERROR(AD97/AD$19,""))</f>
        <v/>
      </c>
      <c r="AF97" s="55" t="e">
        <f ca="1">IF(AND($AA97="",AD97=""),"",$AA97-AD97)</f>
        <v>#NAME?</v>
      </c>
      <c r="AG97" s="56">
        <v>2592840.12</v>
      </c>
      <c r="AH97" s="57" t="str">
        <f ca="1">IF(AG97=0,"",IFERROR(AG97/AG$19,""))</f>
        <v/>
      </c>
      <c r="AI97" s="55" t="e">
        <f ca="1">IF(AND($AA97="",AG97=""),"",$AA97-AG97)</f>
        <v>#NAME?</v>
      </c>
      <c r="AJ97" s="332">
        <f ca="1">IFERROR(AA97/AA$20,0)</f>
        <v>0</v>
      </c>
      <c r="AK97" s="333">
        <f ca="1">IFERROR(AD97/AD$20,0)</f>
        <v>0</v>
      </c>
      <c r="AL97" s="334">
        <f ca="1">AJ97-AK97</f>
        <v>0</v>
      </c>
      <c r="AM97" s="335">
        <f ca="1">IFERROR(AG97/AG$20,0)</f>
        <v>0</v>
      </c>
      <c r="AN97" s="334">
        <f ca="1">AJ97-AM97</f>
        <v>0</v>
      </c>
    </row>
    <row r="98" spans="1:40" ht="16" thickBot="1" x14ac:dyDescent="0.25">
      <c r="A98" s="6" t="s">
        <v>34</v>
      </c>
      <c r="B98" s="7"/>
      <c r="H98" s="10" t="s">
        <v>81</v>
      </c>
      <c r="I98" s="25" t="e">
        <f ca="1">_xll.EVPRO($B$1,$H98,"STYLE")</f>
        <v>#NAME?</v>
      </c>
      <c r="J98" s="25" t="e">
        <f ca="1">_xll.EVPRO($B$1,$H98,"CALC")</f>
        <v>#NAME?</v>
      </c>
      <c r="K98" s="23"/>
      <c r="M98" s="24"/>
      <c r="N98" s="23" t="e">
        <f ca="1">IF(_xll.EVDES(H98,$B$1)="#NODATA","",_xll.EVDES(H98,$B$1))</f>
        <v>#NAME?</v>
      </c>
      <c r="O98" s="58">
        <v>800957.25</v>
      </c>
      <c r="P98" s="58">
        <v>993398.42</v>
      </c>
      <c r="Q98" s="58">
        <v>920503.51</v>
      </c>
      <c r="R98" s="58">
        <v>692328.51</v>
      </c>
      <c r="S98" s="58">
        <v>509698.96</v>
      </c>
      <c r="T98" s="58">
        <v>324098.63</v>
      </c>
      <c r="U98" s="58">
        <v>326377.65000000002</v>
      </c>
      <c r="V98" s="58">
        <v>280343.84999999998</v>
      </c>
      <c r="W98" s="58">
        <v>235596.86</v>
      </c>
      <c r="X98" s="58">
        <v>415923</v>
      </c>
      <c r="Y98" s="58">
        <v>480661.09</v>
      </c>
      <c r="Z98" s="58">
        <v>747036.81</v>
      </c>
      <c r="AA98" s="58" t="e">
        <f ca="1">IF($I98="B1","",SUM(O98:Z98))</f>
        <v>#NAME?</v>
      </c>
      <c r="AB98" s="59" t="e">
        <f ca="1">IF(AA98=0,"",IFERROR(AA98/AA$19,""))</f>
        <v>#NAME?</v>
      </c>
      <c r="AD98" s="58">
        <v>7447015.9756410802</v>
      </c>
      <c r="AE98" s="59" t="str">
        <f ca="1">IF(AD98=0,"",IFERROR(AD98/AD$19,""))</f>
        <v/>
      </c>
      <c r="AF98" s="60" t="e">
        <f ca="1">IF(AND($AA98="",AD98=""),"",$AA98-AD98)</f>
        <v>#NAME?</v>
      </c>
      <c r="AG98" s="58">
        <v>7215153.21</v>
      </c>
      <c r="AH98" s="59" t="str">
        <f ca="1">IF(AG98=0,"",IFERROR(AG98/AG$19,""))</f>
        <v/>
      </c>
      <c r="AI98" s="60" t="e">
        <f ca="1">IF(AND($AA98="",AG98=""),"",$AA98-AG98)</f>
        <v>#NAME?</v>
      </c>
      <c r="AJ98" s="340">
        <f ca="1">IFERROR(AA98/AA$20,0)</f>
        <v>0</v>
      </c>
      <c r="AK98" s="341">
        <f ca="1">IFERROR(AD98/AD$20,0)</f>
        <v>0</v>
      </c>
      <c r="AL98" s="342">
        <f ca="1">AJ98-AK98</f>
        <v>0</v>
      </c>
      <c r="AM98" s="343">
        <f ca="1">IFERROR(AG98/AG$20,0)</f>
        <v>0</v>
      </c>
      <c r="AN98" s="342">
        <f ca="1">AJ98-AM98</f>
        <v>0</v>
      </c>
    </row>
    <row r="99" spans="1:40" ht="16" thickTop="1" x14ac:dyDescent="0.2">
      <c r="A99" s="6" t="s">
        <v>35</v>
      </c>
      <c r="B99" s="7"/>
    </row>
    <row r="100" spans="1:40" x14ac:dyDescent="0.2">
      <c r="A100" s="6" t="s">
        <v>36</v>
      </c>
      <c r="B100" s="7"/>
      <c r="N100" s="24" t="e">
        <f ca="1">N97&amp;" - Check"</f>
        <v>#NAME?</v>
      </c>
      <c r="O100" s="124">
        <f t="shared" ref="O100:AA100" si="36">SUMIF($H$35:$H$98,"600000",O$35:O$98)+SUMIF($H$35:$H$98,"700000",O$35:O$98)-SUMIF($H$35:$H$98,"TOTDEPTEXP",O$35:O$98)</f>
        <v>0</v>
      </c>
      <c r="P100" s="124">
        <f t="shared" si="36"/>
        <v>0</v>
      </c>
      <c r="Q100" s="124">
        <f t="shared" si="36"/>
        <v>0</v>
      </c>
      <c r="R100" s="124">
        <f t="shared" si="36"/>
        <v>0</v>
      </c>
      <c r="S100" s="124">
        <f t="shared" si="36"/>
        <v>0</v>
      </c>
      <c r="T100" s="124">
        <f t="shared" si="36"/>
        <v>0</v>
      </c>
      <c r="U100" s="124">
        <f t="shared" si="36"/>
        <v>0</v>
      </c>
      <c r="V100" s="124">
        <f t="shared" si="36"/>
        <v>0</v>
      </c>
      <c r="W100" s="124">
        <f t="shared" si="36"/>
        <v>0</v>
      </c>
      <c r="X100" s="124">
        <f t="shared" si="36"/>
        <v>0</v>
      </c>
      <c r="Y100" s="124">
        <f t="shared" si="36"/>
        <v>0</v>
      </c>
      <c r="Z100" s="124">
        <f t="shared" si="36"/>
        <v>0</v>
      </c>
      <c r="AA100" s="124" t="e">
        <f t="shared" ca="1" si="36"/>
        <v>#NAME?</v>
      </c>
      <c r="AB100" s="15"/>
      <c r="AD100" s="124">
        <f>SUMIF($H$35:$H$98,"600000",AD$35:AD$98)+SUMIF($H$35:$H$98,"700000",AD$35:AD$98)-SUMIF($H$35:$H$98,"TOTDEPTEXP",AD$35:AD$98)</f>
        <v>0</v>
      </c>
      <c r="AE100" s="15"/>
      <c r="AF100" s="19"/>
      <c r="AG100" s="124">
        <f>SUMIF($H$35:$H$98,"600000",AG$35:AG$98)+SUMIF($H$35:$H$98,"700000",AG$35:AG$98)-SUMIF($H$35:$H$98,"TOTDEPTEXP",AG$35:AG$98)</f>
        <v>0</v>
      </c>
      <c r="AH100" s="15"/>
      <c r="AI100" s="19"/>
    </row>
    <row r="101" spans="1:40" x14ac:dyDescent="0.2">
      <c r="A101" s="6" t="s">
        <v>37</v>
      </c>
      <c r="B101" s="7"/>
      <c r="N101" s="24" t="e">
        <f ca="1">N98&amp;" - Check"</f>
        <v>#NAME?</v>
      </c>
      <c r="O101" s="124">
        <f t="shared" ref="O101:AA101" si="37">SUMIF($H$35:$H$98,"ROOMS_TOT",O$35:O$98)-SUMIF($H$35:$H$98,"TOTDEPTEXP",O$35:O$98)-SUMIF($H$35:$H$98,"TOTDEPTPL",O$35:O$98)</f>
        <v>0</v>
      </c>
      <c r="P101" s="124">
        <f t="shared" si="37"/>
        <v>0</v>
      </c>
      <c r="Q101" s="124">
        <f t="shared" si="37"/>
        <v>0</v>
      </c>
      <c r="R101" s="124">
        <f t="shared" si="37"/>
        <v>0</v>
      </c>
      <c r="S101" s="124">
        <f t="shared" si="37"/>
        <v>0</v>
      </c>
      <c r="T101" s="124">
        <f t="shared" si="37"/>
        <v>0</v>
      </c>
      <c r="U101" s="124">
        <f t="shared" si="37"/>
        <v>0</v>
      </c>
      <c r="V101" s="124">
        <f t="shared" si="37"/>
        <v>0</v>
      </c>
      <c r="W101" s="124">
        <f t="shared" si="37"/>
        <v>0</v>
      </c>
      <c r="X101" s="124">
        <f t="shared" si="37"/>
        <v>0</v>
      </c>
      <c r="Y101" s="124">
        <f t="shared" si="37"/>
        <v>0</v>
      </c>
      <c r="Z101" s="124">
        <f t="shared" si="37"/>
        <v>0</v>
      </c>
      <c r="AA101" s="124" t="e">
        <f t="shared" ca="1" si="37"/>
        <v>#NAME?</v>
      </c>
      <c r="AB101" s="15"/>
      <c r="AD101" s="124">
        <f>SUMIF($H$35:$H$98,"ROOMS_TOT",AD$35:AD$98)-SUMIF($H$35:$H$98,"TOTDEPTEXP",AD$35:AD$98)-SUMIF($H$35:$H$98,"TOTDEPTPL",AD$35:AD$98)</f>
        <v>0</v>
      </c>
      <c r="AE101" s="15"/>
      <c r="AF101" s="19"/>
      <c r="AG101" s="124">
        <f>SUMIF($H$35:$H$98,"ROOMS_TOT",AG$35:AG$98)-SUMIF($H$35:$H$98,"TOTDEPTEXP",AG$35:AG$98)-SUMIF($H$35:$H$98,"TOTDEPTPL",AG$35:AG$98)</f>
        <v>0</v>
      </c>
      <c r="AH101" s="15"/>
      <c r="AI101" s="19"/>
    </row>
    <row r="102" spans="1:40" x14ac:dyDescent="0.2">
      <c r="A102" s="6" t="s">
        <v>38</v>
      </c>
      <c r="B102" s="7"/>
    </row>
    <row r="103" spans="1:40" x14ac:dyDescent="0.2">
      <c r="A103" s="6" t="s">
        <v>39</v>
      </c>
      <c r="B103" s="7"/>
    </row>
    <row r="104" spans="1:40" x14ac:dyDescent="0.2">
      <c r="A104" s="6" t="s">
        <v>40</v>
      </c>
      <c r="B104" s="7"/>
    </row>
    <row r="105" spans="1:40" x14ac:dyDescent="0.2">
      <c r="A105" s="6" t="s">
        <v>41</v>
      </c>
      <c r="B105" s="7"/>
    </row>
    <row r="106" spans="1:40" x14ac:dyDescent="0.2">
      <c r="A106" s="6" t="s">
        <v>42</v>
      </c>
      <c r="B106" s="7"/>
    </row>
    <row r="107" spans="1:40" x14ac:dyDescent="0.2">
      <c r="A107" s="6" t="s">
        <v>43</v>
      </c>
      <c r="B107" s="7"/>
    </row>
    <row r="108" spans="1:40" x14ac:dyDescent="0.2">
      <c r="A108" s="6" t="s">
        <v>44</v>
      </c>
      <c r="B108" s="7"/>
      <c r="H108" s="11"/>
      <c r="J108" s="1"/>
    </row>
    <row r="109" spans="1:40" x14ac:dyDescent="0.2">
      <c r="A109" s="6" t="s">
        <v>45</v>
      </c>
      <c r="B109" s="7"/>
      <c r="H109" s="11"/>
      <c r="J109" s="1"/>
    </row>
    <row r="110" spans="1:40" x14ac:dyDescent="0.2">
      <c r="A110" s="6" t="s">
        <v>46</v>
      </c>
      <c r="B110" s="7"/>
      <c r="H110" s="11"/>
      <c r="J110" s="1"/>
    </row>
    <row r="111" spans="1:40" x14ac:dyDescent="0.2">
      <c r="H111" s="11"/>
      <c r="J111" s="1"/>
    </row>
    <row r="112" spans="1:40" x14ac:dyDescent="0.2">
      <c r="H112" s="11"/>
      <c r="J112" s="1"/>
    </row>
    <row r="113" spans="8:10" x14ac:dyDescent="0.2">
      <c r="H113" s="11"/>
      <c r="J113" s="1"/>
    </row>
    <row r="114" spans="8:10" x14ac:dyDescent="0.2">
      <c r="H114" s="11"/>
      <c r="J114" s="1"/>
    </row>
    <row r="115" spans="8:10" x14ac:dyDescent="0.2">
      <c r="H115" s="11"/>
      <c r="J115" s="1"/>
    </row>
    <row r="116" spans="8:10" x14ac:dyDescent="0.2">
      <c r="H116" s="11"/>
      <c r="J116" s="1"/>
    </row>
    <row r="117" spans="8:10" x14ac:dyDescent="0.2">
      <c r="H117" s="11"/>
      <c r="J117" s="1"/>
    </row>
    <row r="118" spans="8:10" x14ac:dyDescent="0.2">
      <c r="H118" s="11"/>
      <c r="J118" s="1"/>
    </row>
    <row r="119" spans="8:10" x14ac:dyDescent="0.2">
      <c r="H119" s="11"/>
      <c r="J119" s="1"/>
    </row>
    <row r="120" spans="8:10" x14ac:dyDescent="0.2">
      <c r="H120" s="11"/>
      <c r="J120" s="1"/>
    </row>
    <row r="121" spans="8:10" x14ac:dyDescent="0.2">
      <c r="H121" s="11"/>
      <c r="J121" s="1"/>
    </row>
    <row r="122" spans="8:10" x14ac:dyDescent="0.2">
      <c r="H122" s="11"/>
      <c r="J122" s="1"/>
    </row>
    <row r="123" spans="8:10" x14ac:dyDescent="0.2">
      <c r="H123" s="11"/>
      <c r="J123" s="1"/>
    </row>
    <row r="124" spans="8:10" x14ac:dyDescent="0.2">
      <c r="H124" s="11"/>
      <c r="J124" s="1"/>
    </row>
    <row r="125" spans="8:10" x14ac:dyDescent="0.2">
      <c r="H125" s="11"/>
      <c r="J125" s="1"/>
    </row>
    <row r="126" spans="8:10" x14ac:dyDescent="0.2">
      <c r="H126" s="11"/>
      <c r="J126" s="1"/>
    </row>
    <row r="127" spans="8:10" x14ac:dyDescent="0.2">
      <c r="H127" s="11"/>
      <c r="J127" s="1"/>
    </row>
    <row r="128" spans="8:10" x14ac:dyDescent="0.2">
      <c r="H128" s="11"/>
      <c r="J128" s="1"/>
    </row>
    <row r="129" spans="8:10" x14ac:dyDescent="0.2">
      <c r="H129" s="11"/>
      <c r="J129" s="1"/>
    </row>
    <row r="130" spans="8:10" x14ac:dyDescent="0.2">
      <c r="H130" s="11"/>
      <c r="J130" s="1"/>
    </row>
  </sheetData>
  <mergeCells count="2">
    <mergeCell ref="AD31:AE31"/>
    <mergeCell ref="AG31:AH31"/>
  </mergeCells>
  <dataValidations disablePrompts="1" count="2">
    <dataValidation type="list" allowBlank="1" sqref="B29 B59" xr:uid="{00000000-0002-0000-0400-000000000000}">
      <formula1>"SELF,ALL,BAS,DEP,BASMEMBERS,MEMBERS,NOEXPAND,GDEP"</formula1>
    </dataValidation>
    <dataValidation type="list" allowBlank="1" sqref="B28 B58" xr:uid="{00000000-0002-0000-04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A4E21-446B-4368-ACC9-B86C1B34A7D4}">
  <sheetPr>
    <tabColor theme="9" tint="0.79998168889431442"/>
  </sheetPr>
  <dimension ref="M1:AC106"/>
  <sheetViews>
    <sheetView showGridLines="0" tabSelected="1" topLeftCell="L25" zoomScale="75" zoomScaleNormal="75" workbookViewId="0">
      <pane xSplit="2" ySplit="8" topLeftCell="N33" activePane="bottomRight" state="frozen"/>
      <selection activeCell="S33" sqref="S33"/>
      <selection pane="topRight" activeCell="S33" sqref="S33"/>
      <selection pane="bottomLeft" activeCell="S33" sqref="S33"/>
      <selection pane="bottomRight" activeCell="Y69" sqref="Y69"/>
    </sheetView>
  </sheetViews>
  <sheetFormatPr baseColWidth="10" defaultColWidth="8.83203125" defaultRowHeight="15" x14ac:dyDescent="0.2"/>
  <cols>
    <col min="1" max="11" width="0" hidden="1" customWidth="1"/>
    <col min="12" max="12" width="8.5" customWidth="1"/>
    <col min="13" max="13" width="46.6640625" bestFit="1" customWidth="1"/>
    <col min="14" max="17" width="12.5" bestFit="1" customWidth="1"/>
    <col min="18" max="18" width="10.83203125" bestFit="1" customWidth="1"/>
    <col min="19" max="24" width="11.5" bestFit="1" customWidth="1"/>
    <col min="25" max="25" width="12.5" bestFit="1" customWidth="1"/>
    <col min="26" max="26" width="13.5" bestFit="1" customWidth="1"/>
    <col min="27" max="27" width="8.5" customWidth="1"/>
    <col min="29" max="29" width="11" bestFit="1" customWidth="1"/>
  </cols>
  <sheetData>
    <row r="1" hidden="1" x14ac:dyDescent="0.2"/>
    <row r="2" hidden="1" x14ac:dyDescent="0.2"/>
    <row r="3" hidden="1" x14ac:dyDescent="0.2"/>
    <row r="4" hidden="1" x14ac:dyDescent="0.2"/>
    <row r="5" hidden="1" x14ac:dyDescent="0.2"/>
    <row r="6" hidden="1" x14ac:dyDescent="0.2"/>
    <row r="7" hidden="1" x14ac:dyDescent="0.2"/>
    <row r="8" hidden="1" x14ac:dyDescent="0.2"/>
    <row r="9" hidden="1" x14ac:dyDescent="0.2"/>
    <row r="10" hidden="1" x14ac:dyDescent="0.2"/>
    <row r="11" hidden="1" x14ac:dyDescent="0.2"/>
    <row r="12" hidden="1" x14ac:dyDescent="0.2"/>
    <row r="13" hidden="1" x14ac:dyDescent="0.2"/>
    <row r="14" hidden="1" x14ac:dyDescent="0.2"/>
    <row r="15" hidden="1" x14ac:dyDescent="0.2"/>
    <row r="16" hidden="1" x14ac:dyDescent="0.2"/>
    <row r="17" spans="13:27" hidden="1" x14ac:dyDescent="0.2"/>
    <row r="18" spans="13:27" hidden="1" x14ac:dyDescent="0.2"/>
    <row r="19" spans="13:27" hidden="1" x14ac:dyDescent="0.2"/>
    <row r="20" spans="13:27" hidden="1" x14ac:dyDescent="0.2"/>
    <row r="21" spans="13:27" hidden="1" x14ac:dyDescent="0.2"/>
    <row r="22" spans="13:27" hidden="1" x14ac:dyDescent="0.2"/>
    <row r="23" spans="13:27" hidden="1" x14ac:dyDescent="0.2"/>
    <row r="24" spans="13:27" hidden="1" x14ac:dyDescent="0.2"/>
    <row r="26" spans="13:27" ht="23" x14ac:dyDescent="0.25">
      <c r="M26" s="61" t="s">
        <v>982</v>
      </c>
    </row>
    <row r="27" spans="13:27" ht="18" x14ac:dyDescent="0.2">
      <c r="M27" s="66" t="s">
        <v>983</v>
      </c>
    </row>
    <row r="28" spans="13:27" ht="16" x14ac:dyDescent="0.2">
      <c r="M28" s="67" t="s">
        <v>1002</v>
      </c>
    </row>
    <row r="29" spans="13:27" ht="16" x14ac:dyDescent="0.2">
      <c r="M29" s="67" t="s">
        <v>986</v>
      </c>
    </row>
    <row r="30" spans="13:27" x14ac:dyDescent="0.2">
      <c r="M30" s="1"/>
      <c r="N30" s="208"/>
      <c r="O30" s="209"/>
      <c r="P30" s="209"/>
      <c r="Q30" s="209"/>
      <c r="R30" s="209"/>
      <c r="S30" s="209"/>
      <c r="T30" s="209"/>
      <c r="U30" s="209"/>
      <c r="V30" s="209"/>
      <c r="W30" s="209"/>
      <c r="X30" s="209"/>
      <c r="Y30" s="209"/>
      <c r="Z30" s="209"/>
      <c r="AA30" s="210"/>
    </row>
    <row r="31" spans="13:27" x14ac:dyDescent="0.2">
      <c r="M31" s="1"/>
      <c r="N31" s="211" t="s">
        <v>603</v>
      </c>
      <c r="O31" s="211" t="s">
        <v>604</v>
      </c>
      <c r="P31" s="211" t="s">
        <v>605</v>
      </c>
      <c r="Q31" s="211" t="s">
        <v>606</v>
      </c>
      <c r="R31" s="211" t="s">
        <v>607</v>
      </c>
      <c r="S31" s="211" t="s">
        <v>608</v>
      </c>
      <c r="T31" s="211" t="s">
        <v>609</v>
      </c>
      <c r="U31" s="211" t="s">
        <v>610</v>
      </c>
      <c r="V31" s="211" t="s">
        <v>611</v>
      </c>
      <c r="W31" s="211" t="s">
        <v>612</v>
      </c>
      <c r="X31" s="211" t="s">
        <v>613</v>
      </c>
      <c r="Y31" s="211" t="s">
        <v>614</v>
      </c>
      <c r="Z31" s="211" t="s">
        <v>116</v>
      </c>
      <c r="AA31" s="207"/>
    </row>
    <row r="32" spans="13:27" ht="16" x14ac:dyDescent="0.2">
      <c r="M32" s="236"/>
      <c r="N32" s="237" t="s">
        <v>957</v>
      </c>
      <c r="O32" s="237" t="s">
        <v>957</v>
      </c>
      <c r="P32" s="237" t="s">
        <v>957</v>
      </c>
      <c r="Q32" s="237" t="s">
        <v>957</v>
      </c>
      <c r="R32" s="237" t="s">
        <v>957</v>
      </c>
      <c r="S32" s="237" t="s">
        <v>957</v>
      </c>
      <c r="T32" s="237" t="s">
        <v>957</v>
      </c>
      <c r="U32" s="237" t="s">
        <v>957</v>
      </c>
      <c r="V32" s="237" t="s">
        <v>957</v>
      </c>
      <c r="W32" s="237" t="s">
        <v>957</v>
      </c>
      <c r="X32" s="237" t="s">
        <v>957</v>
      </c>
      <c r="Y32" s="237" t="s">
        <v>957</v>
      </c>
      <c r="Z32" s="238"/>
      <c r="AA32" s="238" t="s">
        <v>58</v>
      </c>
    </row>
    <row r="33" spans="13:29" x14ac:dyDescent="0.2">
      <c r="M33" s="24" t="s">
        <v>1008</v>
      </c>
      <c r="N33" s="19">
        <v>4092</v>
      </c>
      <c r="O33" s="19">
        <v>3828</v>
      </c>
      <c r="P33" s="19">
        <v>4092</v>
      </c>
      <c r="Q33" s="19">
        <v>3960</v>
      </c>
      <c r="R33" s="19">
        <v>4092</v>
      </c>
      <c r="S33" s="19">
        <v>3960</v>
      </c>
      <c r="T33" s="19">
        <v>4092</v>
      </c>
      <c r="U33" s="19">
        <v>4092</v>
      </c>
      <c r="V33" s="19">
        <v>3960</v>
      </c>
      <c r="W33" s="19">
        <v>4092</v>
      </c>
      <c r="X33" s="19">
        <v>3960</v>
      </c>
      <c r="Y33" s="19">
        <v>4092</v>
      </c>
      <c r="Z33" s="19">
        <v>48312</v>
      </c>
      <c r="AA33" s="193"/>
    </row>
    <row r="34" spans="13:29" x14ac:dyDescent="0.2">
      <c r="M34" s="24" t="s">
        <v>1009</v>
      </c>
      <c r="N34" s="19">
        <v>3654</v>
      </c>
      <c r="O34" s="19">
        <v>3557</v>
      </c>
      <c r="P34" s="19">
        <v>3793</v>
      </c>
      <c r="Q34" s="19">
        <v>3692</v>
      </c>
      <c r="R34" s="19">
        <v>3471</v>
      </c>
      <c r="S34" s="19">
        <v>3102</v>
      </c>
      <c r="T34" s="19">
        <v>3016</v>
      </c>
      <c r="U34" s="19">
        <v>3030</v>
      </c>
      <c r="V34" s="19">
        <v>2625</v>
      </c>
      <c r="W34" s="19">
        <v>3173</v>
      </c>
      <c r="X34" s="19">
        <v>3516</v>
      </c>
      <c r="Y34" s="19">
        <v>3594</v>
      </c>
      <c r="Z34" s="19">
        <v>40223</v>
      </c>
      <c r="AA34" s="193"/>
    </row>
    <row r="35" spans="13:29" x14ac:dyDescent="0.2">
      <c r="M35" s="24" t="s">
        <v>1010</v>
      </c>
      <c r="N35" s="15">
        <v>0.892961876832845</v>
      </c>
      <c r="O35" s="15">
        <v>0.92920585161964497</v>
      </c>
      <c r="P35" s="15">
        <v>0.92693059628543495</v>
      </c>
      <c r="Q35" s="15">
        <v>0.932323232323232</v>
      </c>
      <c r="R35" s="15">
        <v>0.84824046920821095</v>
      </c>
      <c r="S35" s="15">
        <v>0.78333333333333299</v>
      </c>
      <c r="T35" s="15">
        <v>0.73704789833822104</v>
      </c>
      <c r="U35" s="15">
        <v>0.74046920821114404</v>
      </c>
      <c r="V35" s="15">
        <v>0.66287878787878796</v>
      </c>
      <c r="W35" s="15">
        <v>0.77541544477028301</v>
      </c>
      <c r="X35" s="15">
        <v>0.88787878787878804</v>
      </c>
      <c r="Y35" s="15">
        <v>0.87829912023460399</v>
      </c>
      <c r="Z35" s="15">
        <v>0.83256747805928133</v>
      </c>
      <c r="AA35" s="193"/>
    </row>
    <row r="36" spans="13:29" x14ac:dyDescent="0.2">
      <c r="M36" s="24" t="s">
        <v>1011</v>
      </c>
      <c r="N36" s="107">
        <v>287.56397372742202</v>
      </c>
      <c r="O36" s="107">
        <v>351.08144784931102</v>
      </c>
      <c r="P36" s="107">
        <v>312.21692327972602</v>
      </c>
      <c r="Q36" s="107">
        <v>258.44728331527602</v>
      </c>
      <c r="R36" s="107">
        <v>223.86148372227001</v>
      </c>
      <c r="S36" s="107">
        <v>171.17366215344899</v>
      </c>
      <c r="T36" s="107">
        <v>179.42682692307699</v>
      </c>
      <c r="U36" s="107">
        <v>158.69500330033</v>
      </c>
      <c r="V36" s="107">
        <v>160.402182857143</v>
      </c>
      <c r="W36" s="107">
        <v>192.31699653324901</v>
      </c>
      <c r="X36" s="107">
        <v>197.741527303754</v>
      </c>
      <c r="Y36" s="107">
        <v>278.76676126878101</v>
      </c>
      <c r="Z36" s="107">
        <v>236.09395669144521</v>
      </c>
      <c r="AA36" s="193"/>
    </row>
    <row r="37" spans="13:29" x14ac:dyDescent="0.2">
      <c r="M37" s="24" t="s">
        <v>1012</v>
      </c>
      <c r="N37" s="107">
        <v>256.78366568914998</v>
      </c>
      <c r="O37" s="107">
        <v>326.22693573667698</v>
      </c>
      <c r="P37" s="107">
        <v>289.40341886608002</v>
      </c>
      <c r="Q37" s="107">
        <v>240.95640656565701</v>
      </c>
      <c r="R37" s="107">
        <v>189.88836999022499</v>
      </c>
      <c r="S37" s="107">
        <v>134.08603535353501</v>
      </c>
      <c r="T37" s="107">
        <v>132.24616568914999</v>
      </c>
      <c r="U37" s="107">
        <v>117.50876344085999</v>
      </c>
      <c r="V37" s="107">
        <v>106.327204545455</v>
      </c>
      <c r="W37" s="107">
        <v>149.12556940371499</v>
      </c>
      <c r="X37" s="107">
        <v>175.570507575758</v>
      </c>
      <c r="Y37" s="107">
        <v>244.84060117302101</v>
      </c>
      <c r="Z37" s="107">
        <v>196.56415010763374</v>
      </c>
      <c r="AA37" s="193"/>
    </row>
    <row r="38" spans="13:29" x14ac:dyDescent="0.2">
      <c r="M38" s="37" t="s">
        <v>1013</v>
      </c>
      <c r="N38" s="190"/>
      <c r="O38" s="192"/>
      <c r="P38" s="192"/>
      <c r="Q38" s="192"/>
      <c r="R38" s="192"/>
      <c r="S38" s="192"/>
      <c r="T38" s="192"/>
      <c r="U38" s="192"/>
      <c r="V38" s="192"/>
      <c r="W38" s="192"/>
      <c r="X38" s="192"/>
      <c r="Y38" s="192"/>
      <c r="Z38" s="192"/>
      <c r="AA38" s="191"/>
    </row>
    <row r="39" spans="13:29" x14ac:dyDescent="0.2">
      <c r="M39" s="24" t="s">
        <v>1014</v>
      </c>
      <c r="N39" s="19">
        <v>1050758.76</v>
      </c>
      <c r="O39" s="19">
        <v>1248796.71</v>
      </c>
      <c r="P39" s="19">
        <v>1184238.79</v>
      </c>
      <c r="Q39" s="19">
        <v>954187.37</v>
      </c>
      <c r="R39" s="19">
        <v>777023.21</v>
      </c>
      <c r="S39" s="19">
        <v>530980.69999999995</v>
      </c>
      <c r="T39" s="19">
        <v>541151.31000000006</v>
      </c>
      <c r="U39" s="19">
        <v>480845.86</v>
      </c>
      <c r="V39" s="19">
        <v>421055.73</v>
      </c>
      <c r="W39" s="19">
        <v>610221.82999999996</v>
      </c>
      <c r="X39" s="19">
        <v>695259.21</v>
      </c>
      <c r="Y39" s="19">
        <v>1001887.74</v>
      </c>
      <c r="Z39" s="19">
        <v>9496407.2200000007</v>
      </c>
      <c r="AA39" s="15">
        <v>0.7043908323135577</v>
      </c>
    </row>
    <row r="40" spans="13:29" x14ac:dyDescent="0.2">
      <c r="M40" s="483" t="s">
        <v>356</v>
      </c>
      <c r="N40" s="484">
        <v>154107.21</v>
      </c>
      <c r="O40" s="484">
        <v>271863.27</v>
      </c>
      <c r="P40" s="484">
        <v>239692.01000000004</v>
      </c>
      <c r="Q40" s="484">
        <v>250971.01</v>
      </c>
      <c r="R40" s="484">
        <v>276217.51</v>
      </c>
      <c r="S40" s="484">
        <v>201588.78</v>
      </c>
      <c r="T40" s="484">
        <v>210893.25999999998</v>
      </c>
      <c r="U40" s="484">
        <v>189691.38</v>
      </c>
      <c r="V40" s="484">
        <v>205467.1</v>
      </c>
      <c r="W40" s="484">
        <v>195962.94</v>
      </c>
      <c r="X40" s="484">
        <v>235866.06</v>
      </c>
      <c r="Y40" s="484">
        <v>306720.18</v>
      </c>
      <c r="Z40" s="484">
        <v>2739040.7100000004</v>
      </c>
      <c r="AA40" s="485">
        <v>0.20316685255390912</v>
      </c>
      <c r="AC40" s="486"/>
    </row>
    <row r="41" spans="13:29" x14ac:dyDescent="0.2">
      <c r="M41" s="24" t="s">
        <v>1015</v>
      </c>
      <c r="N41" s="19">
        <v>1778.05</v>
      </c>
      <c r="O41" s="19">
        <v>1452.64</v>
      </c>
      <c r="P41" s="19">
        <v>2514.5100000000002</v>
      </c>
      <c r="Q41" s="19">
        <v>1461.55</v>
      </c>
      <c r="R41" s="19">
        <v>686.39</v>
      </c>
      <c r="S41" s="19">
        <v>971.47</v>
      </c>
      <c r="T41" s="19">
        <v>1646.04</v>
      </c>
      <c r="U41" s="19">
        <v>900.7</v>
      </c>
      <c r="V41" s="19">
        <v>865.48</v>
      </c>
      <c r="W41" s="19">
        <v>1388.87</v>
      </c>
      <c r="X41" s="19">
        <v>2028.13</v>
      </c>
      <c r="Y41" s="19">
        <v>2112.59</v>
      </c>
      <c r="Z41" s="19">
        <v>17806.420000000002</v>
      </c>
      <c r="AA41" s="15">
        <v>1.320781503336246E-3</v>
      </c>
    </row>
    <row r="42" spans="13:29" x14ac:dyDescent="0.2">
      <c r="M42" s="24" t="s">
        <v>1016</v>
      </c>
      <c r="N42" s="19">
        <v>87557.63</v>
      </c>
      <c r="O42" s="19">
        <v>100878.61</v>
      </c>
      <c r="P42" s="19">
        <v>101604.17</v>
      </c>
      <c r="Q42" s="19">
        <v>112785.17</v>
      </c>
      <c r="R42" s="19">
        <v>110919.27</v>
      </c>
      <c r="S42" s="19">
        <v>93308.28</v>
      </c>
      <c r="T42" s="19">
        <v>102674.98</v>
      </c>
      <c r="U42" s="19">
        <v>101401.82</v>
      </c>
      <c r="V42" s="19">
        <v>75369.05</v>
      </c>
      <c r="W42" s="19">
        <v>102100.27</v>
      </c>
      <c r="X42" s="19">
        <v>114522.56</v>
      </c>
      <c r="Y42" s="19">
        <v>125354.13</v>
      </c>
      <c r="Z42" s="19">
        <v>1228475.94</v>
      </c>
      <c r="AA42" s="15">
        <v>9.1121533629197088E-2</v>
      </c>
    </row>
    <row r="43" spans="13:29" x14ac:dyDescent="0.2">
      <c r="M43" s="23" t="s">
        <v>1633</v>
      </c>
      <c r="N43" s="30">
        <v>1294201.6499999999</v>
      </c>
      <c r="O43" s="30">
        <v>1622991.23</v>
      </c>
      <c r="P43" s="30">
        <v>1528049.48</v>
      </c>
      <c r="Q43" s="30">
        <v>1319405.0999999999</v>
      </c>
      <c r="R43" s="30">
        <v>1164846.3799999999</v>
      </c>
      <c r="S43" s="30">
        <v>826849.23</v>
      </c>
      <c r="T43" s="30">
        <v>856365.59000000008</v>
      </c>
      <c r="U43" s="30">
        <v>772839.76</v>
      </c>
      <c r="V43" s="30">
        <v>702757.36</v>
      </c>
      <c r="W43" s="30">
        <v>909673.91</v>
      </c>
      <c r="X43" s="30">
        <v>1047675.96</v>
      </c>
      <c r="Y43" s="30">
        <v>1436074.6400000001</v>
      </c>
      <c r="Z43" s="30">
        <v>13481730.289999999</v>
      </c>
      <c r="AA43" s="31">
        <v>1</v>
      </c>
    </row>
    <row r="44" spans="13:29" x14ac:dyDescent="0.2">
      <c r="M44" s="204" t="s">
        <v>667</v>
      </c>
      <c r="N44" s="244"/>
      <c r="O44" s="245"/>
      <c r="P44" s="245"/>
      <c r="Q44" s="245"/>
      <c r="R44" s="245"/>
      <c r="S44" s="245"/>
      <c r="T44" s="245"/>
      <c r="U44" s="245"/>
      <c r="V44" s="245"/>
      <c r="W44" s="245"/>
      <c r="X44" s="245"/>
      <c r="Y44" s="245"/>
      <c r="Z44" s="245"/>
      <c r="AA44" s="161"/>
    </row>
    <row r="45" spans="13:29" x14ac:dyDescent="0.2">
      <c r="M45" s="37" t="s">
        <v>1017</v>
      </c>
      <c r="N45" s="40"/>
      <c r="O45" s="487"/>
      <c r="P45" s="43"/>
      <c r="Q45" s="43"/>
      <c r="R45" s="43"/>
      <c r="S45" s="43"/>
      <c r="T45" s="43"/>
      <c r="U45" s="43"/>
      <c r="V45" s="43"/>
      <c r="W45" s="43"/>
      <c r="X45" s="43"/>
      <c r="Y45" s="43"/>
      <c r="Z45" s="43"/>
      <c r="AA45" s="41"/>
    </row>
    <row r="46" spans="13:29" x14ac:dyDescent="0.2">
      <c r="M46" s="24" t="s">
        <v>1014</v>
      </c>
      <c r="N46" s="19">
        <v>249801.51</v>
      </c>
      <c r="O46" s="19">
        <v>255398.29</v>
      </c>
      <c r="P46" s="19">
        <v>263735.28000000003</v>
      </c>
      <c r="Q46" s="19">
        <v>261858.86</v>
      </c>
      <c r="R46" s="19">
        <v>267324.25</v>
      </c>
      <c r="S46" s="19">
        <v>206882.07</v>
      </c>
      <c r="T46" s="19">
        <v>214773.66</v>
      </c>
      <c r="U46" s="19">
        <v>200502.01</v>
      </c>
      <c r="V46" s="19">
        <v>185458.87</v>
      </c>
      <c r="W46" s="19">
        <v>194298.83</v>
      </c>
      <c r="X46" s="19">
        <v>214598.12</v>
      </c>
      <c r="Y46" s="19">
        <v>254850.93</v>
      </c>
      <c r="Z46" s="19">
        <v>2769482.68</v>
      </c>
      <c r="AA46" s="15">
        <v>0.29163478522354269</v>
      </c>
    </row>
    <row r="47" spans="13:29" x14ac:dyDescent="0.2">
      <c r="M47" s="483" t="s">
        <v>356</v>
      </c>
      <c r="N47" s="484">
        <v>134534.92000000001</v>
      </c>
      <c r="O47" s="484">
        <v>220413.37</v>
      </c>
      <c r="P47" s="484">
        <v>190803.82</v>
      </c>
      <c r="Q47" s="484">
        <v>228871.12</v>
      </c>
      <c r="R47" s="484">
        <v>226833.41999999998</v>
      </c>
      <c r="S47" s="484">
        <v>181455.91000000003</v>
      </c>
      <c r="T47" s="484">
        <v>187917.75000000003</v>
      </c>
      <c r="U47" s="484">
        <v>183640.15</v>
      </c>
      <c r="V47" s="484">
        <v>144001.81999999998</v>
      </c>
      <c r="W47" s="484">
        <v>168612.12</v>
      </c>
      <c r="X47" s="484">
        <v>192181.82</v>
      </c>
      <c r="Y47" s="484">
        <v>231097.85</v>
      </c>
      <c r="Z47" s="484">
        <v>2290364.0699999998</v>
      </c>
      <c r="AA47" s="485">
        <v>0.83619205134048535</v>
      </c>
      <c r="AC47" s="486"/>
    </row>
    <row r="48" spans="13:29" x14ac:dyDescent="0.2">
      <c r="M48" s="24" t="s">
        <v>1015</v>
      </c>
      <c r="N48" s="19">
        <v>677.06</v>
      </c>
      <c r="O48" s="19">
        <v>291.47000000000003</v>
      </c>
      <c r="P48" s="19">
        <v>711</v>
      </c>
      <c r="Q48" s="19">
        <v>642.24</v>
      </c>
      <c r="R48" s="19">
        <v>294.5</v>
      </c>
      <c r="S48" s="19">
        <v>206.68</v>
      </c>
      <c r="T48" s="19">
        <v>520.26</v>
      </c>
      <c r="U48" s="19">
        <v>165.54</v>
      </c>
      <c r="V48" s="19">
        <v>348.76</v>
      </c>
      <c r="W48" s="19">
        <v>319.45</v>
      </c>
      <c r="X48" s="19">
        <v>767.44</v>
      </c>
      <c r="Y48" s="19">
        <v>180.6</v>
      </c>
      <c r="Z48" s="19">
        <v>5125</v>
      </c>
      <c r="AA48" s="15">
        <v>0.28781753996592235</v>
      </c>
    </row>
    <row r="49" spans="13:29" x14ac:dyDescent="0.2">
      <c r="M49" s="23" t="s">
        <v>1634</v>
      </c>
      <c r="N49" s="30">
        <v>385013.49000000005</v>
      </c>
      <c r="O49" s="30">
        <v>476103.13</v>
      </c>
      <c r="P49" s="30">
        <v>455250.10000000003</v>
      </c>
      <c r="Q49" s="30">
        <v>491372.22</v>
      </c>
      <c r="R49" s="30">
        <v>494452.17</v>
      </c>
      <c r="S49" s="30">
        <v>388544.66000000003</v>
      </c>
      <c r="T49" s="30">
        <v>403211.67000000004</v>
      </c>
      <c r="U49" s="30">
        <v>384307.7</v>
      </c>
      <c r="V49" s="30">
        <v>329809.44999999995</v>
      </c>
      <c r="W49" s="30">
        <v>363230.39999999997</v>
      </c>
      <c r="X49" s="30">
        <v>407547.38</v>
      </c>
      <c r="Y49" s="30">
        <v>486129.38</v>
      </c>
      <c r="Z49" s="30">
        <v>5064971.7500000009</v>
      </c>
      <c r="AA49" s="31">
        <v>0.37569152037976283</v>
      </c>
    </row>
    <row r="50" spans="13:29" x14ac:dyDescent="0.2">
      <c r="M50" s="204" t="s">
        <v>667</v>
      </c>
      <c r="N50" s="244"/>
      <c r="O50" s="245"/>
      <c r="P50" s="245"/>
      <c r="Q50" s="245"/>
      <c r="R50" s="245"/>
      <c r="S50" s="245"/>
      <c r="T50" s="245"/>
      <c r="U50" s="245"/>
      <c r="V50" s="245"/>
      <c r="W50" s="245"/>
      <c r="X50" s="245"/>
      <c r="Y50" s="245"/>
      <c r="Z50" s="245"/>
      <c r="AA50" s="173"/>
    </row>
    <row r="51" spans="13:29" x14ac:dyDescent="0.2">
      <c r="M51" s="23" t="s">
        <v>471</v>
      </c>
      <c r="N51" s="145">
        <v>909188.15999999992</v>
      </c>
      <c r="O51" s="145">
        <v>1146888.1000000001</v>
      </c>
      <c r="P51" s="145">
        <v>1072799.3799999999</v>
      </c>
      <c r="Q51" s="145">
        <v>828032.87999999989</v>
      </c>
      <c r="R51" s="145">
        <v>670394.21</v>
      </c>
      <c r="S51" s="145">
        <v>438304.56999999995</v>
      </c>
      <c r="T51" s="145">
        <v>453153.92000000004</v>
      </c>
      <c r="U51" s="145">
        <v>388532.06</v>
      </c>
      <c r="V51" s="145">
        <v>372947.91000000003</v>
      </c>
      <c r="W51" s="145">
        <v>546443.51</v>
      </c>
      <c r="X51" s="145">
        <v>640128.57999999996</v>
      </c>
      <c r="Y51" s="145">
        <v>949945.26000000013</v>
      </c>
      <c r="Z51" s="145">
        <v>8416758.5399999991</v>
      </c>
      <c r="AA51" s="156">
        <v>0.62430847962023717</v>
      </c>
    </row>
    <row r="52" spans="13:29" x14ac:dyDescent="0.2">
      <c r="M52" s="204" t="s">
        <v>667</v>
      </c>
      <c r="N52" s="244"/>
      <c r="O52" s="245"/>
      <c r="P52" s="245"/>
      <c r="Q52" s="245"/>
      <c r="R52" s="245"/>
      <c r="S52" s="245"/>
      <c r="T52" s="245"/>
      <c r="U52" s="245"/>
      <c r="V52" s="245"/>
      <c r="W52" s="245"/>
      <c r="X52" s="245"/>
      <c r="Y52" s="245"/>
      <c r="Z52" s="245"/>
      <c r="AA52" s="173"/>
    </row>
    <row r="53" spans="13:29" x14ac:dyDescent="0.2">
      <c r="M53" s="37" t="s">
        <v>1018</v>
      </c>
      <c r="N53" s="40"/>
      <c r="O53" s="43"/>
      <c r="P53" s="43"/>
      <c r="Q53" s="43"/>
      <c r="R53" s="43"/>
      <c r="S53" s="43"/>
      <c r="T53" s="43"/>
      <c r="U53" s="43"/>
      <c r="V53" s="43"/>
      <c r="W53" s="43"/>
      <c r="X53" s="43"/>
      <c r="Y53" s="43"/>
      <c r="Z53" s="43"/>
      <c r="AA53" s="41"/>
    </row>
    <row r="54" spans="13:29" x14ac:dyDescent="0.2">
      <c r="M54" s="483" t="s">
        <v>1019</v>
      </c>
      <c r="N54" s="484">
        <v>107416.18</v>
      </c>
      <c r="O54" s="484">
        <v>114677.42</v>
      </c>
      <c r="P54" s="484">
        <v>116868.38</v>
      </c>
      <c r="Q54" s="484">
        <v>118018.97000000002</v>
      </c>
      <c r="R54" s="484">
        <v>111887.13</v>
      </c>
      <c r="S54" s="484">
        <v>82403.13</v>
      </c>
      <c r="T54" s="484">
        <v>90735.97</v>
      </c>
      <c r="U54" s="484">
        <v>94653.189999999988</v>
      </c>
      <c r="V54" s="484">
        <v>100776.39</v>
      </c>
      <c r="W54" s="484">
        <v>101752.4</v>
      </c>
      <c r="X54" s="484">
        <v>97558.31</v>
      </c>
      <c r="Y54" s="484">
        <v>127340.07</v>
      </c>
      <c r="Z54" s="484">
        <v>1264087.54</v>
      </c>
      <c r="AA54" s="485">
        <v>9.3763004659545082E-2</v>
      </c>
      <c r="AC54" s="486"/>
    </row>
    <row r="55" spans="13:29" x14ac:dyDescent="0.2">
      <c r="M55" s="24" t="s">
        <v>1020</v>
      </c>
      <c r="N55" s="19">
        <v>19235.439999999999</v>
      </c>
      <c r="O55" s="19">
        <v>22136.12</v>
      </c>
      <c r="P55" s="19">
        <v>20844.099999999999</v>
      </c>
      <c r="Q55" s="19">
        <v>15829.8</v>
      </c>
      <c r="R55" s="19">
        <v>15157.74</v>
      </c>
      <c r="S55" s="19">
        <v>11148.06</v>
      </c>
      <c r="T55" s="19">
        <v>12448.49</v>
      </c>
      <c r="U55" s="19">
        <v>9078.4500000000007</v>
      </c>
      <c r="V55" s="19">
        <v>8251.67</v>
      </c>
      <c r="W55" s="19">
        <v>10860.33</v>
      </c>
      <c r="X55" s="19">
        <v>13045.09</v>
      </c>
      <c r="Y55" s="19">
        <v>19091.71</v>
      </c>
      <c r="Z55" s="19">
        <v>177126.99999999997</v>
      </c>
      <c r="AA55" s="15">
        <v>1.3138298733908286E-2</v>
      </c>
    </row>
    <row r="56" spans="13:29" x14ac:dyDescent="0.2">
      <c r="M56" s="483" t="s">
        <v>1021</v>
      </c>
      <c r="N56" s="484">
        <v>96704.829999999987</v>
      </c>
      <c r="O56" s="484">
        <v>100245.07</v>
      </c>
      <c r="P56" s="484">
        <v>104713.14</v>
      </c>
      <c r="Q56" s="484">
        <v>115727.71999999999</v>
      </c>
      <c r="R56" s="484">
        <v>106611.29000000001</v>
      </c>
      <c r="S56" s="484">
        <v>96066.239999999991</v>
      </c>
      <c r="T56" s="484">
        <v>97447.53</v>
      </c>
      <c r="U56" s="484">
        <v>91547.39</v>
      </c>
      <c r="V56" s="484">
        <v>90676.38</v>
      </c>
      <c r="W56" s="484">
        <v>89372.200000000012</v>
      </c>
      <c r="X56" s="484">
        <v>96385.97</v>
      </c>
      <c r="Y56" s="484">
        <v>83929.4</v>
      </c>
      <c r="Z56" s="484">
        <v>1169427.1599999999</v>
      </c>
      <c r="AA56" s="485">
        <v>8.6741622539906194E-2</v>
      </c>
      <c r="AC56" s="486"/>
    </row>
    <row r="57" spans="13:29" x14ac:dyDescent="0.2">
      <c r="M57" s="483" t="s">
        <v>1022</v>
      </c>
      <c r="N57" s="484">
        <v>62174.099999999991</v>
      </c>
      <c r="O57" s="484">
        <v>59068.42</v>
      </c>
      <c r="P57" s="484">
        <v>67262.01999999999</v>
      </c>
      <c r="Q57" s="484">
        <v>39115.740000000005</v>
      </c>
      <c r="R57" s="484">
        <v>56206.060000000005</v>
      </c>
      <c r="S57" s="484">
        <v>44735.460000000006</v>
      </c>
      <c r="T57" s="484">
        <v>47711.770000000004</v>
      </c>
      <c r="U57" s="484">
        <v>50234.87</v>
      </c>
      <c r="V57" s="484">
        <v>55019.17</v>
      </c>
      <c r="W57" s="484">
        <v>52624.63</v>
      </c>
      <c r="X57" s="484">
        <v>53914.299999999996</v>
      </c>
      <c r="Y57" s="484">
        <v>49000.92</v>
      </c>
      <c r="Z57" s="484">
        <v>637067.46000000008</v>
      </c>
      <c r="AA57" s="485">
        <v>4.7254131798834566E-2</v>
      </c>
      <c r="AC57" s="486"/>
    </row>
    <row r="58" spans="13:29" x14ac:dyDescent="0.2">
      <c r="M58" s="483" t="s">
        <v>1023</v>
      </c>
      <c r="N58" s="484">
        <v>23466.799999999999</v>
      </c>
      <c r="O58" s="484">
        <v>23071.960000000003</v>
      </c>
      <c r="P58" s="484">
        <v>23518.469999999998</v>
      </c>
      <c r="Q58" s="484">
        <v>24267.370000000003</v>
      </c>
      <c r="R58" s="484">
        <v>23954.01</v>
      </c>
      <c r="S58" s="484">
        <v>29199.309999999998</v>
      </c>
      <c r="T58" s="484">
        <v>25479.510000000002</v>
      </c>
      <c r="U58" s="484">
        <v>23822.33</v>
      </c>
      <c r="V58" s="484">
        <v>24886.79</v>
      </c>
      <c r="W58" s="484">
        <v>25215.21</v>
      </c>
      <c r="X58" s="484">
        <v>24343.65</v>
      </c>
      <c r="Y58" s="484">
        <v>20231.260000000002</v>
      </c>
      <c r="Z58" s="484">
        <v>291456.67000000004</v>
      </c>
      <c r="AA58" s="485">
        <v>2.1618639724322809E-2</v>
      </c>
      <c r="AC58" s="486"/>
    </row>
    <row r="59" spans="13:29" x14ac:dyDescent="0.2">
      <c r="M59" s="23" t="s">
        <v>1635</v>
      </c>
      <c r="N59" s="30">
        <v>308997.34999999998</v>
      </c>
      <c r="O59" s="30">
        <v>319198.99000000005</v>
      </c>
      <c r="P59" s="30">
        <v>333206.11</v>
      </c>
      <c r="Q59" s="30">
        <v>312959.59999999998</v>
      </c>
      <c r="R59" s="30">
        <v>313816.23000000004</v>
      </c>
      <c r="S59" s="30">
        <v>263552.2</v>
      </c>
      <c r="T59" s="30">
        <v>273823.27</v>
      </c>
      <c r="U59" s="30">
        <v>269336.23</v>
      </c>
      <c r="V59" s="30">
        <v>279610.39999999997</v>
      </c>
      <c r="W59" s="30">
        <v>279824.77</v>
      </c>
      <c r="X59" s="30">
        <v>285247.32</v>
      </c>
      <c r="Y59" s="30">
        <v>299593.36</v>
      </c>
      <c r="Z59" s="30">
        <v>3539165.8299999996</v>
      </c>
      <c r="AA59" s="31">
        <v>0.26251569745651687</v>
      </c>
    </row>
    <row r="60" spans="13:29" x14ac:dyDescent="0.2">
      <c r="M60" s="204" t="s">
        <v>667</v>
      </c>
      <c r="N60" s="244"/>
      <c r="O60" s="245"/>
      <c r="P60" s="245"/>
      <c r="Q60" s="245"/>
      <c r="R60" s="245"/>
      <c r="S60" s="245"/>
      <c r="T60" s="245"/>
      <c r="U60" s="245"/>
      <c r="V60" s="245"/>
      <c r="W60" s="245"/>
      <c r="X60" s="245"/>
      <c r="Y60" s="245"/>
      <c r="Z60" s="245"/>
      <c r="AA60" s="173"/>
    </row>
    <row r="61" spans="13:29" ht="16" thickBot="1" x14ac:dyDescent="0.25">
      <c r="M61" s="23" t="s">
        <v>1024</v>
      </c>
      <c r="N61" s="58">
        <v>600190.80999999994</v>
      </c>
      <c r="O61" s="58">
        <v>827689.1100000001</v>
      </c>
      <c r="P61" s="58">
        <v>739593.2699999999</v>
      </c>
      <c r="Q61" s="58">
        <v>515073.27999999991</v>
      </c>
      <c r="R61" s="58">
        <v>356577.97999999992</v>
      </c>
      <c r="S61" s="58">
        <v>174752.36999999994</v>
      </c>
      <c r="T61" s="58">
        <v>179330.65000000002</v>
      </c>
      <c r="U61" s="58">
        <v>119195.83000000002</v>
      </c>
      <c r="V61" s="58">
        <v>93337.510000000068</v>
      </c>
      <c r="W61" s="58">
        <v>266618.74</v>
      </c>
      <c r="X61" s="58">
        <v>354881.25999999995</v>
      </c>
      <c r="Y61" s="58">
        <v>650351.90000000014</v>
      </c>
      <c r="Z61" s="58">
        <v>4877592.71</v>
      </c>
      <c r="AA61" s="59">
        <v>0.36179278216372035</v>
      </c>
    </row>
    <row r="62" spans="13:29" ht="16" thickTop="1" x14ac:dyDescent="0.2">
      <c r="M62" s="204" t="s">
        <v>667</v>
      </c>
      <c r="N62" s="244"/>
      <c r="O62" s="245"/>
      <c r="P62" s="245"/>
      <c r="Q62" s="245"/>
      <c r="R62" s="245"/>
      <c r="S62" s="245"/>
      <c r="T62" s="245"/>
      <c r="U62" s="245"/>
      <c r="V62" s="245"/>
      <c r="W62" s="245"/>
      <c r="X62" s="245"/>
      <c r="Y62" s="245"/>
      <c r="Z62" s="245"/>
      <c r="AA62" s="173"/>
    </row>
    <row r="63" spans="13:29" x14ac:dyDescent="0.2">
      <c r="M63" s="483" t="s">
        <v>1025</v>
      </c>
      <c r="N63" s="484">
        <v>53830.670000000006</v>
      </c>
      <c r="O63" s="484">
        <v>67958.77</v>
      </c>
      <c r="P63" s="484">
        <v>64662.33</v>
      </c>
      <c r="Q63" s="484">
        <v>56917.53</v>
      </c>
      <c r="R63" s="484">
        <v>55821.919999999998</v>
      </c>
      <c r="S63" s="484">
        <v>41157.660000000003</v>
      </c>
      <c r="T63" s="484">
        <v>41987.72</v>
      </c>
      <c r="U63" s="484">
        <v>37762.94</v>
      </c>
      <c r="V63" s="484">
        <v>37196.82</v>
      </c>
      <c r="W63" s="484">
        <v>42657.18</v>
      </c>
      <c r="X63" s="484">
        <v>55537.08</v>
      </c>
      <c r="Y63" s="484">
        <v>64343.020000000004</v>
      </c>
      <c r="Z63" s="484">
        <v>619833.64</v>
      </c>
      <c r="AA63" s="485">
        <v>4.5975822588570719E-2</v>
      </c>
      <c r="AC63" s="486"/>
    </row>
    <row r="64" spans="13:29" x14ac:dyDescent="0.2">
      <c r="M64" s="23" t="s">
        <v>1026</v>
      </c>
      <c r="N64" s="145">
        <v>546360.1399999999</v>
      </c>
      <c r="O64" s="145">
        <v>759730.34000000008</v>
      </c>
      <c r="P64" s="145">
        <v>674930.94</v>
      </c>
      <c r="Q64" s="145">
        <v>458155.74999999988</v>
      </c>
      <c r="R64" s="145">
        <v>300756.05999999994</v>
      </c>
      <c r="S64" s="145">
        <v>133594.70999999993</v>
      </c>
      <c r="T64" s="145">
        <v>137342.93000000002</v>
      </c>
      <c r="U64" s="145">
        <v>81432.890000000014</v>
      </c>
      <c r="V64" s="145">
        <v>56140.690000000068</v>
      </c>
      <c r="W64" s="145">
        <v>223961.56</v>
      </c>
      <c r="X64" s="145">
        <v>299344.17999999993</v>
      </c>
      <c r="Y64" s="145">
        <v>586008.88000000012</v>
      </c>
      <c r="Z64" s="145">
        <v>4257759.07</v>
      </c>
      <c r="AA64" s="156">
        <v>0.31581695957514966</v>
      </c>
    </row>
    <row r="65" spans="13:29" x14ac:dyDescent="0.2">
      <c r="M65" s="204"/>
      <c r="N65" s="205"/>
      <c r="O65" s="243"/>
      <c r="P65" s="243"/>
      <c r="Q65" s="243"/>
      <c r="R65" s="243"/>
      <c r="S65" s="243"/>
      <c r="T65" s="243"/>
      <c r="U65" s="243"/>
      <c r="V65" s="243"/>
      <c r="W65" s="243"/>
      <c r="X65" s="243"/>
      <c r="Y65" s="243"/>
      <c r="Z65" s="243"/>
      <c r="AA65" s="173"/>
    </row>
    <row r="66" spans="13:29" x14ac:dyDescent="0.2">
      <c r="M66" s="37" t="s">
        <v>1027</v>
      </c>
      <c r="N66" s="40"/>
      <c r="O66" s="43"/>
      <c r="P66" s="43"/>
      <c r="Q66" s="43"/>
      <c r="R66" s="43"/>
      <c r="S66" s="43"/>
      <c r="T66" s="43"/>
      <c r="U66" s="43"/>
      <c r="V66" s="43"/>
      <c r="W66" s="43"/>
      <c r="X66" s="43"/>
      <c r="Y66" s="43"/>
      <c r="Z66" s="43"/>
      <c r="AA66" s="41"/>
    </row>
    <row r="67" spans="13:29" x14ac:dyDescent="0.2">
      <c r="M67" s="24" t="s">
        <v>1028</v>
      </c>
      <c r="N67" s="19">
        <v>-1939.85</v>
      </c>
      <c r="O67" s="19">
        <v>-1838.2</v>
      </c>
      <c r="P67" s="19">
        <v>-2002.55</v>
      </c>
      <c r="Q67" s="19">
        <v>-1967.65</v>
      </c>
      <c r="R67" s="19">
        <v>-2116.0700000000002</v>
      </c>
      <c r="S67" s="19">
        <v>-2077.4899999999998</v>
      </c>
      <c r="T67" s="19">
        <v>-2152.0300000000002</v>
      </c>
      <c r="U67" s="19">
        <v>-2157.5</v>
      </c>
      <c r="V67" s="19">
        <v>-1997.83</v>
      </c>
      <c r="W67" s="19">
        <v>-1918.92</v>
      </c>
      <c r="X67" s="19">
        <v>0</v>
      </c>
      <c r="Y67" s="19">
        <v>0</v>
      </c>
      <c r="Z67" s="19">
        <v>-20168.089999999997</v>
      </c>
      <c r="AA67" s="15">
        <v>-1.4959570890510671E-3</v>
      </c>
    </row>
    <row r="68" spans="13:29" x14ac:dyDescent="0.2">
      <c r="M68" s="24" t="s">
        <v>1029</v>
      </c>
      <c r="N68" s="19">
        <v>999.18</v>
      </c>
      <c r="O68" s="19">
        <v>1697.89</v>
      </c>
      <c r="P68" s="19">
        <v>1671.22</v>
      </c>
      <c r="Q68" s="19">
        <v>-196.17</v>
      </c>
      <c r="R68" s="19">
        <v>1870.24</v>
      </c>
      <c r="S68" s="19">
        <v>658.13</v>
      </c>
      <c r="T68" s="19">
        <v>837.03</v>
      </c>
      <c r="U68" s="19">
        <v>517.89</v>
      </c>
      <c r="V68" s="19">
        <v>3514.57</v>
      </c>
      <c r="W68" s="19">
        <v>-800.55</v>
      </c>
      <c r="X68" s="19">
        <v>2224.88</v>
      </c>
      <c r="Y68" s="19">
        <v>-2950.36</v>
      </c>
      <c r="Z68" s="19">
        <v>10043.950000000001</v>
      </c>
      <c r="AA68" s="15">
        <v>7.4500451974254713E-4</v>
      </c>
    </row>
    <row r="69" spans="13:29" x14ac:dyDescent="0.2">
      <c r="M69" s="24" t="s">
        <v>1030</v>
      </c>
      <c r="N69" s="19">
        <v>48927</v>
      </c>
      <c r="O69" s="19">
        <v>45461</v>
      </c>
      <c r="P69" s="19">
        <v>45461</v>
      </c>
      <c r="Q69" s="19">
        <v>62050.2</v>
      </c>
      <c r="R69" s="19">
        <v>45461</v>
      </c>
      <c r="S69" s="19">
        <v>45461</v>
      </c>
      <c r="T69" s="19">
        <v>45461</v>
      </c>
      <c r="U69" s="19">
        <v>45461</v>
      </c>
      <c r="V69" s="19">
        <v>45461</v>
      </c>
      <c r="W69" s="19">
        <v>45461</v>
      </c>
      <c r="X69" s="19">
        <v>86358.56</v>
      </c>
      <c r="Y69" s="19">
        <v>132652.87</v>
      </c>
      <c r="Z69" s="19">
        <v>693676.63</v>
      </c>
      <c r="AA69" s="15">
        <v>5.1453086145368962E-2</v>
      </c>
    </row>
    <row r="70" spans="13:29" x14ac:dyDescent="0.2">
      <c r="M70" s="483" t="s">
        <v>1031</v>
      </c>
      <c r="N70" s="484">
        <v>129453.33</v>
      </c>
      <c r="O70" s="484">
        <v>130720.95</v>
      </c>
      <c r="P70" s="484">
        <v>130720.95</v>
      </c>
      <c r="Q70" s="484">
        <v>130984.31999999999</v>
      </c>
      <c r="R70" s="484">
        <v>117207.71999999999</v>
      </c>
      <c r="S70" s="484">
        <v>117470.98</v>
      </c>
      <c r="T70" s="484">
        <v>117470.94</v>
      </c>
      <c r="U70" s="484">
        <v>116313.07999999999</v>
      </c>
      <c r="V70" s="484">
        <v>117717.47</v>
      </c>
      <c r="W70" s="484">
        <v>117717.34999999999</v>
      </c>
      <c r="X70" s="484">
        <v>117717.34999999999</v>
      </c>
      <c r="Y70" s="484">
        <v>130965.01999999999</v>
      </c>
      <c r="Z70" s="484">
        <v>1474459.4600000002</v>
      </c>
      <c r="AA70" s="485">
        <v>0.10936722722406578</v>
      </c>
      <c r="AC70" s="486"/>
    </row>
    <row r="71" spans="13:29" x14ac:dyDescent="0.2">
      <c r="M71" s="24" t="s">
        <v>586</v>
      </c>
      <c r="N71" s="19">
        <v>0</v>
      </c>
      <c r="O71" s="19">
        <v>0</v>
      </c>
      <c r="P71" s="19">
        <v>0</v>
      </c>
      <c r="Q71" s="19">
        <v>0</v>
      </c>
      <c r="R71" s="19">
        <v>0</v>
      </c>
      <c r="S71" s="19">
        <v>0</v>
      </c>
      <c r="T71" s="19">
        <v>0</v>
      </c>
      <c r="U71" s="19">
        <v>0</v>
      </c>
      <c r="V71" s="19">
        <v>0</v>
      </c>
      <c r="W71" s="19">
        <v>0</v>
      </c>
      <c r="X71" s="19">
        <v>0</v>
      </c>
      <c r="Y71" s="19">
        <v>0</v>
      </c>
      <c r="Z71" s="19">
        <v>0</v>
      </c>
      <c r="AA71" s="15" t="s">
        <v>667</v>
      </c>
    </row>
    <row r="72" spans="13:29" x14ac:dyDescent="0.2">
      <c r="M72" s="23" t="s">
        <v>1636</v>
      </c>
      <c r="N72" s="30">
        <v>177439.66</v>
      </c>
      <c r="O72" s="30">
        <v>176041.64</v>
      </c>
      <c r="P72" s="30">
        <v>175850.62</v>
      </c>
      <c r="Q72" s="30">
        <v>190870.69999999998</v>
      </c>
      <c r="R72" s="30">
        <v>162422.88999999998</v>
      </c>
      <c r="S72" s="30">
        <v>161512.62</v>
      </c>
      <c r="T72" s="30">
        <v>161616.94</v>
      </c>
      <c r="U72" s="30">
        <v>160134.46999999997</v>
      </c>
      <c r="V72" s="30">
        <v>164695.21</v>
      </c>
      <c r="W72" s="30">
        <v>160458.88</v>
      </c>
      <c r="X72" s="30">
        <v>206300.78999999998</v>
      </c>
      <c r="Y72" s="30">
        <v>260667.52999999997</v>
      </c>
      <c r="Z72" s="30">
        <v>2158011.9499999997</v>
      </c>
      <c r="AA72" s="31">
        <v>0.16006936080012618</v>
      </c>
    </row>
    <row r="73" spans="13:29" x14ac:dyDescent="0.2">
      <c r="M73" s="1"/>
      <c r="N73" s="38"/>
      <c r="O73" s="42"/>
      <c r="P73" s="42"/>
      <c r="Q73" s="42"/>
      <c r="R73" s="42"/>
      <c r="S73" s="42"/>
      <c r="T73" s="42"/>
      <c r="U73" s="42"/>
      <c r="V73" s="42"/>
      <c r="W73" s="42"/>
      <c r="X73" s="42"/>
      <c r="Y73" s="42"/>
      <c r="Z73" s="42"/>
      <c r="AA73" s="39"/>
    </row>
    <row r="74" spans="13:29" ht="16" thickBot="1" x14ac:dyDescent="0.25">
      <c r="M74" s="23" t="s">
        <v>570</v>
      </c>
      <c r="N74" s="58">
        <v>368920.47999999986</v>
      </c>
      <c r="O74" s="58">
        <v>583688.70000000007</v>
      </c>
      <c r="P74" s="58">
        <v>499080.31999999995</v>
      </c>
      <c r="Q74" s="58">
        <v>267285.04999999993</v>
      </c>
      <c r="R74" s="58">
        <v>138333.16999999995</v>
      </c>
      <c r="S74" s="58">
        <v>-27917.910000000062</v>
      </c>
      <c r="T74" s="58">
        <v>-24274.00999999998</v>
      </c>
      <c r="U74" s="58">
        <v>-78701.579999999958</v>
      </c>
      <c r="V74" s="58">
        <v>-108554.51999999993</v>
      </c>
      <c r="W74" s="58">
        <v>63502.679999999993</v>
      </c>
      <c r="X74" s="58">
        <v>93043.389999999956</v>
      </c>
      <c r="Y74" s="58">
        <v>325341.35000000015</v>
      </c>
      <c r="Z74" s="58">
        <v>2099747.1199999996</v>
      </c>
      <c r="AA74" s="59">
        <v>0.15574759877502339</v>
      </c>
    </row>
    <row r="75" spans="13:29" ht="16" thickTop="1" x14ac:dyDescent="0.2">
      <c r="M75" s="204" t="s">
        <v>667</v>
      </c>
      <c r="N75" s="244"/>
      <c r="O75" s="245"/>
      <c r="P75" s="245"/>
      <c r="Q75" s="245"/>
      <c r="R75" s="245"/>
      <c r="S75" s="245"/>
      <c r="T75" s="245"/>
      <c r="U75" s="245"/>
      <c r="V75" s="245"/>
      <c r="W75" s="245"/>
      <c r="X75" s="245"/>
      <c r="Y75" s="245"/>
      <c r="Z75" s="245"/>
      <c r="AA75" s="173"/>
    </row>
    <row r="76" spans="13:29" x14ac:dyDescent="0.2">
      <c r="M76" s="37" t="s">
        <v>1032</v>
      </c>
      <c r="N76" s="40"/>
      <c r="O76" s="43"/>
      <c r="P76" s="43"/>
      <c r="Q76" s="43"/>
      <c r="R76" s="43"/>
      <c r="S76" s="43"/>
      <c r="T76" s="43"/>
      <c r="U76" s="43"/>
      <c r="V76" s="43"/>
      <c r="W76" s="43"/>
      <c r="X76" s="43"/>
      <c r="Y76" s="43"/>
      <c r="Z76" s="43"/>
      <c r="AA76" s="41"/>
    </row>
    <row r="77" spans="13:29" x14ac:dyDescent="0.2">
      <c r="M77" s="24" t="s">
        <v>1033</v>
      </c>
      <c r="N77" s="19">
        <v>292803.61</v>
      </c>
      <c r="O77" s="19">
        <v>273376.56</v>
      </c>
      <c r="P77" s="19">
        <v>273376.56</v>
      </c>
      <c r="Q77" s="19">
        <v>277192</v>
      </c>
      <c r="R77" s="19">
        <v>269799.65999999997</v>
      </c>
      <c r="S77" s="19">
        <v>268477.21999999997</v>
      </c>
      <c r="T77" s="19">
        <v>260249.22</v>
      </c>
      <c r="U77" s="19">
        <v>268652.89</v>
      </c>
      <c r="V77" s="19">
        <v>254093.33</v>
      </c>
      <c r="W77" s="19">
        <v>253809.06</v>
      </c>
      <c r="X77" s="19">
        <v>254642.37</v>
      </c>
      <c r="Y77" s="19">
        <v>196889.05</v>
      </c>
      <c r="Z77" s="19">
        <v>3143361.53</v>
      </c>
      <c r="AA77" s="15">
        <v>0.23315712912099801</v>
      </c>
    </row>
    <row r="78" spans="13:29" x14ac:dyDescent="0.2">
      <c r="M78" s="24" t="s">
        <v>1034</v>
      </c>
      <c r="N78" s="19">
        <v>42107.71</v>
      </c>
      <c r="O78" s="19">
        <v>42107.71</v>
      </c>
      <c r="P78" s="19">
        <v>42107.71</v>
      </c>
      <c r="Q78" s="19">
        <v>42107.71</v>
      </c>
      <c r="R78" s="19">
        <v>42107.71</v>
      </c>
      <c r="S78" s="19">
        <v>42107.71</v>
      </c>
      <c r="T78" s="19">
        <v>42107.71</v>
      </c>
      <c r="U78" s="19">
        <v>42107.71</v>
      </c>
      <c r="V78" s="19">
        <v>42107.75</v>
      </c>
      <c r="W78" s="19">
        <v>42065.23</v>
      </c>
      <c r="X78" s="19">
        <v>41983.62</v>
      </c>
      <c r="Y78" s="19">
        <v>41983.59</v>
      </c>
      <c r="Z78" s="19">
        <v>505001.87</v>
      </c>
      <c r="AA78" s="15">
        <v>3.7458238604178455E-2</v>
      </c>
    </row>
    <row r="79" spans="13:29" x14ac:dyDescent="0.2">
      <c r="M79" s="24" t="s">
        <v>1035</v>
      </c>
      <c r="N79" s="19">
        <v>0</v>
      </c>
      <c r="O79" s="19">
        <v>0</v>
      </c>
      <c r="P79" s="19">
        <v>0</v>
      </c>
      <c r="Q79" s="19">
        <v>0</v>
      </c>
      <c r="R79" s="19">
        <v>0</v>
      </c>
      <c r="S79" s="19">
        <v>0</v>
      </c>
      <c r="T79" s="19">
        <v>0</v>
      </c>
      <c r="U79" s="19">
        <v>0</v>
      </c>
      <c r="V79" s="19">
        <v>0</v>
      </c>
      <c r="W79" s="19">
        <v>0</v>
      </c>
      <c r="X79" s="19">
        <v>0</v>
      </c>
      <c r="Y79" s="19">
        <v>0</v>
      </c>
      <c r="Z79" s="19">
        <v>0</v>
      </c>
      <c r="AA79" s="15" t="s">
        <v>667</v>
      </c>
    </row>
    <row r="80" spans="13:29" x14ac:dyDescent="0.2">
      <c r="M80" s="23" t="s">
        <v>1637</v>
      </c>
      <c r="N80" s="30">
        <v>334911.32</v>
      </c>
      <c r="O80" s="30">
        <v>315484.27</v>
      </c>
      <c r="P80" s="30">
        <v>315484.27</v>
      </c>
      <c r="Q80" s="30">
        <v>319299.71000000002</v>
      </c>
      <c r="R80" s="30">
        <v>311907.37</v>
      </c>
      <c r="S80" s="30">
        <v>310584.93</v>
      </c>
      <c r="T80" s="30">
        <v>302356.93</v>
      </c>
      <c r="U80" s="30">
        <v>310760.60000000003</v>
      </c>
      <c r="V80" s="30">
        <v>296201.07999999996</v>
      </c>
      <c r="W80" s="30">
        <v>295874.28999999998</v>
      </c>
      <c r="X80" s="30">
        <v>296625.99</v>
      </c>
      <c r="Y80" s="30">
        <v>238872.63999999998</v>
      </c>
      <c r="Z80" s="30">
        <v>3648363.4</v>
      </c>
      <c r="AA80" s="31">
        <v>0.27061536772517647</v>
      </c>
    </row>
    <row r="81" spans="13:27" x14ac:dyDescent="0.2">
      <c r="M81" s="1"/>
      <c r="N81" s="38"/>
      <c r="O81" s="42"/>
      <c r="P81" s="42"/>
      <c r="Q81" s="42"/>
      <c r="R81" s="42"/>
      <c r="S81" s="42"/>
      <c r="T81" s="42"/>
      <c r="U81" s="42"/>
      <c r="V81" s="42"/>
      <c r="W81" s="42"/>
      <c r="X81" s="42"/>
      <c r="Y81" s="42"/>
      <c r="Z81" s="42"/>
      <c r="AA81" s="39"/>
    </row>
    <row r="82" spans="13:27" x14ac:dyDescent="0.2">
      <c r="M82" s="23" t="s">
        <v>1036</v>
      </c>
      <c r="N82" s="145">
        <v>34009.159999999858</v>
      </c>
      <c r="O82" s="145">
        <v>268204.43000000005</v>
      </c>
      <c r="P82" s="145">
        <v>183596.04999999993</v>
      </c>
      <c r="Q82" s="145">
        <v>-52014.660000000091</v>
      </c>
      <c r="R82" s="145">
        <v>-173574.20000000004</v>
      </c>
      <c r="S82" s="145">
        <v>-338502.84000000008</v>
      </c>
      <c r="T82" s="145">
        <v>-326630.93999999994</v>
      </c>
      <c r="U82" s="145">
        <v>-389462.18</v>
      </c>
      <c r="V82" s="145">
        <v>-404755.59999999986</v>
      </c>
      <c r="W82" s="145">
        <v>-232371.61</v>
      </c>
      <c r="X82" s="145">
        <v>-203582.60000000003</v>
      </c>
      <c r="Y82" s="145">
        <v>86468.710000000166</v>
      </c>
      <c r="Z82" s="145">
        <v>-1548616.28</v>
      </c>
      <c r="AA82" s="156">
        <v>-0.11486776895015306</v>
      </c>
    </row>
    <row r="83" spans="13:27" x14ac:dyDescent="0.2">
      <c r="M83" s="24" t="s">
        <v>1037</v>
      </c>
      <c r="N83" s="19"/>
      <c r="O83" s="19"/>
      <c r="P83" s="19"/>
      <c r="Q83" s="19"/>
      <c r="R83" s="19"/>
      <c r="S83" s="19"/>
      <c r="T83" s="19"/>
      <c r="U83" s="19"/>
      <c r="V83" s="19"/>
      <c r="W83" s="19"/>
      <c r="X83" s="19"/>
      <c r="Y83" s="19"/>
      <c r="Z83" s="19">
        <v>0</v>
      </c>
      <c r="AA83" s="15" t="s">
        <v>667</v>
      </c>
    </row>
    <row r="84" spans="13:27" ht="16" thickBot="1" x14ac:dyDescent="0.25">
      <c r="M84" s="23" t="s">
        <v>1038</v>
      </c>
      <c r="N84" s="58">
        <v>34009.159999999858</v>
      </c>
      <c r="O84" s="58">
        <v>268204.43000000005</v>
      </c>
      <c r="P84" s="58">
        <v>183596.04999999993</v>
      </c>
      <c r="Q84" s="58">
        <v>-52014.660000000091</v>
      </c>
      <c r="R84" s="58">
        <v>-173574.20000000004</v>
      </c>
      <c r="S84" s="58">
        <v>-338502.84000000008</v>
      </c>
      <c r="T84" s="58">
        <v>-326630.93999999994</v>
      </c>
      <c r="U84" s="58">
        <v>-389462.18</v>
      </c>
      <c r="V84" s="58">
        <v>-404755.59999999986</v>
      </c>
      <c r="W84" s="58">
        <v>-232371.61</v>
      </c>
      <c r="X84" s="58">
        <v>-203582.60000000003</v>
      </c>
      <c r="Y84" s="58">
        <v>86468.710000000166</v>
      </c>
      <c r="Z84" s="58">
        <v>-1548616.28</v>
      </c>
      <c r="AA84" s="59">
        <v>-0.11486776895015306</v>
      </c>
    </row>
    <row r="85" spans="13:27" ht="16" thickTop="1" x14ac:dyDescent="0.2">
      <c r="M85" s="204" t="s">
        <v>667</v>
      </c>
      <c r="N85" s="244"/>
      <c r="O85" s="244"/>
      <c r="P85" s="244"/>
      <c r="Q85" s="244"/>
      <c r="R85" s="244"/>
      <c r="S85" s="244"/>
      <c r="T85" s="244"/>
      <c r="U85" s="244"/>
      <c r="V85" s="244"/>
      <c r="W85" s="244"/>
      <c r="X85" s="244"/>
      <c r="Y85" s="244"/>
      <c r="Z85" s="244"/>
      <c r="AA85" s="173"/>
    </row>
    <row r="86" spans="13:27" x14ac:dyDescent="0.2">
      <c r="M86" s="23" t="s">
        <v>570</v>
      </c>
      <c r="N86" s="145">
        <v>368920.47999999986</v>
      </c>
      <c r="O86" s="145">
        <v>583688.70000000007</v>
      </c>
      <c r="P86" s="145">
        <v>499080.31999999995</v>
      </c>
      <c r="Q86" s="145">
        <v>267285.04999999993</v>
      </c>
      <c r="R86" s="145">
        <v>138333.16999999995</v>
      </c>
      <c r="S86" s="145">
        <v>-27917.910000000062</v>
      </c>
      <c r="T86" s="145">
        <v>-24274.00999999998</v>
      </c>
      <c r="U86" s="145">
        <v>-78701.579999999958</v>
      </c>
      <c r="V86" s="145">
        <v>-108554.51999999993</v>
      </c>
      <c r="W86" s="145">
        <v>63502.679999999993</v>
      </c>
      <c r="X86" s="145">
        <v>93043.389999999956</v>
      </c>
      <c r="Y86" s="145">
        <v>325341.35000000015</v>
      </c>
      <c r="Z86" s="145">
        <v>2099747.1199999996</v>
      </c>
      <c r="AA86" s="156">
        <v>0.15574759877502339</v>
      </c>
    </row>
    <row r="87" spans="13:27" x14ac:dyDescent="0.2">
      <c r="M87" s="24" t="s">
        <v>1039</v>
      </c>
      <c r="N87" s="19">
        <v>51768.065999999999</v>
      </c>
      <c r="O87" s="19">
        <v>64919.6492</v>
      </c>
      <c r="P87" s="19">
        <v>61121.979200000002</v>
      </c>
      <c r="Q87" s="19">
        <v>52776.203999999998</v>
      </c>
      <c r="R87" s="19">
        <v>46593.855199999998</v>
      </c>
      <c r="S87" s="19">
        <v>33073.9692</v>
      </c>
      <c r="T87" s="19">
        <v>34254.623600000006</v>
      </c>
      <c r="U87" s="19">
        <v>30913.590400000001</v>
      </c>
      <c r="V87" s="19">
        <v>28110.294399999999</v>
      </c>
      <c r="W87" s="19">
        <v>36386.956400000003</v>
      </c>
      <c r="X87" s="19">
        <v>41907.038399999998</v>
      </c>
      <c r="Y87" s="19">
        <v>57442.985600000007</v>
      </c>
      <c r="Z87" s="19">
        <v>539269.21160000004</v>
      </c>
      <c r="AA87" s="488">
        <v>0.04</v>
      </c>
    </row>
    <row r="88" spans="13:27" ht="16" thickBot="1" x14ac:dyDescent="0.25">
      <c r="M88" s="23" t="s">
        <v>581</v>
      </c>
      <c r="N88" s="58">
        <v>317152.41399999987</v>
      </c>
      <c r="O88" s="58">
        <v>518769.05080000008</v>
      </c>
      <c r="P88" s="58">
        <v>437958.34079999995</v>
      </c>
      <c r="Q88" s="58">
        <v>214508.84599999993</v>
      </c>
      <c r="R88" s="58">
        <v>91739.314799999964</v>
      </c>
      <c r="S88" s="58">
        <v>-60991.879200000061</v>
      </c>
      <c r="T88" s="58">
        <v>-58528.633599999986</v>
      </c>
      <c r="U88" s="58">
        <v>-109615.17039999996</v>
      </c>
      <c r="V88" s="58">
        <v>-136664.81439999992</v>
      </c>
      <c r="W88" s="58">
        <v>27115.72359999999</v>
      </c>
      <c r="X88" s="58">
        <v>51136.351599999958</v>
      </c>
      <c r="Y88" s="58">
        <v>267898.36440000014</v>
      </c>
      <c r="Z88" s="58">
        <v>1560477.9083999998</v>
      </c>
      <c r="AA88" s="59">
        <v>0.1157475987750234</v>
      </c>
    </row>
    <row r="89" spans="13:27" ht="16" thickTop="1" x14ac:dyDescent="0.2"/>
    <row r="92" spans="13:27" x14ac:dyDescent="0.2">
      <c r="M92" s="37" t="s">
        <v>1567</v>
      </c>
    </row>
    <row r="93" spans="13:27" x14ac:dyDescent="0.2">
      <c r="M93" s="489" t="s">
        <v>1568</v>
      </c>
      <c r="N93" s="19">
        <v>154107.21</v>
      </c>
      <c r="O93" s="19">
        <v>271863.27</v>
      </c>
      <c r="P93" s="19">
        <v>239692.01000000004</v>
      </c>
      <c r="Q93" s="19">
        <v>250971.01</v>
      </c>
      <c r="R93" s="19">
        <v>276217.51</v>
      </c>
      <c r="S93" s="19">
        <v>201588.78</v>
      </c>
      <c r="T93" s="19">
        <v>210893.25999999998</v>
      </c>
      <c r="U93" s="19">
        <v>189691.38</v>
      </c>
      <c r="V93" s="19">
        <v>205467.1</v>
      </c>
      <c r="W93" s="19">
        <v>195962.94</v>
      </c>
      <c r="X93" s="19">
        <v>235866.06</v>
      </c>
      <c r="Y93" s="19">
        <v>306720.18</v>
      </c>
      <c r="Z93" s="19">
        <v>2739040.7100000004</v>
      </c>
    </row>
    <row r="94" spans="13:27" x14ac:dyDescent="0.2">
      <c r="M94" s="489" t="s">
        <v>1569</v>
      </c>
      <c r="N94" s="19">
        <v>134534.92000000001</v>
      </c>
      <c r="O94" s="19">
        <v>220413.37</v>
      </c>
      <c r="P94" s="19">
        <v>190803.82</v>
      </c>
      <c r="Q94" s="19">
        <v>228871.12</v>
      </c>
      <c r="R94" s="19">
        <v>226833.41999999998</v>
      </c>
      <c r="S94" s="19">
        <v>181455.91000000003</v>
      </c>
      <c r="T94" s="19">
        <v>187917.75000000003</v>
      </c>
      <c r="U94" s="19">
        <v>183640.15</v>
      </c>
      <c r="V94" s="19">
        <v>144001.81999999998</v>
      </c>
      <c r="W94" s="19">
        <v>168612.12</v>
      </c>
      <c r="X94" s="19">
        <v>192181.82</v>
      </c>
      <c r="Y94" s="19">
        <v>231097.85</v>
      </c>
      <c r="Z94" s="19">
        <v>2290364.0699999998</v>
      </c>
    </row>
    <row r="95" spans="13:27" x14ac:dyDescent="0.2">
      <c r="M95" s="489" t="s">
        <v>1570</v>
      </c>
      <c r="N95" s="19">
        <v>107416.18</v>
      </c>
      <c r="O95" s="19">
        <v>114677.42</v>
      </c>
      <c r="P95" s="19">
        <v>116868.38</v>
      </c>
      <c r="Q95" s="19">
        <v>118018.97000000002</v>
      </c>
      <c r="R95" s="19">
        <v>111887.13</v>
      </c>
      <c r="S95" s="19">
        <v>82403.13</v>
      </c>
      <c r="T95" s="19">
        <v>90735.97</v>
      </c>
      <c r="U95" s="19">
        <v>94653.189999999988</v>
      </c>
      <c r="V95" s="19">
        <v>100776.39</v>
      </c>
      <c r="W95" s="19">
        <v>101752.4</v>
      </c>
      <c r="X95" s="19">
        <v>97558.31</v>
      </c>
      <c r="Y95" s="19">
        <v>127340.07</v>
      </c>
      <c r="Z95" s="19">
        <v>1264087.54</v>
      </c>
    </row>
    <row r="96" spans="13:27" x14ac:dyDescent="0.2">
      <c r="M96" s="489" t="s">
        <v>1571</v>
      </c>
      <c r="N96" s="19">
        <v>96704.829999999987</v>
      </c>
      <c r="O96" s="19">
        <v>100245.07</v>
      </c>
      <c r="P96" s="19">
        <v>104713.14</v>
      </c>
      <c r="Q96" s="19">
        <v>115727.71999999999</v>
      </c>
      <c r="R96" s="19">
        <v>106611.29000000001</v>
      </c>
      <c r="S96" s="19">
        <v>96066.239999999991</v>
      </c>
      <c r="T96" s="19">
        <v>97447.53</v>
      </c>
      <c r="U96" s="19">
        <v>91547.39</v>
      </c>
      <c r="V96" s="19">
        <v>90676.38</v>
      </c>
      <c r="W96" s="19">
        <v>89372.200000000012</v>
      </c>
      <c r="X96" s="19">
        <v>96385.97</v>
      </c>
      <c r="Y96" s="19">
        <v>83929.4</v>
      </c>
      <c r="Z96" s="19">
        <v>1169427.1599999999</v>
      </c>
    </row>
    <row r="97" spans="13:26" x14ac:dyDescent="0.2">
      <c r="M97" s="489" t="s">
        <v>1572</v>
      </c>
      <c r="N97" s="19">
        <v>62174.099999999991</v>
      </c>
      <c r="O97" s="19">
        <v>59068.42</v>
      </c>
      <c r="P97" s="19">
        <v>67262.01999999999</v>
      </c>
      <c r="Q97" s="19">
        <v>39115.740000000005</v>
      </c>
      <c r="R97" s="19">
        <v>56206.060000000005</v>
      </c>
      <c r="S97" s="19">
        <v>44735.460000000006</v>
      </c>
      <c r="T97" s="19">
        <v>47711.770000000004</v>
      </c>
      <c r="U97" s="19">
        <v>50234.87</v>
      </c>
      <c r="V97" s="19">
        <v>55019.17</v>
      </c>
      <c r="W97" s="19">
        <v>52624.63</v>
      </c>
      <c r="X97" s="19">
        <v>53914.299999999996</v>
      </c>
      <c r="Y97" s="19">
        <v>49000.92</v>
      </c>
      <c r="Z97" s="19">
        <v>637067.46000000008</v>
      </c>
    </row>
    <row r="98" spans="13:26" x14ac:dyDescent="0.2">
      <c r="M98" s="489" t="s">
        <v>1023</v>
      </c>
      <c r="N98" s="19">
        <v>23466.799999999999</v>
      </c>
      <c r="O98" s="19">
        <v>23071.960000000003</v>
      </c>
      <c r="P98" s="19">
        <v>23518.469999999998</v>
      </c>
      <c r="Q98" s="19">
        <v>24267.370000000003</v>
      </c>
      <c r="R98" s="19">
        <v>23954.01</v>
      </c>
      <c r="S98" s="19">
        <v>29199.309999999998</v>
      </c>
      <c r="T98" s="19">
        <v>25479.510000000002</v>
      </c>
      <c r="U98" s="19">
        <v>23822.33</v>
      </c>
      <c r="V98" s="19">
        <v>24886.79</v>
      </c>
      <c r="W98" s="19">
        <v>25215.21</v>
      </c>
      <c r="X98" s="19">
        <v>24343.65</v>
      </c>
      <c r="Y98" s="19">
        <v>20231.260000000002</v>
      </c>
      <c r="Z98" s="19">
        <v>291456.67000000004</v>
      </c>
    </row>
    <row r="99" spans="13:26" x14ac:dyDescent="0.2">
      <c r="M99" s="489" t="s">
        <v>1025</v>
      </c>
      <c r="N99" s="19">
        <v>53830.670000000006</v>
      </c>
      <c r="O99" s="19">
        <v>67958.77</v>
      </c>
      <c r="P99" s="19">
        <v>64662.33</v>
      </c>
      <c r="Q99" s="19">
        <v>56917.53</v>
      </c>
      <c r="R99" s="19">
        <v>55821.919999999998</v>
      </c>
      <c r="S99" s="19">
        <v>41157.660000000003</v>
      </c>
      <c r="T99" s="19">
        <v>41987.72</v>
      </c>
      <c r="U99" s="19">
        <v>37762.94</v>
      </c>
      <c r="V99" s="19">
        <v>37196.82</v>
      </c>
      <c r="W99" s="19">
        <v>42657.18</v>
      </c>
      <c r="X99" s="19">
        <v>55537.08</v>
      </c>
      <c r="Y99" s="19">
        <v>64343.020000000004</v>
      </c>
      <c r="Z99" s="19">
        <v>619833.64</v>
      </c>
    </row>
    <row r="100" spans="13:26" x14ac:dyDescent="0.2">
      <c r="M100" s="489" t="s">
        <v>1031</v>
      </c>
      <c r="N100" s="19">
        <v>129453.33</v>
      </c>
      <c r="O100" s="19">
        <v>130720.95</v>
      </c>
      <c r="P100" s="19">
        <v>130720.95</v>
      </c>
      <c r="Q100" s="19">
        <v>130984.31999999999</v>
      </c>
      <c r="R100" s="19">
        <v>117207.71999999999</v>
      </c>
      <c r="S100" s="19">
        <v>117470.98</v>
      </c>
      <c r="T100" s="19">
        <v>117470.94</v>
      </c>
      <c r="U100" s="19">
        <v>116313.07999999999</v>
      </c>
      <c r="V100" s="19">
        <v>117717.47</v>
      </c>
      <c r="W100" s="19">
        <v>117717.34999999999</v>
      </c>
      <c r="X100" s="19">
        <v>117717.34999999999</v>
      </c>
      <c r="Y100" s="19">
        <v>130965.01999999999</v>
      </c>
      <c r="Z100" s="19">
        <v>1474459.4600000002</v>
      </c>
    </row>
    <row r="104" spans="13:26" x14ac:dyDescent="0.2">
      <c r="M104" s="490" t="s">
        <v>1573</v>
      </c>
    </row>
    <row r="105" spans="13:26" x14ac:dyDescent="0.2">
      <c r="M105" t="s">
        <v>570</v>
      </c>
      <c r="N105" s="19">
        <v>-19954.150000000256</v>
      </c>
      <c r="O105" s="19">
        <v>12633.690000000293</v>
      </c>
      <c r="P105" s="19">
        <v>3701.4499999997788</v>
      </c>
      <c r="Q105" s="19">
        <v>-36828.040000000212</v>
      </c>
      <c r="R105" s="19">
        <v>-9810.1699999998964</v>
      </c>
      <c r="S105" s="19">
        <v>-25137.760000000038</v>
      </c>
      <c r="T105" s="19">
        <v>-20842.370000000024</v>
      </c>
      <c r="U105" s="19">
        <v>-42582.509999999864</v>
      </c>
      <c r="V105" s="19">
        <v>-12586.689999999842</v>
      </c>
      <c r="W105" s="19">
        <v>-20037.190000000002</v>
      </c>
      <c r="X105" s="19">
        <v>-7109.8299999999581</v>
      </c>
      <c r="Y105" s="19">
        <v>23837.640000000421</v>
      </c>
      <c r="Z105" s="19">
        <v>-154715.93000000017</v>
      </c>
    </row>
    <row r="106" spans="13:26" x14ac:dyDescent="0.2">
      <c r="M106" s="491" t="s">
        <v>1574</v>
      </c>
      <c r="N106" s="492">
        <v>-2.6921043172478676E-10</v>
      </c>
      <c r="O106" s="492">
        <v>2.9467628337442875E-10</v>
      </c>
      <c r="P106" s="492">
        <v>-242.7600000002567</v>
      </c>
      <c r="Q106" s="492">
        <v>-2.3283064365386963E-10</v>
      </c>
      <c r="R106" s="492">
        <v>1.3824319466948509E-10</v>
      </c>
      <c r="S106" s="492">
        <v>-3.637978807091713E-11</v>
      </c>
      <c r="T106" s="492">
        <v>-1.0913936421275139E-11</v>
      </c>
      <c r="U106" s="492">
        <v>1.3824319466948509E-10</v>
      </c>
      <c r="V106" s="492">
        <v>-19578.519999999873</v>
      </c>
      <c r="W106" s="492">
        <v>-2.9103830456733704E-11</v>
      </c>
      <c r="X106" s="492">
        <v>13.650000000023283</v>
      </c>
      <c r="Y106" s="492">
        <v>-3.9999999517021934E-2</v>
      </c>
      <c r="Z106" s="492">
        <v>-19807.670000000187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5" tint="0.39997558519241921"/>
    <pageSetUpPr fitToPage="1"/>
  </sheetPr>
  <dimension ref="A1:AO130"/>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1" hidden="1" customWidth="1" outlineLevel="1" collapsed="1"/>
    <col min="13" max="13" width="9.6640625" style="1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s">
        <v>980</v>
      </c>
      <c r="I1" s="1"/>
      <c r="J1" s="1"/>
      <c r="L1" s="69"/>
      <c r="M1" s="69"/>
    </row>
    <row r="2" spans="1:35" hidden="1" outlineLevel="1" x14ac:dyDescent="0.2">
      <c r="A2" s="8" t="s">
        <v>22</v>
      </c>
      <c r="B2" s="12" t="s">
        <v>56</v>
      </c>
      <c r="C2" s="1" t="s">
        <v>981</v>
      </c>
      <c r="I2" s="1"/>
      <c r="J2" s="1"/>
      <c r="L2" s="69"/>
      <c r="M2" s="69"/>
    </row>
    <row r="3" spans="1:35" hidden="1" outlineLevel="1" x14ac:dyDescent="0.2">
      <c r="A3" s="8" t="s">
        <v>50</v>
      </c>
      <c r="B3" s="9" t="s">
        <v>979</v>
      </c>
      <c r="C3" s="1" t="s">
        <v>982</v>
      </c>
      <c r="I3" s="1"/>
      <c r="J3" s="1"/>
    </row>
    <row r="4" spans="1:35" hidden="1" outlineLevel="1" x14ac:dyDescent="0.2">
      <c r="A4" s="8" t="s">
        <v>19</v>
      </c>
      <c r="B4" s="9" t="str">
        <f>SetUp!$D$6</f>
        <v>CURRENT</v>
      </c>
      <c r="C4" s="1" t="s">
        <v>960</v>
      </c>
      <c r="E4" s="46">
        <v>20250100</v>
      </c>
      <c r="F4" s="46">
        <v>20250100</v>
      </c>
    </row>
    <row r="5" spans="1:35" hidden="1" outlineLevel="1" x14ac:dyDescent="0.2">
      <c r="A5" s="8" t="s">
        <v>51</v>
      </c>
      <c r="B5" s="12" t="s">
        <v>59</v>
      </c>
      <c r="C5" s="1" t="s">
        <v>59</v>
      </c>
    </row>
    <row r="6" spans="1:35" hidden="1" outlineLevel="1" x14ac:dyDescent="0.2">
      <c r="A6" s="8" t="s">
        <v>52</v>
      </c>
      <c r="B6" s="12" t="s">
        <v>60</v>
      </c>
      <c r="C6" s="1" t="s">
        <v>1014</v>
      </c>
      <c r="E6" s="46" t="s">
        <v>749</v>
      </c>
      <c r="F6" s="1" t="s">
        <v>278</v>
      </c>
    </row>
    <row r="7" spans="1:35" hidden="1" outlineLevel="1" x14ac:dyDescent="0.2">
      <c r="A7" s="8" t="s">
        <v>53</v>
      </c>
      <c r="B7" s="12" t="s">
        <v>61</v>
      </c>
      <c r="C7" s="1" t="s">
        <v>984</v>
      </c>
    </row>
    <row r="8" spans="1:35" hidden="1" outlineLevel="1" x14ac:dyDescent="0.2">
      <c r="A8" s="8" t="s">
        <v>20</v>
      </c>
      <c r="B8" s="12" t="s">
        <v>63</v>
      </c>
      <c r="C8" s="1" t="s">
        <v>985</v>
      </c>
    </row>
    <row r="9" spans="1:35" hidden="1" outlineLevel="1" x14ac:dyDescent="0.2">
      <c r="A9" s="8" t="s">
        <v>54</v>
      </c>
      <c r="B9" s="9" t="str">
        <f>SetUp!$D$10</f>
        <v>LC</v>
      </c>
      <c r="C9" s="1" t="s">
        <v>986</v>
      </c>
    </row>
    <row r="10" spans="1:35" hidden="1" outlineLevel="1" x14ac:dyDescent="0.2">
      <c r="A10" s="8" t="s">
        <v>18</v>
      </c>
      <c r="B10" s="9" t="str">
        <f>SetUp!$D$7</f>
        <v>2024.TOTAL</v>
      </c>
      <c r="C10" s="1" t="s">
        <v>987</v>
      </c>
      <c r="D10" s="212" t="s">
        <v>988</v>
      </c>
    </row>
    <row r="11" spans="1:35" hidden="1" outlineLevel="1" x14ac:dyDescent="0.2">
      <c r="B11" s="8"/>
      <c r="M11" s="46" t="str">
        <f>IF(LEFT(SetUp!$D$6,3)="ALT","Y","N")</f>
        <v>N</v>
      </c>
      <c r="N11" s="1" t="s">
        <v>800</v>
      </c>
      <c r="O11" s="2" t="s">
        <v>682</v>
      </c>
      <c r="P11" s="2" t="s">
        <v>682</v>
      </c>
      <c r="Q11" s="2" t="s">
        <v>682</v>
      </c>
      <c r="R11" s="2" t="s">
        <v>682</v>
      </c>
      <c r="S11" s="2" t="s">
        <v>682</v>
      </c>
      <c r="T11" s="2" t="s">
        <v>682</v>
      </c>
      <c r="U11" s="2" t="s">
        <v>682</v>
      </c>
      <c r="V11" s="2" t="s">
        <v>682</v>
      </c>
      <c r="W11" s="2" t="s">
        <v>682</v>
      </c>
      <c r="X11" s="2" t="s">
        <v>682</v>
      </c>
      <c r="Y11" s="2" t="s">
        <v>682</v>
      </c>
      <c r="Z11" s="2" t="s">
        <v>682</v>
      </c>
    </row>
    <row r="12" spans="1:35" hidden="1" outlineLevel="1" x14ac:dyDescent="0.2">
      <c r="A12" s="1" t="s">
        <v>115</v>
      </c>
      <c r="B12" s="46">
        <v>2024</v>
      </c>
      <c r="N12" s="1" t="s">
        <v>597</v>
      </c>
      <c r="O12" s="213" t="s">
        <v>78</v>
      </c>
      <c r="P12" s="213" t="s">
        <v>78</v>
      </c>
      <c r="Q12" s="213" t="s">
        <v>78</v>
      </c>
      <c r="R12" s="213" t="s">
        <v>78</v>
      </c>
      <c r="S12" s="213" t="s">
        <v>78</v>
      </c>
      <c r="T12" s="213" t="s">
        <v>78</v>
      </c>
      <c r="U12" s="213" t="s">
        <v>78</v>
      </c>
      <c r="V12" s="213" t="s">
        <v>78</v>
      </c>
      <c r="W12" s="213" t="s">
        <v>78</v>
      </c>
      <c r="X12" s="213" t="s">
        <v>78</v>
      </c>
      <c r="Y12" s="213" t="s">
        <v>78</v>
      </c>
      <c r="Z12" s="213" t="s">
        <v>78</v>
      </c>
      <c r="AA12" s="213"/>
      <c r="AD12" s="213"/>
      <c r="AG12" s="213"/>
    </row>
    <row r="13" spans="1:35" hidden="1" outlineLevel="1" x14ac:dyDescent="0.2">
      <c r="A13" s="1" t="s">
        <v>602</v>
      </c>
      <c r="B13" s="46">
        <v>2024</v>
      </c>
      <c r="N13" s="1" t="s">
        <v>598</v>
      </c>
      <c r="O13" s="53">
        <v>20240100</v>
      </c>
      <c r="P13" s="53">
        <v>20240200</v>
      </c>
      <c r="Q13" s="53">
        <v>20240300</v>
      </c>
      <c r="R13" s="53">
        <v>20240400</v>
      </c>
      <c r="S13" s="53">
        <v>20240500</v>
      </c>
      <c r="T13" s="53">
        <v>20240600</v>
      </c>
      <c r="U13" s="53">
        <v>20240700</v>
      </c>
      <c r="V13" s="53">
        <v>20240800</v>
      </c>
      <c r="W13" s="53">
        <v>20240900</v>
      </c>
      <c r="X13" s="53">
        <v>20241000</v>
      </c>
      <c r="Y13" s="53">
        <v>20241100</v>
      </c>
      <c r="Z13" s="53">
        <v>20241200</v>
      </c>
      <c r="AA13" s="53">
        <v>10000193</v>
      </c>
      <c r="AD13" s="53">
        <v>10000193</v>
      </c>
      <c r="AG13" s="53">
        <v>10000183</v>
      </c>
    </row>
    <row r="14" spans="1:35" hidden="1" outlineLevel="1" x14ac:dyDescent="0.2">
      <c r="A14" s="4" t="s">
        <v>989</v>
      </c>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N16" s="1" t="s">
        <v>18</v>
      </c>
      <c r="O16" s="2" t="s">
        <v>990</v>
      </c>
      <c r="P16" s="2" t="s">
        <v>991</v>
      </c>
      <c r="Q16" s="2" t="s">
        <v>992</v>
      </c>
      <c r="R16" s="2" t="s">
        <v>993</v>
      </c>
      <c r="S16" s="2" t="s">
        <v>994</v>
      </c>
      <c r="T16" s="2" t="s">
        <v>995</v>
      </c>
      <c r="U16" s="2" t="s">
        <v>996</v>
      </c>
      <c r="V16" s="2" t="s">
        <v>997</v>
      </c>
      <c r="W16" s="2" t="s">
        <v>998</v>
      </c>
      <c r="X16" s="2" t="s">
        <v>999</v>
      </c>
      <c r="Y16" s="2" t="s">
        <v>1000</v>
      </c>
      <c r="Z16" s="2" t="str">
        <f>IF(SetUp!$O$1=TRUE,SetUp!$Q$6,IF($D$10="FY",LEFT($B$10,6)&amp;"."&amp;Z15,$B$12&amp;"."&amp;Z14))</f>
        <v>2024.DEC</v>
      </c>
      <c r="AA16" s="2" t="str">
        <f>IF($D$10="FY",LEFT($B$10,6)&amp;"."&amp;AA15,$B$12&amp;"."&amp;AA14)</f>
        <v>2024.TOTAL</v>
      </c>
      <c r="AB16" s="10"/>
      <c r="AC16" s="10"/>
      <c r="AD16" s="2" t="str">
        <f>IF(SetUp!$O$1=TRUE,SetUp!$Q$6,SetUp!$G$7)</f>
        <v>2024.TOTAL</v>
      </c>
      <c r="AE16" s="10"/>
      <c r="AF16" s="10"/>
      <c r="AG16" s="2" t="s">
        <v>955</v>
      </c>
      <c r="AH16" s="10"/>
      <c r="AI16" s="10"/>
    </row>
    <row r="17" spans="1:40" hidden="1" outlineLevel="1" x14ac:dyDescent="0.2">
      <c r="A17" s="6" t="s">
        <v>2</v>
      </c>
      <c r="B17" s="14" t="s">
        <v>1044</v>
      </c>
      <c r="N17" s="1" t="s">
        <v>19</v>
      </c>
      <c r="O17" s="2" t="s">
        <v>682</v>
      </c>
      <c r="P17" s="2" t="s">
        <v>682</v>
      </c>
      <c r="Q17" s="2" t="s">
        <v>682</v>
      </c>
      <c r="R17" s="2" t="s">
        <v>682</v>
      </c>
      <c r="S17" s="2" t="s">
        <v>682</v>
      </c>
      <c r="T17" s="2" t="s">
        <v>682</v>
      </c>
      <c r="U17" s="2" t="s">
        <v>682</v>
      </c>
      <c r="V17" s="2" t="s">
        <v>682</v>
      </c>
      <c r="W17" s="2" t="s">
        <v>682</v>
      </c>
      <c r="X17" s="2" t="s">
        <v>682</v>
      </c>
      <c r="Y17" s="2" t="s">
        <v>682</v>
      </c>
      <c r="Z17" s="2" t="s">
        <v>682</v>
      </c>
      <c r="AA17" s="2"/>
      <c r="AB17" s="10"/>
      <c r="AC17" s="10"/>
      <c r="AD17" s="2" t="str">
        <f>SetUp!$G$6</f>
        <v>BUDGET</v>
      </c>
      <c r="AE17" s="10"/>
      <c r="AF17" s="10"/>
      <c r="AG17" s="2" t="str">
        <f>SetUp!$J$6</f>
        <v>ACTUAL_CON</v>
      </c>
      <c r="AH17" s="10"/>
      <c r="AI17" s="10"/>
    </row>
    <row r="18" spans="1:40" hidden="1" outlineLevel="1" x14ac:dyDescent="0.2">
      <c r="A18" s="6" t="s">
        <v>3</v>
      </c>
      <c r="B18" s="14" t="s">
        <v>1045</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str">
        <f>IF(SetUp!$O$1=TRUE,"TRAILING12",IF(AD17="CURRENT","ROLLINGFORECAST","PERIODIC"))</f>
        <v>PERIODIC</v>
      </c>
      <c r="AE18" s="10"/>
      <c r="AF18" s="10"/>
      <c r="AG18" s="2" t="str">
        <f>IF(SetUp!$O$1=TRUE,"TRAILING12",IF(AG17="CURRENT","ROLLINGFORECAST","PERIODIC"))</f>
        <v>PERIODIC</v>
      </c>
      <c r="AH18" s="10"/>
      <c r="AI18" s="10"/>
    </row>
    <row r="19" spans="1:40" hidden="1" outlineLevel="1" x14ac:dyDescent="0.2">
      <c r="A19" s="6" t="s">
        <v>4</v>
      </c>
      <c r="B19" s="14" t="s">
        <v>1046</v>
      </c>
      <c r="G19" s="16" t="str">
        <f>$B$6</f>
        <v>D_ROOMS_CON</v>
      </c>
      <c r="H19" s="16">
        <v>400000</v>
      </c>
      <c r="I19" s="17"/>
      <c r="J19" s="17"/>
      <c r="K19" s="16"/>
      <c r="L19" s="17"/>
      <c r="M19" s="17"/>
      <c r="N19" s="16" t="s">
        <v>1001</v>
      </c>
      <c r="O19" s="18">
        <v>1050758.76</v>
      </c>
      <c r="P19" s="18">
        <v>1248796.71</v>
      </c>
      <c r="Q19" s="18">
        <v>1184238.79</v>
      </c>
      <c r="R19" s="18">
        <v>954187.37</v>
      </c>
      <c r="S19" s="18">
        <v>777023.21</v>
      </c>
      <c r="T19" s="18">
        <v>530980.69999999995</v>
      </c>
      <c r="U19" s="18">
        <v>541151.31000000006</v>
      </c>
      <c r="V19" s="18">
        <v>480845.86</v>
      </c>
      <c r="W19" s="18">
        <v>421055.73</v>
      </c>
      <c r="X19" s="18">
        <v>610221.82999999996</v>
      </c>
      <c r="Y19" s="18">
        <v>695259.21</v>
      </c>
      <c r="Z19" s="18">
        <v>1001887.74</v>
      </c>
      <c r="AA19" s="18">
        <f>SUM(O19:Z19)</f>
        <v>9496407.2200000007</v>
      </c>
      <c r="AB19" s="16"/>
      <c r="AC19" s="16"/>
      <c r="AD19" s="18">
        <v>9985571.8200000003</v>
      </c>
      <c r="AE19" s="16"/>
      <c r="AF19" s="16"/>
      <c r="AG19" s="18">
        <v>9807993.3300000001</v>
      </c>
      <c r="AH19" s="16"/>
      <c r="AI19" s="16"/>
    </row>
    <row r="20" spans="1:40" hidden="1" outlineLevel="1" x14ac:dyDescent="0.2">
      <c r="A20" s="6" t="s">
        <v>5</v>
      </c>
      <c r="B20" s="7"/>
      <c r="G20" s="16" t="s">
        <v>749</v>
      </c>
      <c r="H20" s="16">
        <v>900200</v>
      </c>
      <c r="I20" s="17"/>
      <c r="J20" s="17"/>
      <c r="K20" s="16"/>
      <c r="L20" s="17"/>
      <c r="M20" s="17"/>
      <c r="N20" s="16" t="s">
        <v>1047</v>
      </c>
      <c r="O20" s="18">
        <v>3694</v>
      </c>
      <c r="P20" s="18">
        <v>3593</v>
      </c>
      <c r="Q20" s="18">
        <v>3831</v>
      </c>
      <c r="R20" s="18">
        <v>3720</v>
      </c>
      <c r="S20" s="18">
        <v>3473</v>
      </c>
      <c r="T20" s="18">
        <v>3105</v>
      </c>
      <c r="U20" s="18">
        <v>3034</v>
      </c>
      <c r="V20" s="18">
        <v>3033</v>
      </c>
      <c r="W20" s="18">
        <v>2632</v>
      </c>
      <c r="X20" s="18">
        <v>3186</v>
      </c>
      <c r="Y20" s="18">
        <v>3534</v>
      </c>
      <c r="Z20" s="18">
        <v>3635</v>
      </c>
      <c r="AA20" s="18">
        <f>SUM(O20:Z20)</f>
        <v>40470</v>
      </c>
      <c r="AB20" s="16"/>
      <c r="AC20" s="16"/>
      <c r="AD20" s="18">
        <v>40231</v>
      </c>
      <c r="AE20" s="16"/>
      <c r="AF20" s="16"/>
      <c r="AG20" s="18">
        <v>39886</v>
      </c>
      <c r="AH20" s="16"/>
      <c r="AI20" s="16"/>
    </row>
    <row r="21" spans="1:40" hidden="1" outlineLevel="1" x14ac:dyDescent="0.2">
      <c r="A21" s="6" t="s">
        <v>6</v>
      </c>
      <c r="B21" s="7"/>
    </row>
    <row r="22" spans="1:40" hidden="1" outlineLevel="1" x14ac:dyDescent="0.2">
      <c r="A22" s="6" t="s">
        <v>7</v>
      </c>
      <c r="B22" s="14" t="s">
        <v>1048</v>
      </c>
    </row>
    <row r="23" spans="1:40" hidden="1" outlineLevel="1" x14ac:dyDescent="0.2">
      <c r="A23" s="6" t="s">
        <v>47</v>
      </c>
      <c r="B23" s="14" t="s">
        <v>1049</v>
      </c>
      <c r="K23" s="53"/>
    </row>
    <row r="24" spans="1:40" hidden="1" outlineLevel="1" x14ac:dyDescent="0.2">
      <c r="A24" s="6" t="s">
        <v>8</v>
      </c>
      <c r="B24" s="7"/>
    </row>
    <row r="25" spans="1:40" collapsed="1" x14ac:dyDescent="0.2"/>
    <row r="26" spans="1:40" ht="23" x14ac:dyDescent="0.25">
      <c r="A26" s="3" t="s">
        <v>9</v>
      </c>
      <c r="B26" s="5" t="s">
        <v>10</v>
      </c>
      <c r="N26" s="61" t="s">
        <v>982</v>
      </c>
    </row>
    <row r="27" spans="1:40" ht="18" x14ac:dyDescent="0.2">
      <c r="A27" s="6" t="s">
        <v>11</v>
      </c>
      <c r="B27" s="7" t="s">
        <v>21</v>
      </c>
      <c r="N27" s="66" t="s">
        <v>1050</v>
      </c>
    </row>
    <row r="28" spans="1:40" ht="16" x14ac:dyDescent="0.2">
      <c r="A28" s="6" t="s">
        <v>12</v>
      </c>
      <c r="B28" s="7" t="s">
        <v>22</v>
      </c>
      <c r="N28" s="67" t="s">
        <v>1002</v>
      </c>
    </row>
    <row r="29" spans="1:40" ht="15" customHeight="1" x14ac:dyDescent="0.2">
      <c r="A29" s="6" t="s">
        <v>13</v>
      </c>
      <c r="B29" s="7" t="s">
        <v>118</v>
      </c>
      <c r="N29" s="67" t="s">
        <v>986</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748</v>
      </c>
      <c r="AK30" s="209"/>
      <c r="AL30" s="209"/>
      <c r="AM30" s="210"/>
      <c r="AN30" s="209"/>
    </row>
    <row r="31" spans="1:40" x14ac:dyDescent="0.2">
      <c r="A31" s="6" t="s">
        <v>15</v>
      </c>
      <c r="B31" s="7"/>
      <c r="G31" s="13"/>
      <c r="K31" s="52"/>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tr">
        <f>AA14</f>
        <v>TOTAL</v>
      </c>
      <c r="AB31" s="207"/>
      <c r="AD31" s="540" t="s">
        <v>987</v>
      </c>
      <c r="AE31" s="541"/>
      <c r="AF31" s="211" t="s">
        <v>631</v>
      </c>
      <c r="AG31" s="540" t="s">
        <v>1003</v>
      </c>
      <c r="AH31" s="541"/>
      <c r="AI31" s="211" t="s">
        <v>631</v>
      </c>
      <c r="AJ31" s="211">
        <v>2024</v>
      </c>
      <c r="AK31" s="238">
        <v>2024</v>
      </c>
      <c r="AL31" s="211"/>
      <c r="AM31" s="238">
        <v>2023</v>
      </c>
      <c r="AN31" s="211"/>
    </row>
    <row r="32" spans="1:40" s="232" customFormat="1" ht="30" customHeight="1" x14ac:dyDescent="0.2">
      <c r="A32" s="230" t="s">
        <v>16</v>
      </c>
      <c r="B32" s="231"/>
      <c r="H32" s="233"/>
      <c r="I32" s="234"/>
      <c r="J32" s="234"/>
      <c r="K32" s="235" t="s">
        <v>117</v>
      </c>
      <c r="L32" s="234"/>
      <c r="M32" s="234"/>
      <c r="N32" s="236" t="s">
        <v>120</v>
      </c>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c r="AD32" s="237" t="s">
        <v>959</v>
      </c>
      <c r="AE32" s="238" t="s">
        <v>58</v>
      </c>
      <c r="AF32" s="237" t="s">
        <v>57</v>
      </c>
      <c r="AG32" s="237" t="s">
        <v>957</v>
      </c>
      <c r="AH32" s="238" t="s">
        <v>58</v>
      </c>
      <c r="AI32" s="237" t="s">
        <v>57</v>
      </c>
      <c r="AJ32" s="237" t="str">
        <f>Z32</f>
        <v>Actual</v>
      </c>
      <c r="AK32" s="238" t="str">
        <f>AD32</f>
        <v>Budget</v>
      </c>
      <c r="AL32" s="237" t="s">
        <v>747</v>
      </c>
      <c r="AM32" s="237" t="str">
        <f>AG32</f>
        <v>Actual</v>
      </c>
      <c r="AN32" s="237" t="s">
        <v>747</v>
      </c>
    </row>
    <row r="33" spans="1:40" x14ac:dyDescent="0.2">
      <c r="A33" s="6" t="s">
        <v>17</v>
      </c>
      <c r="B33" s="7"/>
      <c r="H33" s="1" t="s">
        <v>69</v>
      </c>
      <c r="I33" s="11" t="s">
        <v>1006</v>
      </c>
      <c r="J33" s="11" t="s">
        <v>78</v>
      </c>
      <c r="L33" s="175" t="s">
        <v>364</v>
      </c>
      <c r="M33" s="175" t="s">
        <v>782</v>
      </c>
      <c r="N33" s="37" t="s">
        <v>1013</v>
      </c>
      <c r="O33" s="38"/>
      <c r="P33" s="42"/>
      <c r="Q33" s="42"/>
      <c r="R33" s="42"/>
      <c r="S33" s="42"/>
      <c r="T33" s="42"/>
      <c r="U33" s="42"/>
      <c r="V33" s="42"/>
      <c r="W33" s="42"/>
      <c r="X33" s="42"/>
      <c r="Y33" s="42"/>
      <c r="Z33" s="42"/>
      <c r="AA33" s="42"/>
      <c r="AB33" s="39"/>
      <c r="AD33" s="38"/>
      <c r="AE33" s="42"/>
      <c r="AF33" s="39"/>
      <c r="AG33" s="38"/>
      <c r="AH33" s="42"/>
      <c r="AI33" s="39"/>
    </row>
    <row r="34" spans="1:40" x14ac:dyDescent="0.2">
      <c r="H34" s="1" t="s">
        <v>70</v>
      </c>
      <c r="I34" s="11" t="s">
        <v>1006</v>
      </c>
      <c r="J34" s="11" t="s">
        <v>78</v>
      </c>
      <c r="N34" s="8" t="s">
        <v>1051</v>
      </c>
      <c r="O34" s="40"/>
      <c r="P34" s="43"/>
      <c r="Q34" s="43"/>
      <c r="R34" s="43"/>
      <c r="S34" s="43"/>
      <c r="T34" s="43"/>
      <c r="U34" s="43"/>
      <c r="V34" s="43"/>
      <c r="W34" s="43"/>
      <c r="X34" s="43"/>
      <c r="Y34" s="43"/>
      <c r="Z34" s="43"/>
      <c r="AA34" s="43"/>
      <c r="AB34" s="41"/>
      <c r="AD34" s="40"/>
      <c r="AE34" s="43"/>
      <c r="AF34" s="41"/>
      <c r="AG34" s="40"/>
      <c r="AH34" s="43"/>
      <c r="AI34" s="41"/>
    </row>
    <row r="35" spans="1:40" x14ac:dyDescent="0.2">
      <c r="A35" s="20" t="s">
        <v>92</v>
      </c>
      <c r="B35" s="21" t="s">
        <v>93</v>
      </c>
      <c r="C35" s="21" t="s">
        <v>94</v>
      </c>
      <c r="D35" s="21" t="s">
        <v>95</v>
      </c>
      <c r="E35" s="21" t="s">
        <v>96</v>
      </c>
      <c r="F35" s="22" t="s">
        <v>97</v>
      </c>
      <c r="H35" s="10" t="s">
        <v>83</v>
      </c>
      <c r="I35" s="25" t="s">
        <v>1052</v>
      </c>
      <c r="J35" s="25" t="s">
        <v>78</v>
      </c>
      <c r="K35" s="64" t="str">
        <f t="shared" ref="K35:K51" si="0">IF(AND(I35&gt;="T5"),"&gt;","")</f>
        <v>&gt;</v>
      </c>
      <c r="L35" s="24"/>
      <c r="M35" s="24"/>
      <c r="N35" s="24" t="s">
        <v>1053</v>
      </c>
      <c r="O35" s="19">
        <v>409446.1</v>
      </c>
      <c r="P35" s="19">
        <v>390204.06</v>
      </c>
      <c r="Q35" s="19">
        <v>421716.72</v>
      </c>
      <c r="R35" s="19">
        <v>337486.78</v>
      </c>
      <c r="S35" s="19">
        <v>318803.78999999998</v>
      </c>
      <c r="T35" s="19">
        <v>212201.48</v>
      </c>
      <c r="U35" s="19">
        <v>233844.69</v>
      </c>
      <c r="V35" s="19">
        <v>237097.36</v>
      </c>
      <c r="W35" s="19">
        <v>139558.24</v>
      </c>
      <c r="X35" s="19">
        <v>207462.37</v>
      </c>
      <c r="Y35" s="19">
        <v>244903.15</v>
      </c>
      <c r="Z35" s="19">
        <v>410943.94</v>
      </c>
      <c r="AA35" s="283">
        <f t="shared" ref="AA35:AA51" si="1">IF($I35="B1","",SUM(O35:Z35))</f>
        <v>3563668.6799999997</v>
      </c>
      <c r="AB35" s="15">
        <f t="shared" ref="AB35:AB51" si="2">IF(AA35=0,"",IFERROR(AA35/AA$19,""))</f>
        <v>0.37526493940726346</v>
      </c>
      <c r="AD35" s="19">
        <v>3880613.85</v>
      </c>
      <c r="AE35" s="15">
        <f t="shared" ref="AE35:AE51" si="3">IF(AD35=0,"",IFERROR(AD35/AD$19,""))</f>
        <v>0.38862209595524194</v>
      </c>
      <c r="AF35" s="47">
        <f t="shared" ref="AF35:AF51" si="4">IF(AND($AA35="",AD35=""),"",$AA35-AD35)</f>
        <v>-316945.17000000039</v>
      </c>
      <c r="AG35" s="19">
        <v>4000119.86</v>
      </c>
      <c r="AH35" s="15">
        <f t="shared" ref="AH35:AH51" si="5">IF(AG35=0,"",IFERROR(AG35/AG$19,""))</f>
        <v>0.40784284057012099</v>
      </c>
      <c r="AI35" s="47">
        <f t="shared" ref="AI35:AI51" si="6">IF(AND($AA35="",AG35=""),"",$AA35-AG35)</f>
        <v>-436451.18000000017</v>
      </c>
      <c r="AJ35" s="322">
        <f t="shared" ref="AJ35:AJ51" si="7">IFERROR(AA35/AA$20,0)</f>
        <v>88.057046701260191</v>
      </c>
      <c r="AK35" s="323">
        <f t="shared" ref="AK35:AK51" si="8">IFERROR(AD35/AD$20,0)</f>
        <v>96.458299569983353</v>
      </c>
      <c r="AL35" s="125">
        <f t="shared" ref="AL35:AL51" si="9">AJ35-AK35</f>
        <v>-8.4012528687231622</v>
      </c>
      <c r="AM35" s="324">
        <f t="shared" ref="AM35:AM51" si="10">IFERROR(AG35/AG$20,0)</f>
        <v>100.28881963596248</v>
      </c>
      <c r="AN35" s="125">
        <f t="shared" ref="AN35:AN51" si="11">AJ35-AM35</f>
        <v>-12.231772934702292</v>
      </c>
    </row>
    <row r="36" spans="1:40" x14ac:dyDescent="0.2">
      <c r="H36" s="133" t="s">
        <v>84</v>
      </c>
      <c r="I36" s="25" t="s">
        <v>1052</v>
      </c>
      <c r="J36" s="25" t="s">
        <v>78</v>
      </c>
      <c r="K36" s="64" t="str">
        <f t="shared" si="0"/>
        <v>&gt;</v>
      </c>
      <c r="L36" s="24"/>
      <c r="M36" s="24"/>
      <c r="N36" s="24" t="s">
        <v>1054</v>
      </c>
      <c r="O36" s="19">
        <v>275789.27</v>
      </c>
      <c r="P36" s="19">
        <v>404269.8</v>
      </c>
      <c r="Q36" s="19">
        <v>466650.49</v>
      </c>
      <c r="R36" s="19">
        <v>425759.58</v>
      </c>
      <c r="S36" s="19">
        <v>238417.8</v>
      </c>
      <c r="T36" s="19">
        <v>186257.03</v>
      </c>
      <c r="U36" s="19">
        <v>211525</v>
      </c>
      <c r="V36" s="19">
        <v>184678.56</v>
      </c>
      <c r="W36" s="19">
        <v>131168.71</v>
      </c>
      <c r="X36" s="19">
        <v>232737.81</v>
      </c>
      <c r="Y36" s="19">
        <v>284922.38</v>
      </c>
      <c r="Z36" s="19">
        <v>410016.94</v>
      </c>
      <c r="AA36" s="283">
        <f t="shared" si="1"/>
        <v>3452193.37</v>
      </c>
      <c r="AB36" s="15">
        <f t="shared" si="2"/>
        <v>0.36352625682789536</v>
      </c>
      <c r="AD36" s="19">
        <v>3430796.95</v>
      </c>
      <c r="AE36" s="15">
        <f t="shared" si="3"/>
        <v>0.34357541178848583</v>
      </c>
      <c r="AF36" s="47">
        <f t="shared" si="4"/>
        <v>21396.419999999925</v>
      </c>
      <c r="AG36" s="19">
        <v>3333028.5</v>
      </c>
      <c r="AH36" s="15">
        <f t="shared" si="5"/>
        <v>0.33982776984616891</v>
      </c>
      <c r="AI36" s="47">
        <f t="shared" si="6"/>
        <v>119164.87000000011</v>
      </c>
      <c r="AJ36" s="322">
        <f t="shared" si="7"/>
        <v>85.302529528045469</v>
      </c>
      <c r="AK36" s="323">
        <f t="shared" si="8"/>
        <v>85.27744649648281</v>
      </c>
      <c r="AL36" s="125">
        <f t="shared" si="9"/>
        <v>2.5083031562658675E-2</v>
      </c>
      <c r="AM36" s="324">
        <f t="shared" si="10"/>
        <v>83.563869528155237</v>
      </c>
      <c r="AN36" s="125">
        <f t="shared" si="11"/>
        <v>1.7386599998902312</v>
      </c>
    </row>
    <row r="37" spans="1:40" x14ac:dyDescent="0.2">
      <c r="A37" s="1" t="s">
        <v>105</v>
      </c>
      <c r="C37" s="24" t="s">
        <v>101</v>
      </c>
      <c r="D37" s="1" t="s">
        <v>103</v>
      </c>
      <c r="F37" s="1" t="s">
        <v>98</v>
      </c>
      <c r="H37" s="133" t="s">
        <v>85</v>
      </c>
      <c r="I37" s="25" t="s">
        <v>1052</v>
      </c>
      <c r="J37" s="25" t="s">
        <v>78</v>
      </c>
      <c r="K37" s="64" t="str">
        <f t="shared" si="0"/>
        <v>&gt;</v>
      </c>
      <c r="L37" s="24"/>
      <c r="M37" s="24"/>
      <c r="N37" s="24" t="s">
        <v>1055</v>
      </c>
      <c r="O37" s="19">
        <v>114544.5</v>
      </c>
      <c r="P37" s="19">
        <v>86625.88</v>
      </c>
      <c r="Q37" s="19">
        <v>47887.82</v>
      </c>
      <c r="R37" s="19">
        <v>23549.119999999999</v>
      </c>
      <c r="S37" s="19">
        <v>23372.92</v>
      </c>
      <c r="T37" s="19">
        <v>10561.42</v>
      </c>
      <c r="U37" s="19">
        <v>7016.83</v>
      </c>
      <c r="V37" s="19">
        <v>4694.17</v>
      </c>
      <c r="W37" s="19">
        <v>5946.8</v>
      </c>
      <c r="X37" s="19">
        <v>35823.64</v>
      </c>
      <c r="Y37" s="19">
        <v>47509.49</v>
      </c>
      <c r="Z37" s="19">
        <v>33742.129999999997</v>
      </c>
      <c r="AA37" s="283">
        <f t="shared" si="1"/>
        <v>441274.72</v>
      </c>
      <c r="AB37" s="15">
        <f t="shared" si="2"/>
        <v>4.64675439644847E-2</v>
      </c>
      <c r="AD37" s="19">
        <v>374028.5</v>
      </c>
      <c r="AE37" s="15">
        <f t="shared" si="3"/>
        <v>3.7456893480137227E-2</v>
      </c>
      <c r="AF37" s="47">
        <f t="shared" si="4"/>
        <v>67246.219999999972</v>
      </c>
      <c r="AG37" s="19">
        <v>366021.56</v>
      </c>
      <c r="AH37" s="15">
        <f t="shared" si="5"/>
        <v>3.7318699930233332E-2</v>
      </c>
      <c r="AI37" s="47">
        <f t="shared" si="6"/>
        <v>75253.159999999974</v>
      </c>
      <c r="AJ37" s="322">
        <f t="shared" si="7"/>
        <v>10.903748949839386</v>
      </c>
      <c r="AK37" s="323">
        <f t="shared" si="8"/>
        <v>9.297022196813403</v>
      </c>
      <c r="AL37" s="125">
        <f t="shared" si="9"/>
        <v>1.606726753025983</v>
      </c>
      <c r="AM37" s="324">
        <f t="shared" si="10"/>
        <v>9.1766925738354317</v>
      </c>
      <c r="AN37" s="125">
        <f t="shared" si="11"/>
        <v>1.7270563760039543</v>
      </c>
    </row>
    <row r="38" spans="1:40" x14ac:dyDescent="0.2">
      <c r="A38" s="1" t="s">
        <v>104</v>
      </c>
      <c r="C38" s="24" t="s">
        <v>101</v>
      </c>
      <c r="D38" s="1" t="s">
        <v>106</v>
      </c>
      <c r="F38" s="1" t="s">
        <v>98</v>
      </c>
      <c r="H38" s="10" t="s">
        <v>86</v>
      </c>
      <c r="I38" s="25" t="s">
        <v>1052</v>
      </c>
      <c r="J38" s="25" t="s">
        <v>78</v>
      </c>
      <c r="K38" s="64" t="str">
        <f t="shared" si="0"/>
        <v>&gt;</v>
      </c>
      <c r="L38" s="24"/>
      <c r="M38" s="24"/>
      <c r="N38" s="24" t="s">
        <v>1056</v>
      </c>
      <c r="O38" s="19">
        <v>24217.85</v>
      </c>
      <c r="P38" s="19">
        <v>32246.3</v>
      </c>
      <c r="Q38" s="19">
        <v>37521.449999999997</v>
      </c>
      <c r="R38" s="19">
        <v>35901.32</v>
      </c>
      <c r="S38" s="19">
        <v>9429.4500000000007</v>
      </c>
      <c r="T38" s="19">
        <v>13570.57</v>
      </c>
      <c r="U38" s="19">
        <v>17597.990000000002</v>
      </c>
      <c r="V38" s="19">
        <v>13246.2</v>
      </c>
      <c r="W38" s="19">
        <v>13199.85</v>
      </c>
      <c r="X38" s="19">
        <v>17639.95</v>
      </c>
      <c r="Y38" s="19">
        <v>14066.85</v>
      </c>
      <c r="Z38" s="19">
        <v>16862.599999999999</v>
      </c>
      <c r="AA38" s="283">
        <f t="shared" si="1"/>
        <v>245500.38000000003</v>
      </c>
      <c r="AB38" s="15">
        <f t="shared" si="2"/>
        <v>2.5851922133558213E-2</v>
      </c>
      <c r="AD38" s="19">
        <v>199692.43</v>
      </c>
      <c r="AE38" s="15">
        <f t="shared" si="3"/>
        <v>1.999809661376007E-2</v>
      </c>
      <c r="AF38" s="47">
        <f t="shared" si="4"/>
        <v>45807.950000000041</v>
      </c>
      <c r="AG38" s="19">
        <v>177497.13</v>
      </c>
      <c r="AH38" s="15">
        <f t="shared" si="5"/>
        <v>1.809719114072848E-2</v>
      </c>
      <c r="AI38" s="47">
        <f t="shared" si="6"/>
        <v>68003.250000000029</v>
      </c>
      <c r="AJ38" s="322">
        <f t="shared" si="7"/>
        <v>6.0662312824314313</v>
      </c>
      <c r="AK38" s="323">
        <f t="shared" si="8"/>
        <v>4.9636456961049937</v>
      </c>
      <c r="AL38" s="125">
        <f t="shared" si="9"/>
        <v>1.1025855863264376</v>
      </c>
      <c r="AM38" s="324">
        <f t="shared" si="10"/>
        <v>4.4501110665396384</v>
      </c>
      <c r="AN38" s="125">
        <f t="shared" si="11"/>
        <v>1.6161202158917929</v>
      </c>
    </row>
    <row r="39" spans="1:40" x14ac:dyDescent="0.2">
      <c r="A39" s="1" t="s">
        <v>100</v>
      </c>
      <c r="C39" s="8" t="s">
        <v>101</v>
      </c>
      <c r="D39" s="1" t="s">
        <v>106</v>
      </c>
      <c r="F39" s="1" t="s">
        <v>98</v>
      </c>
      <c r="H39" s="10" t="s">
        <v>65</v>
      </c>
      <c r="I39" s="25" t="s">
        <v>1052</v>
      </c>
      <c r="J39" s="25" t="s">
        <v>78</v>
      </c>
      <c r="K39" s="64" t="str">
        <f t="shared" si="0"/>
        <v>&gt;</v>
      </c>
      <c r="L39" s="24">
        <v>402200</v>
      </c>
      <c r="M39" s="24"/>
      <c r="N39" s="24" t="s">
        <v>1057</v>
      </c>
      <c r="O39" s="28">
        <v>49153.440000000002</v>
      </c>
      <c r="P39" s="28">
        <v>70534.16</v>
      </c>
      <c r="Q39" s="28">
        <v>91440.08</v>
      </c>
      <c r="R39" s="28">
        <v>91534.720000000001</v>
      </c>
      <c r="S39" s="28">
        <v>46881.34</v>
      </c>
      <c r="T39" s="28">
        <v>23617.33</v>
      </c>
      <c r="U39" s="28">
        <v>20933.22</v>
      </c>
      <c r="V39" s="28">
        <v>20053.060000000001</v>
      </c>
      <c r="W39" s="28">
        <v>13287.87</v>
      </c>
      <c r="X39" s="28">
        <v>22746.63</v>
      </c>
      <c r="Y39" s="28">
        <v>25739.74</v>
      </c>
      <c r="Z39" s="28">
        <v>30035.759999999998</v>
      </c>
      <c r="AA39" s="296">
        <f t="shared" si="1"/>
        <v>505957.35000000003</v>
      </c>
      <c r="AB39" s="29">
        <f t="shared" si="2"/>
        <v>5.3278817796947847E-2</v>
      </c>
      <c r="AD39" s="28">
        <v>678006.09</v>
      </c>
      <c r="AE39" s="29">
        <f t="shared" si="3"/>
        <v>6.7898574285152946E-2</v>
      </c>
      <c r="AF39" s="48">
        <f t="shared" si="4"/>
        <v>-172048.73999999993</v>
      </c>
      <c r="AG39" s="28">
        <v>618679.46</v>
      </c>
      <c r="AH39" s="29">
        <f t="shared" si="5"/>
        <v>6.3079106926758069E-2</v>
      </c>
      <c r="AI39" s="48">
        <f t="shared" si="6"/>
        <v>-112722.10999999993</v>
      </c>
      <c r="AJ39" s="329">
        <f t="shared" si="7"/>
        <v>12.502034840622684</v>
      </c>
      <c r="AK39" s="330">
        <f t="shared" si="8"/>
        <v>16.852827173075489</v>
      </c>
      <c r="AL39" s="126">
        <f t="shared" si="9"/>
        <v>-4.3507923324528051</v>
      </c>
      <c r="AM39" s="331">
        <f t="shared" si="10"/>
        <v>15.511193401193401</v>
      </c>
      <c r="AN39" s="126">
        <f t="shared" si="11"/>
        <v>-3.0091585605707163</v>
      </c>
    </row>
    <row r="40" spans="1:40" x14ac:dyDescent="0.2">
      <c r="A40" s="1" t="s">
        <v>102</v>
      </c>
      <c r="C40" s="23" t="s">
        <v>101</v>
      </c>
      <c r="D40" s="1" t="s">
        <v>106</v>
      </c>
      <c r="F40" s="1" t="s">
        <v>98</v>
      </c>
      <c r="H40" s="10" t="s">
        <v>66</v>
      </c>
      <c r="I40" s="447" t="s">
        <v>1058</v>
      </c>
      <c r="J40" s="447" t="s">
        <v>78</v>
      </c>
      <c r="K40" s="448" t="str">
        <f t="shared" si="0"/>
        <v/>
      </c>
      <c r="L40" s="151">
        <v>402000</v>
      </c>
      <c r="M40" s="151"/>
      <c r="N40" s="151" t="s">
        <v>1059</v>
      </c>
      <c r="O40" s="120">
        <v>873151.16</v>
      </c>
      <c r="P40" s="120">
        <v>983880.2</v>
      </c>
      <c r="Q40" s="120">
        <v>1065216.56</v>
      </c>
      <c r="R40" s="120">
        <v>914231.52</v>
      </c>
      <c r="S40" s="120">
        <v>636905.30000000005</v>
      </c>
      <c r="T40" s="120">
        <v>446207.83</v>
      </c>
      <c r="U40" s="120">
        <v>490917.73</v>
      </c>
      <c r="V40" s="120">
        <v>459769.35</v>
      </c>
      <c r="W40" s="120">
        <v>303161.46999999997</v>
      </c>
      <c r="X40" s="120">
        <v>516410.4</v>
      </c>
      <c r="Y40" s="120">
        <v>617141.61</v>
      </c>
      <c r="Z40" s="120">
        <v>901601.37</v>
      </c>
      <c r="AA40" s="120">
        <f t="shared" si="1"/>
        <v>8208594.5000000009</v>
      </c>
      <c r="AB40" s="121">
        <f t="shared" si="2"/>
        <v>0.86438948013014971</v>
      </c>
      <c r="AC40" s="123"/>
      <c r="AD40" s="120">
        <v>8563137.8200000003</v>
      </c>
      <c r="AE40" s="121">
        <f t="shared" si="3"/>
        <v>0.85755107212277804</v>
      </c>
      <c r="AF40" s="122">
        <f t="shared" si="4"/>
        <v>-354543.31999999937</v>
      </c>
      <c r="AG40" s="120">
        <v>8495346.5099999998</v>
      </c>
      <c r="AH40" s="121">
        <f t="shared" si="5"/>
        <v>0.8661656084140098</v>
      </c>
      <c r="AI40" s="122">
        <f t="shared" si="6"/>
        <v>-286752.00999999885</v>
      </c>
      <c r="AJ40" s="332">
        <f t="shared" si="7"/>
        <v>202.83159130219917</v>
      </c>
      <c r="AK40" s="333">
        <f t="shared" si="8"/>
        <v>212.84924113246004</v>
      </c>
      <c r="AL40" s="334">
        <f t="shared" si="9"/>
        <v>-10.017649830260865</v>
      </c>
      <c r="AM40" s="335">
        <f t="shared" si="10"/>
        <v>212.99068620568619</v>
      </c>
      <c r="AN40" s="334">
        <f t="shared" si="11"/>
        <v>-10.159094903487016</v>
      </c>
    </row>
    <row r="41" spans="1:40" x14ac:dyDescent="0.2">
      <c r="A41" s="1" t="s">
        <v>102</v>
      </c>
      <c r="C41" s="135" t="s">
        <v>101</v>
      </c>
      <c r="D41" s="1" t="s">
        <v>107</v>
      </c>
      <c r="F41" s="1" t="s">
        <v>99</v>
      </c>
      <c r="H41" s="10" t="s">
        <v>71</v>
      </c>
      <c r="I41" s="447" t="s">
        <v>1006</v>
      </c>
      <c r="J41" s="447" t="s">
        <v>78</v>
      </c>
      <c r="K41" s="448" t="str">
        <f t="shared" si="0"/>
        <v/>
      </c>
      <c r="L41" s="151"/>
      <c r="M41" s="151"/>
      <c r="N41" s="151" t="s">
        <v>1060</v>
      </c>
      <c r="O41" s="35"/>
      <c r="P41" s="35"/>
      <c r="Q41" s="35"/>
      <c r="R41" s="35"/>
      <c r="S41" s="35"/>
      <c r="T41" s="35"/>
      <c r="U41" s="35"/>
      <c r="V41" s="35"/>
      <c r="W41" s="35"/>
      <c r="X41" s="35"/>
      <c r="Y41" s="35"/>
      <c r="Z41" s="35"/>
      <c r="AA41" s="288" t="str">
        <f t="shared" si="1"/>
        <v/>
      </c>
      <c r="AB41" s="36" t="str">
        <f t="shared" si="2"/>
        <v/>
      </c>
      <c r="AD41" s="35"/>
      <c r="AE41" s="36" t="str">
        <f t="shared" si="3"/>
        <v/>
      </c>
      <c r="AF41" s="118" t="str">
        <f t="shared" si="4"/>
        <v/>
      </c>
      <c r="AG41" s="35"/>
      <c r="AH41" s="36" t="str">
        <f t="shared" si="5"/>
        <v/>
      </c>
      <c r="AI41" s="118" t="str">
        <f t="shared" si="6"/>
        <v/>
      </c>
      <c r="AJ41" s="325">
        <f t="shared" si="7"/>
        <v>0</v>
      </c>
      <c r="AK41" s="326">
        <f t="shared" si="8"/>
        <v>0</v>
      </c>
      <c r="AL41" s="327">
        <f t="shared" si="9"/>
        <v>0</v>
      </c>
      <c r="AM41" s="328">
        <f t="shared" si="10"/>
        <v>0</v>
      </c>
      <c r="AN41" s="327">
        <f t="shared" si="11"/>
        <v>0</v>
      </c>
    </row>
    <row r="42" spans="1:40" x14ac:dyDescent="0.2">
      <c r="H42" s="10" t="s">
        <v>87</v>
      </c>
      <c r="I42" s="25" t="s">
        <v>1052</v>
      </c>
      <c r="J42" s="25" t="s">
        <v>78</v>
      </c>
      <c r="K42" s="64" t="str">
        <f t="shared" si="0"/>
        <v>&gt;</v>
      </c>
      <c r="L42" s="24"/>
      <c r="M42" s="24"/>
      <c r="N42" s="24" t="s">
        <v>1061</v>
      </c>
      <c r="O42" s="19">
        <v>153193</v>
      </c>
      <c r="P42" s="19">
        <v>258352</v>
      </c>
      <c r="Q42" s="19">
        <v>108699</v>
      </c>
      <c r="R42" s="19">
        <v>25733</v>
      </c>
      <c r="S42" s="19">
        <v>123458</v>
      </c>
      <c r="T42" s="19">
        <v>63950.86</v>
      </c>
      <c r="U42" s="19">
        <v>43861</v>
      </c>
      <c r="V42" s="19">
        <v>14301.52</v>
      </c>
      <c r="W42" s="19">
        <v>80503</v>
      </c>
      <c r="X42" s="19">
        <v>22792</v>
      </c>
      <c r="Y42" s="19">
        <v>64517</v>
      </c>
      <c r="Z42" s="19">
        <v>92069</v>
      </c>
      <c r="AA42" s="283">
        <f t="shared" si="1"/>
        <v>1051429.3799999999</v>
      </c>
      <c r="AB42" s="15">
        <f t="shared" si="2"/>
        <v>0.11071864923669521</v>
      </c>
      <c r="AD42" s="19">
        <v>1091365</v>
      </c>
      <c r="AE42" s="15">
        <f t="shared" si="3"/>
        <v>0.10929419162697485</v>
      </c>
      <c r="AF42" s="47">
        <f t="shared" si="4"/>
        <v>-39935.620000000112</v>
      </c>
      <c r="AG42" s="19">
        <v>1082572.77</v>
      </c>
      <c r="AH42" s="15">
        <f t="shared" si="5"/>
        <v>0.11037658097591713</v>
      </c>
      <c r="AI42" s="47">
        <f t="shared" si="6"/>
        <v>-31143.39000000013</v>
      </c>
      <c r="AJ42" s="322">
        <f t="shared" si="7"/>
        <v>25.980464047442549</v>
      </c>
      <c r="AK42" s="323">
        <f t="shared" si="8"/>
        <v>27.127463896000595</v>
      </c>
      <c r="AL42" s="125">
        <f t="shared" si="9"/>
        <v>-1.1469998485580462</v>
      </c>
      <c r="AM42" s="324">
        <f t="shared" si="10"/>
        <v>27.141673018101589</v>
      </c>
      <c r="AN42" s="125">
        <f t="shared" si="11"/>
        <v>-1.1612089706590396</v>
      </c>
    </row>
    <row r="43" spans="1:40" x14ac:dyDescent="0.2">
      <c r="H43" s="10" t="s">
        <v>88</v>
      </c>
      <c r="I43" s="25" t="s">
        <v>1052</v>
      </c>
      <c r="J43" s="25" t="s">
        <v>78</v>
      </c>
      <c r="K43" s="64" t="str">
        <f t="shared" si="0"/>
        <v>&gt;</v>
      </c>
      <c r="L43" s="24"/>
      <c r="M43" s="24"/>
      <c r="N43" s="24" t="s">
        <v>1062</v>
      </c>
      <c r="O43" s="19">
        <v>8523.35</v>
      </c>
      <c r="P43" s="19">
        <v>279.27999999999997</v>
      </c>
      <c r="Q43" s="19">
        <v>0.02</v>
      </c>
      <c r="R43" s="19">
        <v>0.05</v>
      </c>
      <c r="S43" s="19">
        <v>11495.01</v>
      </c>
      <c r="T43" s="19">
        <v>16526.689999999999</v>
      </c>
      <c r="U43" s="19">
        <v>75.02</v>
      </c>
      <c r="V43" s="19">
        <v>725</v>
      </c>
      <c r="W43" s="19">
        <v>31270</v>
      </c>
      <c r="X43" s="19">
        <v>62268</v>
      </c>
      <c r="Y43" s="19"/>
      <c r="Z43" s="19"/>
      <c r="AA43" s="283">
        <f t="shared" si="1"/>
        <v>131162.41999999998</v>
      </c>
      <c r="AB43" s="15">
        <f t="shared" si="2"/>
        <v>1.3811793972331357E-2</v>
      </c>
      <c r="AD43" s="19">
        <v>42740</v>
      </c>
      <c r="AE43" s="15">
        <f t="shared" si="3"/>
        <v>4.2801755142751552E-3</v>
      </c>
      <c r="AF43" s="47">
        <f t="shared" si="4"/>
        <v>88422.419999999984</v>
      </c>
      <c r="AG43" s="19">
        <v>38100.949999999997</v>
      </c>
      <c r="AH43" s="15">
        <f t="shared" si="5"/>
        <v>3.8846835145635236E-3</v>
      </c>
      <c r="AI43" s="47">
        <f t="shared" si="6"/>
        <v>93061.469999999987</v>
      </c>
      <c r="AJ43" s="322">
        <f t="shared" si="7"/>
        <v>3.2409789967877436</v>
      </c>
      <c r="AK43" s="323">
        <f t="shared" si="8"/>
        <v>1.0623648430314931</v>
      </c>
      <c r="AL43" s="125">
        <f t="shared" si="9"/>
        <v>2.1786141537562504</v>
      </c>
      <c r="AM43" s="324">
        <f t="shared" si="10"/>
        <v>0.95524620167477303</v>
      </c>
      <c r="AN43" s="125">
        <f t="shared" si="11"/>
        <v>2.2857327951129705</v>
      </c>
    </row>
    <row r="44" spans="1:40" x14ac:dyDescent="0.2">
      <c r="A44" s="4" t="s">
        <v>989</v>
      </c>
      <c r="H44" s="10" t="s">
        <v>89</v>
      </c>
      <c r="I44" s="25" t="s">
        <v>1052</v>
      </c>
      <c r="J44" s="25" t="s">
        <v>78</v>
      </c>
      <c r="K44" s="64" t="str">
        <f t="shared" si="0"/>
        <v>&gt;</v>
      </c>
      <c r="L44" s="24">
        <v>401800</v>
      </c>
      <c r="M44" s="24"/>
      <c r="N44" s="24" t="s">
        <v>1063</v>
      </c>
      <c r="O44" s="19"/>
      <c r="P44" s="19"/>
      <c r="Q44" s="19"/>
      <c r="R44" s="19"/>
      <c r="S44" s="19"/>
      <c r="T44" s="19"/>
      <c r="U44" s="19"/>
      <c r="V44" s="19"/>
      <c r="W44" s="19"/>
      <c r="X44" s="19"/>
      <c r="Y44" s="19"/>
      <c r="Z44" s="19"/>
      <c r="AA44" s="283">
        <f t="shared" si="1"/>
        <v>0</v>
      </c>
      <c r="AB44" s="15" t="str">
        <f t="shared" si="2"/>
        <v/>
      </c>
      <c r="AD44" s="19"/>
      <c r="AE44" s="15" t="str">
        <f t="shared" si="3"/>
        <v/>
      </c>
      <c r="AF44" s="47">
        <f t="shared" si="4"/>
        <v>0</v>
      </c>
      <c r="AG44" s="19"/>
      <c r="AH44" s="15" t="str">
        <f t="shared" si="5"/>
        <v/>
      </c>
      <c r="AI44" s="47">
        <f t="shared" si="6"/>
        <v>0</v>
      </c>
      <c r="AJ44" s="322">
        <f t="shared" si="7"/>
        <v>0</v>
      </c>
      <c r="AK44" s="323">
        <f t="shared" si="8"/>
        <v>0</v>
      </c>
      <c r="AL44" s="125">
        <f t="shared" si="9"/>
        <v>0</v>
      </c>
      <c r="AM44" s="324">
        <f t="shared" si="10"/>
        <v>0</v>
      </c>
      <c r="AN44" s="125">
        <f t="shared" si="11"/>
        <v>0</v>
      </c>
    </row>
    <row r="45" spans="1:40" x14ac:dyDescent="0.2">
      <c r="H45" s="10" t="s">
        <v>90</v>
      </c>
      <c r="I45" s="25" t="s">
        <v>1052</v>
      </c>
      <c r="J45" s="25" t="s">
        <v>78</v>
      </c>
      <c r="K45" s="64" t="str">
        <f t="shared" si="0"/>
        <v>&gt;</v>
      </c>
      <c r="L45" s="24"/>
      <c r="M45" s="24"/>
      <c r="N45" s="24" t="s">
        <v>1064</v>
      </c>
      <c r="O45" s="19">
        <v>6229</v>
      </c>
      <c r="P45" s="19"/>
      <c r="Q45" s="19"/>
      <c r="R45" s="19"/>
      <c r="S45" s="19"/>
      <c r="T45" s="19"/>
      <c r="U45" s="19"/>
      <c r="V45" s="19"/>
      <c r="W45" s="19"/>
      <c r="X45" s="19"/>
      <c r="Y45" s="19"/>
      <c r="Z45" s="19"/>
      <c r="AA45" s="283">
        <f t="shared" si="1"/>
        <v>6229</v>
      </c>
      <c r="AB45" s="15">
        <f t="shared" si="2"/>
        <v>6.5593227582757337E-4</v>
      </c>
      <c r="AD45" s="19">
        <v>43619</v>
      </c>
      <c r="AE45" s="15">
        <f t="shared" si="3"/>
        <v>4.3682025212252694E-3</v>
      </c>
      <c r="AF45" s="47">
        <f t="shared" si="4"/>
        <v>-37390</v>
      </c>
      <c r="AG45" s="19"/>
      <c r="AH45" s="15" t="str">
        <f t="shared" si="5"/>
        <v/>
      </c>
      <c r="AI45" s="47">
        <f t="shared" si="6"/>
        <v>6229</v>
      </c>
      <c r="AJ45" s="322">
        <f t="shared" si="7"/>
        <v>0.15391648134420557</v>
      </c>
      <c r="AK45" s="323">
        <f t="shared" si="8"/>
        <v>1.0842136660783972</v>
      </c>
      <c r="AL45" s="125">
        <f t="shared" si="9"/>
        <v>-0.93029718473419165</v>
      </c>
      <c r="AM45" s="324">
        <f t="shared" si="10"/>
        <v>0</v>
      </c>
      <c r="AN45" s="125">
        <f t="shared" si="11"/>
        <v>0.15391648134420557</v>
      </c>
    </row>
    <row r="46" spans="1:40" x14ac:dyDescent="0.2">
      <c r="A46" s="3" t="s">
        <v>0</v>
      </c>
      <c r="B46" s="5" t="s">
        <v>1</v>
      </c>
      <c r="H46" s="10" t="s">
        <v>68</v>
      </c>
      <c r="I46" s="25" t="s">
        <v>1052</v>
      </c>
      <c r="J46" s="25" t="s">
        <v>78</v>
      </c>
      <c r="K46" s="64" t="str">
        <f t="shared" si="0"/>
        <v>&gt;</v>
      </c>
      <c r="L46" s="24">
        <v>401200</v>
      </c>
      <c r="M46" s="24"/>
      <c r="N46" s="24" t="s">
        <v>1065</v>
      </c>
      <c r="O46" s="28"/>
      <c r="P46" s="28"/>
      <c r="Q46" s="28"/>
      <c r="R46" s="28">
        <v>10825</v>
      </c>
      <c r="S46" s="28"/>
      <c r="T46" s="28"/>
      <c r="U46" s="28"/>
      <c r="V46" s="28">
        <v>1592</v>
      </c>
      <c r="W46" s="28"/>
      <c r="X46" s="28"/>
      <c r="Y46" s="28">
        <v>8142</v>
      </c>
      <c r="Z46" s="28"/>
      <c r="AA46" s="296">
        <f t="shared" si="1"/>
        <v>20559</v>
      </c>
      <c r="AB46" s="29">
        <f t="shared" si="2"/>
        <v>2.1649240100720954E-3</v>
      </c>
      <c r="AD46" s="28">
        <v>136525</v>
      </c>
      <c r="AE46" s="29">
        <f t="shared" si="3"/>
        <v>1.3672226534544118E-2</v>
      </c>
      <c r="AF46" s="48">
        <f t="shared" si="4"/>
        <v>-115966</v>
      </c>
      <c r="AG46" s="28">
        <v>76702.67</v>
      </c>
      <c r="AH46" s="29">
        <f t="shared" si="5"/>
        <v>7.8204243640120821E-3</v>
      </c>
      <c r="AI46" s="48">
        <f t="shared" si="6"/>
        <v>-56143.67</v>
      </c>
      <c r="AJ46" s="329">
        <f t="shared" si="7"/>
        <v>0.50800593031875463</v>
      </c>
      <c r="AK46" s="330">
        <f t="shared" si="8"/>
        <v>3.3935273793840572</v>
      </c>
      <c r="AL46" s="126">
        <f t="shared" si="9"/>
        <v>-2.8855214490653025</v>
      </c>
      <c r="AM46" s="331">
        <f t="shared" si="10"/>
        <v>1.9230474351902922</v>
      </c>
      <c r="AN46" s="126">
        <f t="shared" si="11"/>
        <v>-1.4150415048715375</v>
      </c>
    </row>
    <row r="47" spans="1:40" x14ac:dyDescent="0.2">
      <c r="A47" s="6" t="s">
        <v>2</v>
      </c>
      <c r="B47" s="14" t="s">
        <v>1044</v>
      </c>
      <c r="H47" s="10" t="s">
        <v>64</v>
      </c>
      <c r="I47" s="447" t="s">
        <v>1058</v>
      </c>
      <c r="J47" s="447" t="s">
        <v>78</v>
      </c>
      <c r="K47" s="448" t="str">
        <f t="shared" si="0"/>
        <v/>
      </c>
      <c r="L47" s="151">
        <v>401000</v>
      </c>
      <c r="M47" s="151"/>
      <c r="N47" s="151" t="s">
        <v>1066</v>
      </c>
      <c r="O47" s="120">
        <v>167945.35</v>
      </c>
      <c r="P47" s="120">
        <v>258631.28</v>
      </c>
      <c r="Q47" s="120">
        <v>108699.02</v>
      </c>
      <c r="R47" s="120">
        <v>36558.050000000003</v>
      </c>
      <c r="S47" s="120">
        <v>134953.01</v>
      </c>
      <c r="T47" s="120">
        <v>80477.55</v>
      </c>
      <c r="U47" s="120">
        <v>43936.02</v>
      </c>
      <c r="V47" s="120">
        <v>16618.52</v>
      </c>
      <c r="W47" s="120">
        <v>111773</v>
      </c>
      <c r="X47" s="120">
        <v>85060</v>
      </c>
      <c r="Y47" s="120">
        <v>72659</v>
      </c>
      <c r="Z47" s="120">
        <v>92069</v>
      </c>
      <c r="AA47" s="120">
        <f t="shared" si="1"/>
        <v>1209379.8000000003</v>
      </c>
      <c r="AB47" s="121">
        <f t="shared" si="2"/>
        <v>0.12735129949492627</v>
      </c>
      <c r="AC47" s="123"/>
      <c r="AD47" s="120">
        <v>1314249</v>
      </c>
      <c r="AE47" s="121">
        <f t="shared" si="3"/>
        <v>0.13161479619701938</v>
      </c>
      <c r="AF47" s="122">
        <f t="shared" si="4"/>
        <v>-104869.19999999972</v>
      </c>
      <c r="AG47" s="120">
        <v>1197376.3899999999</v>
      </c>
      <c r="AH47" s="121">
        <f t="shared" si="5"/>
        <v>0.12208168885449272</v>
      </c>
      <c r="AI47" s="122">
        <f t="shared" si="6"/>
        <v>12003.410000000382</v>
      </c>
      <c r="AJ47" s="332">
        <f t="shared" si="7"/>
        <v>29.883365455893262</v>
      </c>
      <c r="AK47" s="333">
        <f t="shared" si="8"/>
        <v>32.667569784494546</v>
      </c>
      <c r="AL47" s="334">
        <f t="shared" si="9"/>
        <v>-2.7842043286012839</v>
      </c>
      <c r="AM47" s="335">
        <f t="shared" si="10"/>
        <v>30.019966654966652</v>
      </c>
      <c r="AN47" s="334">
        <f t="shared" si="11"/>
        <v>-0.13660119907338952</v>
      </c>
    </row>
    <row r="48" spans="1:40" x14ac:dyDescent="0.2">
      <c r="A48" s="6" t="s">
        <v>3</v>
      </c>
      <c r="B48" s="14" t="s">
        <v>1045</v>
      </c>
      <c r="H48" s="10" t="s">
        <v>119</v>
      </c>
      <c r="I48" s="25" t="s">
        <v>1052</v>
      </c>
      <c r="J48" s="25" t="s">
        <v>78</v>
      </c>
      <c r="K48" s="64" t="str">
        <f t="shared" si="0"/>
        <v>&gt;</v>
      </c>
      <c r="L48" s="24"/>
      <c r="M48" s="24"/>
      <c r="N48" s="24" t="s">
        <v>1067</v>
      </c>
      <c r="O48" s="35"/>
      <c r="P48" s="35"/>
      <c r="Q48" s="35"/>
      <c r="R48" s="35"/>
      <c r="S48" s="35"/>
      <c r="T48" s="35"/>
      <c r="U48" s="35"/>
      <c r="V48" s="35"/>
      <c r="W48" s="35"/>
      <c r="X48" s="35"/>
      <c r="Y48" s="35"/>
      <c r="Z48" s="35"/>
      <c r="AA48" s="288">
        <f t="shared" si="1"/>
        <v>0</v>
      </c>
      <c r="AB48" s="36" t="str">
        <f t="shared" si="2"/>
        <v/>
      </c>
      <c r="AD48" s="35"/>
      <c r="AE48" s="36" t="str">
        <f t="shared" si="3"/>
        <v/>
      </c>
      <c r="AF48" s="118">
        <f t="shared" si="4"/>
        <v>0</v>
      </c>
      <c r="AG48" s="35"/>
      <c r="AH48" s="36" t="str">
        <f t="shared" si="5"/>
        <v/>
      </c>
      <c r="AI48" s="118">
        <f t="shared" si="6"/>
        <v>0</v>
      </c>
      <c r="AJ48" s="325">
        <f t="shared" si="7"/>
        <v>0</v>
      </c>
      <c r="AK48" s="326">
        <f t="shared" si="8"/>
        <v>0</v>
      </c>
      <c r="AL48" s="327">
        <f t="shared" si="9"/>
        <v>0</v>
      </c>
      <c r="AM48" s="328">
        <f t="shared" si="10"/>
        <v>0</v>
      </c>
      <c r="AN48" s="327">
        <f t="shared" si="11"/>
        <v>0</v>
      </c>
    </row>
    <row r="49" spans="1:40" x14ac:dyDescent="0.2">
      <c r="A49" s="6" t="s">
        <v>4</v>
      </c>
      <c r="B49" s="14" t="s">
        <v>1071</v>
      </c>
      <c r="H49" s="10" t="s">
        <v>67</v>
      </c>
      <c r="I49" s="25" t="s">
        <v>1052</v>
      </c>
      <c r="J49" s="25" t="s">
        <v>78</v>
      </c>
      <c r="K49" s="64" t="str">
        <f t="shared" si="0"/>
        <v>&gt;</v>
      </c>
      <c r="L49" s="24">
        <v>403000</v>
      </c>
      <c r="M49" s="24"/>
      <c r="N49" s="24" t="s">
        <v>1068</v>
      </c>
      <c r="O49" s="19">
        <v>11403.47</v>
      </c>
      <c r="P49" s="19">
        <v>7310.84</v>
      </c>
      <c r="Q49" s="19">
        <v>11381.43</v>
      </c>
      <c r="R49" s="19">
        <v>5024.12</v>
      </c>
      <c r="S49" s="19">
        <v>8875.4599999999991</v>
      </c>
      <c r="T49" s="19">
        <v>7934.76</v>
      </c>
      <c r="U49" s="19">
        <v>9371.02</v>
      </c>
      <c r="V49" s="19">
        <v>6181.48</v>
      </c>
      <c r="W49" s="19">
        <v>8622.94</v>
      </c>
      <c r="X49" s="19">
        <v>10744.81</v>
      </c>
      <c r="Y49" s="19">
        <v>8508.26</v>
      </c>
      <c r="Z49" s="19">
        <v>10935.08</v>
      </c>
      <c r="AA49" s="283">
        <f t="shared" si="1"/>
        <v>106293.67</v>
      </c>
      <c r="AB49" s="15">
        <f t="shared" si="2"/>
        <v>1.1193040434927767E-2</v>
      </c>
      <c r="AD49" s="19">
        <v>145272</v>
      </c>
      <c r="AE49" s="15">
        <f t="shared" si="3"/>
        <v>1.4548190390963509E-2</v>
      </c>
      <c r="AF49" s="47">
        <f t="shared" si="4"/>
        <v>-38978.33</v>
      </c>
      <c r="AG49" s="19">
        <v>145974.13</v>
      </c>
      <c r="AH49" s="15">
        <f t="shared" si="5"/>
        <v>1.4883179982749847E-2</v>
      </c>
      <c r="AI49" s="47">
        <f t="shared" si="6"/>
        <v>-39680.460000000006</v>
      </c>
      <c r="AJ49" s="322">
        <f t="shared" si="7"/>
        <v>2.6264806029157399</v>
      </c>
      <c r="AK49" s="323">
        <f t="shared" si="8"/>
        <v>3.6109467823320327</v>
      </c>
      <c r="AL49" s="125">
        <f t="shared" si="9"/>
        <v>-0.98446617941629277</v>
      </c>
      <c r="AM49" s="324">
        <f t="shared" si="10"/>
        <v>3.6597836333550622</v>
      </c>
      <c r="AN49" s="125">
        <f t="shared" si="11"/>
        <v>-1.0333030304393223</v>
      </c>
    </row>
    <row r="50" spans="1:40" x14ac:dyDescent="0.2">
      <c r="A50" s="6" t="s">
        <v>5</v>
      </c>
      <c r="B50" s="7"/>
      <c r="H50" s="10" t="s">
        <v>91</v>
      </c>
      <c r="I50" s="25" t="s">
        <v>1004</v>
      </c>
      <c r="J50" s="25" t="s">
        <v>1004</v>
      </c>
      <c r="K50" s="64" t="str">
        <f t="shared" si="0"/>
        <v/>
      </c>
      <c r="L50" s="24">
        <v>403990</v>
      </c>
      <c r="M50" s="24">
        <v>200529</v>
      </c>
      <c r="N50" s="24" t="s">
        <v>1069</v>
      </c>
      <c r="O50" s="28">
        <v>-1741.22</v>
      </c>
      <c r="P50" s="28">
        <v>-1025.6099999999999</v>
      </c>
      <c r="Q50" s="28">
        <v>-1058.22</v>
      </c>
      <c r="R50" s="28">
        <v>-1626.32</v>
      </c>
      <c r="S50" s="28">
        <v>-3710.56</v>
      </c>
      <c r="T50" s="28">
        <v>-3639.44</v>
      </c>
      <c r="U50" s="28">
        <v>-3073.46</v>
      </c>
      <c r="V50" s="28">
        <v>-1723.49</v>
      </c>
      <c r="W50" s="28">
        <v>-2501.6799999999998</v>
      </c>
      <c r="X50" s="28">
        <v>-1993.38</v>
      </c>
      <c r="Y50" s="28">
        <v>-3049.66</v>
      </c>
      <c r="Z50" s="28">
        <v>-2717.71</v>
      </c>
      <c r="AA50" s="296">
        <f t="shared" si="1"/>
        <v>-27860.750000000004</v>
      </c>
      <c r="AB50" s="29">
        <f t="shared" si="2"/>
        <v>-2.9338200600037031E-3</v>
      </c>
      <c r="AD50" s="28">
        <v>-37087</v>
      </c>
      <c r="AE50" s="29">
        <f t="shared" si="3"/>
        <v>-3.7140587107609424E-3</v>
      </c>
      <c r="AF50" s="48">
        <f t="shared" si="4"/>
        <v>9226.2499999999964</v>
      </c>
      <c r="AG50" s="28">
        <v>-30703.7</v>
      </c>
      <c r="AH50" s="29">
        <f t="shared" si="5"/>
        <v>-3.1304772512523722E-3</v>
      </c>
      <c r="AI50" s="48">
        <f t="shared" si="6"/>
        <v>2842.9499999999971</v>
      </c>
      <c r="AJ50" s="329">
        <f t="shared" si="7"/>
        <v>-0.6884297010130962</v>
      </c>
      <c r="AK50" s="330">
        <f t="shared" si="8"/>
        <v>-0.92185130869230192</v>
      </c>
      <c r="AL50" s="126">
        <f t="shared" si="9"/>
        <v>0.23342160767920572</v>
      </c>
      <c r="AM50" s="331">
        <f t="shared" si="10"/>
        <v>-0.76978639121496262</v>
      </c>
      <c r="AN50" s="126">
        <f t="shared" si="11"/>
        <v>8.1356690201866422E-2</v>
      </c>
    </row>
    <row r="51" spans="1:40" x14ac:dyDescent="0.2">
      <c r="A51" s="6" t="s">
        <v>6</v>
      </c>
      <c r="B51" s="7"/>
      <c r="H51" s="10" t="s">
        <v>72</v>
      </c>
      <c r="I51" s="447" t="s">
        <v>1058</v>
      </c>
      <c r="J51" s="447" t="s">
        <v>78</v>
      </c>
      <c r="K51" s="448" t="str">
        <f t="shared" si="0"/>
        <v/>
      </c>
      <c r="L51" s="151"/>
      <c r="M51" s="151"/>
      <c r="N51" s="151" t="s">
        <v>1070</v>
      </c>
      <c r="O51" s="120">
        <v>1050758.76</v>
      </c>
      <c r="P51" s="120">
        <v>1248796.71</v>
      </c>
      <c r="Q51" s="120">
        <v>1184238.79</v>
      </c>
      <c r="R51" s="120">
        <v>954187.37</v>
      </c>
      <c r="S51" s="120">
        <v>777023.21</v>
      </c>
      <c r="T51" s="120">
        <v>530980.69999999995</v>
      </c>
      <c r="U51" s="120">
        <v>541151.31000000006</v>
      </c>
      <c r="V51" s="120">
        <v>480845.86</v>
      </c>
      <c r="W51" s="120">
        <v>421055.73</v>
      </c>
      <c r="X51" s="120">
        <v>610221.82999999996</v>
      </c>
      <c r="Y51" s="120">
        <v>695259.21</v>
      </c>
      <c r="Z51" s="120">
        <v>1001887.74</v>
      </c>
      <c r="AA51" s="120">
        <f t="shared" si="1"/>
        <v>9496407.2200000007</v>
      </c>
      <c r="AB51" s="121">
        <f t="shared" si="2"/>
        <v>1</v>
      </c>
      <c r="AC51" s="123"/>
      <c r="AD51" s="120">
        <v>9985571.8200000003</v>
      </c>
      <c r="AE51" s="121">
        <f t="shared" si="3"/>
        <v>1</v>
      </c>
      <c r="AF51" s="122">
        <f t="shared" si="4"/>
        <v>-489164.59999999963</v>
      </c>
      <c r="AG51" s="120">
        <v>9807993.3300000001</v>
      </c>
      <c r="AH51" s="121">
        <f t="shared" si="5"/>
        <v>1</v>
      </c>
      <c r="AI51" s="122">
        <f t="shared" si="6"/>
        <v>-311586.1099999994</v>
      </c>
      <c r="AJ51" s="332">
        <f t="shared" si="7"/>
        <v>234.65300765999507</v>
      </c>
      <c r="AK51" s="333">
        <f t="shared" si="8"/>
        <v>248.20590639059432</v>
      </c>
      <c r="AL51" s="334">
        <f t="shared" si="9"/>
        <v>-13.552898730599253</v>
      </c>
      <c r="AM51" s="335">
        <f t="shared" si="10"/>
        <v>245.90065010279295</v>
      </c>
      <c r="AN51" s="334">
        <f t="shared" si="11"/>
        <v>-11.247642442797883</v>
      </c>
    </row>
    <row r="52" spans="1:40" x14ac:dyDescent="0.2">
      <c r="A52" s="6" t="s">
        <v>7</v>
      </c>
      <c r="B52" s="14" t="s">
        <v>1072</v>
      </c>
      <c r="G52" s="13"/>
      <c r="O52" s="50"/>
      <c r="AB52" s="51"/>
      <c r="AD52" s="50"/>
      <c r="AF52" s="51"/>
      <c r="AG52" s="50"/>
      <c r="AI52" s="51"/>
    </row>
    <row r="53" spans="1:40" x14ac:dyDescent="0.2">
      <c r="A53" s="6" t="s">
        <v>47</v>
      </c>
      <c r="B53" s="14" t="s">
        <v>1049</v>
      </c>
      <c r="H53" s="1" t="s">
        <v>73</v>
      </c>
      <c r="I53" s="11" t="s">
        <v>1006</v>
      </c>
      <c r="J53" s="11" t="s">
        <v>78</v>
      </c>
      <c r="M53" s="24"/>
      <c r="N53" s="37" t="s">
        <v>1073</v>
      </c>
      <c r="O53" s="50"/>
      <c r="AB53" s="51"/>
      <c r="AD53" s="50"/>
      <c r="AF53" s="51"/>
      <c r="AG53" s="50"/>
      <c r="AI53" s="51"/>
    </row>
    <row r="54" spans="1:40" x14ac:dyDescent="0.2">
      <c r="A54" s="6" t="s">
        <v>8</v>
      </c>
      <c r="B54" s="7"/>
      <c r="H54" s="1" t="s">
        <v>74</v>
      </c>
      <c r="I54" s="11" t="s">
        <v>1006</v>
      </c>
      <c r="J54" s="11" t="s">
        <v>78</v>
      </c>
      <c r="M54" s="24"/>
      <c r="N54" s="8" t="s">
        <v>1074</v>
      </c>
      <c r="O54" s="40"/>
      <c r="P54" s="43"/>
      <c r="Q54" s="43"/>
      <c r="R54" s="43"/>
      <c r="S54" s="43"/>
      <c r="T54" s="43"/>
      <c r="U54" s="43"/>
      <c r="V54" s="43"/>
      <c r="W54" s="43"/>
      <c r="X54" s="43"/>
      <c r="Y54" s="43"/>
      <c r="Z54" s="43"/>
      <c r="AA54" s="43"/>
      <c r="AB54" s="41"/>
      <c r="AD54" s="40"/>
      <c r="AE54" s="43"/>
      <c r="AF54" s="41"/>
      <c r="AG54" s="40"/>
      <c r="AH54" s="43"/>
      <c r="AI54" s="41"/>
    </row>
    <row r="55" spans="1:40" x14ac:dyDescent="0.2">
      <c r="H55" s="10" t="s">
        <v>856</v>
      </c>
      <c r="I55" s="25" t="s">
        <v>1007</v>
      </c>
      <c r="J55" s="25" t="s">
        <v>78</v>
      </c>
      <c r="K55" s="64" t="str">
        <f t="shared" ref="K55:K69" si="12">IF(AND(I55&gt;="T3"),"&gt;","")</f>
        <v>&gt;</v>
      </c>
      <c r="L55" s="24"/>
      <c r="M55" s="24"/>
      <c r="N55" s="24" t="s">
        <v>1075</v>
      </c>
      <c r="O55" s="35">
        <v>4731.05</v>
      </c>
      <c r="P55" s="35">
        <v>8583.33</v>
      </c>
      <c r="Q55" s="35">
        <v>8628.4599999999991</v>
      </c>
      <c r="R55" s="35">
        <v>12785.27</v>
      </c>
      <c r="S55" s="35">
        <v>12428.73</v>
      </c>
      <c r="T55" s="35">
        <v>11465.76</v>
      </c>
      <c r="U55" s="35">
        <v>12178.99</v>
      </c>
      <c r="V55" s="35">
        <v>11715.65</v>
      </c>
      <c r="W55" s="35">
        <v>11109.37</v>
      </c>
      <c r="X55" s="35">
        <v>11002.58</v>
      </c>
      <c r="Y55" s="35">
        <v>12285.38</v>
      </c>
      <c r="Z55" s="35">
        <v>12535.64</v>
      </c>
      <c r="AA55" s="19">
        <f>IF($I55="B1","",SUM(O55:Z55))</f>
        <v>129450.20999999999</v>
      </c>
      <c r="AB55" s="36">
        <f>IF(AA55=0,"",IFERROR(AA55/AA$19,""))</f>
        <v>1.3631493153260121E-2</v>
      </c>
      <c r="AD55" s="19">
        <v>142135.614725903</v>
      </c>
      <c r="AE55" s="15">
        <f>IF(AD55=0,"",IFERROR(AD55/AD$19,""))</f>
        <v>1.4234098686388797E-2</v>
      </c>
      <c r="AF55" s="47">
        <f>IF(AND($AA55="",AD55=""),"",$AA55-AD55)</f>
        <v>-12685.404725903005</v>
      </c>
      <c r="AG55" s="19">
        <v>121874.73</v>
      </c>
      <c r="AH55" s="15">
        <f>IF(AG55=0,"",IFERROR(AG55/AG$19,""))</f>
        <v>1.2426061672291124E-2</v>
      </c>
      <c r="AI55" s="47">
        <f>IF(AND($AA55="",AG55=""),"",$AA55-AG55)</f>
        <v>7575.4799999999959</v>
      </c>
      <c r="AJ55" s="322">
        <f t="shared" ref="AJ55:AJ69" si="13">IFERROR(AA55/AA$20,0)</f>
        <v>3.1986708673091178</v>
      </c>
      <c r="AK55" s="323">
        <f t="shared" ref="AK55:AK69" si="14">IFERROR(AD55/AD$20,0)</f>
        <v>3.5329873661082996</v>
      </c>
      <c r="AL55" s="125">
        <f t="shared" ref="AL55:AL69" si="15">AJ55-AK55</f>
        <v>-0.33431649879918179</v>
      </c>
      <c r="AM55" s="324">
        <f t="shared" ref="AM55:AM69" si="16">IFERROR(AG55/AG$20,0)</f>
        <v>3.0555766434337861</v>
      </c>
      <c r="AN55" s="125">
        <f t="shared" ref="AN55:AN69" si="17">AJ55-AM55</f>
        <v>0.14309422387533166</v>
      </c>
    </row>
    <row r="56" spans="1:40" hidden="1" x14ac:dyDescent="0.2">
      <c r="A56" s="3" t="s">
        <v>9</v>
      </c>
      <c r="B56" s="5" t="s">
        <v>10</v>
      </c>
      <c r="H56" s="10"/>
      <c r="I56" s="25"/>
      <c r="J56" s="25"/>
      <c r="K56" s="64" t="str">
        <f t="shared" si="12"/>
        <v/>
      </c>
      <c r="L56" s="24"/>
      <c r="M56" s="24"/>
      <c r="N56" s="24"/>
      <c r="O56" s="35"/>
      <c r="P56" s="35"/>
      <c r="Q56" s="35"/>
      <c r="R56" s="35"/>
      <c r="S56" s="35"/>
      <c r="T56" s="35"/>
      <c r="U56" s="35"/>
      <c r="V56" s="35"/>
      <c r="W56" s="35"/>
      <c r="X56" s="35"/>
      <c r="Y56" s="35"/>
      <c r="Z56" s="35"/>
      <c r="AA56" s="19">
        <f>IF($I56="B1","",SUM(O56:Z56))</f>
        <v>0</v>
      </c>
      <c r="AB56" s="36" t="str">
        <f>IF(AA56=0,"",IFERROR(AA56/AA$19,""))</f>
        <v/>
      </c>
      <c r="AD56" s="19"/>
      <c r="AE56" s="15" t="str">
        <f>IF(AD56=0,"",IFERROR(AD56/AD$19,""))</f>
        <v/>
      </c>
      <c r="AF56" s="47">
        <f>IF(AND($AA56="",AD56=""),"",$AA56-AD56)</f>
        <v>0</v>
      </c>
      <c r="AG56" s="19"/>
      <c r="AH56" s="15" t="str">
        <f>IF(AG56=0,"",IFERROR(AG56/AG$19,""))</f>
        <v/>
      </c>
      <c r="AI56" s="47">
        <f>IF(AND($AA56="",AG56=""),"",$AA56-AG56)</f>
        <v>0</v>
      </c>
      <c r="AJ56" s="322">
        <f t="shared" si="13"/>
        <v>0</v>
      </c>
      <c r="AK56" s="323">
        <f t="shared" si="14"/>
        <v>0</v>
      </c>
      <c r="AL56" s="125">
        <f t="shared" si="15"/>
        <v>0</v>
      </c>
      <c r="AM56" s="324">
        <f t="shared" si="16"/>
        <v>0</v>
      </c>
      <c r="AN56" s="125">
        <f t="shared" si="17"/>
        <v>0</v>
      </c>
    </row>
    <row r="57" spans="1:40" x14ac:dyDescent="0.2">
      <c r="A57" s="6" t="s">
        <v>11</v>
      </c>
      <c r="B57" s="7" t="s">
        <v>21</v>
      </c>
      <c r="H57" s="10" t="s">
        <v>75</v>
      </c>
      <c r="I57" s="25" t="s">
        <v>1006</v>
      </c>
      <c r="J57" s="25" t="s">
        <v>78</v>
      </c>
      <c r="K57" s="64" t="str">
        <f t="shared" si="12"/>
        <v/>
      </c>
      <c r="L57" s="24"/>
      <c r="M57" s="24"/>
      <c r="N57" s="23" t="s">
        <v>1076</v>
      </c>
      <c r="O57" s="35"/>
      <c r="P57" s="35"/>
      <c r="Q57" s="35"/>
      <c r="R57" s="35"/>
      <c r="S57" s="35"/>
      <c r="T57" s="35"/>
      <c r="U57" s="35"/>
      <c r="V57" s="35"/>
      <c r="W57" s="35"/>
      <c r="X57" s="35"/>
      <c r="Y57" s="35"/>
      <c r="Z57" s="35"/>
      <c r="AA57" s="19"/>
      <c r="AB57" s="36"/>
      <c r="AD57" s="19"/>
      <c r="AE57" s="15"/>
      <c r="AF57" s="47"/>
      <c r="AG57" s="19"/>
      <c r="AH57" s="15"/>
      <c r="AI57" s="47"/>
      <c r="AJ57" s="322">
        <f t="shared" si="13"/>
        <v>0</v>
      </c>
      <c r="AK57" s="323">
        <f t="shared" si="14"/>
        <v>0</v>
      </c>
      <c r="AL57" s="125">
        <f t="shared" si="15"/>
        <v>0</v>
      </c>
      <c r="AM57" s="324">
        <f t="shared" si="16"/>
        <v>0</v>
      </c>
      <c r="AN57" s="125">
        <f t="shared" si="17"/>
        <v>0</v>
      </c>
    </row>
    <row r="58" spans="1:40" x14ac:dyDescent="0.2">
      <c r="A58" s="6" t="s">
        <v>12</v>
      </c>
      <c r="B58" s="7" t="s">
        <v>22</v>
      </c>
      <c r="H58" s="10" t="s">
        <v>939</v>
      </c>
      <c r="I58" s="25" t="s">
        <v>1007</v>
      </c>
      <c r="J58" s="25" t="s">
        <v>78</v>
      </c>
      <c r="K58" s="64" t="str">
        <f t="shared" si="12"/>
        <v>&gt;</v>
      </c>
      <c r="L58" s="24"/>
      <c r="M58" s="24"/>
      <c r="N58" s="24" t="s">
        <v>1077</v>
      </c>
      <c r="O58" s="44">
        <v>9163.81</v>
      </c>
      <c r="P58" s="44">
        <v>6272.97</v>
      </c>
      <c r="Q58" s="44">
        <v>8047.82</v>
      </c>
      <c r="R58" s="44">
        <v>14397.6</v>
      </c>
      <c r="S58" s="44">
        <v>14951.98</v>
      </c>
      <c r="T58" s="44">
        <v>12352.96</v>
      </c>
      <c r="U58" s="44">
        <v>14088.04</v>
      </c>
      <c r="V58" s="44">
        <v>13137.64</v>
      </c>
      <c r="W58" s="44">
        <v>13226.94</v>
      </c>
      <c r="X58" s="44">
        <v>15020.52</v>
      </c>
      <c r="Y58" s="44">
        <v>16594.080000000002</v>
      </c>
      <c r="Z58" s="44">
        <v>13651.33</v>
      </c>
      <c r="AA58" s="28">
        <f t="shared" ref="AA58:AA69" si="18">IF($I58="B1","",SUM(O58:Z58))</f>
        <v>150905.68999999997</v>
      </c>
      <c r="AB58" s="45">
        <f t="shared" ref="AB58:AB69" si="19">IF(AA58=0,"",IFERROR(AA58/AA$19,""))</f>
        <v>1.5890819180772238E-2</v>
      </c>
      <c r="AD58" s="28">
        <v>139785.58285714299</v>
      </c>
      <c r="AE58" s="29">
        <f t="shared" ref="AE58:AE69" si="20">IF(AD58=0,"",IFERROR(AD58/AD$19,""))</f>
        <v>1.3998755942766129E-2</v>
      </c>
      <c r="AF58" s="48">
        <f t="shared" ref="AF58:AF69" si="21">IF(AND($AA58="",AD58=""),"",$AA58-AD58)</f>
        <v>11120.107142856985</v>
      </c>
      <c r="AG58" s="28">
        <v>137175.46</v>
      </c>
      <c r="AH58" s="29">
        <f t="shared" ref="AH58:AH69" si="22">IF(AG58=0,"",IFERROR(AG58/AG$19,""))</f>
        <v>1.398608822259466E-2</v>
      </c>
      <c r="AI58" s="48">
        <f t="shared" ref="AI58:AI69" si="23">IF(AND($AA58="",AG58=""),"",$AA58-AG58)</f>
        <v>13730.229999999981</v>
      </c>
      <c r="AJ58" s="322">
        <f t="shared" si="13"/>
        <v>3.7288285149493445</v>
      </c>
      <c r="AK58" s="323">
        <f t="shared" si="14"/>
        <v>3.4745739071149857</v>
      </c>
      <c r="AL58" s="125">
        <f t="shared" si="15"/>
        <v>0.25425460783435883</v>
      </c>
      <c r="AM58" s="324">
        <f t="shared" si="16"/>
        <v>3.4391881863310432</v>
      </c>
      <c r="AN58" s="125">
        <f t="shared" si="17"/>
        <v>0.28964032861830136</v>
      </c>
    </row>
    <row r="59" spans="1:40" x14ac:dyDescent="0.2">
      <c r="A59" s="6" t="s">
        <v>13</v>
      </c>
      <c r="B59" s="7" t="s">
        <v>735</v>
      </c>
      <c r="H59" s="10" t="s">
        <v>940</v>
      </c>
      <c r="I59" s="25" t="s">
        <v>1007</v>
      </c>
      <c r="J59" s="25" t="s">
        <v>78</v>
      </c>
      <c r="K59" s="64" t="str">
        <f t="shared" si="12"/>
        <v>&gt;</v>
      </c>
      <c r="L59" s="24"/>
      <c r="M59" s="24"/>
      <c r="N59" s="24" t="s">
        <v>1078</v>
      </c>
      <c r="O59" s="44">
        <v>32353.39</v>
      </c>
      <c r="P59" s="44">
        <v>34636.14</v>
      </c>
      <c r="Q59" s="44">
        <v>39585.14</v>
      </c>
      <c r="R59" s="44">
        <v>44186.67</v>
      </c>
      <c r="S59" s="44">
        <v>35570.410000000003</v>
      </c>
      <c r="T59" s="44">
        <v>29770.43</v>
      </c>
      <c r="U59" s="44">
        <v>32196.22</v>
      </c>
      <c r="V59" s="44">
        <v>29804.14</v>
      </c>
      <c r="W59" s="44">
        <v>25821.52</v>
      </c>
      <c r="X59" s="44">
        <v>30001.55</v>
      </c>
      <c r="Y59" s="44">
        <v>36128.269999999997</v>
      </c>
      <c r="Z59" s="44">
        <v>40543.360000000001</v>
      </c>
      <c r="AA59" s="28">
        <f t="shared" si="18"/>
        <v>410597.24</v>
      </c>
      <c r="AB59" s="45">
        <f t="shared" si="19"/>
        <v>4.3237113835562745E-2</v>
      </c>
      <c r="AD59" s="28">
        <v>177929.142857142</v>
      </c>
      <c r="AE59" s="29">
        <f t="shared" si="20"/>
        <v>1.7818623316169988E-2</v>
      </c>
      <c r="AF59" s="48">
        <f t="shared" si="21"/>
        <v>232668.09714285799</v>
      </c>
      <c r="AG59" s="28">
        <v>177447.21</v>
      </c>
      <c r="AH59" s="29">
        <f t="shared" si="22"/>
        <v>1.8092101414591805E-2</v>
      </c>
      <c r="AI59" s="48">
        <f t="shared" si="23"/>
        <v>233150.03</v>
      </c>
      <c r="AJ59" s="329">
        <f t="shared" si="13"/>
        <v>10.145718804052384</v>
      </c>
      <c r="AK59" s="330">
        <f t="shared" si="14"/>
        <v>4.4226875508225501</v>
      </c>
      <c r="AL59" s="126">
        <f t="shared" si="15"/>
        <v>5.7230312532298342</v>
      </c>
      <c r="AM59" s="331">
        <f t="shared" si="16"/>
        <v>4.4488594995737847</v>
      </c>
      <c r="AN59" s="126">
        <f t="shared" si="17"/>
        <v>5.6968593044785996</v>
      </c>
    </row>
    <row r="60" spans="1:40" x14ac:dyDescent="0.2">
      <c r="A60" s="6" t="s">
        <v>14</v>
      </c>
      <c r="B60" s="7"/>
      <c r="H60" s="10" t="s">
        <v>849</v>
      </c>
      <c r="I60" s="447" t="s">
        <v>1005</v>
      </c>
      <c r="J60" s="447" t="s">
        <v>78</v>
      </c>
      <c r="K60" s="448" t="str">
        <f t="shared" si="12"/>
        <v/>
      </c>
      <c r="L60" s="151"/>
      <c r="M60" s="151"/>
      <c r="N60" s="151" t="s">
        <v>1079</v>
      </c>
      <c r="O60" s="120">
        <v>46248.25</v>
      </c>
      <c r="P60" s="120">
        <v>49492.44</v>
      </c>
      <c r="Q60" s="120">
        <v>56261.42</v>
      </c>
      <c r="R60" s="120">
        <v>71369.539999999994</v>
      </c>
      <c r="S60" s="120">
        <v>62951.12</v>
      </c>
      <c r="T60" s="120">
        <v>53589.15</v>
      </c>
      <c r="U60" s="120">
        <v>58463.25</v>
      </c>
      <c r="V60" s="120">
        <v>54657.43</v>
      </c>
      <c r="W60" s="120">
        <v>50157.83</v>
      </c>
      <c r="X60" s="120">
        <v>56024.65</v>
      </c>
      <c r="Y60" s="120">
        <v>65007.73</v>
      </c>
      <c r="Z60" s="120">
        <v>66730.33</v>
      </c>
      <c r="AA60" s="120">
        <f t="shared" si="18"/>
        <v>690953.1399999999</v>
      </c>
      <c r="AB60" s="121">
        <f t="shared" si="19"/>
        <v>7.2759426169595104E-2</v>
      </c>
      <c r="AC60" s="123"/>
      <c r="AD60" s="120">
        <v>459850.340440189</v>
      </c>
      <c r="AE60" s="121">
        <f t="shared" si="20"/>
        <v>4.605147794532502E-2</v>
      </c>
      <c r="AF60" s="122">
        <f t="shared" si="21"/>
        <v>231102.7995598109</v>
      </c>
      <c r="AG60" s="120">
        <v>436497.4</v>
      </c>
      <c r="AH60" s="121">
        <f t="shared" si="22"/>
        <v>4.4504251309477598E-2</v>
      </c>
      <c r="AI60" s="122">
        <f t="shared" si="23"/>
        <v>254455.73999999987</v>
      </c>
      <c r="AJ60" s="332">
        <f t="shared" si="13"/>
        <v>17.073218186310847</v>
      </c>
      <c r="AK60" s="333">
        <f t="shared" si="14"/>
        <v>11.43024882404586</v>
      </c>
      <c r="AL60" s="334">
        <f t="shared" si="15"/>
        <v>5.6429693622649868</v>
      </c>
      <c r="AM60" s="335">
        <f t="shared" si="16"/>
        <v>10.943624329338615</v>
      </c>
      <c r="AN60" s="334">
        <f t="shared" si="17"/>
        <v>6.1295938569722317</v>
      </c>
    </row>
    <row r="61" spans="1:40" x14ac:dyDescent="0.2">
      <c r="A61" s="6" t="s">
        <v>15</v>
      </c>
      <c r="B61" s="7"/>
      <c r="H61" s="10" t="s">
        <v>862</v>
      </c>
      <c r="I61" s="25" t="s">
        <v>1007</v>
      </c>
      <c r="J61" s="25" t="s">
        <v>78</v>
      </c>
      <c r="K61" s="64" t="str">
        <f t="shared" si="12"/>
        <v>&gt;</v>
      </c>
      <c r="L61" s="24"/>
      <c r="M61" s="24"/>
      <c r="N61" s="24" t="s">
        <v>1080</v>
      </c>
      <c r="O61" s="44"/>
      <c r="P61" s="44"/>
      <c r="Q61" s="44"/>
      <c r="R61" s="44"/>
      <c r="S61" s="44"/>
      <c r="T61" s="44"/>
      <c r="U61" s="44"/>
      <c r="V61" s="44"/>
      <c r="W61" s="44"/>
      <c r="X61" s="44"/>
      <c r="Y61" s="44"/>
      <c r="Z61" s="44">
        <v>-35</v>
      </c>
      <c r="AA61" s="44">
        <f t="shared" si="18"/>
        <v>-35</v>
      </c>
      <c r="AB61" s="45">
        <f t="shared" si="19"/>
        <v>-3.6856043753355383E-6</v>
      </c>
      <c r="AD61" s="44"/>
      <c r="AE61" s="45" t="str">
        <f t="shared" si="20"/>
        <v/>
      </c>
      <c r="AF61" s="134">
        <f t="shared" si="21"/>
        <v>-35</v>
      </c>
      <c r="AG61" s="44"/>
      <c r="AH61" s="45" t="str">
        <f t="shared" si="22"/>
        <v/>
      </c>
      <c r="AI61" s="134">
        <f t="shared" si="23"/>
        <v>-35</v>
      </c>
      <c r="AJ61" s="325">
        <f t="shared" si="13"/>
        <v>-8.6483815171732148E-4</v>
      </c>
      <c r="AK61" s="326">
        <f t="shared" si="14"/>
        <v>0</v>
      </c>
      <c r="AL61" s="327">
        <f t="shared" si="15"/>
        <v>-8.6483815171732148E-4</v>
      </c>
      <c r="AM61" s="328">
        <f t="shared" si="16"/>
        <v>0</v>
      </c>
      <c r="AN61" s="327">
        <f t="shared" si="17"/>
        <v>-8.6483815171732148E-4</v>
      </c>
    </row>
    <row r="62" spans="1:40" x14ac:dyDescent="0.2">
      <c r="A62" s="6" t="s">
        <v>16</v>
      </c>
      <c r="B62" s="7" t="s">
        <v>78</v>
      </c>
      <c r="H62" s="10" t="s">
        <v>863</v>
      </c>
      <c r="I62" s="25" t="s">
        <v>1007</v>
      </c>
      <c r="J62" s="25" t="s">
        <v>78</v>
      </c>
      <c r="K62" s="64" t="str">
        <f t="shared" si="12"/>
        <v>&gt;</v>
      </c>
      <c r="L62" s="24"/>
      <c r="M62" s="24"/>
      <c r="N62" s="24" t="s">
        <v>1081</v>
      </c>
      <c r="O62" s="44">
        <v>66239.66</v>
      </c>
      <c r="P62" s="44">
        <v>69297.73</v>
      </c>
      <c r="Q62" s="44">
        <v>69830.17</v>
      </c>
      <c r="R62" s="44">
        <v>42248.9</v>
      </c>
      <c r="S62" s="44">
        <v>52093.46</v>
      </c>
      <c r="T62" s="44">
        <v>48080.91</v>
      </c>
      <c r="U62" s="44">
        <v>45460.41</v>
      </c>
      <c r="V62" s="44">
        <v>44787.96</v>
      </c>
      <c r="W62" s="44">
        <v>38167.26</v>
      </c>
      <c r="X62" s="44">
        <v>39872.639999999999</v>
      </c>
      <c r="Y62" s="44">
        <v>41748.29</v>
      </c>
      <c r="Z62" s="44">
        <v>51210.28</v>
      </c>
      <c r="AA62" s="28">
        <f t="shared" si="18"/>
        <v>609037.67000000004</v>
      </c>
      <c r="AB62" s="45">
        <f t="shared" si="19"/>
        <v>6.4133482894176058E-2</v>
      </c>
      <c r="AD62" s="28">
        <v>754397.59</v>
      </c>
      <c r="AE62" s="29">
        <f t="shared" si="20"/>
        <v>7.5548762113855583E-2</v>
      </c>
      <c r="AF62" s="48">
        <f t="shared" si="21"/>
        <v>-145359.91999999993</v>
      </c>
      <c r="AG62" s="28">
        <v>767629.8</v>
      </c>
      <c r="AH62" s="29">
        <f t="shared" si="22"/>
        <v>7.8265734301840112E-2</v>
      </c>
      <c r="AI62" s="48">
        <f t="shared" si="23"/>
        <v>-158592.13</v>
      </c>
      <c r="AJ62" s="322">
        <f t="shared" si="13"/>
        <v>15.049114652829257</v>
      </c>
      <c r="AK62" s="323">
        <f t="shared" si="14"/>
        <v>18.751648977156918</v>
      </c>
      <c r="AL62" s="125">
        <f t="shared" si="15"/>
        <v>-3.7025343243276616</v>
      </c>
      <c r="AM62" s="324">
        <f t="shared" si="16"/>
        <v>19.245594945594945</v>
      </c>
      <c r="AN62" s="125">
        <f t="shared" si="17"/>
        <v>-4.1964802927656883</v>
      </c>
    </row>
    <row r="63" spans="1:40" x14ac:dyDescent="0.2">
      <c r="A63" s="6" t="s">
        <v>17</v>
      </c>
      <c r="B63" s="7"/>
      <c r="H63" s="10" t="s">
        <v>850</v>
      </c>
      <c r="I63" s="25" t="s">
        <v>1007</v>
      </c>
      <c r="J63" s="25" t="s">
        <v>78</v>
      </c>
      <c r="K63" s="64" t="str">
        <f t="shared" si="12"/>
        <v>&gt;</v>
      </c>
      <c r="L63" s="24"/>
      <c r="M63" s="24"/>
      <c r="N63" s="24" t="s">
        <v>1082</v>
      </c>
      <c r="O63" s="44">
        <v>1779.57</v>
      </c>
      <c r="P63" s="44">
        <v>785.91</v>
      </c>
      <c r="Q63" s="44">
        <v>1105.05</v>
      </c>
      <c r="R63" s="44">
        <v>2262.7800000000002</v>
      </c>
      <c r="S63" s="44">
        <v>3510.66</v>
      </c>
      <c r="T63" s="44">
        <v>1593.82</v>
      </c>
      <c r="U63" s="44">
        <v>-458.71</v>
      </c>
      <c r="V63" s="44">
        <v>2120.36</v>
      </c>
      <c r="W63" s="44">
        <v>3212.52</v>
      </c>
      <c r="X63" s="44">
        <v>5764.16</v>
      </c>
      <c r="Y63" s="44">
        <v>-2249.54</v>
      </c>
      <c r="Z63" s="44">
        <v>-1175.57</v>
      </c>
      <c r="AA63" s="28">
        <f t="shared" si="18"/>
        <v>18251.010000000002</v>
      </c>
      <c r="AB63" s="45">
        <f t="shared" si="19"/>
        <v>1.9218857802940764E-3</v>
      </c>
      <c r="AD63" s="28">
        <v>14406.812211844799</v>
      </c>
      <c r="AE63" s="29">
        <f t="shared" si="20"/>
        <v>1.4427628654164343E-3</v>
      </c>
      <c r="AF63" s="48">
        <f t="shared" si="21"/>
        <v>3844.1977881552029</v>
      </c>
      <c r="AG63" s="28">
        <v>26964.720000000001</v>
      </c>
      <c r="AH63" s="29">
        <f t="shared" si="22"/>
        <v>2.749259618430022E-3</v>
      </c>
      <c r="AI63" s="48">
        <f t="shared" si="23"/>
        <v>-8713.7099999999991</v>
      </c>
      <c r="AJ63" s="329">
        <f t="shared" si="13"/>
        <v>0.45097627872498153</v>
      </c>
      <c r="AK63" s="330">
        <f t="shared" si="14"/>
        <v>0.35810226471737711</v>
      </c>
      <c r="AL63" s="126">
        <f t="shared" si="15"/>
        <v>9.2874014007604422E-2</v>
      </c>
      <c r="AM63" s="331">
        <f t="shared" si="16"/>
        <v>0.67604472747329891</v>
      </c>
      <c r="AN63" s="126">
        <f t="shared" si="17"/>
        <v>-0.22506844874831738</v>
      </c>
    </row>
    <row r="64" spans="1:40" x14ac:dyDescent="0.2">
      <c r="H64" s="10" t="s">
        <v>851</v>
      </c>
      <c r="I64" s="447" t="s">
        <v>1005</v>
      </c>
      <c r="J64" s="447" t="s">
        <v>78</v>
      </c>
      <c r="K64" s="448" t="str">
        <f t="shared" si="12"/>
        <v/>
      </c>
      <c r="L64" s="151"/>
      <c r="M64" s="151"/>
      <c r="N64" s="151" t="s">
        <v>1083</v>
      </c>
      <c r="O64" s="120">
        <v>114267.48</v>
      </c>
      <c r="P64" s="120">
        <v>119576.08</v>
      </c>
      <c r="Q64" s="120">
        <v>127196.64</v>
      </c>
      <c r="R64" s="120">
        <v>115881.22</v>
      </c>
      <c r="S64" s="120">
        <v>118555.24</v>
      </c>
      <c r="T64" s="120">
        <v>103263.88</v>
      </c>
      <c r="U64" s="120">
        <v>103464.95</v>
      </c>
      <c r="V64" s="120">
        <v>101565.75</v>
      </c>
      <c r="W64" s="120">
        <v>91537.61</v>
      </c>
      <c r="X64" s="120">
        <v>101661.45</v>
      </c>
      <c r="Y64" s="120">
        <v>104506.48</v>
      </c>
      <c r="Z64" s="120">
        <v>116730.04</v>
      </c>
      <c r="AA64" s="120">
        <f t="shared" si="18"/>
        <v>1318206.82</v>
      </c>
      <c r="AB64" s="121">
        <f t="shared" si="19"/>
        <v>0.13881110923968992</v>
      </c>
      <c r="AC64" s="123"/>
      <c r="AD64" s="120">
        <v>1228654.74265203</v>
      </c>
      <c r="AE64" s="121">
        <f t="shared" si="20"/>
        <v>0.12304300292459665</v>
      </c>
      <c r="AF64" s="122">
        <f t="shared" si="21"/>
        <v>89552.077347970102</v>
      </c>
      <c r="AG64" s="120">
        <v>1231091.92</v>
      </c>
      <c r="AH64" s="121">
        <f t="shared" si="22"/>
        <v>0.12551924522974772</v>
      </c>
      <c r="AI64" s="122">
        <f t="shared" si="23"/>
        <v>87114.90000000014</v>
      </c>
      <c r="AJ64" s="332">
        <f t="shared" si="13"/>
        <v>32.572444279713366</v>
      </c>
      <c r="AK64" s="333">
        <f t="shared" si="14"/>
        <v>30.540000065920061</v>
      </c>
      <c r="AL64" s="334">
        <f t="shared" si="15"/>
        <v>2.0324442137933048</v>
      </c>
      <c r="AM64" s="335">
        <f t="shared" si="16"/>
        <v>30.865264002406857</v>
      </c>
      <c r="AN64" s="334">
        <f t="shared" si="17"/>
        <v>1.7071802773065095</v>
      </c>
    </row>
    <row r="65" spans="1:40" x14ac:dyDescent="0.2">
      <c r="A65" s="20" t="s">
        <v>92</v>
      </c>
      <c r="B65" s="21" t="s">
        <v>93</v>
      </c>
      <c r="C65" s="21" t="s">
        <v>94</v>
      </c>
      <c r="D65" s="21" t="s">
        <v>95</v>
      </c>
      <c r="E65" s="21" t="s">
        <v>96</v>
      </c>
      <c r="F65" s="22" t="s">
        <v>97</v>
      </c>
      <c r="H65" s="10" t="s">
        <v>852</v>
      </c>
      <c r="I65" s="25" t="s">
        <v>1007</v>
      </c>
      <c r="J65" s="25" t="s">
        <v>78</v>
      </c>
      <c r="K65" s="64" t="str">
        <f t="shared" si="12"/>
        <v>&gt;</v>
      </c>
      <c r="L65" s="24"/>
      <c r="M65" s="24"/>
      <c r="N65" s="24" t="s">
        <v>561</v>
      </c>
      <c r="O65" s="44">
        <v>3862.19</v>
      </c>
      <c r="P65" s="44">
        <v>4261.93</v>
      </c>
      <c r="Q65" s="44">
        <v>4712.13</v>
      </c>
      <c r="R65" s="44">
        <v>5896.52</v>
      </c>
      <c r="S65" s="44">
        <v>5158.62</v>
      </c>
      <c r="T65" s="44">
        <v>4167.83</v>
      </c>
      <c r="U65" s="44">
        <v>4577.93</v>
      </c>
      <c r="V65" s="44">
        <v>4315.28</v>
      </c>
      <c r="W65" s="44">
        <v>4327.5</v>
      </c>
      <c r="X65" s="44">
        <v>4384.0200000000004</v>
      </c>
      <c r="Y65" s="44">
        <v>4702.2</v>
      </c>
      <c r="Z65" s="44">
        <v>5544.6</v>
      </c>
      <c r="AA65" s="44">
        <f t="shared" si="18"/>
        <v>55910.749999999993</v>
      </c>
      <c r="AB65" s="45">
        <f t="shared" si="19"/>
        <v>5.8875687093797556E-3</v>
      </c>
      <c r="AD65" s="44">
        <v>36096.909292256503</v>
      </c>
      <c r="AE65" s="45">
        <f t="shared" si="20"/>
        <v>3.6149065815097711E-3</v>
      </c>
      <c r="AF65" s="134">
        <f t="shared" si="21"/>
        <v>19813.840707743489</v>
      </c>
      <c r="AG65" s="44">
        <v>33049.83</v>
      </c>
      <c r="AH65" s="45">
        <f t="shared" si="22"/>
        <v>3.3696831643338812E-3</v>
      </c>
      <c r="AI65" s="134">
        <f t="shared" si="23"/>
        <v>22860.919999999991</v>
      </c>
      <c r="AJ65" s="325">
        <f t="shared" si="13"/>
        <v>1.381535705460835</v>
      </c>
      <c r="AK65" s="326">
        <f t="shared" si="14"/>
        <v>0.8972411645809576</v>
      </c>
      <c r="AL65" s="327">
        <f t="shared" si="15"/>
        <v>0.48429454087987744</v>
      </c>
      <c r="AM65" s="328">
        <f t="shared" si="16"/>
        <v>0.8286072807501379</v>
      </c>
      <c r="AN65" s="327">
        <f t="shared" si="17"/>
        <v>0.55292842471069714</v>
      </c>
    </row>
    <row r="66" spans="1:40" x14ac:dyDescent="0.2">
      <c r="H66" s="10" t="s">
        <v>853</v>
      </c>
      <c r="I66" s="25" t="s">
        <v>1007</v>
      </c>
      <c r="J66" s="25" t="s">
        <v>78</v>
      </c>
      <c r="K66" s="64" t="str">
        <f t="shared" si="12"/>
        <v>&gt;</v>
      </c>
      <c r="L66" s="24"/>
      <c r="M66" s="24"/>
      <c r="N66" s="24" t="s">
        <v>560</v>
      </c>
      <c r="O66" s="44">
        <v>5365.7</v>
      </c>
      <c r="P66" s="44">
        <v>4604.5200000000004</v>
      </c>
      <c r="Q66" s="44">
        <v>3329.24</v>
      </c>
      <c r="R66" s="44">
        <v>3428.29</v>
      </c>
      <c r="S66" s="44">
        <v>8701.5499999999993</v>
      </c>
      <c r="T66" s="44">
        <v>3455.26</v>
      </c>
      <c r="U66" s="44">
        <v>10232.709999999999</v>
      </c>
      <c r="V66" s="44">
        <v>2693.32</v>
      </c>
      <c r="W66" s="44">
        <v>7499.76</v>
      </c>
      <c r="X66" s="44">
        <v>2906.29</v>
      </c>
      <c r="Y66" s="44">
        <v>3025.18</v>
      </c>
      <c r="Z66" s="44">
        <v>1169.28</v>
      </c>
      <c r="AA66" s="28">
        <f t="shared" si="18"/>
        <v>56411.1</v>
      </c>
      <c r="AB66" s="45">
        <f t="shared" si="19"/>
        <v>5.9402570564997311E-3</v>
      </c>
      <c r="AD66" s="28">
        <v>54784.801621557497</v>
      </c>
      <c r="AE66" s="29">
        <f t="shared" si="20"/>
        <v>5.4863960331074458E-3</v>
      </c>
      <c r="AF66" s="48">
        <f t="shared" si="21"/>
        <v>1626.2983784425014</v>
      </c>
      <c r="AG66" s="28">
        <v>52250.05</v>
      </c>
      <c r="AH66" s="29">
        <f t="shared" si="22"/>
        <v>5.3272925706608328E-3</v>
      </c>
      <c r="AI66" s="48">
        <f t="shared" si="23"/>
        <v>4161.0499999999956</v>
      </c>
      <c r="AJ66" s="322">
        <f t="shared" si="13"/>
        <v>1.3938991845811712</v>
      </c>
      <c r="AK66" s="323">
        <f t="shared" si="14"/>
        <v>1.3617559002151947</v>
      </c>
      <c r="AL66" s="125">
        <f t="shared" si="15"/>
        <v>3.2143284365976577E-2</v>
      </c>
      <c r="AM66" s="324">
        <f t="shared" si="16"/>
        <v>1.3099847064132779</v>
      </c>
      <c r="AN66" s="125">
        <f t="shared" si="17"/>
        <v>8.3914478167893325E-2</v>
      </c>
    </row>
    <row r="67" spans="1:40" x14ac:dyDescent="0.2">
      <c r="A67" s="1" t="s">
        <v>108</v>
      </c>
      <c r="C67" s="24" t="s">
        <v>101</v>
      </c>
      <c r="D67" s="1" t="s">
        <v>106</v>
      </c>
      <c r="F67" s="1" t="s">
        <v>98</v>
      </c>
      <c r="G67" s="13"/>
      <c r="H67" s="10" t="s">
        <v>854</v>
      </c>
      <c r="I67" s="25" t="s">
        <v>1007</v>
      </c>
      <c r="J67" s="25" t="s">
        <v>78</v>
      </c>
      <c r="K67" s="64" t="str">
        <f t="shared" si="12"/>
        <v>&gt;</v>
      </c>
      <c r="L67" s="24"/>
      <c r="M67" s="24"/>
      <c r="N67" s="24" t="s">
        <v>562</v>
      </c>
      <c r="O67" s="44">
        <v>9325.85</v>
      </c>
      <c r="P67" s="44">
        <v>8787.26</v>
      </c>
      <c r="Q67" s="44">
        <v>9252.77</v>
      </c>
      <c r="R67" s="44">
        <v>8947.57</v>
      </c>
      <c r="S67" s="44">
        <v>9211.61</v>
      </c>
      <c r="T67" s="44">
        <v>8358.9500000000007</v>
      </c>
      <c r="U67" s="44">
        <v>8472.0499999999993</v>
      </c>
      <c r="V67" s="44">
        <v>7053.56</v>
      </c>
      <c r="W67" s="44">
        <v>7192.46</v>
      </c>
      <c r="X67" s="44">
        <v>7753.02</v>
      </c>
      <c r="Y67" s="44">
        <v>7682.44</v>
      </c>
      <c r="Z67" s="44">
        <v>7356.2</v>
      </c>
      <c r="AA67" s="28">
        <f t="shared" si="18"/>
        <v>99393.74</v>
      </c>
      <c r="AB67" s="45">
        <f t="shared" si="19"/>
        <v>1.0466457229284656E-2</v>
      </c>
      <c r="AD67" s="28">
        <v>109009.43582307</v>
      </c>
      <c r="AE67" s="29">
        <f t="shared" si="20"/>
        <v>1.0916694385466851E-2</v>
      </c>
      <c r="AF67" s="48">
        <f t="shared" si="21"/>
        <v>-9615.6958230699965</v>
      </c>
      <c r="AG67" s="28">
        <v>96382.03</v>
      </c>
      <c r="AH67" s="29">
        <f t="shared" si="22"/>
        <v>9.8268857611468214E-3</v>
      </c>
      <c r="AI67" s="48">
        <f t="shared" si="23"/>
        <v>3011.7100000000064</v>
      </c>
      <c r="AJ67" s="329">
        <f t="shared" si="13"/>
        <v>2.4559856683963432</v>
      </c>
      <c r="AK67" s="330">
        <f t="shared" si="14"/>
        <v>2.7095880247339119</v>
      </c>
      <c r="AL67" s="126">
        <f t="shared" si="15"/>
        <v>-0.25360235633756867</v>
      </c>
      <c r="AM67" s="331">
        <f t="shared" si="16"/>
        <v>2.4164375971518828</v>
      </c>
      <c r="AN67" s="126">
        <f t="shared" si="17"/>
        <v>3.954807124446047E-2</v>
      </c>
    </row>
    <row r="68" spans="1:40" x14ac:dyDescent="0.2">
      <c r="A68" s="1" t="s">
        <v>100</v>
      </c>
      <c r="C68" s="8" t="s">
        <v>101</v>
      </c>
      <c r="D68" s="1" t="s">
        <v>106</v>
      </c>
      <c r="F68" s="1" t="s">
        <v>98</v>
      </c>
      <c r="H68" s="10" t="s">
        <v>855</v>
      </c>
      <c r="I68" s="447" t="s">
        <v>1005</v>
      </c>
      <c r="J68" s="447" t="s">
        <v>78</v>
      </c>
      <c r="K68" s="448" t="str">
        <f t="shared" si="12"/>
        <v/>
      </c>
      <c r="L68" s="151"/>
      <c r="M68" s="151"/>
      <c r="N68" s="151" t="s">
        <v>1084</v>
      </c>
      <c r="O68" s="33">
        <v>18553.740000000002</v>
      </c>
      <c r="P68" s="33">
        <v>17653.71</v>
      </c>
      <c r="Q68" s="33">
        <v>17294.14</v>
      </c>
      <c r="R68" s="33">
        <v>18272.38</v>
      </c>
      <c r="S68" s="33">
        <v>23071.78</v>
      </c>
      <c r="T68" s="33">
        <v>15982.04</v>
      </c>
      <c r="U68" s="33">
        <v>23282.69</v>
      </c>
      <c r="V68" s="33">
        <v>14062.16</v>
      </c>
      <c r="W68" s="33">
        <v>19019.72</v>
      </c>
      <c r="X68" s="33">
        <v>15043.33</v>
      </c>
      <c r="Y68" s="33">
        <v>15409.82</v>
      </c>
      <c r="Z68" s="33">
        <v>14070.08</v>
      </c>
      <c r="AA68" s="33">
        <f t="shared" si="18"/>
        <v>211715.59</v>
      </c>
      <c r="AB68" s="34">
        <f t="shared" si="19"/>
        <v>2.2294282995164141E-2</v>
      </c>
      <c r="AC68" s="32"/>
      <c r="AD68" s="33">
        <v>199891.14673688399</v>
      </c>
      <c r="AE68" s="34">
        <f t="shared" si="20"/>
        <v>2.0017997000084067E-2</v>
      </c>
      <c r="AF68" s="54">
        <f t="shared" si="21"/>
        <v>11824.443263116002</v>
      </c>
      <c r="AG68" s="33">
        <v>181681.91</v>
      </c>
      <c r="AH68" s="34">
        <f t="shared" si="22"/>
        <v>1.8523861496141537E-2</v>
      </c>
      <c r="AI68" s="54">
        <f t="shared" si="23"/>
        <v>30033.679999999993</v>
      </c>
      <c r="AJ68" s="344">
        <f t="shared" si="13"/>
        <v>5.2314205584383497</v>
      </c>
      <c r="AK68" s="345">
        <f t="shared" si="14"/>
        <v>4.9685850895300634</v>
      </c>
      <c r="AL68" s="346">
        <f t="shared" si="15"/>
        <v>0.26283546890828635</v>
      </c>
      <c r="AM68" s="347">
        <f t="shared" si="16"/>
        <v>4.5550295843152986</v>
      </c>
      <c r="AN68" s="346">
        <f t="shared" si="17"/>
        <v>0.67639097412305116</v>
      </c>
    </row>
    <row r="69" spans="1:40" x14ac:dyDescent="0.2">
      <c r="A69" s="1" t="s">
        <v>109</v>
      </c>
      <c r="C69" s="23" t="s">
        <v>101</v>
      </c>
      <c r="D69" s="1" t="s">
        <v>106</v>
      </c>
      <c r="F69" s="1" t="s">
        <v>98</v>
      </c>
      <c r="H69" s="10" t="s">
        <v>76</v>
      </c>
      <c r="I69" s="447" t="s">
        <v>1040</v>
      </c>
      <c r="J69" s="447" t="s">
        <v>78</v>
      </c>
      <c r="K69" s="448" t="str">
        <f t="shared" si="12"/>
        <v/>
      </c>
      <c r="L69" s="151">
        <v>600000</v>
      </c>
      <c r="M69" s="151"/>
      <c r="N69" s="151" t="s">
        <v>1085</v>
      </c>
      <c r="O69" s="33">
        <v>132821.22</v>
      </c>
      <c r="P69" s="33">
        <v>137229.79</v>
      </c>
      <c r="Q69" s="33">
        <v>144490.78</v>
      </c>
      <c r="R69" s="33">
        <v>134153.60000000001</v>
      </c>
      <c r="S69" s="33">
        <v>141627.01999999999</v>
      </c>
      <c r="T69" s="33">
        <v>119245.92</v>
      </c>
      <c r="U69" s="33">
        <v>126747.64</v>
      </c>
      <c r="V69" s="33">
        <v>115627.91</v>
      </c>
      <c r="W69" s="33">
        <v>110557.33</v>
      </c>
      <c r="X69" s="33">
        <v>116704.78</v>
      </c>
      <c r="Y69" s="33">
        <v>119916.3</v>
      </c>
      <c r="Z69" s="33">
        <v>130800.12</v>
      </c>
      <c r="AA69" s="33">
        <f t="shared" si="18"/>
        <v>1529922.4100000001</v>
      </c>
      <c r="AB69" s="34">
        <f t="shared" si="19"/>
        <v>0.16110539223485407</v>
      </c>
      <c r="AC69" s="32"/>
      <c r="AD69" s="33">
        <v>1428545.88938892</v>
      </c>
      <c r="AE69" s="34">
        <f t="shared" si="20"/>
        <v>0.14306099992468133</v>
      </c>
      <c r="AF69" s="54">
        <f t="shared" si="21"/>
        <v>101376.52061108011</v>
      </c>
      <c r="AG69" s="33">
        <v>1412773.83</v>
      </c>
      <c r="AH69" s="34">
        <f t="shared" si="22"/>
        <v>0.14404310672588927</v>
      </c>
      <c r="AI69" s="54">
        <f t="shared" si="23"/>
        <v>117148.58000000007</v>
      </c>
      <c r="AJ69" s="336">
        <f t="shared" si="13"/>
        <v>37.803864838151718</v>
      </c>
      <c r="AK69" s="337">
        <f t="shared" si="14"/>
        <v>35.508585155450277</v>
      </c>
      <c r="AL69" s="338">
        <f t="shared" si="15"/>
        <v>2.295279682701441</v>
      </c>
      <c r="AM69" s="339">
        <f t="shared" si="16"/>
        <v>35.42029358672216</v>
      </c>
      <c r="AN69" s="338">
        <f t="shared" si="17"/>
        <v>2.3835712514295579</v>
      </c>
    </row>
    <row r="70" spans="1:40" x14ac:dyDescent="0.2">
      <c r="A70" s="1" t="s">
        <v>109</v>
      </c>
      <c r="C70" s="135" t="s">
        <v>101</v>
      </c>
      <c r="D70" s="1" t="s">
        <v>107</v>
      </c>
      <c r="F70" s="1" t="s">
        <v>99</v>
      </c>
      <c r="O70" s="38"/>
      <c r="P70" s="42"/>
      <c r="Q70" s="42"/>
      <c r="R70" s="42"/>
      <c r="S70" s="42"/>
      <c r="T70" s="42"/>
      <c r="U70" s="42"/>
      <c r="V70" s="42"/>
      <c r="W70" s="42"/>
      <c r="X70" s="42"/>
      <c r="Y70" s="42"/>
      <c r="Z70" s="42"/>
      <c r="AA70" s="42"/>
      <c r="AB70" s="39"/>
      <c r="AD70" s="38"/>
      <c r="AE70" s="42"/>
      <c r="AF70" s="39"/>
      <c r="AG70" s="38"/>
      <c r="AH70" s="42"/>
      <c r="AI70" s="39"/>
    </row>
    <row r="71" spans="1:40" x14ac:dyDescent="0.2">
      <c r="A71" s="1" t="s">
        <v>110</v>
      </c>
      <c r="C71" s="23" t="s">
        <v>101</v>
      </c>
      <c r="D71" s="1" t="s">
        <v>106</v>
      </c>
      <c r="F71" s="1" t="s">
        <v>98</v>
      </c>
      <c r="H71" s="1" t="s">
        <v>82</v>
      </c>
      <c r="I71" s="11" t="s">
        <v>1006</v>
      </c>
      <c r="J71" s="11" t="s">
        <v>78</v>
      </c>
      <c r="N71" s="37" t="s">
        <v>1087</v>
      </c>
      <c r="O71" s="40"/>
      <c r="P71" s="43"/>
      <c r="Q71" s="43"/>
      <c r="R71" s="43"/>
      <c r="S71" s="43"/>
      <c r="T71" s="43"/>
      <c r="U71" s="43"/>
      <c r="V71" s="43"/>
      <c r="W71" s="43"/>
      <c r="X71" s="43"/>
      <c r="Y71" s="43"/>
      <c r="Z71" s="43"/>
      <c r="AA71" s="43"/>
      <c r="AB71" s="41"/>
      <c r="AD71" s="40"/>
      <c r="AE71" s="43"/>
      <c r="AF71" s="41"/>
      <c r="AG71" s="40"/>
      <c r="AH71" s="43"/>
      <c r="AI71" s="41"/>
    </row>
    <row r="72" spans="1:40" x14ac:dyDescent="0.2">
      <c r="A72" s="1" t="s">
        <v>110</v>
      </c>
      <c r="C72" s="27" t="s">
        <v>101</v>
      </c>
      <c r="D72" s="1" t="s">
        <v>107</v>
      </c>
      <c r="F72" s="1" t="s">
        <v>99</v>
      </c>
      <c r="G72" s="13"/>
      <c r="H72" s="10" t="s">
        <v>829</v>
      </c>
      <c r="I72" s="25" t="s">
        <v>1004</v>
      </c>
      <c r="J72" s="25" t="s">
        <v>1004</v>
      </c>
      <c r="K72" s="64" t="str">
        <f t="shared" ref="K72:K94" si="24">IF(AND(I72&lt;&gt;"B1",J72="Y"),"&gt;","")</f>
        <v/>
      </c>
      <c r="L72" s="24">
        <v>701100</v>
      </c>
      <c r="M72" s="24">
        <v>690015</v>
      </c>
      <c r="N72" s="24" t="s">
        <v>1088</v>
      </c>
      <c r="O72" s="19"/>
      <c r="P72" s="19"/>
      <c r="Q72" s="19"/>
      <c r="R72" s="19"/>
      <c r="S72" s="19"/>
      <c r="T72" s="19"/>
      <c r="U72" s="19">
        <v>660</v>
      </c>
      <c r="V72" s="19"/>
      <c r="W72" s="19"/>
      <c r="X72" s="19"/>
      <c r="Y72" s="19"/>
      <c r="Z72" s="19"/>
      <c r="AA72" s="19">
        <f t="shared" ref="AA72:AA95" si="25">IF($I72="B1","",SUM(O72:Z72))</f>
        <v>660</v>
      </c>
      <c r="AB72" s="15">
        <f t="shared" ref="AB72:AB95" si="26">IF(AA72=0,"",IFERROR(AA72/AA$19,""))</f>
        <v>6.9499968220613012E-5</v>
      </c>
      <c r="AD72" s="19"/>
      <c r="AE72" s="15" t="str">
        <f t="shared" ref="AE72:AE95" si="27">IF(AD72=0,"",IFERROR(AD72/AD$19,""))</f>
        <v/>
      </c>
      <c r="AF72" s="47">
        <f t="shared" ref="AF72:AF95" si="28">IF(AND($AA72="",AD72=""),"",$AA72-AD72)</f>
        <v>660</v>
      </c>
      <c r="AG72" s="19"/>
      <c r="AH72" s="15" t="str">
        <f t="shared" ref="AH72:AH95" si="29">IF(AG72=0,"",IFERROR(AG72/AG$19,""))</f>
        <v/>
      </c>
      <c r="AI72" s="47">
        <f t="shared" ref="AI72:AI95" si="30">IF(AND($AA72="",AG72=""),"",$AA72-AG72)</f>
        <v>660</v>
      </c>
      <c r="AJ72" s="322">
        <f t="shared" ref="AJ72:AJ95" si="31">IFERROR(AA72/AA$20,0)</f>
        <v>1.630837657524092E-2</v>
      </c>
      <c r="AK72" s="323">
        <f t="shared" ref="AK72:AK95" si="32">IFERROR(AD72/AD$20,0)</f>
        <v>0</v>
      </c>
      <c r="AL72" s="125">
        <f t="shared" ref="AL72:AL95" si="33">AJ72-AK72</f>
        <v>1.630837657524092E-2</v>
      </c>
      <c r="AM72" s="324">
        <f t="shared" ref="AM72:AM95" si="34">IFERROR(AG72/AG$20,0)</f>
        <v>0</v>
      </c>
      <c r="AN72" s="125">
        <f t="shared" ref="AN72:AN95" si="35">AJ72-AM72</f>
        <v>1.630837657524092E-2</v>
      </c>
    </row>
    <row r="73" spans="1:40" x14ac:dyDescent="0.2">
      <c r="C73" s="23"/>
      <c r="G73" s="13"/>
      <c r="H73" s="10" t="s">
        <v>868</v>
      </c>
      <c r="I73" s="25" t="s">
        <v>1004</v>
      </c>
      <c r="J73" s="25" t="s">
        <v>1004</v>
      </c>
      <c r="K73" s="64" t="str">
        <f t="shared" si="24"/>
        <v/>
      </c>
      <c r="L73" s="24">
        <v>701300</v>
      </c>
      <c r="M73" s="24">
        <v>690205</v>
      </c>
      <c r="N73" s="24" t="s">
        <v>1089</v>
      </c>
      <c r="O73" s="19">
        <v>833.33</v>
      </c>
      <c r="P73" s="19">
        <v>700</v>
      </c>
      <c r="Q73" s="19">
        <v>11.67</v>
      </c>
      <c r="R73" s="19">
        <v>297.08</v>
      </c>
      <c r="S73" s="19">
        <v>579.26</v>
      </c>
      <c r="T73" s="19">
        <v>926.1</v>
      </c>
      <c r="U73" s="19">
        <v>816.3</v>
      </c>
      <c r="V73" s="19">
        <v>186.4</v>
      </c>
      <c r="W73" s="19">
        <v>149.55000000000001</v>
      </c>
      <c r="X73" s="19">
        <v>1340.05</v>
      </c>
      <c r="Y73" s="19">
        <v>549.20000000000005</v>
      </c>
      <c r="Z73" s="19">
        <v>15.07</v>
      </c>
      <c r="AA73" s="19">
        <f t="shared" si="25"/>
        <v>6404.0099999999993</v>
      </c>
      <c r="AB73" s="15">
        <f t="shared" si="26"/>
        <v>6.7436135073407259E-4</v>
      </c>
      <c r="AD73" s="19">
        <v>9253.1299999999992</v>
      </c>
      <c r="AE73" s="15">
        <f t="shared" si="27"/>
        <v>9.2664998728134921E-4</v>
      </c>
      <c r="AF73" s="47">
        <f t="shared" si="28"/>
        <v>-2849.12</v>
      </c>
      <c r="AG73" s="19">
        <v>8934.4500000000007</v>
      </c>
      <c r="AH73" s="15">
        <f t="shared" si="29"/>
        <v>9.1093557054855792E-4</v>
      </c>
      <c r="AI73" s="47">
        <f t="shared" si="30"/>
        <v>-2530.4400000000014</v>
      </c>
      <c r="AJ73" s="322">
        <f t="shared" si="31"/>
        <v>0.15824091919940694</v>
      </c>
      <c r="AK73" s="323">
        <f t="shared" si="32"/>
        <v>0.22999999999999998</v>
      </c>
      <c r="AL73" s="125">
        <f t="shared" si="33"/>
        <v>-7.1759080800593039E-2</v>
      </c>
      <c r="AM73" s="324">
        <f t="shared" si="34"/>
        <v>0.22399964899964903</v>
      </c>
      <c r="AN73" s="125">
        <f t="shared" si="35"/>
        <v>-6.5758729800242083E-2</v>
      </c>
    </row>
    <row r="74" spans="1:40" x14ac:dyDescent="0.2">
      <c r="H74" s="10" t="s">
        <v>832</v>
      </c>
      <c r="I74" s="25" t="s">
        <v>1058</v>
      </c>
      <c r="J74" s="25" t="s">
        <v>78</v>
      </c>
      <c r="K74" s="64" t="str">
        <f t="shared" si="24"/>
        <v>&gt;</v>
      </c>
      <c r="L74" s="24">
        <v>701500</v>
      </c>
      <c r="M74" s="24"/>
      <c r="N74" s="24" t="s">
        <v>1090</v>
      </c>
      <c r="O74" s="19">
        <v>3865.87</v>
      </c>
      <c r="P74" s="19">
        <v>3343.59</v>
      </c>
      <c r="Q74" s="19">
        <v>4238.5200000000004</v>
      </c>
      <c r="R74" s="19">
        <v>5256.29</v>
      </c>
      <c r="S74" s="19">
        <v>4549.7</v>
      </c>
      <c r="T74" s="19">
        <v>3892.35</v>
      </c>
      <c r="U74" s="19">
        <v>4019.63</v>
      </c>
      <c r="V74" s="19">
        <v>3166.95</v>
      </c>
      <c r="W74" s="19">
        <v>1134.68</v>
      </c>
      <c r="X74" s="19">
        <v>3859.89</v>
      </c>
      <c r="Y74" s="19">
        <v>2590.37</v>
      </c>
      <c r="Z74" s="19">
        <v>6548.53</v>
      </c>
      <c r="AA74" s="19">
        <f t="shared" si="25"/>
        <v>46466.37</v>
      </c>
      <c r="AB74" s="15">
        <f t="shared" si="26"/>
        <v>4.8930473307988573E-3</v>
      </c>
      <c r="AD74" s="19">
        <v>46163.34</v>
      </c>
      <c r="AE74" s="15">
        <f t="shared" si="27"/>
        <v>4.623004153606898E-3</v>
      </c>
      <c r="AF74" s="47">
        <f t="shared" si="28"/>
        <v>303.03000000000611</v>
      </c>
      <c r="AG74" s="19">
        <v>45401.54</v>
      </c>
      <c r="AH74" s="15">
        <f t="shared" si="29"/>
        <v>4.6290345509441737E-3</v>
      </c>
      <c r="AI74" s="47">
        <f t="shared" si="30"/>
        <v>1064.8300000000017</v>
      </c>
      <c r="AJ74" s="322">
        <f t="shared" si="31"/>
        <v>1.1481682727946627</v>
      </c>
      <c r="AK74" s="323">
        <f t="shared" si="32"/>
        <v>1.1474569361934825</v>
      </c>
      <c r="AL74" s="125">
        <f t="shared" si="33"/>
        <v>7.1133660118016806E-4</v>
      </c>
      <c r="AM74" s="324">
        <f t="shared" si="34"/>
        <v>1.1382826054254627</v>
      </c>
      <c r="AN74" s="125">
        <f t="shared" si="35"/>
        <v>9.8856673692000463E-3</v>
      </c>
    </row>
    <row r="75" spans="1:40" x14ac:dyDescent="0.2">
      <c r="A75" s="4" t="s">
        <v>989</v>
      </c>
      <c r="B75" s="1" t="s">
        <v>736</v>
      </c>
      <c r="H75" s="10" t="s">
        <v>857</v>
      </c>
      <c r="I75" s="25" t="s">
        <v>1004</v>
      </c>
      <c r="J75" s="25" t="s">
        <v>1004</v>
      </c>
      <c r="K75" s="64" t="str">
        <f t="shared" si="24"/>
        <v/>
      </c>
      <c r="L75" s="24">
        <v>701600</v>
      </c>
      <c r="M75" s="24">
        <v>590015</v>
      </c>
      <c r="N75" s="24" t="s">
        <v>1091</v>
      </c>
      <c r="O75" s="19">
        <v>1622.3</v>
      </c>
      <c r="P75" s="19">
        <v>1389.37</v>
      </c>
      <c r="Q75" s="19">
        <v>1683.36</v>
      </c>
      <c r="R75" s="19">
        <v>1881.25</v>
      </c>
      <c r="S75" s="19">
        <v>1092.99</v>
      </c>
      <c r="T75" s="19">
        <v>1969.57</v>
      </c>
      <c r="U75" s="19">
        <v>1904.17</v>
      </c>
      <c r="V75" s="19">
        <v>484.42</v>
      </c>
      <c r="W75" s="19">
        <v>1492.06</v>
      </c>
      <c r="X75" s="19">
        <v>939.51</v>
      </c>
      <c r="Y75" s="19">
        <v>1265.07</v>
      </c>
      <c r="Z75" s="19">
        <v>1176.0999999999999</v>
      </c>
      <c r="AA75" s="19">
        <f t="shared" si="25"/>
        <v>16900.169999999998</v>
      </c>
      <c r="AB75" s="15">
        <f t="shared" si="26"/>
        <v>1.7796382998832687E-3</v>
      </c>
      <c r="AD75" s="19">
        <v>17701.64</v>
      </c>
      <c r="AE75" s="15">
        <f t="shared" si="27"/>
        <v>1.7727217147991028E-3</v>
      </c>
      <c r="AF75" s="47">
        <f t="shared" si="28"/>
        <v>-801.47000000000116</v>
      </c>
      <c r="AG75" s="19">
        <v>17889.91</v>
      </c>
      <c r="AH75" s="15">
        <f t="shared" si="29"/>
        <v>1.8240132714282748E-3</v>
      </c>
      <c r="AI75" s="47">
        <f t="shared" si="30"/>
        <v>-989.7400000000016</v>
      </c>
      <c r="AJ75" s="322">
        <f t="shared" si="31"/>
        <v>0.41759747961452925</v>
      </c>
      <c r="AK75" s="323">
        <f t="shared" si="32"/>
        <v>0.44</v>
      </c>
      <c r="AL75" s="125">
        <f t="shared" si="33"/>
        <v>-2.2402520385470748E-2</v>
      </c>
      <c r="AM75" s="324">
        <f t="shared" si="34"/>
        <v>0.44852604924033496</v>
      </c>
      <c r="AN75" s="125">
        <f t="shared" si="35"/>
        <v>-3.0928569625805702E-2</v>
      </c>
    </row>
    <row r="76" spans="1:40" x14ac:dyDescent="0.2">
      <c r="H76" s="10" t="s">
        <v>932</v>
      </c>
      <c r="I76" s="25" t="s">
        <v>1004</v>
      </c>
      <c r="J76" s="25" t="s">
        <v>1004</v>
      </c>
      <c r="K76" s="64" t="str">
        <f t="shared" si="24"/>
        <v/>
      </c>
      <c r="L76" s="24">
        <v>701800</v>
      </c>
      <c r="M76" s="24">
        <v>590020</v>
      </c>
      <c r="N76" s="24" t="s">
        <v>1092</v>
      </c>
      <c r="O76" s="19">
        <v>3147.15</v>
      </c>
      <c r="P76" s="19">
        <v>2895.04</v>
      </c>
      <c r="Q76" s="19">
        <v>3324.62</v>
      </c>
      <c r="R76" s="19">
        <v>4136.93</v>
      </c>
      <c r="S76" s="19">
        <v>4532.8599999999997</v>
      </c>
      <c r="T76" s="19">
        <v>3600.43</v>
      </c>
      <c r="U76" s="19">
        <v>3050.54</v>
      </c>
      <c r="V76" s="19">
        <v>2374.5500000000002</v>
      </c>
      <c r="W76" s="19">
        <v>2594.37</v>
      </c>
      <c r="X76" s="19">
        <v>2658.36</v>
      </c>
      <c r="Y76" s="19">
        <v>3160.65</v>
      </c>
      <c r="Z76" s="19">
        <v>3254.25</v>
      </c>
      <c r="AA76" s="19">
        <f t="shared" si="25"/>
        <v>38729.75</v>
      </c>
      <c r="AB76" s="15">
        <f t="shared" si="26"/>
        <v>4.0783581730186166E-3</v>
      </c>
      <c r="AD76" s="19">
        <v>36610.21</v>
      </c>
      <c r="AE76" s="15">
        <f t="shared" si="27"/>
        <v>3.6663108192435991E-3</v>
      </c>
      <c r="AF76" s="47">
        <f t="shared" si="28"/>
        <v>2119.5400000000009</v>
      </c>
      <c r="AG76" s="19">
        <v>35906.699999999997</v>
      </c>
      <c r="AH76" s="15">
        <f t="shared" si="29"/>
        <v>3.6609629301205893E-3</v>
      </c>
      <c r="AI76" s="47">
        <f t="shared" si="30"/>
        <v>2823.0500000000029</v>
      </c>
      <c r="AJ76" s="322">
        <f t="shared" si="31"/>
        <v>0.95699901161354084</v>
      </c>
      <c r="AK76" s="323">
        <f t="shared" si="32"/>
        <v>0.91</v>
      </c>
      <c r="AL76" s="125">
        <f t="shared" si="33"/>
        <v>4.6999011613540809E-2</v>
      </c>
      <c r="AM76" s="324">
        <f t="shared" si="34"/>
        <v>0.90023316451887869</v>
      </c>
      <c r="AN76" s="125">
        <f t="shared" si="35"/>
        <v>5.6765847094662147E-2</v>
      </c>
    </row>
    <row r="77" spans="1:40" x14ac:dyDescent="0.2">
      <c r="A77" s="3" t="s">
        <v>0</v>
      </c>
      <c r="B77" s="5" t="s">
        <v>1</v>
      </c>
      <c r="H77" s="10" t="s">
        <v>859</v>
      </c>
      <c r="I77" s="25" t="s">
        <v>1004</v>
      </c>
      <c r="J77" s="25" t="s">
        <v>1004</v>
      </c>
      <c r="K77" s="64" t="str">
        <f t="shared" si="24"/>
        <v/>
      </c>
      <c r="L77" s="24">
        <v>702300</v>
      </c>
      <c r="M77" s="24">
        <v>590040</v>
      </c>
      <c r="N77" s="24" t="s">
        <v>1093</v>
      </c>
      <c r="O77" s="19">
        <v>-3600</v>
      </c>
      <c r="P77" s="19"/>
      <c r="Q77" s="19"/>
      <c r="R77" s="19"/>
      <c r="S77" s="19"/>
      <c r="T77" s="19"/>
      <c r="U77" s="19"/>
      <c r="V77" s="19"/>
      <c r="W77" s="19"/>
      <c r="X77" s="19"/>
      <c r="Y77" s="19"/>
      <c r="Z77" s="19">
        <v>2134.85</v>
      </c>
      <c r="AA77" s="19">
        <f t="shared" si="25"/>
        <v>-1465.15</v>
      </c>
      <c r="AB77" s="15">
        <f t="shared" si="26"/>
        <v>-1.5428466430065328E-4</v>
      </c>
      <c r="AD77" s="19">
        <v>5000</v>
      </c>
      <c r="AE77" s="15">
        <f t="shared" si="27"/>
        <v>5.0072245136583479E-4</v>
      </c>
      <c r="AF77" s="47">
        <f t="shared" si="28"/>
        <v>-6465.15</v>
      </c>
      <c r="AG77" s="19">
        <v>6058.97</v>
      </c>
      <c r="AH77" s="15">
        <f t="shared" si="29"/>
        <v>6.1775837280264546E-4</v>
      </c>
      <c r="AI77" s="47">
        <f t="shared" si="30"/>
        <v>-7524.1200000000008</v>
      </c>
      <c r="AJ77" s="322">
        <f t="shared" si="31"/>
        <v>-3.6203360513960961E-2</v>
      </c>
      <c r="AK77" s="323">
        <f t="shared" si="32"/>
        <v>0.12428226989137729</v>
      </c>
      <c r="AL77" s="125">
        <f t="shared" si="33"/>
        <v>-0.16048563040533825</v>
      </c>
      <c r="AM77" s="324">
        <f t="shared" si="34"/>
        <v>0.15190718547861407</v>
      </c>
      <c r="AN77" s="125">
        <f t="shared" si="35"/>
        <v>-0.18811054599257504</v>
      </c>
    </row>
    <row r="78" spans="1:40" x14ac:dyDescent="0.2">
      <c r="A78" s="6" t="s">
        <v>2</v>
      </c>
      <c r="B78" s="14" t="s">
        <v>1044</v>
      </c>
      <c r="H78" s="10" t="s">
        <v>933</v>
      </c>
      <c r="I78" s="25" t="s">
        <v>1058</v>
      </c>
      <c r="J78" s="25" t="s">
        <v>78</v>
      </c>
      <c r="K78" s="64" t="str">
        <f t="shared" si="24"/>
        <v>&gt;</v>
      </c>
      <c r="L78" s="24">
        <v>702500</v>
      </c>
      <c r="M78" s="24"/>
      <c r="N78" s="24" t="s">
        <v>1094</v>
      </c>
      <c r="O78" s="19">
        <v>21998.9</v>
      </c>
      <c r="P78" s="19">
        <v>20512.93</v>
      </c>
      <c r="Q78" s="19">
        <v>24167.63</v>
      </c>
      <c r="R78" s="19">
        <v>23910.28</v>
      </c>
      <c r="S78" s="19">
        <v>22372.27</v>
      </c>
      <c r="T78" s="19">
        <v>20614.57</v>
      </c>
      <c r="U78" s="19">
        <v>21919.14</v>
      </c>
      <c r="V78" s="19">
        <v>21065.07</v>
      </c>
      <c r="W78" s="19">
        <v>16383.19</v>
      </c>
      <c r="X78" s="19">
        <v>18099.349999999999</v>
      </c>
      <c r="Y78" s="19">
        <v>20830.759999999998</v>
      </c>
      <c r="Z78" s="19">
        <v>21917.94</v>
      </c>
      <c r="AA78" s="19">
        <f t="shared" si="25"/>
        <v>253792.03000000006</v>
      </c>
      <c r="AB78" s="15">
        <f t="shared" si="26"/>
        <v>2.6725057605522528E-2</v>
      </c>
      <c r="AD78" s="19">
        <v>245409.1</v>
      </c>
      <c r="AE78" s="15">
        <f t="shared" si="27"/>
        <v>2.4576369227896654E-2</v>
      </c>
      <c r="AF78" s="47">
        <f t="shared" si="28"/>
        <v>8382.9300000000512</v>
      </c>
      <c r="AG78" s="19">
        <v>244709.7</v>
      </c>
      <c r="AH78" s="15">
        <f t="shared" si="29"/>
        <v>2.4950027163201591E-2</v>
      </c>
      <c r="AI78" s="47">
        <f t="shared" si="30"/>
        <v>9082.3300000000454</v>
      </c>
      <c r="AJ78" s="322">
        <f t="shared" si="31"/>
        <v>6.2711151470224875</v>
      </c>
      <c r="AK78" s="323">
        <f t="shared" si="32"/>
        <v>6.1000000000000005</v>
      </c>
      <c r="AL78" s="125">
        <f t="shared" si="33"/>
        <v>0.17111514702248698</v>
      </c>
      <c r="AM78" s="324">
        <f t="shared" si="34"/>
        <v>6.1352278995136142</v>
      </c>
      <c r="AN78" s="125">
        <f t="shared" si="35"/>
        <v>0.13588724750887327</v>
      </c>
    </row>
    <row r="79" spans="1:40" x14ac:dyDescent="0.2">
      <c r="A79" s="6" t="s">
        <v>3</v>
      </c>
      <c r="B79" s="14" t="s">
        <v>1045</v>
      </c>
      <c r="H79" s="10" t="s">
        <v>833</v>
      </c>
      <c r="I79" s="25" t="s">
        <v>1058</v>
      </c>
      <c r="J79" s="25" t="s">
        <v>78</v>
      </c>
      <c r="K79" s="64" t="str">
        <f t="shared" si="24"/>
        <v>&gt;</v>
      </c>
      <c r="L79" s="24"/>
      <c r="M79" s="24"/>
      <c r="N79" s="24" t="s">
        <v>1095</v>
      </c>
      <c r="O79" s="19">
        <v>5123.49</v>
      </c>
      <c r="P79" s="19">
        <v>750</v>
      </c>
      <c r="Q79" s="19">
        <v>2972</v>
      </c>
      <c r="R79" s="19">
        <v>2160</v>
      </c>
      <c r="S79" s="19">
        <v>3109</v>
      </c>
      <c r="T79" s="19">
        <v>3490.65</v>
      </c>
      <c r="U79" s="19">
        <v>2868</v>
      </c>
      <c r="V79" s="19">
        <v>2848.26</v>
      </c>
      <c r="W79" s="19">
        <v>3693</v>
      </c>
      <c r="X79" s="19">
        <v>4353</v>
      </c>
      <c r="Y79" s="19">
        <v>2700.95</v>
      </c>
      <c r="Z79" s="19">
        <v>3048.74</v>
      </c>
      <c r="AA79" s="19">
        <f t="shared" si="25"/>
        <v>37117.089999999997</v>
      </c>
      <c r="AB79" s="15">
        <f t="shared" si="26"/>
        <v>3.9085402658206557E-3</v>
      </c>
      <c r="AD79" s="19">
        <v>40182</v>
      </c>
      <c r="AE79" s="15">
        <f t="shared" si="27"/>
        <v>4.0240059081563945E-3</v>
      </c>
      <c r="AF79" s="47">
        <f t="shared" si="28"/>
        <v>-3064.9100000000035</v>
      </c>
      <c r="AG79" s="19">
        <v>40111.5</v>
      </c>
      <c r="AH79" s="15">
        <f t="shared" si="29"/>
        <v>4.0896744777863753E-3</v>
      </c>
      <c r="AI79" s="47">
        <f t="shared" si="30"/>
        <v>-2994.4100000000035</v>
      </c>
      <c r="AJ79" s="322">
        <f t="shared" si="31"/>
        <v>0.91715072893501348</v>
      </c>
      <c r="AK79" s="323">
        <f t="shared" si="32"/>
        <v>0.99878203375506447</v>
      </c>
      <c r="AL79" s="125">
        <f t="shared" si="33"/>
        <v>-8.1631304820050987E-2</v>
      </c>
      <c r="AM79" s="324">
        <f t="shared" si="34"/>
        <v>1.0056536127964699</v>
      </c>
      <c r="AN79" s="125">
        <f t="shared" si="35"/>
        <v>-8.8502883861456438E-2</v>
      </c>
    </row>
    <row r="80" spans="1:40" x14ac:dyDescent="0.2">
      <c r="A80" s="6" t="s">
        <v>4</v>
      </c>
      <c r="B80" s="14" t="s">
        <v>1086</v>
      </c>
      <c r="H80" s="10" t="s">
        <v>834</v>
      </c>
      <c r="I80" s="25" t="s">
        <v>1058</v>
      </c>
      <c r="J80" s="25" t="s">
        <v>78</v>
      </c>
      <c r="K80" s="64" t="str">
        <f t="shared" si="24"/>
        <v>&gt;</v>
      </c>
      <c r="L80" s="24"/>
      <c r="M80" s="24"/>
      <c r="N80" s="24" t="s">
        <v>1096</v>
      </c>
      <c r="O80" s="19">
        <v>1169.1500000000001</v>
      </c>
      <c r="P80" s="19">
        <v>270.51</v>
      </c>
      <c r="Q80" s="19">
        <v>547.53</v>
      </c>
      <c r="R80" s="19">
        <v>2105.0300000000002</v>
      </c>
      <c r="S80" s="19">
        <v>-99.09</v>
      </c>
      <c r="T80" s="19">
        <v>2.73</v>
      </c>
      <c r="U80" s="19">
        <v>21.28</v>
      </c>
      <c r="V80" s="19">
        <v>209.59</v>
      </c>
      <c r="W80" s="19">
        <v>-0.3</v>
      </c>
      <c r="X80" s="19"/>
      <c r="Y80" s="19">
        <v>220.27</v>
      </c>
      <c r="Z80" s="19">
        <v>-3</v>
      </c>
      <c r="AA80" s="19">
        <f t="shared" si="25"/>
        <v>4443.7000000000007</v>
      </c>
      <c r="AB80" s="15">
        <f t="shared" si="26"/>
        <v>4.6793486179081529E-4</v>
      </c>
      <c r="AD80" s="19"/>
      <c r="AE80" s="15" t="str">
        <f t="shared" si="27"/>
        <v/>
      </c>
      <c r="AF80" s="47">
        <f t="shared" si="28"/>
        <v>4443.7000000000007</v>
      </c>
      <c r="AG80" s="19">
        <v>125.11</v>
      </c>
      <c r="AH80" s="15">
        <f t="shared" si="29"/>
        <v>1.2755922214722794E-5</v>
      </c>
      <c r="AI80" s="47">
        <f t="shared" si="30"/>
        <v>4318.5900000000011</v>
      </c>
      <c r="AJ80" s="322">
        <f t="shared" si="31"/>
        <v>0.10980232270817891</v>
      </c>
      <c r="AK80" s="323">
        <f t="shared" si="32"/>
        <v>0</v>
      </c>
      <c r="AL80" s="125">
        <f t="shared" si="33"/>
        <v>0.10980232270817891</v>
      </c>
      <c r="AM80" s="324">
        <f t="shared" si="34"/>
        <v>3.1366895652609936E-3</v>
      </c>
      <c r="AN80" s="125">
        <f t="shared" si="35"/>
        <v>0.10666563314291792</v>
      </c>
    </row>
    <row r="81" spans="1:40" x14ac:dyDescent="0.2">
      <c r="A81" s="6" t="s">
        <v>5</v>
      </c>
      <c r="B81" s="7"/>
      <c r="H81" s="10" t="s">
        <v>835</v>
      </c>
      <c r="I81" s="25" t="s">
        <v>1058</v>
      </c>
      <c r="J81" s="25" t="s">
        <v>78</v>
      </c>
      <c r="K81" s="64" t="str">
        <f t="shared" si="24"/>
        <v>&gt;</v>
      </c>
      <c r="L81" s="24">
        <v>702900</v>
      </c>
      <c r="M81" s="24"/>
      <c r="N81" s="24" t="s">
        <v>1097</v>
      </c>
      <c r="O81" s="19">
        <v>1167.43</v>
      </c>
      <c r="P81" s="19">
        <v>1656.54</v>
      </c>
      <c r="Q81" s="19">
        <v>1239.32</v>
      </c>
      <c r="R81" s="19">
        <v>588.1</v>
      </c>
      <c r="S81" s="19"/>
      <c r="T81" s="19"/>
      <c r="U81" s="19">
        <v>25.83</v>
      </c>
      <c r="V81" s="19"/>
      <c r="W81" s="19"/>
      <c r="X81" s="19"/>
      <c r="Y81" s="19">
        <v>126.5</v>
      </c>
      <c r="Z81" s="19">
        <v>59.45</v>
      </c>
      <c r="AA81" s="19">
        <f t="shared" si="25"/>
        <v>4863.17</v>
      </c>
      <c r="AB81" s="15">
        <f t="shared" si="26"/>
        <v>5.1210630371430091E-4</v>
      </c>
      <c r="AD81" s="19"/>
      <c r="AE81" s="15" t="str">
        <f t="shared" si="27"/>
        <v/>
      </c>
      <c r="AF81" s="47">
        <f t="shared" si="28"/>
        <v>4863.17</v>
      </c>
      <c r="AG81" s="19">
        <v>43.76</v>
      </c>
      <c r="AH81" s="15">
        <f t="shared" si="29"/>
        <v>4.4616669819860077E-6</v>
      </c>
      <c r="AI81" s="47">
        <f t="shared" si="30"/>
        <v>4819.41</v>
      </c>
      <c r="AJ81" s="322">
        <f t="shared" si="31"/>
        <v>0.12016728440820361</v>
      </c>
      <c r="AK81" s="323">
        <f t="shared" si="32"/>
        <v>0</v>
      </c>
      <c r="AL81" s="125">
        <f t="shared" si="33"/>
        <v>0.12016728440820361</v>
      </c>
      <c r="AM81" s="324">
        <f t="shared" si="34"/>
        <v>1.0971268114125256E-3</v>
      </c>
      <c r="AN81" s="125">
        <f t="shared" si="35"/>
        <v>0.11907015759679108</v>
      </c>
    </row>
    <row r="82" spans="1:40" x14ac:dyDescent="0.2">
      <c r="A82" s="6" t="s">
        <v>6</v>
      </c>
      <c r="B82" s="7"/>
      <c r="H82" s="10" t="s">
        <v>934</v>
      </c>
      <c r="I82" s="25" t="s">
        <v>1004</v>
      </c>
      <c r="J82" s="25" t="s">
        <v>1004</v>
      </c>
      <c r="K82" s="64" t="str">
        <f t="shared" si="24"/>
        <v/>
      </c>
      <c r="L82" s="24">
        <v>703010</v>
      </c>
      <c r="M82" s="24">
        <v>590021</v>
      </c>
      <c r="N82" s="24" t="s">
        <v>1098</v>
      </c>
      <c r="O82" s="19">
        <v>3208.76</v>
      </c>
      <c r="P82" s="19">
        <v>6921.67</v>
      </c>
      <c r="Q82" s="19">
        <v>5807.18</v>
      </c>
      <c r="R82" s="19">
        <v>4649.59</v>
      </c>
      <c r="S82" s="19">
        <v>9769.61</v>
      </c>
      <c r="T82" s="19">
        <v>6333.16</v>
      </c>
      <c r="U82" s="19">
        <v>6381.16</v>
      </c>
      <c r="V82" s="19">
        <v>6179.46</v>
      </c>
      <c r="W82" s="19">
        <v>3964.49</v>
      </c>
      <c r="X82" s="19">
        <v>4308.32</v>
      </c>
      <c r="Y82" s="19">
        <v>4342.5</v>
      </c>
      <c r="Z82" s="19">
        <v>5655.77</v>
      </c>
      <c r="AA82" s="19">
        <f t="shared" si="25"/>
        <v>67521.67</v>
      </c>
      <c r="AB82" s="15">
        <f t="shared" si="26"/>
        <v>7.1102332109132102E-3</v>
      </c>
      <c r="AD82" s="19">
        <v>49484.13</v>
      </c>
      <c r="AE82" s="15">
        <f t="shared" si="27"/>
        <v>4.9555629754611287E-3</v>
      </c>
      <c r="AF82" s="47">
        <f t="shared" si="28"/>
        <v>18037.54</v>
      </c>
      <c r="AG82" s="19">
        <v>51597.31</v>
      </c>
      <c r="AH82" s="15">
        <f t="shared" si="29"/>
        <v>5.260740730948274E-3</v>
      </c>
      <c r="AI82" s="47">
        <f t="shared" si="30"/>
        <v>15924.36</v>
      </c>
      <c r="AJ82" s="322">
        <f t="shared" si="31"/>
        <v>1.6684376081047689</v>
      </c>
      <c r="AK82" s="323">
        <f t="shared" si="32"/>
        <v>1.23</v>
      </c>
      <c r="AL82" s="125">
        <f t="shared" si="33"/>
        <v>0.43843760810476895</v>
      </c>
      <c r="AM82" s="324">
        <f t="shared" si="34"/>
        <v>1.2936195657624228</v>
      </c>
      <c r="AN82" s="125">
        <f t="shared" si="35"/>
        <v>0.37481804234234617</v>
      </c>
    </row>
    <row r="83" spans="1:40" x14ac:dyDescent="0.2">
      <c r="A83" s="6" t="s">
        <v>7</v>
      </c>
      <c r="B83" s="7"/>
      <c r="H83" s="10" t="s">
        <v>873</v>
      </c>
      <c r="I83" s="25" t="s">
        <v>1058</v>
      </c>
      <c r="J83" s="25" t="s">
        <v>78</v>
      </c>
      <c r="K83" s="64" t="str">
        <f t="shared" si="24"/>
        <v>&gt;</v>
      </c>
      <c r="L83" s="24">
        <v>703000</v>
      </c>
      <c r="M83" s="24"/>
      <c r="N83" s="24" t="s">
        <v>1099</v>
      </c>
      <c r="O83" s="19">
        <v>4905.1899999999996</v>
      </c>
      <c r="P83" s="19">
        <v>5087.9399999999996</v>
      </c>
      <c r="Q83" s="19">
        <v>4461.47</v>
      </c>
      <c r="R83" s="19">
        <v>6171.64</v>
      </c>
      <c r="S83" s="19">
        <v>6047.94</v>
      </c>
      <c r="T83" s="19">
        <v>7239.19</v>
      </c>
      <c r="U83" s="19">
        <v>7788.14</v>
      </c>
      <c r="V83" s="19">
        <v>5388.69</v>
      </c>
      <c r="W83" s="19">
        <v>6602.35</v>
      </c>
      <c r="X83" s="19">
        <v>7588.96</v>
      </c>
      <c r="Y83" s="19">
        <v>8100.6</v>
      </c>
      <c r="Z83" s="19">
        <v>15397.58</v>
      </c>
      <c r="AA83" s="19">
        <f t="shared" si="25"/>
        <v>84779.69</v>
      </c>
      <c r="AB83" s="15">
        <f t="shared" si="26"/>
        <v>8.9275541829597314E-3</v>
      </c>
      <c r="AD83" s="19">
        <v>57530.33</v>
      </c>
      <c r="AE83" s="15">
        <f t="shared" si="27"/>
        <v>5.7613455730970847E-3</v>
      </c>
      <c r="AF83" s="47">
        <f t="shared" si="28"/>
        <v>27249.360000000001</v>
      </c>
      <c r="AG83" s="19">
        <v>55556.97</v>
      </c>
      <c r="AH83" s="15">
        <f t="shared" si="29"/>
        <v>5.6644583790719195E-3</v>
      </c>
      <c r="AI83" s="47">
        <f t="shared" si="30"/>
        <v>29222.720000000001</v>
      </c>
      <c r="AJ83" s="322">
        <f t="shared" si="31"/>
        <v>2.0948774400790708</v>
      </c>
      <c r="AK83" s="323">
        <f t="shared" si="32"/>
        <v>1.43</v>
      </c>
      <c r="AL83" s="125">
        <f t="shared" si="33"/>
        <v>0.6648774400790709</v>
      </c>
      <c r="AM83" s="324">
        <f t="shared" si="34"/>
        <v>1.3928939978939978</v>
      </c>
      <c r="AN83" s="125">
        <f t="shared" si="35"/>
        <v>0.70198344218507303</v>
      </c>
    </row>
    <row r="84" spans="1:40" x14ac:dyDescent="0.2">
      <c r="A84" s="6" t="s">
        <v>47</v>
      </c>
      <c r="B84" s="14" t="s">
        <v>1049</v>
      </c>
      <c r="H84" s="10" t="s">
        <v>874</v>
      </c>
      <c r="I84" s="25" t="s">
        <v>1004</v>
      </c>
      <c r="J84" s="25" t="s">
        <v>1004</v>
      </c>
      <c r="K84" s="64" t="str">
        <f t="shared" si="24"/>
        <v/>
      </c>
      <c r="L84" s="24">
        <v>703100</v>
      </c>
      <c r="M84" s="24">
        <v>690035</v>
      </c>
      <c r="N84" s="24" t="s">
        <v>1100</v>
      </c>
      <c r="O84" s="19"/>
      <c r="P84" s="19"/>
      <c r="Q84" s="19"/>
      <c r="R84" s="19"/>
      <c r="S84" s="19"/>
      <c r="T84" s="19"/>
      <c r="U84" s="19"/>
      <c r="V84" s="19">
        <v>1200</v>
      </c>
      <c r="W84" s="19"/>
      <c r="X84" s="19"/>
      <c r="Y84" s="19"/>
      <c r="Z84" s="19"/>
      <c r="AA84" s="19">
        <f t="shared" si="25"/>
        <v>1200</v>
      </c>
      <c r="AB84" s="15">
        <f t="shared" si="26"/>
        <v>1.2636357858293275E-4</v>
      </c>
      <c r="AD84" s="19"/>
      <c r="AE84" s="15" t="str">
        <f t="shared" si="27"/>
        <v/>
      </c>
      <c r="AF84" s="47">
        <f t="shared" si="28"/>
        <v>1200</v>
      </c>
      <c r="AG84" s="19">
        <v>22.23</v>
      </c>
      <c r="AH84" s="15">
        <f t="shared" si="29"/>
        <v>2.2665186702364937E-6</v>
      </c>
      <c r="AI84" s="47">
        <f t="shared" si="30"/>
        <v>1177.77</v>
      </c>
      <c r="AJ84" s="322">
        <f t="shared" si="31"/>
        <v>2.9651593773165306E-2</v>
      </c>
      <c r="AK84" s="323">
        <f t="shared" si="32"/>
        <v>0</v>
      </c>
      <c r="AL84" s="125">
        <f t="shared" si="33"/>
        <v>2.9651593773165306E-2</v>
      </c>
      <c r="AM84" s="324">
        <f t="shared" si="34"/>
        <v>5.5733841448127167E-4</v>
      </c>
      <c r="AN84" s="125">
        <f t="shared" si="35"/>
        <v>2.9094255358684033E-2</v>
      </c>
    </row>
    <row r="85" spans="1:40" x14ac:dyDescent="0.2">
      <c r="A85" s="6" t="s">
        <v>8</v>
      </c>
      <c r="B85" s="7"/>
      <c r="H85" s="10" t="s">
        <v>875</v>
      </c>
      <c r="I85" s="25" t="s">
        <v>1004</v>
      </c>
      <c r="J85" s="25" t="s">
        <v>1004</v>
      </c>
      <c r="K85" s="64" t="str">
        <f t="shared" si="24"/>
        <v/>
      </c>
      <c r="L85" s="24">
        <v>703200</v>
      </c>
      <c r="M85" s="24">
        <v>590035</v>
      </c>
      <c r="N85" s="24" t="s">
        <v>1101</v>
      </c>
      <c r="O85" s="19">
        <v>500</v>
      </c>
      <c r="P85" s="19">
        <v>-500</v>
      </c>
      <c r="Q85" s="19"/>
      <c r="R85" s="19"/>
      <c r="S85" s="19"/>
      <c r="T85" s="19"/>
      <c r="U85" s="19">
        <v>328.54</v>
      </c>
      <c r="V85" s="19">
        <v>0.43</v>
      </c>
      <c r="W85" s="19"/>
      <c r="X85" s="19">
        <v>500</v>
      </c>
      <c r="Y85" s="19">
        <v>500</v>
      </c>
      <c r="Z85" s="19"/>
      <c r="AA85" s="19">
        <f t="shared" si="25"/>
        <v>1328.97</v>
      </c>
      <c r="AB85" s="15">
        <f t="shared" si="26"/>
        <v>1.3994450419113345E-4</v>
      </c>
      <c r="AD85" s="19">
        <v>3000</v>
      </c>
      <c r="AE85" s="15">
        <f t="shared" si="27"/>
        <v>3.0043347081950086E-4</v>
      </c>
      <c r="AF85" s="47">
        <f t="shared" si="28"/>
        <v>-1671.03</v>
      </c>
      <c r="AG85" s="19">
        <v>440.18</v>
      </c>
      <c r="AH85" s="15">
        <f t="shared" si="29"/>
        <v>4.4879720569712095E-5</v>
      </c>
      <c r="AI85" s="47">
        <f t="shared" si="30"/>
        <v>888.79</v>
      </c>
      <c r="AJ85" s="322">
        <f t="shared" si="31"/>
        <v>3.283839881393625E-2</v>
      </c>
      <c r="AK85" s="323">
        <f t="shared" si="32"/>
        <v>7.4569361934826384E-2</v>
      </c>
      <c r="AL85" s="125">
        <f t="shared" si="33"/>
        <v>-4.1730963120890134E-2</v>
      </c>
      <c r="AM85" s="324">
        <f t="shared" si="34"/>
        <v>1.1035952464523893E-2</v>
      </c>
      <c r="AN85" s="125">
        <f t="shared" si="35"/>
        <v>2.1802446349412356E-2</v>
      </c>
    </row>
    <row r="86" spans="1:40" x14ac:dyDescent="0.2">
      <c r="H86" s="10" t="s">
        <v>836</v>
      </c>
      <c r="I86" s="25" t="s">
        <v>1004</v>
      </c>
      <c r="J86" s="25" t="s">
        <v>1004</v>
      </c>
      <c r="K86" s="64" t="str">
        <f t="shared" si="24"/>
        <v/>
      </c>
      <c r="L86" s="24">
        <v>703300</v>
      </c>
      <c r="M86" s="24">
        <v>590115</v>
      </c>
      <c r="N86" s="24" t="s">
        <v>1102</v>
      </c>
      <c r="O86" s="19">
        <v>624.66</v>
      </c>
      <c r="P86" s="19">
        <v>388.35</v>
      </c>
      <c r="Q86" s="19">
        <v>288.35000000000002</v>
      </c>
      <c r="R86" s="19">
        <v>574.52</v>
      </c>
      <c r="S86" s="19">
        <v>356.6</v>
      </c>
      <c r="T86" s="19">
        <v>333.02</v>
      </c>
      <c r="U86" s="19">
        <v>368</v>
      </c>
      <c r="V86" s="19">
        <v>312.31</v>
      </c>
      <c r="W86" s="19">
        <v>340.25</v>
      </c>
      <c r="X86" s="19">
        <v>515.37</v>
      </c>
      <c r="Y86" s="19">
        <v>448.41</v>
      </c>
      <c r="Z86" s="19">
        <v>239.27</v>
      </c>
      <c r="AA86" s="19">
        <f t="shared" si="25"/>
        <v>4789.1100000000006</v>
      </c>
      <c r="AB86" s="15">
        <f t="shared" si="26"/>
        <v>5.0430756485609089E-4</v>
      </c>
      <c r="AD86" s="19">
        <v>4023.1</v>
      </c>
      <c r="AE86" s="15">
        <f t="shared" si="27"/>
        <v>4.0289129881797796E-4</v>
      </c>
      <c r="AF86" s="47">
        <f t="shared" si="28"/>
        <v>766.01000000000067</v>
      </c>
      <c r="AG86" s="19">
        <v>3869.62</v>
      </c>
      <c r="AH86" s="15">
        <f t="shared" si="29"/>
        <v>3.9453738086912013E-4</v>
      </c>
      <c r="AI86" s="47">
        <f t="shared" si="30"/>
        <v>919.49000000000069</v>
      </c>
      <c r="AJ86" s="322">
        <f t="shared" si="31"/>
        <v>0.11833728687916976</v>
      </c>
      <c r="AK86" s="323">
        <f t="shared" si="32"/>
        <v>9.9999999999999992E-2</v>
      </c>
      <c r="AL86" s="125">
        <f t="shared" si="33"/>
        <v>1.8337286879169773E-2</v>
      </c>
      <c r="AM86" s="324">
        <f t="shared" si="34"/>
        <v>9.7016998445569866E-2</v>
      </c>
      <c r="AN86" s="125">
        <f t="shared" si="35"/>
        <v>2.1320288433599899E-2</v>
      </c>
    </row>
    <row r="87" spans="1:40" x14ac:dyDescent="0.2">
      <c r="H87" s="10" t="s">
        <v>876</v>
      </c>
      <c r="I87" s="25" t="s">
        <v>1004</v>
      </c>
      <c r="J87" s="25" t="s">
        <v>1004</v>
      </c>
      <c r="K87" s="64" t="str">
        <f t="shared" si="24"/>
        <v/>
      </c>
      <c r="L87" s="24">
        <v>703400</v>
      </c>
      <c r="M87" s="24">
        <v>590010</v>
      </c>
      <c r="N87" s="24" t="s">
        <v>1103</v>
      </c>
      <c r="O87" s="19">
        <v>5490.13</v>
      </c>
      <c r="P87" s="19">
        <v>7331.27</v>
      </c>
      <c r="Q87" s="19">
        <v>4583.5200000000004</v>
      </c>
      <c r="R87" s="19">
        <v>5976.55</v>
      </c>
      <c r="S87" s="19">
        <v>4417.04</v>
      </c>
      <c r="T87" s="19">
        <v>4563.7700000000004</v>
      </c>
      <c r="U87" s="19">
        <v>5182.53</v>
      </c>
      <c r="V87" s="19">
        <v>5019.3900000000003</v>
      </c>
      <c r="W87" s="19">
        <v>3496</v>
      </c>
      <c r="X87" s="19">
        <v>2172.36</v>
      </c>
      <c r="Y87" s="19">
        <v>8330.2900000000009</v>
      </c>
      <c r="Z87" s="19">
        <v>7658.28</v>
      </c>
      <c r="AA87" s="19">
        <f t="shared" si="25"/>
        <v>64221.130000000005</v>
      </c>
      <c r="AB87" s="15">
        <f t="shared" si="26"/>
        <v>6.7626765061997839E-3</v>
      </c>
      <c r="AD87" s="19">
        <v>16800</v>
      </c>
      <c r="AE87" s="15">
        <f t="shared" si="27"/>
        <v>1.6824274365892047E-3</v>
      </c>
      <c r="AF87" s="47">
        <f t="shared" si="28"/>
        <v>47421.130000000005</v>
      </c>
      <c r="AG87" s="19">
        <v>75311.429999999993</v>
      </c>
      <c r="AH87" s="15">
        <f t="shared" si="29"/>
        <v>7.6785767960957608E-3</v>
      </c>
      <c r="AI87" s="47">
        <f t="shared" si="30"/>
        <v>-11090.299999999988</v>
      </c>
      <c r="AJ87" s="322">
        <f t="shared" si="31"/>
        <v>1.5868823820113667</v>
      </c>
      <c r="AK87" s="323">
        <f t="shared" si="32"/>
        <v>0.41758842683502773</v>
      </c>
      <c r="AL87" s="125">
        <f t="shared" si="33"/>
        <v>1.1692939551763391</v>
      </c>
      <c r="AM87" s="324">
        <f t="shared" si="34"/>
        <v>1.8881670260241687</v>
      </c>
      <c r="AN87" s="125">
        <f t="shared" si="35"/>
        <v>-0.30128464401280208</v>
      </c>
    </row>
    <row r="88" spans="1:40" x14ac:dyDescent="0.2">
      <c r="A88" s="3" t="s">
        <v>23</v>
      </c>
      <c r="B88" s="5" t="s">
        <v>24</v>
      </c>
      <c r="H88" s="10" t="s">
        <v>935</v>
      </c>
      <c r="I88" s="25" t="s">
        <v>1004</v>
      </c>
      <c r="J88" s="25" t="s">
        <v>1004</v>
      </c>
      <c r="K88" s="64" t="str">
        <f t="shared" si="24"/>
        <v/>
      </c>
      <c r="L88" s="24">
        <v>704000</v>
      </c>
      <c r="M88" s="24">
        <v>590141</v>
      </c>
      <c r="N88" s="24" t="s">
        <v>1104</v>
      </c>
      <c r="O88" s="19">
        <v>2423.69</v>
      </c>
      <c r="P88" s="19">
        <v>2423.69</v>
      </c>
      <c r="Q88" s="19">
        <v>2423.69</v>
      </c>
      <c r="R88" s="19">
        <v>2423.69</v>
      </c>
      <c r="S88" s="19">
        <v>2423.69</v>
      </c>
      <c r="T88" s="19">
        <v>2423.69</v>
      </c>
      <c r="U88" s="19">
        <v>2424.1999999999998</v>
      </c>
      <c r="V88" s="19">
        <v>2423.69</v>
      </c>
      <c r="W88" s="19">
        <v>2399.27</v>
      </c>
      <c r="X88" s="19">
        <v>2482.9499999999998</v>
      </c>
      <c r="Y88" s="19">
        <v>2482.9499999999998</v>
      </c>
      <c r="Z88" s="19">
        <v>2481.9499999999998</v>
      </c>
      <c r="AA88" s="19">
        <f t="shared" si="25"/>
        <v>29237.15</v>
      </c>
      <c r="AB88" s="15">
        <f t="shared" si="26"/>
        <v>3.0787590846383271E-3</v>
      </c>
      <c r="AD88" s="19">
        <v>29400.934499999999</v>
      </c>
      <c r="AE88" s="15">
        <f t="shared" si="27"/>
        <v>2.9443415990572683E-3</v>
      </c>
      <c r="AF88" s="47">
        <f t="shared" si="28"/>
        <v>-163.78449999999793</v>
      </c>
      <c r="AG88" s="19">
        <v>28574.49</v>
      </c>
      <c r="AH88" s="15">
        <f t="shared" si="29"/>
        <v>2.9133879926894284E-3</v>
      </c>
      <c r="AI88" s="47">
        <f t="shared" si="30"/>
        <v>662.65999999999985</v>
      </c>
      <c r="AJ88" s="322">
        <f t="shared" si="31"/>
        <v>0.72244007907091679</v>
      </c>
      <c r="AK88" s="323">
        <f t="shared" si="32"/>
        <v>0.73080297531754124</v>
      </c>
      <c r="AL88" s="125">
        <f t="shared" si="33"/>
        <v>-8.3628962466244516E-3</v>
      </c>
      <c r="AM88" s="324">
        <f t="shared" si="34"/>
        <v>0.7164040014040014</v>
      </c>
      <c r="AN88" s="125">
        <f t="shared" si="35"/>
        <v>6.0360776669153848E-3</v>
      </c>
    </row>
    <row r="89" spans="1:40" x14ac:dyDescent="0.2">
      <c r="A89" s="6" t="s">
        <v>25</v>
      </c>
      <c r="B89" s="7"/>
      <c r="H89" s="10" t="s">
        <v>936</v>
      </c>
      <c r="I89" s="25" t="s">
        <v>1058</v>
      </c>
      <c r="J89" s="25" t="s">
        <v>78</v>
      </c>
      <c r="K89" s="64" t="str">
        <f t="shared" si="24"/>
        <v>&gt;</v>
      </c>
      <c r="L89" s="24">
        <v>704200</v>
      </c>
      <c r="M89" s="24"/>
      <c r="N89" s="24" t="s">
        <v>1105</v>
      </c>
      <c r="O89" s="19">
        <v>45200.83</v>
      </c>
      <c r="P89" s="19">
        <v>37310.82</v>
      </c>
      <c r="Q89" s="19">
        <v>46129</v>
      </c>
      <c r="R89" s="19">
        <v>48857.42</v>
      </c>
      <c r="S89" s="19">
        <v>44994.29</v>
      </c>
      <c r="T89" s="19">
        <v>25909.65</v>
      </c>
      <c r="U89" s="19">
        <v>23883.52</v>
      </c>
      <c r="V89" s="19">
        <v>28872.79</v>
      </c>
      <c r="W89" s="19">
        <v>18227.54</v>
      </c>
      <c r="X89" s="19">
        <v>19450.09</v>
      </c>
      <c r="Y89" s="19">
        <v>28363.9</v>
      </c>
      <c r="Z89" s="19">
        <v>37444.050000000003</v>
      </c>
      <c r="AA89" s="19">
        <f t="shared" si="25"/>
        <v>404643.9</v>
      </c>
      <c r="AB89" s="15">
        <f t="shared" si="26"/>
        <v>4.2610209379795316E-2</v>
      </c>
      <c r="AD89" s="19">
        <v>415312.18427000003</v>
      </c>
      <c r="AE89" s="15">
        <f t="shared" si="27"/>
        <v>4.1591226997954735E-2</v>
      </c>
      <c r="AF89" s="47">
        <f t="shared" si="28"/>
        <v>-10668.284270000004</v>
      </c>
      <c r="AG89" s="19">
        <v>424577.86</v>
      </c>
      <c r="AH89" s="15">
        <f t="shared" si="29"/>
        <v>4.3288962962620608E-2</v>
      </c>
      <c r="AI89" s="47">
        <f t="shared" si="30"/>
        <v>-19933.959999999963</v>
      </c>
      <c r="AJ89" s="322">
        <f t="shared" si="31"/>
        <v>9.9986137879911059</v>
      </c>
      <c r="AK89" s="323">
        <f t="shared" si="32"/>
        <v>10.323188194924313</v>
      </c>
      <c r="AL89" s="125">
        <f t="shared" si="33"/>
        <v>-0.32457440693320727</v>
      </c>
      <c r="AM89" s="324">
        <f t="shared" si="34"/>
        <v>10.644784134784134</v>
      </c>
      <c r="AN89" s="125">
        <f t="shared" si="35"/>
        <v>-0.64617034679302776</v>
      </c>
    </row>
    <row r="90" spans="1:40" x14ac:dyDescent="0.2">
      <c r="A90" s="6" t="s">
        <v>26</v>
      </c>
      <c r="B90" s="7"/>
      <c r="H90" s="10" t="s">
        <v>937</v>
      </c>
      <c r="I90" s="25" t="s">
        <v>1004</v>
      </c>
      <c r="J90" s="25" t="s">
        <v>1004</v>
      </c>
      <c r="K90" s="64" t="str">
        <f t="shared" si="24"/>
        <v/>
      </c>
      <c r="L90" s="24">
        <v>704300</v>
      </c>
      <c r="M90" s="24">
        <v>590190</v>
      </c>
      <c r="N90" s="24" t="s">
        <v>1106</v>
      </c>
      <c r="O90" s="19">
        <v>8148.2</v>
      </c>
      <c r="P90" s="19">
        <v>13676.22</v>
      </c>
      <c r="Q90" s="19">
        <v>4913.71</v>
      </c>
      <c r="R90" s="19">
        <v>9039.5</v>
      </c>
      <c r="S90" s="19">
        <v>11466.91</v>
      </c>
      <c r="T90" s="19">
        <v>751.76</v>
      </c>
      <c r="U90" s="19">
        <v>697.47</v>
      </c>
      <c r="V90" s="19">
        <v>59.5</v>
      </c>
      <c r="W90" s="19">
        <v>10118.540000000001</v>
      </c>
      <c r="X90" s="19">
        <v>3050.82</v>
      </c>
      <c r="Y90" s="19">
        <v>3543.9</v>
      </c>
      <c r="Z90" s="19">
        <v>6332.6</v>
      </c>
      <c r="AA90" s="19">
        <f t="shared" si="25"/>
        <v>71799.13</v>
      </c>
      <c r="AB90" s="15">
        <f t="shared" si="26"/>
        <v>7.5606625049510039E-3</v>
      </c>
      <c r="AD90" s="19">
        <v>28913.477999999999</v>
      </c>
      <c r="AE90" s="15">
        <f t="shared" si="27"/>
        <v>2.8955255163344265E-3</v>
      </c>
      <c r="AF90" s="47">
        <f t="shared" si="28"/>
        <v>42885.652000000002</v>
      </c>
      <c r="AG90" s="19">
        <v>35909.199999999997</v>
      </c>
      <c r="AH90" s="15">
        <f t="shared" si="29"/>
        <v>3.6612178242580429E-3</v>
      </c>
      <c r="AI90" s="47">
        <f t="shared" si="30"/>
        <v>35889.930000000008</v>
      </c>
      <c r="AJ90" s="322">
        <f t="shared" si="31"/>
        <v>1.7741321966889054</v>
      </c>
      <c r="AK90" s="323">
        <f t="shared" si="32"/>
        <v>0.71868653525887993</v>
      </c>
      <c r="AL90" s="125">
        <f t="shared" si="33"/>
        <v>1.0554456614300256</v>
      </c>
      <c r="AM90" s="324">
        <f t="shared" si="34"/>
        <v>0.90029584315298594</v>
      </c>
      <c r="AN90" s="125">
        <f t="shared" si="35"/>
        <v>0.87383635353591949</v>
      </c>
    </row>
    <row r="91" spans="1:40" x14ac:dyDescent="0.2">
      <c r="A91" s="6" t="s">
        <v>27</v>
      </c>
      <c r="B91" s="7"/>
      <c r="H91" s="10" t="s">
        <v>938</v>
      </c>
      <c r="I91" s="25" t="s">
        <v>1004</v>
      </c>
      <c r="J91" s="25" t="s">
        <v>1004</v>
      </c>
      <c r="K91" s="64" t="str">
        <f t="shared" si="24"/>
        <v/>
      </c>
      <c r="L91" s="24">
        <v>704400</v>
      </c>
      <c r="M91" s="24">
        <v>590175</v>
      </c>
      <c r="N91" s="24" t="s">
        <v>1107</v>
      </c>
      <c r="O91" s="19">
        <v>535.62</v>
      </c>
      <c r="P91" s="19">
        <v>1505.94</v>
      </c>
      <c r="Q91" s="19"/>
      <c r="R91" s="19"/>
      <c r="S91" s="19">
        <v>1796.64</v>
      </c>
      <c r="T91" s="19"/>
      <c r="U91" s="19"/>
      <c r="V91" s="19"/>
      <c r="W91" s="19"/>
      <c r="X91" s="19"/>
      <c r="Y91" s="19"/>
      <c r="Z91" s="19"/>
      <c r="AA91" s="19">
        <f t="shared" si="25"/>
        <v>3838.2</v>
      </c>
      <c r="AB91" s="15">
        <f t="shared" si="26"/>
        <v>4.0417390609751036E-4</v>
      </c>
      <c r="AD91" s="19">
        <v>2413.86</v>
      </c>
      <c r="AE91" s="15">
        <f t="shared" si="27"/>
        <v>2.4173477929078678E-4</v>
      </c>
      <c r="AF91" s="47">
        <f t="shared" si="28"/>
        <v>1424.3399999999997</v>
      </c>
      <c r="AG91" s="19">
        <v>2079.14</v>
      </c>
      <c r="AH91" s="15">
        <f t="shared" si="29"/>
        <v>2.1198423877802534E-4</v>
      </c>
      <c r="AI91" s="47">
        <f t="shared" si="30"/>
        <v>1759.06</v>
      </c>
      <c r="AJ91" s="322">
        <f t="shared" si="31"/>
        <v>9.4840622683469225E-2</v>
      </c>
      <c r="AK91" s="323">
        <f t="shared" si="32"/>
        <v>6.0000000000000005E-2</v>
      </c>
      <c r="AL91" s="125">
        <f t="shared" si="33"/>
        <v>3.484062268346922E-2</v>
      </c>
      <c r="AM91" s="324">
        <f t="shared" si="34"/>
        <v>5.2127062127062126E-2</v>
      </c>
      <c r="AN91" s="125">
        <f t="shared" si="35"/>
        <v>4.2713560556407099E-2</v>
      </c>
    </row>
    <row r="92" spans="1:40" x14ac:dyDescent="0.2">
      <c r="A92" s="6" t="s">
        <v>28</v>
      </c>
      <c r="B92" s="7"/>
      <c r="H92" s="10" t="s">
        <v>845</v>
      </c>
      <c r="I92" s="25" t="s">
        <v>1058</v>
      </c>
      <c r="J92" s="25" t="s">
        <v>78</v>
      </c>
      <c r="K92" s="64" t="str">
        <f t="shared" si="24"/>
        <v>&gt;</v>
      </c>
      <c r="L92" s="24">
        <v>706100</v>
      </c>
      <c r="M92" s="24"/>
      <c r="N92" s="24" t="s">
        <v>1108</v>
      </c>
      <c r="O92" s="19"/>
      <c r="P92" s="19"/>
      <c r="Q92" s="19"/>
      <c r="R92" s="19"/>
      <c r="S92" s="19"/>
      <c r="T92" s="19"/>
      <c r="U92" s="19"/>
      <c r="V92" s="19"/>
      <c r="W92" s="19"/>
      <c r="X92" s="19"/>
      <c r="Y92" s="19">
        <v>0.01</v>
      </c>
      <c r="Z92" s="19"/>
      <c r="AA92" s="19">
        <f t="shared" si="25"/>
        <v>0.01</v>
      </c>
      <c r="AB92" s="15">
        <f t="shared" si="26"/>
        <v>1.0530298215244395E-9</v>
      </c>
      <c r="AD92" s="19"/>
      <c r="AE92" s="15" t="str">
        <f t="shared" si="27"/>
        <v/>
      </c>
      <c r="AF92" s="47">
        <f t="shared" si="28"/>
        <v>0.01</v>
      </c>
      <c r="AG92" s="19"/>
      <c r="AH92" s="15" t="str">
        <f t="shared" si="29"/>
        <v/>
      </c>
      <c r="AI92" s="47">
        <f t="shared" si="30"/>
        <v>0.01</v>
      </c>
      <c r="AJ92" s="322">
        <f t="shared" si="31"/>
        <v>2.4709661477637757E-7</v>
      </c>
      <c r="AK92" s="323">
        <f t="shared" si="32"/>
        <v>0</v>
      </c>
      <c r="AL92" s="125">
        <f t="shared" si="33"/>
        <v>2.4709661477637757E-7</v>
      </c>
      <c r="AM92" s="324">
        <f t="shared" si="34"/>
        <v>0</v>
      </c>
      <c r="AN92" s="125">
        <f t="shared" si="35"/>
        <v>2.4709661477637757E-7</v>
      </c>
    </row>
    <row r="93" spans="1:40" x14ac:dyDescent="0.2">
      <c r="A93" s="6" t="s">
        <v>29</v>
      </c>
      <c r="B93" s="7"/>
      <c r="H93" s="10" t="s">
        <v>846</v>
      </c>
      <c r="I93" s="25" t="s">
        <v>1058</v>
      </c>
      <c r="J93" s="25" t="s">
        <v>78</v>
      </c>
      <c r="K93" s="64" t="str">
        <f t="shared" si="24"/>
        <v>&gt;</v>
      </c>
      <c r="L93" s="24">
        <v>706500</v>
      </c>
      <c r="M93" s="24"/>
      <c r="N93" s="24" t="s">
        <v>1109</v>
      </c>
      <c r="O93" s="19">
        <v>10507.59</v>
      </c>
      <c r="P93" s="19">
        <v>12274.22</v>
      </c>
      <c r="Q93" s="19">
        <v>12056.13</v>
      </c>
      <c r="R93" s="19">
        <v>9158.99</v>
      </c>
      <c r="S93" s="19">
        <v>8153.12</v>
      </c>
      <c r="T93" s="19">
        <v>5310.31</v>
      </c>
      <c r="U93" s="19">
        <v>5412.37</v>
      </c>
      <c r="V93" s="19">
        <v>4807.1000000000004</v>
      </c>
      <c r="W93" s="19">
        <v>4210.55</v>
      </c>
      <c r="X93" s="19">
        <v>6102.22</v>
      </c>
      <c r="Y93" s="19">
        <v>6952.69</v>
      </c>
      <c r="Z93" s="19">
        <v>10470.18</v>
      </c>
      <c r="AA93" s="19">
        <f t="shared" si="25"/>
        <v>95415.47</v>
      </c>
      <c r="AB93" s="15">
        <f t="shared" si="26"/>
        <v>1.0047533534477052E-2</v>
      </c>
      <c r="AD93" s="19">
        <v>99855.718200000003</v>
      </c>
      <c r="AE93" s="15">
        <f t="shared" si="27"/>
        <v>0.01</v>
      </c>
      <c r="AF93" s="47">
        <f t="shared" si="28"/>
        <v>-4440.2482000000018</v>
      </c>
      <c r="AG93" s="19">
        <v>100166.42</v>
      </c>
      <c r="AH93" s="15">
        <f t="shared" si="29"/>
        <v>1.0212733291081877E-2</v>
      </c>
      <c r="AI93" s="47">
        <f t="shared" si="30"/>
        <v>-4750.9499999999971</v>
      </c>
      <c r="AJ93" s="322">
        <f t="shared" si="31"/>
        <v>2.3576839634297011</v>
      </c>
      <c r="AK93" s="323">
        <f t="shared" si="32"/>
        <v>2.4820590639059432</v>
      </c>
      <c r="AL93" s="125">
        <f t="shared" si="33"/>
        <v>-0.12437510047624212</v>
      </c>
      <c r="AM93" s="324">
        <f t="shared" si="34"/>
        <v>2.51131775560347</v>
      </c>
      <c r="AN93" s="125">
        <f t="shared" si="35"/>
        <v>-0.15363379217376893</v>
      </c>
    </row>
    <row r="94" spans="1:40" x14ac:dyDescent="0.2">
      <c r="A94" s="6" t="s">
        <v>30</v>
      </c>
      <c r="B94" s="7" t="s">
        <v>78</v>
      </c>
      <c r="H94" s="10" t="s">
        <v>77</v>
      </c>
      <c r="I94" s="25" t="s">
        <v>1058</v>
      </c>
      <c r="J94" s="25" t="s">
        <v>78</v>
      </c>
      <c r="K94" s="64" t="str">
        <f t="shared" si="24"/>
        <v>&gt;</v>
      </c>
      <c r="L94" s="24">
        <v>710000</v>
      </c>
      <c r="M94" s="24"/>
      <c r="N94" s="24" t="s">
        <v>1110</v>
      </c>
      <c r="O94" s="19">
        <v>108</v>
      </c>
      <c r="P94" s="19">
        <v>230.4</v>
      </c>
      <c r="Q94" s="19">
        <v>396.8</v>
      </c>
      <c r="R94" s="19">
        <v>518.4</v>
      </c>
      <c r="S94" s="19">
        <v>134.4</v>
      </c>
      <c r="T94" s="19">
        <v>275.2</v>
      </c>
      <c r="U94" s="19">
        <v>275.2</v>
      </c>
      <c r="V94" s="19">
        <v>275.5</v>
      </c>
      <c r="W94" s="19">
        <v>96</v>
      </c>
      <c r="X94" s="19">
        <v>172.8</v>
      </c>
      <c r="Y94" s="19">
        <v>172.8</v>
      </c>
      <c r="Z94" s="19">
        <v>219.2</v>
      </c>
      <c r="AA94" s="19">
        <f t="shared" si="25"/>
        <v>2874.7000000000003</v>
      </c>
      <c r="AB94" s="15">
        <f t="shared" si="26"/>
        <v>3.0271448279363069E-4</v>
      </c>
      <c r="AD94" s="19">
        <v>2956.8</v>
      </c>
      <c r="AE94" s="15">
        <f t="shared" si="27"/>
        <v>2.9610722883970005E-4</v>
      </c>
      <c r="AF94" s="47">
        <f t="shared" si="28"/>
        <v>-82.099999999999909</v>
      </c>
      <c r="AG94" s="19">
        <v>2779.8</v>
      </c>
      <c r="AH94" s="15">
        <f t="shared" si="29"/>
        <v>2.8342188931729218E-4</v>
      </c>
      <c r="AI94" s="47">
        <f t="shared" si="30"/>
        <v>94.900000000000091</v>
      </c>
      <c r="AJ94" s="322">
        <f t="shared" si="31"/>
        <v>7.103286384976526E-2</v>
      </c>
      <c r="AK94" s="323">
        <f t="shared" si="32"/>
        <v>7.3495563122964888E-2</v>
      </c>
      <c r="AL94" s="125">
        <f t="shared" si="33"/>
        <v>-2.4626992731996283E-3</v>
      </c>
      <c r="AM94" s="324">
        <f t="shared" si="34"/>
        <v>6.9693626836483988E-2</v>
      </c>
      <c r="AN94" s="125">
        <f t="shared" si="35"/>
        <v>1.339237013281272E-3</v>
      </c>
    </row>
    <row r="95" spans="1:40" x14ac:dyDescent="0.2">
      <c r="A95" s="6" t="s">
        <v>31</v>
      </c>
      <c r="B95" s="7" t="s">
        <v>78</v>
      </c>
      <c r="H95" s="10" t="s">
        <v>79</v>
      </c>
      <c r="I95" s="25" t="s">
        <v>1007</v>
      </c>
      <c r="J95" s="25" t="s">
        <v>78</v>
      </c>
      <c r="K95" s="24"/>
      <c r="N95" s="23" t="s">
        <v>1111</v>
      </c>
      <c r="O95" s="30">
        <v>116980.29</v>
      </c>
      <c r="P95" s="30">
        <v>118168.5</v>
      </c>
      <c r="Q95" s="30">
        <v>119244.5</v>
      </c>
      <c r="R95" s="30">
        <v>127705.26</v>
      </c>
      <c r="S95" s="30">
        <v>125697.23</v>
      </c>
      <c r="T95" s="30">
        <v>87636.15</v>
      </c>
      <c r="U95" s="30">
        <v>88026.02</v>
      </c>
      <c r="V95" s="30">
        <v>84874.1</v>
      </c>
      <c r="W95" s="30">
        <v>74901.539999999994</v>
      </c>
      <c r="X95" s="30">
        <v>77594.05</v>
      </c>
      <c r="Y95" s="30">
        <v>94681.82</v>
      </c>
      <c r="Z95" s="30">
        <v>124050.81</v>
      </c>
      <c r="AA95" s="30">
        <f t="shared" si="25"/>
        <v>1239560.2700000003</v>
      </c>
      <c r="AB95" s="31">
        <f t="shared" si="26"/>
        <v>0.13052939298868863</v>
      </c>
      <c r="AD95" s="30">
        <v>1110009.9549700001</v>
      </c>
      <c r="AE95" s="31">
        <f t="shared" si="27"/>
        <v>0.11116138113861165</v>
      </c>
      <c r="AF95" s="49">
        <f t="shared" si="28"/>
        <v>129550.31503000017</v>
      </c>
      <c r="AG95" s="30">
        <v>1180066.29</v>
      </c>
      <c r="AH95" s="31">
        <f t="shared" si="29"/>
        <v>0.12031679165099922</v>
      </c>
      <c r="AI95" s="49">
        <f t="shared" si="30"/>
        <v>59493.980000000214</v>
      </c>
      <c r="AJ95" s="336">
        <f t="shared" si="31"/>
        <v>30.629114652829262</v>
      </c>
      <c r="AK95" s="337">
        <f t="shared" si="32"/>
        <v>27.590911361139423</v>
      </c>
      <c r="AL95" s="338">
        <f t="shared" si="33"/>
        <v>3.0382032916898396</v>
      </c>
      <c r="AM95" s="339">
        <f t="shared" si="34"/>
        <v>29.585977285262999</v>
      </c>
      <c r="AN95" s="338">
        <f t="shared" si="35"/>
        <v>1.0431373675662634</v>
      </c>
    </row>
    <row r="96" spans="1:40" x14ac:dyDescent="0.2">
      <c r="A96" s="6" t="s">
        <v>32</v>
      </c>
      <c r="B96" s="7"/>
    </row>
    <row r="97" spans="1:40" x14ac:dyDescent="0.2">
      <c r="A97" s="6" t="s">
        <v>33</v>
      </c>
      <c r="B97" s="7"/>
      <c r="H97" s="10" t="s">
        <v>80</v>
      </c>
      <c r="I97" s="25" t="s">
        <v>1007</v>
      </c>
      <c r="J97" s="25" t="s">
        <v>78</v>
      </c>
      <c r="K97" s="23"/>
      <c r="M97" s="24"/>
      <c r="N97" s="23" t="s">
        <v>1112</v>
      </c>
      <c r="O97" s="33">
        <v>249801.51</v>
      </c>
      <c r="P97" s="33">
        <v>255398.29</v>
      </c>
      <c r="Q97" s="33">
        <v>263735.28000000003</v>
      </c>
      <c r="R97" s="33">
        <v>261858.86</v>
      </c>
      <c r="S97" s="33">
        <v>267324.25</v>
      </c>
      <c r="T97" s="33">
        <v>206882.07</v>
      </c>
      <c r="U97" s="33">
        <v>214773.66</v>
      </c>
      <c r="V97" s="33">
        <v>200502.01</v>
      </c>
      <c r="W97" s="33">
        <v>185458.87</v>
      </c>
      <c r="X97" s="33">
        <v>194298.83</v>
      </c>
      <c r="Y97" s="33">
        <v>214598.12</v>
      </c>
      <c r="Z97" s="33">
        <v>254850.93</v>
      </c>
      <c r="AA97" s="33">
        <f>IF($I97="B1","",SUM(O97:Z97))</f>
        <v>2769482.68</v>
      </c>
      <c r="AB97" s="34">
        <f>IF(AA97=0,"",IFERROR(AA97/AA$19,""))</f>
        <v>0.29163478522354269</v>
      </c>
      <c r="AD97" s="33">
        <v>2538555.8443589201</v>
      </c>
      <c r="AE97" s="34">
        <f>IF(AD97=0,"",IFERROR(AD97/AD$19,""))</f>
        <v>0.25422238106329298</v>
      </c>
      <c r="AF97" s="55">
        <f>IF(AND($AA97="",AD97=""),"",$AA97-AD97)</f>
        <v>230926.83564108005</v>
      </c>
      <c r="AG97" s="56">
        <v>2592840.12</v>
      </c>
      <c r="AH97" s="57">
        <f>IF(AG97=0,"",IFERROR(AG97/AG$19,""))</f>
        <v>0.2643598983768885</v>
      </c>
      <c r="AI97" s="55">
        <f>IF(AND($AA97="",AG97=""),"",$AA97-AG97)</f>
        <v>176642.56000000006</v>
      </c>
      <c r="AJ97" s="332">
        <f>IFERROR(AA97/AA$20,0)</f>
        <v>68.432979490980983</v>
      </c>
      <c r="AK97" s="333">
        <f>IFERROR(AD97/AD$20,0)</f>
        <v>63.099496516589696</v>
      </c>
      <c r="AL97" s="334">
        <f>AJ97-AK97</f>
        <v>5.3334829743912877</v>
      </c>
      <c r="AM97" s="335">
        <f>IFERROR(AG97/AG$20,0)</f>
        <v>65.006270871985166</v>
      </c>
      <c r="AN97" s="334">
        <f>AJ97-AM97</f>
        <v>3.4267086189958178</v>
      </c>
    </row>
    <row r="98" spans="1:40" ht="16" thickBot="1" x14ac:dyDescent="0.25">
      <c r="A98" s="6" t="s">
        <v>34</v>
      </c>
      <c r="B98" s="7"/>
      <c r="H98" s="10" t="s">
        <v>81</v>
      </c>
      <c r="I98" s="25" t="s">
        <v>1007</v>
      </c>
      <c r="J98" s="25" t="s">
        <v>78</v>
      </c>
      <c r="K98" s="23"/>
      <c r="M98" s="24"/>
      <c r="N98" s="23" t="s">
        <v>1113</v>
      </c>
      <c r="O98" s="58">
        <v>800957.25</v>
      </c>
      <c r="P98" s="58">
        <v>993398.42</v>
      </c>
      <c r="Q98" s="58">
        <v>920503.51</v>
      </c>
      <c r="R98" s="58">
        <v>692328.51</v>
      </c>
      <c r="S98" s="58">
        <v>509698.96</v>
      </c>
      <c r="T98" s="58">
        <v>324098.63</v>
      </c>
      <c r="U98" s="58">
        <v>326377.65000000002</v>
      </c>
      <c r="V98" s="58">
        <v>280343.84999999998</v>
      </c>
      <c r="W98" s="58">
        <v>235596.86</v>
      </c>
      <c r="X98" s="58">
        <v>415923</v>
      </c>
      <c r="Y98" s="58">
        <v>480661.09</v>
      </c>
      <c r="Z98" s="58">
        <v>747036.81</v>
      </c>
      <c r="AA98" s="58">
        <f>IF($I98="B1","",SUM(O98:Z98))</f>
        <v>6726924.5399999991</v>
      </c>
      <c r="AB98" s="59">
        <f>IF(AA98=0,"",IFERROR(AA98/AA$19,""))</f>
        <v>0.7083652147764572</v>
      </c>
      <c r="AD98" s="58">
        <v>7447015.9756410802</v>
      </c>
      <c r="AE98" s="59">
        <f>IF(AD98=0,"",IFERROR(AD98/AD$19,""))</f>
        <v>0.74577761893670702</v>
      </c>
      <c r="AF98" s="60">
        <f>IF(AND($AA98="",AD98=""),"",$AA98-AD98)</f>
        <v>-720091.43564108107</v>
      </c>
      <c r="AG98" s="58">
        <v>7215153.21</v>
      </c>
      <c r="AH98" s="59">
        <f>IF(AG98=0,"",IFERROR(AG98/AG$19,""))</f>
        <v>0.73564010162311155</v>
      </c>
      <c r="AI98" s="60">
        <f>IF(AND($AA98="",AG98=""),"",$AA98-AG98)</f>
        <v>-488228.67000000086</v>
      </c>
      <c r="AJ98" s="340">
        <f>IFERROR(AA98/AA$20,0)</f>
        <v>166.22002816901406</v>
      </c>
      <c r="AK98" s="341">
        <f>IFERROR(AD98/AD$20,0)</f>
        <v>185.10640987400464</v>
      </c>
      <c r="AL98" s="342">
        <f>AJ98-AK98</f>
        <v>-18.886381704990583</v>
      </c>
      <c r="AM98" s="343">
        <f>IFERROR(AG98/AG$20,0)</f>
        <v>180.8943792308078</v>
      </c>
      <c r="AN98" s="342">
        <f>AJ98-AM98</f>
        <v>-14.674351061793743</v>
      </c>
    </row>
    <row r="99" spans="1:40" ht="16" thickTop="1" x14ac:dyDescent="0.2">
      <c r="A99" s="6" t="s">
        <v>35</v>
      </c>
      <c r="B99" s="7"/>
    </row>
    <row r="100" spans="1:40" x14ac:dyDescent="0.2">
      <c r="A100" s="6" t="s">
        <v>36</v>
      </c>
      <c r="B100" s="7"/>
      <c r="N100" s="24" t="str">
        <f>N97&amp;" - Check"</f>
        <v>Total Expenses - Check</v>
      </c>
      <c r="O100" s="124">
        <f t="shared" ref="O100:AA100" si="36">SUMIF($H$35:$H$98,"600000",O$35:O$98)+SUMIF($H$35:$H$98,"700000",O$35:O$98)-SUMIF($H$35:$H$98,"TOTDEPTEXP",O$35:O$98)</f>
        <v>0</v>
      </c>
      <c r="P100" s="124">
        <f t="shared" si="36"/>
        <v>0</v>
      </c>
      <c r="Q100" s="124">
        <f t="shared" si="36"/>
        <v>0</v>
      </c>
      <c r="R100" s="124">
        <f t="shared" si="36"/>
        <v>0</v>
      </c>
      <c r="S100" s="124">
        <f t="shared" si="36"/>
        <v>0</v>
      </c>
      <c r="T100" s="124">
        <f t="shared" si="36"/>
        <v>0</v>
      </c>
      <c r="U100" s="124">
        <f t="shared" si="36"/>
        <v>0</v>
      </c>
      <c r="V100" s="124">
        <f t="shared" si="36"/>
        <v>0</v>
      </c>
      <c r="W100" s="124">
        <f t="shared" si="36"/>
        <v>0</v>
      </c>
      <c r="X100" s="124">
        <f t="shared" si="36"/>
        <v>0</v>
      </c>
      <c r="Y100" s="124">
        <f t="shared" si="36"/>
        <v>0</v>
      </c>
      <c r="Z100" s="124">
        <f t="shared" si="36"/>
        <v>0</v>
      </c>
      <c r="AA100" s="124">
        <f t="shared" si="36"/>
        <v>0</v>
      </c>
      <c r="AB100" s="15"/>
      <c r="AD100" s="124">
        <f>SUMIF($H$35:$H$98,"600000",AD$35:AD$98)+SUMIF($H$35:$H$98,"700000",AD$35:AD$98)-SUMIF($H$35:$H$98,"TOTDEPTEXP",AD$35:AD$98)</f>
        <v>0</v>
      </c>
      <c r="AE100" s="15"/>
      <c r="AF100" s="19"/>
      <c r="AG100" s="124">
        <f>SUMIF($H$35:$H$98,"600000",AG$35:AG$98)+SUMIF($H$35:$H$98,"700000",AG$35:AG$98)-SUMIF($H$35:$H$98,"TOTDEPTEXP",AG$35:AG$98)</f>
        <v>0</v>
      </c>
      <c r="AH100" s="15"/>
      <c r="AI100" s="19"/>
    </row>
    <row r="101" spans="1:40" x14ac:dyDescent="0.2">
      <c r="A101" s="6" t="s">
        <v>37</v>
      </c>
      <c r="B101" s="7"/>
      <c r="N101" s="24" t="str">
        <f>N98&amp;" - Check"</f>
        <v>Department Profit (Loss) - Check</v>
      </c>
      <c r="O101" s="124">
        <f t="shared" ref="O101:AA101" si="37">SUMIF($H$35:$H$98,"ROOMS_TOT",O$35:O$98)-SUMIF($H$35:$H$98,"TOTDEPTEXP",O$35:O$98)-SUMIF($H$35:$H$98,"TOTDEPTPL",O$35:O$98)</f>
        <v>0</v>
      </c>
      <c r="P101" s="124">
        <f t="shared" si="37"/>
        <v>0</v>
      </c>
      <c r="Q101" s="124">
        <f t="shared" si="37"/>
        <v>0</v>
      </c>
      <c r="R101" s="124">
        <f t="shared" si="37"/>
        <v>0</v>
      </c>
      <c r="S101" s="124">
        <f t="shared" si="37"/>
        <v>0</v>
      </c>
      <c r="T101" s="124">
        <f t="shared" si="37"/>
        <v>0</v>
      </c>
      <c r="U101" s="124">
        <f t="shared" si="37"/>
        <v>0</v>
      </c>
      <c r="V101" s="124">
        <f t="shared" si="37"/>
        <v>0</v>
      </c>
      <c r="W101" s="124">
        <f t="shared" si="37"/>
        <v>0</v>
      </c>
      <c r="X101" s="124">
        <f t="shared" si="37"/>
        <v>0</v>
      </c>
      <c r="Y101" s="124">
        <f t="shared" si="37"/>
        <v>0</v>
      </c>
      <c r="Z101" s="124">
        <f t="shared" si="37"/>
        <v>0</v>
      </c>
      <c r="AA101" s="124">
        <f t="shared" si="37"/>
        <v>0</v>
      </c>
      <c r="AB101" s="15"/>
      <c r="AD101" s="124">
        <f>SUMIF($H$35:$H$98,"ROOMS_TOT",AD$35:AD$98)-SUMIF($H$35:$H$98,"TOTDEPTEXP",AD$35:AD$98)-SUMIF($H$35:$H$98,"TOTDEPTPL",AD$35:AD$98)</f>
        <v>0</v>
      </c>
      <c r="AE101" s="15"/>
      <c r="AF101" s="19"/>
      <c r="AG101" s="124">
        <f>SUMIF($H$35:$H$98,"ROOMS_TOT",AG$35:AG$98)-SUMIF($H$35:$H$98,"TOTDEPTEXP",AG$35:AG$98)-SUMIF($H$35:$H$98,"TOTDEPTPL",AG$35:AG$98)</f>
        <v>0</v>
      </c>
      <c r="AH101" s="15"/>
      <c r="AI101" s="19"/>
    </row>
    <row r="102" spans="1:40" x14ac:dyDescent="0.2">
      <c r="A102" s="6" t="s">
        <v>38</v>
      </c>
      <c r="B102" s="7"/>
    </row>
    <row r="103" spans="1:40" x14ac:dyDescent="0.2">
      <c r="A103" s="6" t="s">
        <v>39</v>
      </c>
      <c r="B103" s="7"/>
    </row>
    <row r="104" spans="1:40" x14ac:dyDescent="0.2">
      <c r="A104" s="6" t="s">
        <v>40</v>
      </c>
      <c r="B104" s="7"/>
    </row>
    <row r="105" spans="1:40" x14ac:dyDescent="0.2">
      <c r="A105" s="6" t="s">
        <v>41</v>
      </c>
      <c r="B105" s="7"/>
    </row>
    <row r="106" spans="1:40" x14ac:dyDescent="0.2">
      <c r="A106" s="6" t="s">
        <v>42</v>
      </c>
      <c r="B106" s="7"/>
    </row>
    <row r="107" spans="1:40" x14ac:dyDescent="0.2">
      <c r="A107" s="6" t="s">
        <v>43</v>
      </c>
      <c r="B107" s="7"/>
    </row>
    <row r="108" spans="1:40" x14ac:dyDescent="0.2">
      <c r="A108" s="6" t="s">
        <v>44</v>
      </c>
      <c r="B108" s="7"/>
      <c r="H108" s="11"/>
      <c r="J108" s="1"/>
    </row>
    <row r="109" spans="1:40" x14ac:dyDescent="0.2">
      <c r="A109" s="6" t="s">
        <v>45</v>
      </c>
      <c r="B109" s="7"/>
      <c r="H109" s="11"/>
      <c r="J109" s="1"/>
    </row>
    <row r="110" spans="1:40" x14ac:dyDescent="0.2">
      <c r="A110" s="6" t="s">
        <v>46</v>
      </c>
      <c r="B110" s="7"/>
      <c r="H110" s="11"/>
      <c r="J110" s="1"/>
    </row>
    <row r="111" spans="1:40" x14ac:dyDescent="0.2">
      <c r="H111" s="11"/>
      <c r="J111" s="1"/>
    </row>
    <row r="112" spans="1:40" x14ac:dyDescent="0.2">
      <c r="H112" s="11"/>
      <c r="J112" s="1"/>
    </row>
    <row r="113" spans="8:10" x14ac:dyDescent="0.2">
      <c r="H113" s="11"/>
      <c r="J113" s="1"/>
    </row>
    <row r="114" spans="8:10" x14ac:dyDescent="0.2">
      <c r="H114" s="11"/>
      <c r="J114" s="1"/>
    </row>
    <row r="115" spans="8:10" x14ac:dyDescent="0.2">
      <c r="H115" s="11"/>
      <c r="J115" s="1"/>
    </row>
    <row r="116" spans="8:10" x14ac:dyDescent="0.2">
      <c r="H116" s="11"/>
      <c r="J116" s="1"/>
    </row>
    <row r="117" spans="8:10" x14ac:dyDescent="0.2">
      <c r="H117" s="11"/>
      <c r="J117" s="1"/>
    </row>
    <row r="118" spans="8:10" x14ac:dyDescent="0.2">
      <c r="H118" s="11"/>
      <c r="J118" s="1"/>
    </row>
    <row r="119" spans="8:10" x14ac:dyDescent="0.2">
      <c r="H119" s="11"/>
      <c r="J119" s="1"/>
    </row>
    <row r="120" spans="8:10" x14ac:dyDescent="0.2">
      <c r="H120" s="11"/>
      <c r="J120" s="1"/>
    </row>
    <row r="121" spans="8:10" x14ac:dyDescent="0.2">
      <c r="H121" s="11"/>
      <c r="J121" s="1"/>
    </row>
    <row r="122" spans="8:10" x14ac:dyDescent="0.2">
      <c r="H122" s="11"/>
      <c r="J122" s="1"/>
    </row>
    <row r="123" spans="8:10" x14ac:dyDescent="0.2">
      <c r="H123" s="11"/>
      <c r="J123" s="1"/>
    </row>
    <row r="124" spans="8:10" x14ac:dyDescent="0.2">
      <c r="H124" s="11"/>
      <c r="J124" s="1"/>
    </row>
    <row r="125" spans="8:10" x14ac:dyDescent="0.2">
      <c r="H125" s="11"/>
      <c r="J125" s="1"/>
    </row>
    <row r="126" spans="8:10" x14ac:dyDescent="0.2">
      <c r="H126" s="11"/>
      <c r="J126" s="1"/>
    </row>
    <row r="127" spans="8:10" x14ac:dyDescent="0.2">
      <c r="H127" s="11"/>
      <c r="J127" s="1"/>
    </row>
    <row r="128" spans="8:10" x14ac:dyDescent="0.2">
      <c r="H128" s="11"/>
      <c r="J128" s="1"/>
    </row>
    <row r="129" spans="8:10" x14ac:dyDescent="0.2">
      <c r="H129" s="11"/>
      <c r="J129" s="1"/>
    </row>
    <row r="130" spans="8:10" x14ac:dyDescent="0.2">
      <c r="H130" s="11"/>
      <c r="J130" s="1"/>
    </row>
  </sheetData>
  <mergeCells count="2">
    <mergeCell ref="AD31:AE31"/>
    <mergeCell ref="AG31:AH31"/>
  </mergeCells>
  <dataValidations count="2">
    <dataValidation type="list" allowBlank="1" sqref="B28 B58" xr:uid="{00000000-0002-0000-0500-000000000000}">
      <formula1>"ACCOUNT,BUSINESSUNIT,CATEGORY,DATASRC,DEPARTMENT,INTCO,MEASURES,RPTCURRENCY,TIME"</formula1>
    </dataValidation>
    <dataValidation type="list" allowBlank="1" sqref="B29 B59" xr:uid="{00000000-0002-0000-05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5" tint="0.39997558519241921"/>
    <pageSetUpPr fitToPage="1"/>
  </sheetPr>
  <dimension ref="A1:AI15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 hidden="1" customWidth="1" outlineLevel="1" collapsed="1"/>
    <col min="13" max="13" width="9.6640625" style="1" hidden="1" customWidth="1" outlineLevel="1"/>
    <col min="14" max="14" width="35.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16384" width="9.1640625" style="1"/>
  </cols>
  <sheetData>
    <row r="1" spans="1:35" hidden="1" outlineLevel="1" x14ac:dyDescent="0.2">
      <c r="A1" s="8" t="s">
        <v>48</v>
      </c>
      <c r="B1" s="2" t="s">
        <v>49</v>
      </c>
      <c r="C1" s="8" t="e">
        <f ca="1">_xll.EVAPD($B$1)</f>
        <v>#NAME?</v>
      </c>
      <c r="I1" s="1"/>
      <c r="J1" s="1"/>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c r="L4" s="11"/>
      <c r="M4" s="11"/>
    </row>
    <row r="5" spans="1:35" hidden="1" outlineLevel="1" x14ac:dyDescent="0.2">
      <c r="A5" s="8" t="s">
        <v>51</v>
      </c>
      <c r="B5" s="12" t="s">
        <v>59</v>
      </c>
      <c r="C5" s="1" t="e">
        <f ca="1">_xll.EVDES(B5,$B$1)</f>
        <v>#NAME?</v>
      </c>
      <c r="L5" s="11"/>
      <c r="M5" s="11"/>
    </row>
    <row r="6" spans="1:35" hidden="1" outlineLevel="1" x14ac:dyDescent="0.2">
      <c r="A6" s="8" t="s">
        <v>52</v>
      </c>
      <c r="B6" s="12" t="s">
        <v>60</v>
      </c>
      <c r="C6" s="1" t="e">
        <f ca="1">_xll.EVDES(B6,$B$1)</f>
        <v>#NAME?</v>
      </c>
      <c r="E6" s="46" t="e">
        <f ca="1">_xll.EVPRO($B$1,$B$6,$F$6)</f>
        <v>#NAME?</v>
      </c>
      <c r="F6" s="1" t="s">
        <v>278</v>
      </c>
      <c r="L6" s="11"/>
      <c r="M6" s="11"/>
    </row>
    <row r="7" spans="1:35" hidden="1" outlineLevel="1" x14ac:dyDescent="0.2">
      <c r="A7" s="8" t="s">
        <v>53</v>
      </c>
      <c r="B7" s="12" t="s">
        <v>61</v>
      </c>
      <c r="C7" s="1" t="e">
        <f ca="1">_xll.EVDES(B7,$B$1)</f>
        <v>#NAME?</v>
      </c>
      <c r="L7" s="11"/>
      <c r="M7" s="11"/>
    </row>
    <row r="8" spans="1:35" hidden="1" outlineLevel="1" x14ac:dyDescent="0.2">
      <c r="A8" s="8" t="s">
        <v>20</v>
      </c>
      <c r="B8" s="12" t="s">
        <v>63</v>
      </c>
      <c r="C8" s="1" t="e">
        <f ca="1">_xll.EVDES(B8,$B$1)</f>
        <v>#NAME?</v>
      </c>
      <c r="L8" s="11"/>
      <c r="M8" s="11"/>
    </row>
    <row r="9" spans="1:35" hidden="1" outlineLevel="1" x14ac:dyDescent="0.2">
      <c r="A9" s="8" t="s">
        <v>54</v>
      </c>
      <c r="B9" s="9" t="e">
        <f ca="1">'29kbtUVTfkeuWbdEUFpQfA=='!$D$10</f>
        <v>#NAME?</v>
      </c>
      <c r="C9" s="1" t="e">
        <f ca="1">_xll.EVDES(B9,$B$1)</f>
        <v>#NAME?</v>
      </c>
      <c r="L9" s="11"/>
      <c r="M9" s="11"/>
    </row>
    <row r="10" spans="1:35" hidden="1" outlineLevel="1" x14ac:dyDescent="0.2">
      <c r="A10" s="8" t="s">
        <v>18</v>
      </c>
      <c r="B10" s="9" t="e">
        <f ca="1">'29kbtUVTfkeuWbdEUFpQfA=='!$D$7</f>
        <v>#NAME?</v>
      </c>
      <c r="C10" s="1" t="e">
        <f ca="1">_xll.EVDES(B10,$B$1)</f>
        <v>#NAME?</v>
      </c>
      <c r="D10" s="212" t="e">
        <f ca="1">_xll.EVPRO($B$1,$B$10,"Group")</f>
        <v>#NAME?</v>
      </c>
      <c r="L10" s="11"/>
      <c r="M10" s="11"/>
    </row>
    <row r="11" spans="1:35" hidden="1" outlineLevel="1" x14ac:dyDescent="0.2">
      <c r="B11" s="8"/>
      <c r="L11" s="11"/>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row>
    <row r="12" spans="1:35" hidden="1" outlineLevel="1" x14ac:dyDescent="0.2">
      <c r="A12" s="1" t="s">
        <v>115</v>
      </c>
      <c r="B12" s="46" t="e">
        <f ca="1">_xll.EVPRO($B$1,$B$10,"YEAR")</f>
        <v>#NAME?</v>
      </c>
      <c r="L12" s="11"/>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L13" s="11"/>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f>
        <v>#NAME?</v>
      </c>
      <c r="B14" s="8" t="s">
        <v>361</v>
      </c>
      <c r="C14" s="92"/>
      <c r="L14" s="11"/>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L15" s="11"/>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L16" s="11"/>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35" hidden="1" outlineLevel="1" x14ac:dyDescent="0.2">
      <c r="A17" s="6" t="s">
        <v>2</v>
      </c>
      <c r="B17" s="7" t="e">
        <f ca="1">_xll.EVRNG($B$2:$B$10)</f>
        <v>#NAME?</v>
      </c>
      <c r="L17" s="11"/>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35" hidden="1" outlineLevel="1" x14ac:dyDescent="0.2">
      <c r="A18" s="6" t="s">
        <v>3</v>
      </c>
      <c r="B18" s="7" t="e">
        <f ca="1">_xll.EVRNG(O16:AI18)</f>
        <v>#NAME?</v>
      </c>
      <c r="L18" s="11"/>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2" t="e">
        <f ca="1">IF('29kbtUVTfkeuWbdEUFpQfA=='!$O$1=TRUE,"TRAILING12",IF(AA17="CURRENT","ROLLINGFORECAST","PERIODIC"))</f>
        <v>#NAME?</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35" hidden="1" outlineLevel="1" x14ac:dyDescent="0.2">
      <c r="A19" s="6" t="s">
        <v>4</v>
      </c>
      <c r="B19" s="7" t="e">
        <f ca="1">_xll.EVRNG(H34:H69,H72:H116,H119:H152)</f>
        <v>#NAME?</v>
      </c>
      <c r="G19" s="16" t="str">
        <f>$B$6</f>
        <v>D_ROOMS_CON</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35" hidden="1" outlineLevel="1" x14ac:dyDescent="0.2">
      <c r="A20" s="6" t="s">
        <v>5</v>
      </c>
      <c r="B20" s="7"/>
      <c r="G20" s="16" t="str">
        <f>$B$6</f>
        <v>D_ROOMS_CON</v>
      </c>
      <c r="H20" s="16">
        <v>900200</v>
      </c>
      <c r="I20" s="17"/>
      <c r="J20" s="17"/>
      <c r="K20" s="16"/>
      <c r="L20" s="16"/>
      <c r="M20" s="16"/>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35" hidden="1" outlineLevel="1" x14ac:dyDescent="0.2">
      <c r="A21" s="6" t="s">
        <v>6</v>
      </c>
      <c r="B21" s="7"/>
    </row>
    <row r="22" spans="1:35" hidden="1" outlineLevel="1" x14ac:dyDescent="0.2">
      <c r="A22" s="6" t="s">
        <v>7</v>
      </c>
      <c r="B22" s="7"/>
    </row>
    <row r="23" spans="1:35" hidden="1" outlineLevel="1" x14ac:dyDescent="0.2">
      <c r="A23" s="6" t="s">
        <v>47</v>
      </c>
      <c r="B23" s="7" t="e">
        <f ca="1">_xll.EVRNG($A$28:$B$49)</f>
        <v>#NAME?</v>
      </c>
      <c r="K23" s="53"/>
      <c r="L23" s="53"/>
      <c r="M23" s="53"/>
    </row>
    <row r="24" spans="1:35" hidden="1" outlineLevel="1" x14ac:dyDescent="0.2">
      <c r="A24" s="6" t="s">
        <v>8</v>
      </c>
      <c r="B24" s="7"/>
    </row>
    <row r="25" spans="1:35" collapsed="1" x14ac:dyDescent="0.2"/>
    <row r="26" spans="1:35" ht="23" x14ac:dyDescent="0.25">
      <c r="N26" s="61" t="e">
        <f ca="1">IF(_xll.EVDES(B3,$B$1)="#NODATA","",_xll.EVDES(B3,$B$1))</f>
        <v>#NAME?</v>
      </c>
    </row>
    <row r="27" spans="1:35" ht="18" x14ac:dyDescent="0.2">
      <c r="A27" s="3" t="s">
        <v>23</v>
      </c>
      <c r="B27" s="5" t="s">
        <v>24</v>
      </c>
      <c r="N27" s="66" t="e">
        <f ca="1">IF(_xll.EVDES(B6,$B$1)="#NODATA","",_xll.EVDES(B6,$B$1)&amp;" Department")</f>
        <v>#NAME?</v>
      </c>
    </row>
    <row r="28" spans="1:35" ht="16" x14ac:dyDescent="0.2">
      <c r="A28" s="6" t="s">
        <v>25</v>
      </c>
      <c r="B28" s="7"/>
      <c r="N28" s="67" t="e">
        <f ca="1">"For the Period ended"&amp;" "&amp;IF(_xll.EVDES($B$10,$B$1)="#NODATA","",_xll.EVDES($B$10,$B$1))</f>
        <v>#NAME?</v>
      </c>
    </row>
    <row r="29" spans="1:35" ht="15" customHeight="1" x14ac:dyDescent="0.2">
      <c r="A29" s="6" t="s">
        <v>26</v>
      </c>
      <c r="B29" s="7"/>
      <c r="N29" s="67" t="e">
        <f ca="1">_xll.EVDES(B9,B1)</f>
        <v>#NAME?</v>
      </c>
    </row>
    <row r="30" spans="1:35" x14ac:dyDescent="0.2">
      <c r="A30" s="6" t="s">
        <v>27</v>
      </c>
      <c r="B30" s="7"/>
      <c r="O30" s="208"/>
      <c r="P30" s="209"/>
      <c r="Q30" s="209"/>
      <c r="R30" s="209"/>
      <c r="S30" s="209"/>
      <c r="T30" s="209"/>
      <c r="U30" s="209"/>
      <c r="V30" s="209"/>
      <c r="W30" s="209"/>
      <c r="X30" s="209"/>
      <c r="Y30" s="209"/>
      <c r="Z30" s="209"/>
      <c r="AA30" s="209"/>
      <c r="AB30" s="210"/>
      <c r="AD30" s="209"/>
      <c r="AE30" s="209"/>
      <c r="AF30" s="209"/>
      <c r="AG30" s="209"/>
      <c r="AH30" s="209"/>
      <c r="AI30" s="209"/>
    </row>
    <row r="31" spans="1:35" x14ac:dyDescent="0.2">
      <c r="A31" s="6" t="s">
        <v>28</v>
      </c>
      <c r="B31" s="7"/>
      <c r="G31" s="13"/>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row>
    <row r="32" spans="1:35" s="232" customFormat="1" ht="30" customHeight="1" x14ac:dyDescent="0.2">
      <c r="A32" s="6" t="s">
        <v>29</v>
      </c>
      <c r="B32" s="7"/>
      <c r="C32" s="1"/>
      <c r="D32" s="1"/>
      <c r="E32" s="1"/>
      <c r="F32" s="1"/>
      <c r="H32" s="233"/>
      <c r="I32" s="234"/>
      <c r="J32" s="234"/>
      <c r="N32" s="318" t="s">
        <v>219</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C32" s="1"/>
      <c r="AD32" s="237" t="e">
        <f ca="1">IF(_xll.EVDES(AD17,$B$1)="#NODATA","",_xll.EVDES(AD17,$B$1))</f>
        <v>#NAME?</v>
      </c>
      <c r="AE32" s="238" t="s">
        <v>58</v>
      </c>
      <c r="AF32" s="237" t="s">
        <v>57</v>
      </c>
      <c r="AG32" s="237" t="e">
        <f ca="1">IF(_xll.EVDES(AG17,$B$1)="#NODATA","",_xll.EVDES(AG17,$B$1))</f>
        <v>#NAME?</v>
      </c>
      <c r="AH32" s="238" t="s">
        <v>58</v>
      </c>
      <c r="AI32" s="237" t="s">
        <v>57</v>
      </c>
    </row>
    <row r="33" spans="1:35" x14ac:dyDescent="0.2">
      <c r="A33" s="6" t="s">
        <v>30</v>
      </c>
      <c r="B33" s="7" t="s">
        <v>78</v>
      </c>
      <c r="H33" s="1" t="s">
        <v>69</v>
      </c>
      <c r="I33" s="11" t="e">
        <f ca="1">_xll.EVPRO($B$1,$H33,"STYLE")</f>
        <v>#NAME?</v>
      </c>
      <c r="J33" s="11" t="e">
        <f ca="1">_xll.EVPRO($B$1,$H33,"CALC")</f>
        <v>#NAME?</v>
      </c>
      <c r="L33" s="175" t="s">
        <v>364</v>
      </c>
      <c r="M33" s="175" t="s">
        <v>782</v>
      </c>
      <c r="N33" s="37" t="e">
        <f ca="1">IF(_xll.EVDES(H33,$B$1)="#NODATA","",_xll.EVDES(H33,$B$1))</f>
        <v>#NAME?</v>
      </c>
      <c r="O33" s="38"/>
      <c r="P33" s="42"/>
      <c r="Q33" s="42"/>
      <c r="R33" s="42"/>
      <c r="S33" s="42"/>
      <c r="T33" s="42"/>
      <c r="U33" s="42"/>
      <c r="V33" s="42"/>
      <c r="W33" s="42"/>
      <c r="X33" s="42"/>
      <c r="Y33" s="42"/>
      <c r="Z33" s="42"/>
      <c r="AA33" s="42"/>
      <c r="AB33" s="39"/>
      <c r="AD33" s="38"/>
      <c r="AE33" s="42"/>
      <c r="AF33" s="89"/>
      <c r="AG33" s="38"/>
      <c r="AH33" s="42"/>
      <c r="AI33" s="39"/>
    </row>
    <row r="34" spans="1:35" x14ac:dyDescent="0.2">
      <c r="A34" s="6" t="s">
        <v>31</v>
      </c>
      <c r="B34" s="7" t="s">
        <v>78</v>
      </c>
      <c r="H34" s="10" t="s">
        <v>83</v>
      </c>
      <c r="I34" s="26" t="e">
        <f ca="1">_xll.EVPRO($B$1,$H34,"STYLE")</f>
        <v>#NAME?</v>
      </c>
      <c r="J34" s="26" t="e">
        <f ca="1">_xll.EVPRO($B$1,$H34,"CALC")</f>
        <v>#NAME?</v>
      </c>
      <c r="K34" s="8"/>
      <c r="L34" s="23" t="e">
        <f ca="1">_xll.EVPRO($B$1,H34,"JDEID")</f>
        <v>#NAME?</v>
      </c>
      <c r="M34" s="24" t="e">
        <f ca="1">IF(AND(I34="N",J34="N"),_xll.EVPRO($B$1,H34,"PSFTID"),"")</f>
        <v>#NAME?</v>
      </c>
      <c r="N34" s="23" t="e">
        <f ca="1">IF(_xll.EVDES(H34,$B$1)="#NODATA","",_xll.EVDES(H34,$B$1))</f>
        <v>#NAME?</v>
      </c>
      <c r="O34" s="73">
        <v>409446.1</v>
      </c>
      <c r="P34" s="246">
        <v>390204.06</v>
      </c>
      <c r="Q34" s="246">
        <v>421716.72</v>
      </c>
      <c r="R34" s="246">
        <v>337486.78</v>
      </c>
      <c r="S34" s="246">
        <v>318803.78999999998</v>
      </c>
      <c r="T34" s="246">
        <v>212201.48</v>
      </c>
      <c r="U34" s="246">
        <v>233844.69</v>
      </c>
      <c r="V34" s="246">
        <v>237097.36</v>
      </c>
      <c r="W34" s="246">
        <v>139558.24</v>
      </c>
      <c r="X34" s="246">
        <v>207462.37</v>
      </c>
      <c r="Y34" s="246">
        <v>244903.15</v>
      </c>
      <c r="Z34" s="246">
        <v>410943.94</v>
      </c>
      <c r="AA34" s="246">
        <f t="shared" ref="AA34:AA52" si="0">SUM(O34:Z34)</f>
        <v>3563668.6799999997</v>
      </c>
      <c r="AB34" s="75" t="str">
        <f t="shared" ref="AB34:AB69" ca="1" si="1">IF(AA34=0,"",IFERROR(AA34/AA$19,""))</f>
        <v/>
      </c>
      <c r="AD34" s="74">
        <v>3880613.85</v>
      </c>
      <c r="AE34" s="75" t="str">
        <f t="shared" ref="AE34:AE69" ca="1" si="2">IF(AD34=0,"",IFERROR(AD34/AD$19,""))</f>
        <v/>
      </c>
      <c r="AF34" s="74">
        <f t="shared" ref="AF34:AF69" si="3">IF(AND($AA34="",AD34=""),"",$AA34-AD34)</f>
        <v>-316945.17000000039</v>
      </c>
      <c r="AG34" s="74">
        <v>4000119.86</v>
      </c>
      <c r="AH34" s="75" t="str">
        <f ca="1">IF(AG34=0,"",IFERROR(AG34/AG$19,""))</f>
        <v/>
      </c>
      <c r="AI34" s="266">
        <f t="shared" ref="AI34:AI69" si="4">IF(AND($AA34="",AG34=""),"",$AA34-AG34)</f>
        <v>-436451.18000000017</v>
      </c>
    </row>
    <row r="35" spans="1:35" x14ac:dyDescent="0.2">
      <c r="A35" s="6" t="s">
        <v>32</v>
      </c>
      <c r="B35" s="7"/>
      <c r="H35" s="10" t="s">
        <v>121</v>
      </c>
      <c r="I35" s="24" t="e">
        <f ca="1">_xll.EVPRO($B$1,$H35,"STYLE")</f>
        <v>#NAME?</v>
      </c>
      <c r="J35" s="24" t="e">
        <f ca="1">_xll.EVPRO($B$1,$H35,"CALC")</f>
        <v>#NAME?</v>
      </c>
      <c r="K35" s="24"/>
      <c r="L35" s="24" t="e">
        <f ca="1">_xll.EVPRO($B$1,H35,"JDEID")</f>
        <v>#NAME?</v>
      </c>
      <c r="M35" s="24" t="e">
        <f ca="1">IF(AND(I35="N",J35="N"),_xll.EVPRO($B$1,H35,"PSFTID"),"")</f>
        <v>#NAME?</v>
      </c>
      <c r="N35" s="24" t="e">
        <f ca="1">IF(_xll.EVDES(H35,$B$1)="#NODATA","",_xll.EVDES(H35,$B$1))</f>
        <v>#NAME?</v>
      </c>
      <c r="O35" s="82">
        <v>52040.24</v>
      </c>
      <c r="P35" s="247">
        <v>106035.45</v>
      </c>
      <c r="Q35" s="247">
        <v>72113.89</v>
      </c>
      <c r="R35" s="247">
        <v>14889.48</v>
      </c>
      <c r="S35" s="247">
        <v>41712.17</v>
      </c>
      <c r="T35" s="247">
        <v>32062.65</v>
      </c>
      <c r="U35" s="247">
        <v>35915.99</v>
      </c>
      <c r="V35" s="247">
        <v>16778.080000000002</v>
      </c>
      <c r="W35" s="247">
        <v>13543.56</v>
      </c>
      <c r="X35" s="247">
        <v>17505.97</v>
      </c>
      <c r="Y35" s="247">
        <v>17887.88</v>
      </c>
      <c r="Z35" s="247">
        <v>32947.11</v>
      </c>
      <c r="AA35" s="247">
        <f t="shared" si="0"/>
        <v>453432.47000000009</v>
      </c>
      <c r="AB35" s="84" t="str">
        <f t="shared" ca="1" si="1"/>
        <v/>
      </c>
      <c r="AD35" s="83">
        <v>852301</v>
      </c>
      <c r="AE35" s="84" t="str">
        <f t="shared" ca="1" si="2"/>
        <v/>
      </c>
      <c r="AF35" s="83">
        <f t="shared" si="3"/>
        <v>-398868.52999999991</v>
      </c>
      <c r="AG35" s="83">
        <v>835890.78</v>
      </c>
      <c r="AH35" s="84" t="str">
        <f t="shared" ref="AH35:AH69" ca="1" si="5">IF(AG35=0,"",IFERROR(AG35/AG$19,""))</f>
        <v/>
      </c>
      <c r="AI35" s="267">
        <f t="shared" si="4"/>
        <v>-382458.30999999994</v>
      </c>
    </row>
    <row r="36" spans="1:35" x14ac:dyDescent="0.2">
      <c r="A36" s="6" t="s">
        <v>33</v>
      </c>
      <c r="B36" s="7"/>
      <c r="H36" s="10" t="s">
        <v>122</v>
      </c>
      <c r="I36" s="24" t="e">
        <f ca="1">_xll.EVPRO($B$1,$H36,"STYLE")</f>
        <v>#NAME?</v>
      </c>
      <c r="J36" s="24" t="e">
        <f ca="1">_xll.EVPRO($B$1,$H36,"CALC")</f>
        <v>#NAME?</v>
      </c>
      <c r="K36" s="24"/>
      <c r="L36" s="24" t="e">
        <f ca="1">_xll.EVPRO($B$1,H36,"JDEID")</f>
        <v>#NAME?</v>
      </c>
      <c r="M36" s="24" t="e">
        <f ca="1">IF(AND(I36="N",J36="N"),_xll.EVPRO($B$1,H36,"PSFTID"),"")</f>
        <v>#NAME?</v>
      </c>
      <c r="N36" s="24" t="e">
        <f ca="1">IF(_xll.EVDES(H36,$B$1)="#NODATA","",_xll.EVDES(H36,$B$1))</f>
        <v>#NAME?</v>
      </c>
      <c r="O36" s="82">
        <v>357405.86</v>
      </c>
      <c r="P36" s="247">
        <v>284168.61</v>
      </c>
      <c r="Q36" s="247">
        <v>349602.83</v>
      </c>
      <c r="R36" s="247">
        <v>322597.3</v>
      </c>
      <c r="S36" s="247">
        <v>277091.62</v>
      </c>
      <c r="T36" s="247">
        <v>180138.83</v>
      </c>
      <c r="U36" s="247">
        <v>197928.7</v>
      </c>
      <c r="V36" s="247">
        <v>220319.28</v>
      </c>
      <c r="W36" s="247">
        <v>126014.68</v>
      </c>
      <c r="X36" s="247">
        <v>189956.4</v>
      </c>
      <c r="Y36" s="247">
        <v>227015.27</v>
      </c>
      <c r="Z36" s="247">
        <v>377996.83</v>
      </c>
      <c r="AA36" s="247">
        <f t="shared" si="0"/>
        <v>3110236.2100000004</v>
      </c>
      <c r="AB36" s="84" t="str">
        <f t="shared" ca="1" si="1"/>
        <v/>
      </c>
      <c r="AD36" s="83">
        <v>3028312.85</v>
      </c>
      <c r="AE36" s="84" t="str">
        <f t="shared" ca="1" si="2"/>
        <v/>
      </c>
      <c r="AF36" s="83">
        <f t="shared" si="3"/>
        <v>81923.360000000335</v>
      </c>
      <c r="AG36" s="83">
        <v>3164229.08</v>
      </c>
      <c r="AH36" s="84" t="str">
        <f t="shared" ca="1" si="5"/>
        <v/>
      </c>
      <c r="AI36" s="267">
        <f t="shared" si="4"/>
        <v>-53992.869999999646</v>
      </c>
    </row>
    <row r="37" spans="1:35" x14ac:dyDescent="0.2">
      <c r="A37" s="6" t="s">
        <v>34</v>
      </c>
      <c r="B37" s="7"/>
      <c r="H37" s="10" t="s">
        <v>84</v>
      </c>
      <c r="I37" s="26" t="e">
        <f ca="1">_xll.EVPRO($B$1,$H37,"STYLE")</f>
        <v>#NAME?</v>
      </c>
      <c r="J37" s="26" t="e">
        <f ca="1">_xll.EVPRO($B$1,$H37,"CALC")</f>
        <v>#NAME?</v>
      </c>
      <c r="K37" s="8"/>
      <c r="L37" s="23" t="e">
        <f ca="1">_xll.EVPRO($B$1,H37,"JDEID")</f>
        <v>#NAME?</v>
      </c>
      <c r="M37" s="24" t="e">
        <f ca="1">IF(AND(I37="N",J37="N"),_xll.EVPRO($B$1,H37,"PSFTID"),"")</f>
        <v>#NAME?</v>
      </c>
      <c r="N37" s="23" t="e">
        <f ca="1">IF(_xll.EVDES(H37,$B$1)="#NODATA","",_xll.EVDES(H37,$B$1))</f>
        <v>#NAME?</v>
      </c>
      <c r="O37" s="73">
        <v>275789.27</v>
      </c>
      <c r="P37" s="246">
        <v>404269.8</v>
      </c>
      <c r="Q37" s="246">
        <v>466650.49</v>
      </c>
      <c r="R37" s="246">
        <v>425759.58</v>
      </c>
      <c r="S37" s="246">
        <v>238417.8</v>
      </c>
      <c r="T37" s="246">
        <v>186257.03</v>
      </c>
      <c r="U37" s="246">
        <v>211525</v>
      </c>
      <c r="V37" s="246">
        <v>184678.56</v>
      </c>
      <c r="W37" s="246">
        <v>131168.71</v>
      </c>
      <c r="X37" s="246">
        <v>232737.81</v>
      </c>
      <c r="Y37" s="246">
        <v>284922.38</v>
      </c>
      <c r="Z37" s="246">
        <v>410016.94</v>
      </c>
      <c r="AA37" s="246">
        <f t="shared" si="0"/>
        <v>3452193.37</v>
      </c>
      <c r="AB37" s="75" t="str">
        <f t="shared" ca="1" si="1"/>
        <v/>
      </c>
      <c r="AD37" s="74">
        <v>3430796.95</v>
      </c>
      <c r="AE37" s="75" t="str">
        <f t="shared" ca="1" si="2"/>
        <v/>
      </c>
      <c r="AF37" s="74">
        <f t="shared" si="3"/>
        <v>21396.419999999925</v>
      </c>
      <c r="AG37" s="74">
        <v>3333028.5</v>
      </c>
      <c r="AH37" s="75" t="str">
        <f t="shared" ca="1" si="5"/>
        <v/>
      </c>
      <c r="AI37" s="266">
        <f t="shared" si="4"/>
        <v>119164.87000000011</v>
      </c>
    </row>
    <row r="38" spans="1:35" x14ac:dyDescent="0.2">
      <c r="A38" s="6" t="s">
        <v>35</v>
      </c>
      <c r="B38" s="7"/>
      <c r="H38" s="10" t="s">
        <v>123</v>
      </c>
      <c r="I38" s="24" t="e">
        <f ca="1">_xll.EVPRO($B$1,$H38,"STYLE")</f>
        <v>#NAME?</v>
      </c>
      <c r="J38" s="24" t="e">
        <f ca="1">_xll.EVPRO($B$1,$H38,"CALC")</f>
        <v>#NAME?</v>
      </c>
      <c r="K38" s="24"/>
      <c r="L38" s="24" t="e">
        <f ca="1">_xll.EVPRO($B$1,H38,"JDEID")</f>
        <v>#NAME?</v>
      </c>
      <c r="M38" s="24" t="e">
        <f ca="1">IF(AND(I38="N",J38="N"),_xll.EVPRO($B$1,H38,"PSFTID"),"")</f>
        <v>#NAME?</v>
      </c>
      <c r="N38" s="24" t="e">
        <f ca="1">IF(_xll.EVDES(H38,$B$1)="#NODATA","",_xll.EVDES(H38,$B$1))</f>
        <v>#NAME?</v>
      </c>
      <c r="O38" s="82">
        <v>10595.01</v>
      </c>
      <c r="P38" s="247">
        <v>14778.25</v>
      </c>
      <c r="Q38" s="247">
        <v>5123.58</v>
      </c>
      <c r="R38" s="247">
        <v>3743.18</v>
      </c>
      <c r="S38" s="247">
        <v>7127.54</v>
      </c>
      <c r="T38" s="247">
        <v>2698.98</v>
      </c>
      <c r="U38" s="247">
        <v>7881.04</v>
      </c>
      <c r="V38" s="247">
        <v>6962.03</v>
      </c>
      <c r="W38" s="247">
        <v>4102.8599999999997</v>
      </c>
      <c r="X38" s="247">
        <v>7596.27</v>
      </c>
      <c r="Y38" s="247">
        <v>19520.29</v>
      </c>
      <c r="Z38" s="247">
        <v>10879.48</v>
      </c>
      <c r="AA38" s="247">
        <f t="shared" si="0"/>
        <v>101008.51</v>
      </c>
      <c r="AB38" s="84" t="str">
        <f t="shared" ca="1" si="1"/>
        <v/>
      </c>
      <c r="AD38" s="83">
        <v>142145.74</v>
      </c>
      <c r="AE38" s="84" t="str">
        <f t="shared" ca="1" si="2"/>
        <v/>
      </c>
      <c r="AF38" s="83">
        <f t="shared" si="3"/>
        <v>-41137.229999999996</v>
      </c>
      <c r="AG38" s="83">
        <v>136747.54</v>
      </c>
      <c r="AH38" s="84" t="str">
        <f t="shared" ca="1" si="5"/>
        <v/>
      </c>
      <c r="AI38" s="267">
        <f t="shared" si="4"/>
        <v>-35739.030000000013</v>
      </c>
    </row>
    <row r="39" spans="1:35" x14ac:dyDescent="0.2">
      <c r="A39" s="6" t="s">
        <v>36</v>
      </c>
      <c r="B39" s="7"/>
      <c r="H39" s="10" t="s">
        <v>124</v>
      </c>
      <c r="I39" s="24" t="e">
        <f ca="1">_xll.EVPRO($B$1,$H39,"STYLE")</f>
        <v>#NAME?</v>
      </c>
      <c r="J39" s="24" t="e">
        <f ca="1">_xll.EVPRO($B$1,$H39,"CALC")</f>
        <v>#NAME?</v>
      </c>
      <c r="K39" s="24"/>
      <c r="L39" s="24" t="e">
        <f ca="1">_xll.EVPRO($B$1,H39,"JDEID")</f>
        <v>#NAME?</v>
      </c>
      <c r="M39" s="24" t="e">
        <f ca="1">IF(AND(I39="N",J39="N"),_xll.EVPRO($B$1,H39,"PSFTID"),"")</f>
        <v>#NAME?</v>
      </c>
      <c r="N39" s="24" t="e">
        <f ca="1">IF(_xll.EVDES(H39,$B$1)="#NODATA","",_xll.EVDES(H39,$B$1))</f>
        <v>#NAME?</v>
      </c>
      <c r="O39" s="82">
        <v>27793.29</v>
      </c>
      <c r="P39" s="247">
        <v>23787.61</v>
      </c>
      <c r="Q39" s="247">
        <v>33472.120000000003</v>
      </c>
      <c r="R39" s="247">
        <v>21411.94</v>
      </c>
      <c r="S39" s="247">
        <v>14452.44</v>
      </c>
      <c r="T39" s="247">
        <v>6984.12</v>
      </c>
      <c r="U39" s="247">
        <v>12213.2</v>
      </c>
      <c r="V39" s="247">
        <v>11609.73</v>
      </c>
      <c r="W39" s="247">
        <v>13554.71</v>
      </c>
      <c r="X39" s="247">
        <v>9024.11</v>
      </c>
      <c r="Y39" s="247">
        <v>10781.35</v>
      </c>
      <c r="Z39" s="247">
        <v>19258.71</v>
      </c>
      <c r="AA39" s="247">
        <f t="shared" si="0"/>
        <v>204343.33000000002</v>
      </c>
      <c r="AB39" s="84" t="str">
        <f t="shared" ca="1" si="1"/>
        <v/>
      </c>
      <c r="AD39" s="83">
        <v>224086.15</v>
      </c>
      <c r="AE39" s="84" t="str">
        <f t="shared" ca="1" si="2"/>
        <v/>
      </c>
      <c r="AF39" s="83">
        <f t="shared" si="3"/>
        <v>-19742.819999999978</v>
      </c>
      <c r="AG39" s="83">
        <v>182275.48</v>
      </c>
      <c r="AH39" s="84" t="str">
        <f t="shared" ca="1" si="5"/>
        <v/>
      </c>
      <c r="AI39" s="267">
        <f t="shared" si="4"/>
        <v>22067.850000000006</v>
      </c>
    </row>
    <row r="40" spans="1:35" x14ac:dyDescent="0.2">
      <c r="A40" s="6" t="s">
        <v>37</v>
      </c>
      <c r="B40" s="7"/>
      <c r="H40" s="10" t="s">
        <v>125</v>
      </c>
      <c r="I40" s="24" t="e">
        <f ca="1">_xll.EVPRO($B$1,$H40,"STYLE")</f>
        <v>#NAME?</v>
      </c>
      <c r="J40" s="24" t="e">
        <f ca="1">_xll.EVPRO($B$1,$H40,"CALC")</f>
        <v>#NAME?</v>
      </c>
      <c r="K40" s="24"/>
      <c r="L40" s="24" t="e">
        <f ca="1">_xll.EVPRO($B$1,H40,"JDEID")</f>
        <v>#NAME?</v>
      </c>
      <c r="M40" s="24" t="e">
        <f ca="1">IF(AND(I40="N",J40="N"),_xll.EVPRO($B$1,H40,"PSFTID"),"")</f>
        <v>#NAME?</v>
      </c>
      <c r="N40" s="24" t="e">
        <f ca="1">IF(_xll.EVDES(H40,$B$1)="#NODATA","",_xll.EVDES(H40,$B$1))</f>
        <v>#NAME?</v>
      </c>
      <c r="O40" s="82">
        <v>54830.41</v>
      </c>
      <c r="P40" s="247">
        <v>81409.39</v>
      </c>
      <c r="Q40" s="247">
        <v>100832.71</v>
      </c>
      <c r="R40" s="247">
        <v>67278.97</v>
      </c>
      <c r="S40" s="247">
        <v>44335.9</v>
      </c>
      <c r="T40" s="247">
        <v>39250.07</v>
      </c>
      <c r="U40" s="247">
        <v>42822.69</v>
      </c>
      <c r="V40" s="247">
        <v>23366.22</v>
      </c>
      <c r="W40" s="247">
        <v>18444.169999999998</v>
      </c>
      <c r="X40" s="247">
        <v>33828.71</v>
      </c>
      <c r="Y40" s="247">
        <v>59000.53</v>
      </c>
      <c r="Z40" s="247">
        <v>72683.08</v>
      </c>
      <c r="AA40" s="247">
        <f t="shared" si="0"/>
        <v>638082.85</v>
      </c>
      <c r="AB40" s="84" t="str">
        <f t="shared" ca="1" si="1"/>
        <v/>
      </c>
      <c r="AD40" s="83">
        <v>492844.46</v>
      </c>
      <c r="AE40" s="84" t="str">
        <f t="shared" ca="1" si="2"/>
        <v/>
      </c>
      <c r="AF40" s="83">
        <f t="shared" si="3"/>
        <v>145238.38999999996</v>
      </c>
      <c r="AG40" s="83">
        <v>473822.69</v>
      </c>
      <c r="AH40" s="84" t="str">
        <f t="shared" ca="1" si="5"/>
        <v/>
      </c>
      <c r="AI40" s="267">
        <f t="shared" si="4"/>
        <v>164260.15999999997</v>
      </c>
    </row>
    <row r="41" spans="1:35" x14ac:dyDescent="0.2">
      <c r="A41" s="6" t="s">
        <v>38</v>
      </c>
      <c r="B41" s="7"/>
      <c r="H41" s="10" t="s">
        <v>126</v>
      </c>
      <c r="I41" s="24" t="e">
        <f ca="1">_xll.EVPRO($B$1,$H41,"STYLE")</f>
        <v>#NAME?</v>
      </c>
      <c r="J41" s="24" t="e">
        <f ca="1">_xll.EVPRO($B$1,$H41,"CALC")</f>
        <v>#NAME?</v>
      </c>
      <c r="K41" s="24"/>
      <c r="L41" s="24" t="e">
        <f ca="1">_xll.EVPRO($B$1,H41,"JDEID")</f>
        <v>#NAME?</v>
      </c>
      <c r="M41" s="24" t="e">
        <f ca="1">IF(AND(I41="N",J41="N"),_xll.EVPRO($B$1,H41,"PSFTID"),"")</f>
        <v>#NAME?</v>
      </c>
      <c r="N41" s="24" t="e">
        <f ca="1">IF(_xll.EVDES(H41,$B$1)="#NODATA","",_xll.EVDES(H41,$B$1))</f>
        <v>#NAME?</v>
      </c>
      <c r="O41" s="82">
        <v>8022.83</v>
      </c>
      <c r="P41" s="247">
        <v>1948.6</v>
      </c>
      <c r="Q41" s="247">
        <v>482.32</v>
      </c>
      <c r="R41" s="247">
        <v>844.83</v>
      </c>
      <c r="S41" s="247"/>
      <c r="T41" s="247"/>
      <c r="U41" s="247"/>
      <c r="V41" s="247"/>
      <c r="W41" s="247"/>
      <c r="X41" s="247"/>
      <c r="Y41" s="247">
        <v>608.72</v>
      </c>
      <c r="Z41" s="247">
        <v>485.25</v>
      </c>
      <c r="AA41" s="247">
        <f t="shared" si="0"/>
        <v>12392.55</v>
      </c>
      <c r="AB41" s="84" t="str">
        <f t="shared" ca="1" si="1"/>
        <v/>
      </c>
      <c r="AD41" s="83">
        <v>698</v>
      </c>
      <c r="AE41" s="84" t="str">
        <f t="shared" ca="1" si="2"/>
        <v/>
      </c>
      <c r="AF41" s="83">
        <f t="shared" si="3"/>
        <v>11694.55</v>
      </c>
      <c r="AG41" s="83">
        <v>198571.15</v>
      </c>
      <c r="AH41" s="84" t="str">
        <f t="shared" ca="1" si="5"/>
        <v/>
      </c>
      <c r="AI41" s="267">
        <f t="shared" si="4"/>
        <v>-186178.6</v>
      </c>
    </row>
    <row r="42" spans="1:35" x14ac:dyDescent="0.2">
      <c r="A42" s="6" t="s">
        <v>39</v>
      </c>
      <c r="B42" s="7"/>
      <c r="H42" s="10" t="s">
        <v>127</v>
      </c>
      <c r="I42" s="24" t="e">
        <f ca="1">_xll.EVPRO($B$1,$H42,"STYLE")</f>
        <v>#NAME?</v>
      </c>
      <c r="J42" s="24" t="e">
        <f ca="1">_xll.EVPRO($B$1,$H42,"CALC")</f>
        <v>#NAME?</v>
      </c>
      <c r="K42" s="24"/>
      <c r="L42" s="24" t="e">
        <f ca="1">_xll.EVPRO($B$1,H42,"JDEID")</f>
        <v>#NAME?</v>
      </c>
      <c r="M42" s="24" t="e">
        <f ca="1">IF(AND(I42="N",J42="N"),_xll.EVPRO($B$1,H42,"PSFTID"),"")</f>
        <v>#NAME?</v>
      </c>
      <c r="N42" s="24" t="e">
        <f ca="1">IF(_xll.EVDES(H42,$B$1)="#NODATA","",_xll.EVDES(H42,$B$1))</f>
        <v>#NAME?</v>
      </c>
      <c r="O42" s="82">
        <v>174547.73</v>
      </c>
      <c r="P42" s="247">
        <v>282345.95</v>
      </c>
      <c r="Q42" s="247">
        <v>326739.76</v>
      </c>
      <c r="R42" s="247">
        <v>332480.65999999997</v>
      </c>
      <c r="S42" s="247">
        <v>172501.92</v>
      </c>
      <c r="T42" s="247">
        <v>137323.85999999999</v>
      </c>
      <c r="U42" s="247">
        <v>148608.07</v>
      </c>
      <c r="V42" s="247">
        <v>142740.57999999999</v>
      </c>
      <c r="W42" s="247">
        <v>95066.97</v>
      </c>
      <c r="X42" s="247">
        <v>182288.72</v>
      </c>
      <c r="Y42" s="247">
        <v>195011.49</v>
      </c>
      <c r="Z42" s="247">
        <v>306710.42</v>
      </c>
      <c r="AA42" s="247">
        <f t="shared" si="0"/>
        <v>2496366.13</v>
      </c>
      <c r="AB42" s="84" t="str">
        <f t="shared" ca="1" si="1"/>
        <v/>
      </c>
      <c r="AD42" s="83">
        <v>2571022.6</v>
      </c>
      <c r="AE42" s="84" t="str">
        <f t="shared" ca="1" si="2"/>
        <v/>
      </c>
      <c r="AF42" s="83">
        <f t="shared" si="3"/>
        <v>-74656.470000000205</v>
      </c>
      <c r="AG42" s="83">
        <v>2341611.64</v>
      </c>
      <c r="AH42" s="84" t="str">
        <f t="shared" ca="1" si="5"/>
        <v/>
      </c>
      <c r="AI42" s="267">
        <f t="shared" si="4"/>
        <v>154754.48999999976</v>
      </c>
    </row>
    <row r="43" spans="1:35" x14ac:dyDescent="0.2">
      <c r="A43" s="6" t="s">
        <v>40</v>
      </c>
      <c r="B43" s="7"/>
      <c r="H43" s="10" t="s">
        <v>128</v>
      </c>
      <c r="I43" s="24" t="e">
        <f ca="1">_xll.EVPRO($B$1,$H43,"STYLE")</f>
        <v>#NAME?</v>
      </c>
      <c r="J43" s="24" t="e">
        <f ca="1">_xll.EVPRO($B$1,$H43,"CALC")</f>
        <v>#NAME?</v>
      </c>
      <c r="K43" s="24"/>
      <c r="L43" s="24" t="e">
        <f ca="1">_xll.EVPRO($B$1,H43,"JDEID")</f>
        <v>#NAME?</v>
      </c>
      <c r="M43" s="24" t="e">
        <f ca="1">IF(AND(I43="N",J43="N"),_xll.EVPRO($B$1,H43,"PSFTID"),"")</f>
        <v>#NAME?</v>
      </c>
      <c r="N43" s="24" t="e">
        <f ca="1">IF(_xll.EVDES(H43,$B$1)="#NODATA","",_xll.EVDES(H43,$B$1))</f>
        <v>#NAME?</v>
      </c>
      <c r="O43" s="82"/>
      <c r="P43" s="247"/>
      <c r="Q43" s="247"/>
      <c r="R43" s="247"/>
      <c r="S43" s="247"/>
      <c r="T43" s="247"/>
      <c r="U43" s="247"/>
      <c r="V43" s="247"/>
      <c r="W43" s="247"/>
      <c r="X43" s="247"/>
      <c r="Y43" s="247"/>
      <c r="Z43" s="247"/>
      <c r="AA43" s="247">
        <f t="shared" si="0"/>
        <v>0</v>
      </c>
      <c r="AB43" s="84" t="str">
        <f t="shared" si="1"/>
        <v/>
      </c>
      <c r="AD43" s="83"/>
      <c r="AE43" s="84" t="str">
        <f t="shared" si="2"/>
        <v/>
      </c>
      <c r="AF43" s="83">
        <f t="shared" si="3"/>
        <v>0</v>
      </c>
      <c r="AG43" s="83"/>
      <c r="AH43" s="84" t="str">
        <f t="shared" si="5"/>
        <v/>
      </c>
      <c r="AI43" s="267">
        <f t="shared" si="4"/>
        <v>0</v>
      </c>
    </row>
    <row r="44" spans="1:35" x14ac:dyDescent="0.2">
      <c r="A44" s="6" t="s">
        <v>41</v>
      </c>
      <c r="B44" s="7"/>
      <c r="H44" s="10" t="s">
        <v>85</v>
      </c>
      <c r="I44" s="26" t="e">
        <f ca="1">_xll.EVPRO($B$1,$H44,"STYLE")</f>
        <v>#NAME?</v>
      </c>
      <c r="J44" s="26" t="e">
        <f ca="1">_xll.EVPRO($B$1,$H44,"CALC")</f>
        <v>#NAME?</v>
      </c>
      <c r="K44" s="8"/>
      <c r="L44" s="23" t="e">
        <f ca="1">_xll.EVPRO($B$1,H44,"JDEID")</f>
        <v>#NAME?</v>
      </c>
      <c r="M44" s="24" t="e">
        <f ca="1">IF(AND(I44="N",J44="N"),_xll.EVPRO($B$1,H44,"PSFTID"),"")</f>
        <v>#NAME?</v>
      </c>
      <c r="N44" s="23" t="e">
        <f ca="1">IF(_xll.EVDES(H44,$B$1)="#NODATA","",_xll.EVDES(H44,$B$1))</f>
        <v>#NAME?</v>
      </c>
      <c r="O44" s="73">
        <v>114544.5</v>
      </c>
      <c r="P44" s="246">
        <v>86625.88</v>
      </c>
      <c r="Q44" s="246">
        <v>47887.82</v>
      </c>
      <c r="R44" s="246">
        <v>23549.119999999999</v>
      </c>
      <c r="S44" s="246">
        <v>23372.92</v>
      </c>
      <c r="T44" s="246">
        <v>10561.42</v>
      </c>
      <c r="U44" s="246">
        <v>7016.83</v>
      </c>
      <c r="V44" s="246">
        <v>4694.17</v>
      </c>
      <c r="W44" s="246">
        <v>5946.8</v>
      </c>
      <c r="X44" s="246">
        <v>35823.64</v>
      </c>
      <c r="Y44" s="246">
        <v>47509.49</v>
      </c>
      <c r="Z44" s="246">
        <v>33742.129999999997</v>
      </c>
      <c r="AA44" s="246">
        <f t="shared" si="0"/>
        <v>441274.72</v>
      </c>
      <c r="AB44" s="75" t="str">
        <f t="shared" ca="1" si="1"/>
        <v/>
      </c>
      <c r="AD44" s="74">
        <v>374028.5</v>
      </c>
      <c r="AE44" s="75" t="str">
        <f t="shared" ca="1" si="2"/>
        <v/>
      </c>
      <c r="AF44" s="74">
        <f t="shared" si="3"/>
        <v>67246.219999999972</v>
      </c>
      <c r="AG44" s="74">
        <v>366021.56</v>
      </c>
      <c r="AH44" s="75" t="str">
        <f t="shared" ca="1" si="5"/>
        <v/>
      </c>
      <c r="AI44" s="266">
        <f t="shared" si="4"/>
        <v>75253.159999999974</v>
      </c>
    </row>
    <row r="45" spans="1:35" x14ac:dyDescent="0.2">
      <c r="A45" s="6" t="s">
        <v>42</v>
      </c>
      <c r="B45" s="7"/>
      <c r="H45" s="10" t="s">
        <v>129</v>
      </c>
      <c r="I45" s="24" t="e">
        <f ca="1">_xll.EVPRO($B$1,$H45,"STYLE")</f>
        <v>#NAME?</v>
      </c>
      <c r="J45" s="24" t="e">
        <f ca="1">_xll.EVPRO($B$1,$H45,"CALC")</f>
        <v>#NAME?</v>
      </c>
      <c r="K45" s="24"/>
      <c r="L45" s="24" t="e">
        <f ca="1">_xll.EVPRO($B$1,H45,"JDEID")</f>
        <v>#NAME?</v>
      </c>
      <c r="M45" s="24" t="e">
        <f ca="1">IF(AND(I45="N",J45="N"),_xll.EVPRO($B$1,H45,"PSFTID"),"")</f>
        <v>#NAME?</v>
      </c>
      <c r="N45" s="24" t="e">
        <f ca="1">IF(_xll.EVDES(H45,$B$1)="#NODATA","",_xll.EVDES(H45,$B$1))</f>
        <v>#NAME?</v>
      </c>
      <c r="O45" s="82">
        <v>8730.75</v>
      </c>
      <c r="P45" s="247">
        <v>16343</v>
      </c>
      <c r="Q45" s="247">
        <v>6088.15</v>
      </c>
      <c r="R45" s="247">
        <v>3631.19</v>
      </c>
      <c r="S45" s="247">
        <v>761.38</v>
      </c>
      <c r="T45" s="247"/>
      <c r="U45" s="247">
        <v>909.65</v>
      </c>
      <c r="V45" s="247">
        <v>246</v>
      </c>
      <c r="W45" s="247">
        <v>2009.4</v>
      </c>
      <c r="X45" s="247">
        <v>3643.98</v>
      </c>
      <c r="Y45" s="247">
        <v>13067.25</v>
      </c>
      <c r="Z45" s="247">
        <v>1463.13</v>
      </c>
      <c r="AA45" s="247">
        <f t="shared" si="0"/>
        <v>56893.880000000005</v>
      </c>
      <c r="AB45" s="84" t="str">
        <f t="shared" ca="1" si="1"/>
        <v/>
      </c>
      <c r="AD45" s="83">
        <v>148845.5</v>
      </c>
      <c r="AE45" s="84" t="str">
        <f t="shared" ca="1" si="2"/>
        <v/>
      </c>
      <c r="AF45" s="83">
        <f t="shared" si="3"/>
        <v>-91951.62</v>
      </c>
      <c r="AG45" s="83">
        <v>112326.85</v>
      </c>
      <c r="AH45" s="84" t="str">
        <f t="shared" ca="1" si="5"/>
        <v/>
      </c>
      <c r="AI45" s="267">
        <f t="shared" si="4"/>
        <v>-55432.97</v>
      </c>
    </row>
    <row r="46" spans="1:35" x14ac:dyDescent="0.2">
      <c r="A46" s="6" t="s">
        <v>43</v>
      </c>
      <c r="B46" s="7"/>
      <c r="H46" s="10" t="s">
        <v>130</v>
      </c>
      <c r="I46" s="24" t="e">
        <f ca="1">_xll.EVPRO($B$1,$H46,"STYLE")</f>
        <v>#NAME?</v>
      </c>
      <c r="J46" s="24" t="e">
        <f ca="1">_xll.EVPRO($B$1,$H46,"CALC")</f>
        <v>#NAME?</v>
      </c>
      <c r="K46" s="24"/>
      <c r="L46" s="24" t="e">
        <f ca="1">_xll.EVPRO($B$1,H46,"JDEID")</f>
        <v>#NAME?</v>
      </c>
      <c r="M46" s="24" t="e">
        <f ca="1">IF(AND(I46="N",J46="N"),_xll.EVPRO($B$1,H46,"PSFTID"),"")</f>
        <v>#NAME?</v>
      </c>
      <c r="N46" s="24" t="e">
        <f ca="1">IF(_xll.EVDES(H46,$B$1)="#NODATA","",_xll.EVDES(H46,$B$1))</f>
        <v>#NAME?</v>
      </c>
      <c r="O46" s="82">
        <v>26437.83</v>
      </c>
      <c r="P46" s="247">
        <v>21559.439999999999</v>
      </c>
      <c r="Q46" s="247">
        <v>22203.38</v>
      </c>
      <c r="R46" s="247">
        <v>13802.45</v>
      </c>
      <c r="S46" s="247">
        <v>5468.19</v>
      </c>
      <c r="T46" s="247">
        <v>7534.4</v>
      </c>
      <c r="U46" s="247">
        <v>2964.3</v>
      </c>
      <c r="V46" s="247">
        <v>2736.3</v>
      </c>
      <c r="W46" s="247">
        <v>2462.8200000000002</v>
      </c>
      <c r="X46" s="247">
        <v>20711.77</v>
      </c>
      <c r="Y46" s="247">
        <v>20985.77</v>
      </c>
      <c r="Z46" s="247">
        <v>4252.93</v>
      </c>
      <c r="AA46" s="247">
        <f t="shared" si="0"/>
        <v>151119.58000000002</v>
      </c>
      <c r="AB46" s="84" t="str">
        <f t="shared" ca="1" si="1"/>
        <v/>
      </c>
      <c r="AD46" s="83">
        <v>133243</v>
      </c>
      <c r="AE46" s="84" t="str">
        <f t="shared" ca="1" si="2"/>
        <v/>
      </c>
      <c r="AF46" s="83">
        <f t="shared" si="3"/>
        <v>17876.580000000016</v>
      </c>
      <c r="AG46" s="83">
        <v>152054.51999999999</v>
      </c>
      <c r="AH46" s="84" t="str">
        <f t="shared" ca="1" si="5"/>
        <v/>
      </c>
      <c r="AI46" s="267">
        <f t="shared" si="4"/>
        <v>-934.93999999997322</v>
      </c>
    </row>
    <row r="47" spans="1:35" x14ac:dyDescent="0.2">
      <c r="A47" s="6" t="s">
        <v>44</v>
      </c>
      <c r="B47" s="7"/>
      <c r="H47" s="10" t="s">
        <v>131</v>
      </c>
      <c r="I47" s="24" t="e">
        <f ca="1">_xll.EVPRO($B$1,$H47,"STYLE")</f>
        <v>#NAME?</v>
      </c>
      <c r="J47" s="24" t="e">
        <f ca="1">_xll.EVPRO($B$1,$H47,"CALC")</f>
        <v>#NAME?</v>
      </c>
      <c r="K47" s="24"/>
      <c r="L47" s="24" t="e">
        <f ca="1">_xll.EVPRO($B$1,H47,"JDEID")</f>
        <v>#NAME?</v>
      </c>
      <c r="M47" s="24" t="e">
        <f ca="1">IF(AND(I47="N",J47="N"),_xll.EVPRO($B$1,H47,"PSFTID"),"")</f>
        <v>#NAME?</v>
      </c>
      <c r="N47" s="24" t="e">
        <f ca="1">IF(_xll.EVDES(H47,$B$1)="#NODATA","",_xll.EVDES(H47,$B$1))</f>
        <v>#NAME?</v>
      </c>
      <c r="O47" s="82">
        <v>79375.92</v>
      </c>
      <c r="P47" s="247">
        <v>48723.44</v>
      </c>
      <c r="Q47" s="247">
        <v>19596.29</v>
      </c>
      <c r="R47" s="247">
        <v>6115.48</v>
      </c>
      <c r="S47" s="247">
        <v>17143.349999999999</v>
      </c>
      <c r="T47" s="247">
        <v>3027.02</v>
      </c>
      <c r="U47" s="247">
        <v>3142.88</v>
      </c>
      <c r="V47" s="247">
        <v>1711.87</v>
      </c>
      <c r="W47" s="247">
        <v>1474.58</v>
      </c>
      <c r="X47" s="247">
        <v>11467.89</v>
      </c>
      <c r="Y47" s="247">
        <v>13456.47</v>
      </c>
      <c r="Z47" s="247">
        <v>28026.07</v>
      </c>
      <c r="AA47" s="247">
        <f t="shared" si="0"/>
        <v>233261.25999999998</v>
      </c>
      <c r="AB47" s="84" t="str">
        <f t="shared" ca="1" si="1"/>
        <v/>
      </c>
      <c r="AD47" s="83">
        <v>91940</v>
      </c>
      <c r="AE47" s="84" t="str">
        <f t="shared" ca="1" si="2"/>
        <v/>
      </c>
      <c r="AF47" s="83">
        <f t="shared" si="3"/>
        <v>141321.25999999998</v>
      </c>
      <c r="AG47" s="83">
        <v>101640.19</v>
      </c>
      <c r="AH47" s="84" t="str">
        <f t="shared" ca="1" si="5"/>
        <v/>
      </c>
      <c r="AI47" s="267">
        <f t="shared" si="4"/>
        <v>131621.06999999998</v>
      </c>
    </row>
    <row r="48" spans="1:35" x14ac:dyDescent="0.2">
      <c r="A48" s="6" t="s">
        <v>45</v>
      </c>
      <c r="B48" s="7"/>
      <c r="H48" s="10" t="s">
        <v>86</v>
      </c>
      <c r="I48" s="26" t="e">
        <f ca="1">_xll.EVPRO($B$1,$H48,"STYLE")</f>
        <v>#NAME?</v>
      </c>
      <c r="J48" s="26" t="e">
        <f ca="1">_xll.EVPRO($B$1,$H48,"CALC")</f>
        <v>#NAME?</v>
      </c>
      <c r="K48" s="8"/>
      <c r="L48" s="23" t="e">
        <f ca="1">_xll.EVPRO($B$1,H48,"JDEID")</f>
        <v>#NAME?</v>
      </c>
      <c r="M48" s="24" t="e">
        <f ca="1">IF(AND(I48="N",J48="N"),_xll.EVPRO($B$1,H48,"PSFTID"),"")</f>
        <v>#NAME?</v>
      </c>
      <c r="N48" s="23" t="e">
        <f ca="1">IF(_xll.EVDES(H48,$B$1)="#NODATA","",_xll.EVDES(H48,$B$1))</f>
        <v>#NAME?</v>
      </c>
      <c r="O48" s="73">
        <v>24217.85</v>
      </c>
      <c r="P48" s="246">
        <v>32246.3</v>
      </c>
      <c r="Q48" s="246">
        <v>37521.449999999997</v>
      </c>
      <c r="R48" s="246">
        <v>35901.32</v>
      </c>
      <c r="S48" s="246">
        <v>9429.4500000000007</v>
      </c>
      <c r="T48" s="246">
        <v>13570.57</v>
      </c>
      <c r="U48" s="246">
        <v>17597.990000000002</v>
      </c>
      <c r="V48" s="246">
        <v>13246.2</v>
      </c>
      <c r="W48" s="246">
        <v>13199.85</v>
      </c>
      <c r="X48" s="246">
        <v>17639.95</v>
      </c>
      <c r="Y48" s="246">
        <v>14066.85</v>
      </c>
      <c r="Z48" s="246">
        <v>16862.599999999999</v>
      </c>
      <c r="AA48" s="246">
        <f t="shared" si="0"/>
        <v>245500.38000000003</v>
      </c>
      <c r="AB48" s="75" t="str">
        <f t="shared" ca="1" si="1"/>
        <v/>
      </c>
      <c r="AD48" s="74">
        <v>199692.43</v>
      </c>
      <c r="AE48" s="75" t="str">
        <f t="shared" ca="1" si="2"/>
        <v/>
      </c>
      <c r="AF48" s="74">
        <f t="shared" si="3"/>
        <v>45807.950000000041</v>
      </c>
      <c r="AG48" s="74">
        <v>177497.13</v>
      </c>
      <c r="AH48" s="75" t="str">
        <f t="shared" ca="1" si="5"/>
        <v/>
      </c>
      <c r="AI48" s="266">
        <f t="shared" si="4"/>
        <v>68003.250000000029</v>
      </c>
    </row>
    <row r="49" spans="1:35" x14ac:dyDescent="0.2">
      <c r="A49" s="6" t="s">
        <v>46</v>
      </c>
      <c r="B49" s="7"/>
      <c r="H49" s="10" t="s">
        <v>132</v>
      </c>
      <c r="I49" s="24" t="e">
        <f ca="1">_xll.EVPRO($B$1,$H49,"STYLE")</f>
        <v>#NAME?</v>
      </c>
      <c r="J49" s="24" t="e">
        <f ca="1">_xll.EVPRO($B$1,$H49,"CALC")</f>
        <v>#NAME?</v>
      </c>
      <c r="K49" s="24"/>
      <c r="L49" s="24" t="e">
        <f ca="1">_xll.EVPRO($B$1,H49,"JDEID")</f>
        <v>#NAME?</v>
      </c>
      <c r="M49" s="24" t="e">
        <f ca="1">IF(AND(I49="N",J49="N"),_xll.EVPRO($B$1,H49,"PSFTID"),"")</f>
        <v>#NAME?</v>
      </c>
      <c r="N49" s="24" t="e">
        <f ca="1">IF(_xll.EVDES(H49,$B$1)="#NODATA","",_xll.EVDES(H49,$B$1))</f>
        <v>#NAME?</v>
      </c>
      <c r="O49" s="82">
        <v>17337.849999999999</v>
      </c>
      <c r="P49" s="247">
        <v>26011.3</v>
      </c>
      <c r="Q49" s="247">
        <v>29351.45</v>
      </c>
      <c r="R49" s="247">
        <v>31125.32</v>
      </c>
      <c r="S49" s="247">
        <v>8036.45</v>
      </c>
      <c r="T49" s="247">
        <v>11156.57</v>
      </c>
      <c r="U49" s="247">
        <v>14189.99</v>
      </c>
      <c r="V49" s="247">
        <v>12536.2</v>
      </c>
      <c r="W49" s="247">
        <v>9933.85</v>
      </c>
      <c r="X49" s="247">
        <v>14909.95</v>
      </c>
      <c r="Y49" s="247">
        <v>12665.85</v>
      </c>
      <c r="Z49" s="247">
        <v>16652.599999999999</v>
      </c>
      <c r="AA49" s="247">
        <f t="shared" si="0"/>
        <v>203907.38</v>
      </c>
      <c r="AB49" s="84" t="str">
        <f t="shared" ca="1" si="1"/>
        <v/>
      </c>
      <c r="AD49" s="83">
        <v>168052.43</v>
      </c>
      <c r="AE49" s="84" t="str">
        <f t="shared" ca="1" si="2"/>
        <v/>
      </c>
      <c r="AF49" s="83">
        <f t="shared" si="3"/>
        <v>35854.950000000012</v>
      </c>
      <c r="AG49" s="83">
        <v>146510.13</v>
      </c>
      <c r="AH49" s="84" t="str">
        <f t="shared" ca="1" si="5"/>
        <v/>
      </c>
      <c r="AI49" s="267">
        <f t="shared" si="4"/>
        <v>57397.25</v>
      </c>
    </row>
    <row r="50" spans="1:35" x14ac:dyDescent="0.2">
      <c r="H50" s="10" t="s">
        <v>133</v>
      </c>
      <c r="I50" s="24" t="e">
        <f ca="1">_xll.EVPRO($B$1,$H50,"STYLE")</f>
        <v>#NAME?</v>
      </c>
      <c r="J50" s="24" t="e">
        <f ca="1">_xll.EVPRO($B$1,$H50,"CALC")</f>
        <v>#NAME?</v>
      </c>
      <c r="K50" s="24"/>
      <c r="L50" s="24" t="e">
        <f ca="1">_xll.EVPRO($B$1,H50,"JDEID")</f>
        <v>#NAME?</v>
      </c>
      <c r="M50" s="24" t="e">
        <f ca="1">IF(AND(I50="N",J50="N"),_xll.EVPRO($B$1,H50,"PSFTID"),"")</f>
        <v>#NAME?</v>
      </c>
      <c r="N50" s="24" t="e">
        <f ca="1">IF(_xll.EVDES(H50,$B$1)="#NODATA","",_xll.EVDES(H50,$B$1))</f>
        <v>#NAME?</v>
      </c>
      <c r="O50" s="82">
        <v>6880</v>
      </c>
      <c r="P50" s="247">
        <v>6235</v>
      </c>
      <c r="Q50" s="247">
        <v>8170</v>
      </c>
      <c r="R50" s="247">
        <v>4776</v>
      </c>
      <c r="S50" s="247">
        <v>1393</v>
      </c>
      <c r="T50" s="247">
        <v>2414</v>
      </c>
      <c r="U50" s="247">
        <v>3408</v>
      </c>
      <c r="V50" s="247">
        <v>710</v>
      </c>
      <c r="W50" s="247">
        <v>3266</v>
      </c>
      <c r="X50" s="247">
        <v>2730</v>
      </c>
      <c r="Y50" s="247">
        <v>1401</v>
      </c>
      <c r="Z50" s="247">
        <v>210</v>
      </c>
      <c r="AA50" s="247">
        <f t="shared" si="0"/>
        <v>41593</v>
      </c>
      <c r="AB50" s="84" t="str">
        <f t="shared" ca="1" si="1"/>
        <v/>
      </c>
      <c r="AD50" s="83">
        <v>31640</v>
      </c>
      <c r="AE50" s="84" t="str">
        <f t="shared" ca="1" si="2"/>
        <v/>
      </c>
      <c r="AF50" s="83">
        <f t="shared" si="3"/>
        <v>9953</v>
      </c>
      <c r="AG50" s="83">
        <v>30987</v>
      </c>
      <c r="AH50" s="84" t="str">
        <f t="shared" ca="1" si="5"/>
        <v/>
      </c>
      <c r="AI50" s="267">
        <f t="shared" si="4"/>
        <v>10606</v>
      </c>
    </row>
    <row r="51" spans="1:35" x14ac:dyDescent="0.2">
      <c r="H51" s="10" t="s">
        <v>65</v>
      </c>
      <c r="I51" s="26" t="e">
        <f ca="1">_xll.EVPRO($B$1,$H51,"STYLE")</f>
        <v>#NAME?</v>
      </c>
      <c r="J51" s="26" t="e">
        <f ca="1">_xll.EVPRO($B$1,$H51,"CALC")</f>
        <v>#NAME?</v>
      </c>
      <c r="K51" s="8"/>
      <c r="L51" s="23" t="e">
        <f ca="1">_xll.EVPRO($B$1,H51,"JDEID")</f>
        <v>#NAME?</v>
      </c>
      <c r="M51" s="24" t="e">
        <f ca="1">IF(AND(I51="N",J51="N"),_xll.EVPRO($B$1,H51,"PSFTID"),"")</f>
        <v>#NAME?</v>
      </c>
      <c r="N51" s="23" t="e">
        <f ca="1">IF(_xll.EVDES(H51,$B$1)="#NODATA","",_xll.EVDES(H51,$B$1))</f>
        <v>#NAME?</v>
      </c>
      <c r="O51" s="79">
        <v>49153.440000000002</v>
      </c>
      <c r="P51" s="248">
        <v>70534.16</v>
      </c>
      <c r="Q51" s="248">
        <v>91440.08</v>
      </c>
      <c r="R51" s="248">
        <v>91534.720000000001</v>
      </c>
      <c r="S51" s="248">
        <v>46881.34</v>
      </c>
      <c r="T51" s="248">
        <v>23617.33</v>
      </c>
      <c r="U51" s="248">
        <v>20933.22</v>
      </c>
      <c r="V51" s="248">
        <v>20053.060000000001</v>
      </c>
      <c r="W51" s="248">
        <v>13287.87</v>
      </c>
      <c r="X51" s="248">
        <v>22746.63</v>
      </c>
      <c r="Y51" s="248">
        <v>25739.74</v>
      </c>
      <c r="Z51" s="248">
        <v>30035.759999999998</v>
      </c>
      <c r="AA51" s="248">
        <f t="shared" si="0"/>
        <v>505957.35000000003</v>
      </c>
      <c r="AB51" s="81" t="str">
        <f t="shared" ca="1" si="1"/>
        <v/>
      </c>
      <c r="AD51" s="80">
        <v>678006.09</v>
      </c>
      <c r="AE51" s="81" t="str">
        <f t="shared" ca="1" si="2"/>
        <v/>
      </c>
      <c r="AF51" s="80">
        <f t="shared" si="3"/>
        <v>-172048.73999999993</v>
      </c>
      <c r="AG51" s="80">
        <v>618679.46</v>
      </c>
      <c r="AH51" s="81" t="str">
        <f t="shared" ca="1" si="5"/>
        <v/>
      </c>
      <c r="AI51" s="268">
        <f t="shared" si="4"/>
        <v>-112722.10999999993</v>
      </c>
    </row>
    <row r="52" spans="1:35" x14ac:dyDescent="0.2">
      <c r="H52" s="10" t="s">
        <v>66</v>
      </c>
      <c r="I52" s="26" t="e">
        <f ca="1">_xll.EVPRO($B$1,$H52,"STYLE")</f>
        <v>#NAME?</v>
      </c>
      <c r="J52" s="26" t="e">
        <f ca="1">_xll.EVPRO($B$1,$H52,"CALC")</f>
        <v>#NAME?</v>
      </c>
      <c r="K52" s="8"/>
      <c r="L52" s="23" t="e">
        <f ca="1">_xll.EVPRO($B$1,H52,"JDEID")</f>
        <v>#NAME?</v>
      </c>
      <c r="M52" s="24" t="e">
        <f ca="1">IF(AND(I52="N",J52="N"),_xll.EVPRO($B$1,H52,"PSFTID"),"")</f>
        <v>#NAME?</v>
      </c>
      <c r="N52" s="23" t="e">
        <f ca="1">IF(_xll.EVDES(H52,$B$1)="#NODATA","",_xll.EVDES(H52,$B$1))</f>
        <v>#NAME?</v>
      </c>
      <c r="O52" s="137">
        <v>873151.16</v>
      </c>
      <c r="P52" s="249">
        <v>983880.2</v>
      </c>
      <c r="Q52" s="249">
        <v>1065216.56</v>
      </c>
      <c r="R52" s="249">
        <v>914231.52</v>
      </c>
      <c r="S52" s="249">
        <v>636905.30000000005</v>
      </c>
      <c r="T52" s="249">
        <v>446207.83</v>
      </c>
      <c r="U52" s="249">
        <v>490917.73</v>
      </c>
      <c r="V52" s="249">
        <v>459769.35</v>
      </c>
      <c r="W52" s="249">
        <v>303161.46999999997</v>
      </c>
      <c r="X52" s="249">
        <v>516410.4</v>
      </c>
      <c r="Y52" s="249">
        <v>617141.61</v>
      </c>
      <c r="Z52" s="249">
        <v>901601.37</v>
      </c>
      <c r="AA52" s="249">
        <f t="shared" si="0"/>
        <v>8208594.5000000009</v>
      </c>
      <c r="AB52" s="138" t="str">
        <f t="shared" ca="1" si="1"/>
        <v/>
      </c>
      <c r="AD52" s="139">
        <v>8563137.8200000003</v>
      </c>
      <c r="AE52" s="138" t="str">
        <f t="shared" ca="1" si="2"/>
        <v/>
      </c>
      <c r="AF52" s="139">
        <f t="shared" si="3"/>
        <v>-354543.31999999937</v>
      </c>
      <c r="AG52" s="139">
        <v>8495346.5099999998</v>
      </c>
      <c r="AH52" s="138" t="str">
        <f t="shared" ca="1" si="5"/>
        <v/>
      </c>
      <c r="AI52" s="269">
        <f t="shared" si="4"/>
        <v>-286752.00999999885</v>
      </c>
    </row>
    <row r="53" spans="1:35" x14ac:dyDescent="0.2">
      <c r="H53" s="10" t="s">
        <v>175</v>
      </c>
      <c r="I53" s="26" t="e">
        <f ca="1">_xll.EVPRO($B$1,$H53,"STYLE")</f>
        <v>#NAME?</v>
      </c>
      <c r="J53" s="26" t="e">
        <f ca="1">_xll.EVPRO($B$1,$H53,"CALC")</f>
        <v>#NAME?</v>
      </c>
      <c r="K53" s="8"/>
      <c r="L53" s="23" t="e">
        <f ca="1">_xll.EVPRO($B$1,H53,"JDEID")</f>
        <v>#NAME?</v>
      </c>
      <c r="M53" s="24" t="e">
        <f ca="1">IF(AND(I53="N",J53="N"),_xll.EVPRO($B$1,H53,"PSFTID"),"")</f>
        <v>#NAME?</v>
      </c>
      <c r="N53" s="23" t="e">
        <f ca="1">IF(_xll.EVDES(H53,$B$1)="#NODATA","",_xll.EVDES(H53,$B$1))</f>
        <v>#NAME?</v>
      </c>
      <c r="O53" s="76"/>
      <c r="P53" s="250"/>
      <c r="Q53" s="250"/>
      <c r="R53" s="250"/>
      <c r="S53" s="250"/>
      <c r="T53" s="250"/>
      <c r="U53" s="250"/>
      <c r="V53" s="250"/>
      <c r="W53" s="250"/>
      <c r="X53" s="250"/>
      <c r="Y53" s="250"/>
      <c r="Z53" s="250"/>
      <c r="AA53" s="250"/>
      <c r="AB53" s="78" t="str">
        <f t="shared" si="1"/>
        <v/>
      </c>
      <c r="AD53" s="77"/>
      <c r="AE53" s="78" t="str">
        <f t="shared" si="2"/>
        <v/>
      </c>
      <c r="AF53" s="77" t="str">
        <f t="shared" si="3"/>
        <v/>
      </c>
      <c r="AG53" s="77"/>
      <c r="AH53" s="78" t="str">
        <f t="shared" si="5"/>
        <v/>
      </c>
      <c r="AI53" s="270" t="str">
        <f t="shared" si="4"/>
        <v/>
      </c>
    </row>
    <row r="54" spans="1:35" x14ac:dyDescent="0.2">
      <c r="H54" s="10" t="s">
        <v>87</v>
      </c>
      <c r="I54" s="26" t="e">
        <f ca="1">_xll.EVPRO($B$1,$H54,"STYLE")</f>
        <v>#NAME?</v>
      </c>
      <c r="J54" s="26" t="e">
        <f ca="1">_xll.EVPRO($B$1,$H54,"CALC")</f>
        <v>#NAME?</v>
      </c>
      <c r="K54" s="8"/>
      <c r="L54" s="23" t="e">
        <f ca="1">_xll.EVPRO($B$1,H54,"JDEID")</f>
        <v>#NAME?</v>
      </c>
      <c r="M54" s="24" t="e">
        <f ca="1">IF(AND(I54="N",J54="N"),_xll.EVPRO($B$1,H54,"PSFTID"),"")</f>
        <v>#NAME?</v>
      </c>
      <c r="N54" s="23" t="e">
        <f ca="1">IF(_xll.EVDES(H54,$B$1)="#NODATA","",_xll.EVDES(H54,$B$1))</f>
        <v>#NAME?</v>
      </c>
      <c r="O54" s="73">
        <v>153193</v>
      </c>
      <c r="P54" s="246">
        <v>258352</v>
      </c>
      <c r="Q54" s="246">
        <v>108699</v>
      </c>
      <c r="R54" s="246">
        <v>25733</v>
      </c>
      <c r="S54" s="246">
        <v>123458</v>
      </c>
      <c r="T54" s="246">
        <v>63950.86</v>
      </c>
      <c r="U54" s="246">
        <v>43861</v>
      </c>
      <c r="V54" s="246">
        <v>14301.52</v>
      </c>
      <c r="W54" s="246">
        <v>80503</v>
      </c>
      <c r="X54" s="246">
        <v>22792</v>
      </c>
      <c r="Y54" s="246">
        <v>64517</v>
      </c>
      <c r="Z54" s="246">
        <v>92069</v>
      </c>
      <c r="AA54" s="246">
        <f t="shared" ref="AA54:AA69" si="6">SUM(O54:Z54)</f>
        <v>1051429.3799999999</v>
      </c>
      <c r="AB54" s="75" t="str">
        <f t="shared" ca="1" si="1"/>
        <v/>
      </c>
      <c r="AD54" s="74">
        <v>1091365</v>
      </c>
      <c r="AE54" s="75" t="str">
        <f t="shared" ca="1" si="2"/>
        <v/>
      </c>
      <c r="AF54" s="74">
        <f t="shared" si="3"/>
        <v>-39935.620000000112</v>
      </c>
      <c r="AG54" s="74">
        <v>1082572.77</v>
      </c>
      <c r="AH54" s="75" t="str">
        <f t="shared" ca="1" si="5"/>
        <v/>
      </c>
      <c r="AI54" s="266">
        <f t="shared" si="4"/>
        <v>-31143.39000000013</v>
      </c>
    </row>
    <row r="55" spans="1:35" x14ac:dyDescent="0.2">
      <c r="H55" s="10" t="s">
        <v>134</v>
      </c>
      <c r="I55" s="24" t="e">
        <f ca="1">_xll.EVPRO($B$1,$H55,"STYLE")</f>
        <v>#NAME?</v>
      </c>
      <c r="J55" s="24" t="e">
        <f ca="1">_xll.EVPRO($B$1,$H55,"CALC")</f>
        <v>#NAME?</v>
      </c>
      <c r="K55" s="24"/>
      <c r="L55" s="24" t="e">
        <f ca="1">_xll.EVPRO($B$1,H55,"JDEID")</f>
        <v>#NAME?</v>
      </c>
      <c r="M55" s="24" t="e">
        <f ca="1">IF(AND(I55="N",J55="N"),_xll.EVPRO($B$1,H55,"PSFTID"),"")</f>
        <v>#NAME?</v>
      </c>
      <c r="N55" s="24" t="e">
        <f ca="1">IF(_xll.EVDES(H55,$B$1)="#NODATA","",_xll.EVDES(H55,$B$1))</f>
        <v>#NAME?</v>
      </c>
      <c r="O55" s="82">
        <v>131555</v>
      </c>
      <c r="P55" s="247">
        <v>179591</v>
      </c>
      <c r="Q55" s="247">
        <v>49767</v>
      </c>
      <c r="R55" s="247">
        <v>9077</v>
      </c>
      <c r="S55" s="247">
        <v>123458</v>
      </c>
      <c r="T55" s="247">
        <v>58373.86</v>
      </c>
      <c r="U55" s="247">
        <v>43861</v>
      </c>
      <c r="V55" s="247">
        <v>9477</v>
      </c>
      <c r="W55" s="247">
        <v>62792</v>
      </c>
      <c r="X55" s="247">
        <v>22792</v>
      </c>
      <c r="Y55" s="247">
        <v>34849</v>
      </c>
      <c r="Z55" s="247">
        <v>92069</v>
      </c>
      <c r="AA55" s="247">
        <f t="shared" si="6"/>
        <v>817661.86</v>
      </c>
      <c r="AB55" s="84" t="str">
        <f t="shared" ca="1" si="1"/>
        <v/>
      </c>
      <c r="AD55" s="83">
        <v>750950</v>
      </c>
      <c r="AE55" s="84" t="str">
        <f t="shared" ca="1" si="2"/>
        <v/>
      </c>
      <c r="AF55" s="83">
        <f t="shared" si="3"/>
        <v>66711.859999999986</v>
      </c>
      <c r="AG55" s="83">
        <v>892083.79</v>
      </c>
      <c r="AH55" s="84" t="str">
        <f t="shared" ca="1" si="5"/>
        <v/>
      </c>
      <c r="AI55" s="267">
        <f t="shared" si="4"/>
        <v>-74421.930000000051</v>
      </c>
    </row>
    <row r="56" spans="1:35" x14ac:dyDescent="0.2">
      <c r="G56" s="13"/>
      <c r="H56" s="10" t="s">
        <v>135</v>
      </c>
      <c r="I56" s="24" t="e">
        <f ca="1">_xll.EVPRO($B$1,$H56,"STYLE")</f>
        <v>#NAME?</v>
      </c>
      <c r="J56" s="24" t="e">
        <f ca="1">_xll.EVPRO($B$1,$H56,"CALC")</f>
        <v>#NAME?</v>
      </c>
      <c r="K56" s="24"/>
      <c r="L56" s="24" t="e">
        <f ca="1">_xll.EVPRO($B$1,H56,"JDEID")</f>
        <v>#NAME?</v>
      </c>
      <c r="M56" s="24" t="e">
        <f ca="1">IF(AND(I56="N",J56="N"),_xll.EVPRO($B$1,H56,"PSFTID"),"")</f>
        <v>#NAME?</v>
      </c>
      <c r="N56" s="24" t="e">
        <f ca="1">IF(_xll.EVDES(H56,$B$1)="#NODATA","",_xll.EVDES(H56,$B$1))</f>
        <v>#NAME?</v>
      </c>
      <c r="O56" s="82">
        <v>21638</v>
      </c>
      <c r="P56" s="247">
        <v>78761</v>
      </c>
      <c r="Q56" s="247">
        <v>58932</v>
      </c>
      <c r="R56" s="247">
        <v>16656</v>
      </c>
      <c r="S56" s="247"/>
      <c r="T56" s="247">
        <v>5577</v>
      </c>
      <c r="U56" s="247"/>
      <c r="V56" s="247">
        <v>4824.5200000000004</v>
      </c>
      <c r="W56" s="247">
        <v>17711</v>
      </c>
      <c r="X56" s="247"/>
      <c r="Y56" s="247">
        <v>29668</v>
      </c>
      <c r="Z56" s="247"/>
      <c r="AA56" s="247">
        <f t="shared" si="6"/>
        <v>233767.52</v>
      </c>
      <c r="AB56" s="84" t="str">
        <f t="shared" ca="1" si="1"/>
        <v/>
      </c>
      <c r="AD56" s="83">
        <v>340415</v>
      </c>
      <c r="AE56" s="84" t="str">
        <f t="shared" ca="1" si="2"/>
        <v/>
      </c>
      <c r="AF56" s="83">
        <f t="shared" si="3"/>
        <v>-106647.48000000001</v>
      </c>
      <c r="AG56" s="83">
        <v>190488.98</v>
      </c>
      <c r="AH56" s="84" t="str">
        <f t="shared" ca="1" si="5"/>
        <v/>
      </c>
      <c r="AI56" s="267">
        <f t="shared" si="4"/>
        <v>43278.539999999979</v>
      </c>
    </row>
    <row r="57" spans="1:35" x14ac:dyDescent="0.2">
      <c r="H57" s="10" t="s">
        <v>88</v>
      </c>
      <c r="I57" s="26" t="e">
        <f ca="1">_xll.EVPRO($B$1,$H57,"STYLE")</f>
        <v>#NAME?</v>
      </c>
      <c r="J57" s="26" t="e">
        <f ca="1">_xll.EVPRO($B$1,$H57,"CALC")</f>
        <v>#NAME?</v>
      </c>
      <c r="K57" s="8"/>
      <c r="L57" s="23" t="e">
        <f ca="1">_xll.EVPRO($B$1,H57,"JDEID")</f>
        <v>#NAME?</v>
      </c>
      <c r="M57" s="24" t="e">
        <f ca="1">IF(AND(I57="N",J57="N"),_xll.EVPRO($B$1,H57,"PSFTID"),"")</f>
        <v>#NAME?</v>
      </c>
      <c r="N57" s="23" t="e">
        <f ca="1">IF(_xll.EVDES(H57,$B$1)="#NODATA","",_xll.EVDES(H57,$B$1))</f>
        <v>#NAME?</v>
      </c>
      <c r="O57" s="73">
        <v>8523.35</v>
      </c>
      <c r="P57" s="246">
        <v>279.27999999999997</v>
      </c>
      <c r="Q57" s="246">
        <v>0.02</v>
      </c>
      <c r="R57" s="246">
        <v>0.05</v>
      </c>
      <c r="S57" s="246">
        <v>11495.01</v>
      </c>
      <c r="T57" s="246">
        <v>16526.689999999999</v>
      </c>
      <c r="U57" s="246">
        <v>75.02</v>
      </c>
      <c r="V57" s="246">
        <v>725</v>
      </c>
      <c r="W57" s="246">
        <v>31270</v>
      </c>
      <c r="X57" s="246">
        <v>62268</v>
      </c>
      <c r="Y57" s="246"/>
      <c r="Z57" s="246"/>
      <c r="AA57" s="246">
        <f t="shared" si="6"/>
        <v>131162.41999999998</v>
      </c>
      <c r="AB57" s="75" t="str">
        <f t="shared" ca="1" si="1"/>
        <v/>
      </c>
      <c r="AD57" s="74">
        <v>42740</v>
      </c>
      <c r="AE57" s="75" t="str">
        <f t="shared" ca="1" si="2"/>
        <v/>
      </c>
      <c r="AF57" s="74">
        <f t="shared" si="3"/>
        <v>88422.419999999984</v>
      </c>
      <c r="AG57" s="74">
        <v>38100.949999999997</v>
      </c>
      <c r="AH57" s="75" t="str">
        <f t="shared" ca="1" si="5"/>
        <v/>
      </c>
      <c r="AI57" s="266">
        <f t="shared" si="4"/>
        <v>93061.469999999987</v>
      </c>
    </row>
    <row r="58" spans="1:35" x14ac:dyDescent="0.2">
      <c r="H58" s="10" t="s">
        <v>136</v>
      </c>
      <c r="I58" s="24" t="e">
        <f ca="1">_xll.EVPRO($B$1,$H58,"STYLE")</f>
        <v>#NAME?</v>
      </c>
      <c r="J58" s="24" t="e">
        <f ca="1">_xll.EVPRO($B$1,$H58,"CALC")</f>
        <v>#NAME?</v>
      </c>
      <c r="K58" s="24"/>
      <c r="L58" s="24" t="e">
        <f ca="1">_xll.EVPRO($B$1,H58,"JDEID")</f>
        <v>#NAME?</v>
      </c>
      <c r="M58" s="24" t="e">
        <f ca="1">IF(AND(I58="N",J58="N"),_xll.EVPRO($B$1,H58,"PSFTID"),"")</f>
        <v>#NAME?</v>
      </c>
      <c r="N58" s="24" t="e">
        <f ca="1">IF(_xll.EVDES(H58,$B$1)="#NODATA","",_xll.EVDES(H58,$B$1))</f>
        <v>#NAME?</v>
      </c>
      <c r="O58" s="82">
        <v>8523.35</v>
      </c>
      <c r="P58" s="247">
        <v>279.27999999999997</v>
      </c>
      <c r="Q58" s="247">
        <v>0.02</v>
      </c>
      <c r="R58" s="247">
        <v>0.05</v>
      </c>
      <c r="S58" s="247">
        <v>0.01</v>
      </c>
      <c r="T58" s="247">
        <v>12974.03</v>
      </c>
      <c r="U58" s="247">
        <v>75.02</v>
      </c>
      <c r="V58" s="247">
        <v>725</v>
      </c>
      <c r="W58" s="247">
        <v>16222</v>
      </c>
      <c r="X58" s="247">
        <v>199</v>
      </c>
      <c r="Y58" s="247"/>
      <c r="Z58" s="247"/>
      <c r="AA58" s="247">
        <f t="shared" si="6"/>
        <v>38997.760000000002</v>
      </c>
      <c r="AB58" s="84" t="str">
        <f t="shared" ca="1" si="1"/>
        <v/>
      </c>
      <c r="AD58" s="83">
        <v>4975</v>
      </c>
      <c r="AE58" s="84" t="str">
        <f t="shared" ca="1" si="2"/>
        <v/>
      </c>
      <c r="AF58" s="83">
        <f t="shared" si="3"/>
        <v>34022.76</v>
      </c>
      <c r="AG58" s="83">
        <v>12971.95</v>
      </c>
      <c r="AH58" s="84" t="str">
        <f t="shared" ca="1" si="5"/>
        <v/>
      </c>
      <c r="AI58" s="267">
        <f t="shared" si="4"/>
        <v>26025.81</v>
      </c>
    </row>
    <row r="59" spans="1:35" x14ac:dyDescent="0.2">
      <c r="H59" s="10" t="s">
        <v>137</v>
      </c>
      <c r="I59" s="24" t="e">
        <f ca="1">_xll.EVPRO($B$1,$H59,"STYLE")</f>
        <v>#NAME?</v>
      </c>
      <c r="J59" s="24" t="e">
        <f ca="1">_xll.EVPRO($B$1,$H59,"CALC")</f>
        <v>#NAME?</v>
      </c>
      <c r="K59" s="24"/>
      <c r="L59" s="24" t="e">
        <f ca="1">_xll.EVPRO($B$1,H59,"JDEID")</f>
        <v>#NAME?</v>
      </c>
      <c r="M59" s="24" t="e">
        <f ca="1">IF(AND(I59="N",J59="N"),_xll.EVPRO($B$1,H59,"PSFTID"),"")</f>
        <v>#NAME?</v>
      </c>
      <c r="N59" s="24" t="e">
        <f ca="1">IF(_xll.EVDES(H59,$B$1)="#NODATA","",_xll.EVDES(H59,$B$1))</f>
        <v>#NAME?</v>
      </c>
      <c r="O59" s="82"/>
      <c r="P59" s="247"/>
      <c r="Q59" s="247"/>
      <c r="R59" s="247"/>
      <c r="S59" s="247">
        <v>11495</v>
      </c>
      <c r="T59" s="247">
        <v>3552.66</v>
      </c>
      <c r="U59" s="247"/>
      <c r="V59" s="247"/>
      <c r="W59" s="247">
        <v>15048</v>
      </c>
      <c r="X59" s="247">
        <v>62069</v>
      </c>
      <c r="Y59" s="247"/>
      <c r="Z59" s="247"/>
      <c r="AA59" s="247">
        <f t="shared" si="6"/>
        <v>92164.66</v>
      </c>
      <c r="AB59" s="84" t="str">
        <f t="shared" ca="1" si="1"/>
        <v/>
      </c>
      <c r="AD59" s="83">
        <v>37765</v>
      </c>
      <c r="AE59" s="84" t="str">
        <f t="shared" ca="1" si="2"/>
        <v/>
      </c>
      <c r="AF59" s="83">
        <f t="shared" si="3"/>
        <v>54399.66</v>
      </c>
      <c r="AG59" s="83">
        <v>25129</v>
      </c>
      <c r="AH59" s="84" t="str">
        <f t="shared" ca="1" si="5"/>
        <v/>
      </c>
      <c r="AI59" s="267">
        <f t="shared" si="4"/>
        <v>67035.66</v>
      </c>
    </row>
    <row r="60" spans="1:35" x14ac:dyDescent="0.2">
      <c r="H60" s="10" t="s">
        <v>89</v>
      </c>
      <c r="I60" s="26" t="e">
        <f ca="1">_xll.EVPRO($B$1,$H60,"STYLE")</f>
        <v>#NAME?</v>
      </c>
      <c r="J60" s="26" t="e">
        <f ca="1">_xll.EVPRO($B$1,$H60,"CALC")</f>
        <v>#NAME?</v>
      </c>
      <c r="K60" s="8"/>
      <c r="L60" s="23" t="e">
        <f ca="1">_xll.EVPRO($B$1,H60,"JDEID")</f>
        <v>#NAME?</v>
      </c>
      <c r="M60" s="24" t="e">
        <f ca="1">IF(AND(I60="N",J60="N"),_xll.EVPRO($B$1,H60,"PSFTID"),"")</f>
        <v>#NAME?</v>
      </c>
      <c r="N60" s="23" t="e">
        <f ca="1">IF(_xll.EVDES(H60,$B$1)="#NODATA","",_xll.EVDES(H60,$B$1))</f>
        <v>#NAME?</v>
      </c>
      <c r="O60" s="73"/>
      <c r="P60" s="246"/>
      <c r="Q60" s="246"/>
      <c r="R60" s="246"/>
      <c r="S60" s="246"/>
      <c r="T60" s="246"/>
      <c r="U60" s="246"/>
      <c r="V60" s="246"/>
      <c r="W60" s="246"/>
      <c r="X60" s="246"/>
      <c r="Y60" s="246"/>
      <c r="Z60" s="246"/>
      <c r="AA60" s="246">
        <f t="shared" si="6"/>
        <v>0</v>
      </c>
      <c r="AB60" s="75" t="str">
        <f t="shared" si="1"/>
        <v/>
      </c>
      <c r="AD60" s="74"/>
      <c r="AE60" s="75" t="str">
        <f t="shared" si="2"/>
        <v/>
      </c>
      <c r="AF60" s="74">
        <f t="shared" si="3"/>
        <v>0</v>
      </c>
      <c r="AG60" s="74"/>
      <c r="AH60" s="75" t="str">
        <f t="shared" si="5"/>
        <v/>
      </c>
      <c r="AI60" s="266">
        <f t="shared" si="4"/>
        <v>0</v>
      </c>
    </row>
    <row r="61" spans="1:35" x14ac:dyDescent="0.2">
      <c r="H61" s="10" t="s">
        <v>90</v>
      </c>
      <c r="I61" s="26" t="e">
        <f ca="1">_xll.EVPRO($B$1,$H61,"STYLE")</f>
        <v>#NAME?</v>
      </c>
      <c r="J61" s="26" t="e">
        <f ca="1">_xll.EVPRO($B$1,$H61,"CALC")</f>
        <v>#NAME?</v>
      </c>
      <c r="K61" s="8"/>
      <c r="L61" s="23" t="e">
        <f ca="1">_xll.EVPRO($B$1,H61,"JDEID")</f>
        <v>#NAME?</v>
      </c>
      <c r="M61" s="24" t="e">
        <f ca="1">IF(AND(I61="N",J61="N"),_xll.EVPRO($B$1,H61,"PSFTID"),"")</f>
        <v>#NAME?</v>
      </c>
      <c r="N61" s="23" t="e">
        <f ca="1">IF(_xll.EVDES(H61,$B$1)="#NODATA","",_xll.EVDES(H61,$B$1))</f>
        <v>#NAME?</v>
      </c>
      <c r="O61" s="73">
        <v>6229</v>
      </c>
      <c r="P61" s="246"/>
      <c r="Q61" s="246"/>
      <c r="R61" s="246"/>
      <c r="S61" s="246"/>
      <c r="T61" s="246"/>
      <c r="U61" s="246"/>
      <c r="V61" s="246"/>
      <c r="W61" s="246"/>
      <c r="X61" s="246"/>
      <c r="Y61" s="246"/>
      <c r="Z61" s="246"/>
      <c r="AA61" s="246">
        <f t="shared" si="6"/>
        <v>6229</v>
      </c>
      <c r="AB61" s="75" t="str">
        <f t="shared" ca="1" si="1"/>
        <v/>
      </c>
      <c r="AD61" s="74">
        <v>43619</v>
      </c>
      <c r="AE61" s="75" t="str">
        <f t="shared" ca="1" si="2"/>
        <v/>
      </c>
      <c r="AF61" s="74">
        <f t="shared" si="3"/>
        <v>-37390</v>
      </c>
      <c r="AG61" s="74"/>
      <c r="AH61" s="75" t="str">
        <f t="shared" si="5"/>
        <v/>
      </c>
      <c r="AI61" s="266">
        <f t="shared" si="4"/>
        <v>6229</v>
      </c>
    </row>
    <row r="62" spans="1:35" x14ac:dyDescent="0.2">
      <c r="H62" s="10" t="s">
        <v>138</v>
      </c>
      <c r="I62" s="24" t="e">
        <f ca="1">_xll.EVPRO($B$1,$H62,"STYLE")</f>
        <v>#NAME?</v>
      </c>
      <c r="J62" s="24" t="e">
        <f ca="1">_xll.EVPRO($B$1,$H62,"CALC")</f>
        <v>#NAME?</v>
      </c>
      <c r="K62" s="24"/>
      <c r="L62" s="24" t="e">
        <f ca="1">_xll.EVPRO($B$1,H62,"JDEID")</f>
        <v>#NAME?</v>
      </c>
      <c r="M62" s="24" t="e">
        <f ca="1">IF(AND(I62="N",J62="N"),_xll.EVPRO($B$1,H62,"PSFTID"),"")</f>
        <v>#NAME?</v>
      </c>
      <c r="N62" s="24" t="e">
        <f ca="1">IF(_xll.EVDES(H62,$B$1)="#NODATA","",_xll.EVDES(H62,$B$1))</f>
        <v>#NAME?</v>
      </c>
      <c r="O62" s="82">
        <v>6229</v>
      </c>
      <c r="P62" s="247"/>
      <c r="Q62" s="247"/>
      <c r="R62" s="247"/>
      <c r="S62" s="247"/>
      <c r="T62" s="247"/>
      <c r="U62" s="247"/>
      <c r="V62" s="247"/>
      <c r="W62" s="247"/>
      <c r="X62" s="247"/>
      <c r="Y62" s="247"/>
      <c r="Z62" s="247"/>
      <c r="AA62" s="247">
        <f t="shared" si="6"/>
        <v>6229</v>
      </c>
      <c r="AB62" s="84" t="str">
        <f t="shared" ca="1" si="1"/>
        <v/>
      </c>
      <c r="AD62" s="83">
        <v>43619</v>
      </c>
      <c r="AE62" s="84" t="str">
        <f t="shared" ca="1" si="2"/>
        <v/>
      </c>
      <c r="AF62" s="83">
        <f t="shared" si="3"/>
        <v>-37390</v>
      </c>
      <c r="AG62" s="83"/>
      <c r="AH62" s="84" t="str">
        <f t="shared" si="5"/>
        <v/>
      </c>
      <c r="AI62" s="267">
        <f t="shared" si="4"/>
        <v>6229</v>
      </c>
    </row>
    <row r="63" spans="1:35" x14ac:dyDescent="0.2">
      <c r="H63" s="10" t="s">
        <v>139</v>
      </c>
      <c r="I63" s="24" t="e">
        <f ca="1">_xll.EVPRO($B$1,$H63,"STYLE")</f>
        <v>#NAME?</v>
      </c>
      <c r="J63" s="24" t="e">
        <f ca="1">_xll.EVPRO($B$1,$H63,"CALC")</f>
        <v>#NAME?</v>
      </c>
      <c r="K63" s="24"/>
      <c r="L63" s="24" t="e">
        <f ca="1">_xll.EVPRO($B$1,H63,"JDEID")</f>
        <v>#NAME?</v>
      </c>
      <c r="M63" s="24" t="e">
        <f ca="1">IF(AND(I63="N",J63="N"),_xll.EVPRO($B$1,H63,"PSFTID"),"")</f>
        <v>#NAME?</v>
      </c>
      <c r="N63" s="24" t="e">
        <f ca="1">IF(_xll.EVDES(H63,$B$1)="#NODATA","",_xll.EVDES(H63,$B$1))</f>
        <v>#NAME?</v>
      </c>
      <c r="O63" s="82"/>
      <c r="P63" s="247"/>
      <c r="Q63" s="247"/>
      <c r="R63" s="247"/>
      <c r="S63" s="247"/>
      <c r="T63" s="247"/>
      <c r="U63" s="247"/>
      <c r="V63" s="247"/>
      <c r="W63" s="247"/>
      <c r="X63" s="247"/>
      <c r="Y63" s="247"/>
      <c r="Z63" s="247"/>
      <c r="AA63" s="247">
        <f t="shared" si="6"/>
        <v>0</v>
      </c>
      <c r="AB63" s="84" t="str">
        <f t="shared" si="1"/>
        <v/>
      </c>
      <c r="AD63" s="83"/>
      <c r="AE63" s="84" t="str">
        <f t="shared" si="2"/>
        <v/>
      </c>
      <c r="AF63" s="83">
        <f t="shared" si="3"/>
        <v>0</v>
      </c>
      <c r="AG63" s="83"/>
      <c r="AH63" s="84" t="str">
        <f t="shared" si="5"/>
        <v/>
      </c>
      <c r="AI63" s="267">
        <f t="shared" si="4"/>
        <v>0</v>
      </c>
    </row>
    <row r="64" spans="1:35" x14ac:dyDescent="0.2">
      <c r="H64" s="10" t="s">
        <v>68</v>
      </c>
      <c r="I64" s="26" t="e">
        <f ca="1">_xll.EVPRO($B$1,$H64,"STYLE")</f>
        <v>#NAME?</v>
      </c>
      <c r="J64" s="26" t="e">
        <f ca="1">_xll.EVPRO($B$1,$H64,"CALC")</f>
        <v>#NAME?</v>
      </c>
      <c r="K64" s="8"/>
      <c r="L64" s="23" t="e">
        <f ca="1">_xll.EVPRO($B$1,H64,"JDEID")</f>
        <v>#NAME?</v>
      </c>
      <c r="M64" s="24" t="e">
        <f ca="1">IF(AND(I64="N",J64="N"),_xll.EVPRO($B$1,H64,"PSFTID"),"")</f>
        <v>#NAME?</v>
      </c>
      <c r="N64" s="23" t="e">
        <f ca="1">IF(_xll.EVDES(H64,$B$1)="#NODATA","",_xll.EVDES(H64,$B$1))</f>
        <v>#NAME?</v>
      </c>
      <c r="O64" s="79"/>
      <c r="P64" s="248"/>
      <c r="Q64" s="248"/>
      <c r="R64" s="248">
        <v>10825</v>
      </c>
      <c r="S64" s="248"/>
      <c r="T64" s="248"/>
      <c r="U64" s="248"/>
      <c r="V64" s="248">
        <v>1592</v>
      </c>
      <c r="W64" s="248"/>
      <c r="X64" s="248"/>
      <c r="Y64" s="248">
        <v>8142</v>
      </c>
      <c r="Z64" s="248"/>
      <c r="AA64" s="248">
        <f t="shared" si="6"/>
        <v>20559</v>
      </c>
      <c r="AB64" s="81" t="str">
        <f t="shared" ca="1" si="1"/>
        <v/>
      </c>
      <c r="AD64" s="80">
        <v>136525</v>
      </c>
      <c r="AE64" s="81" t="str">
        <f t="shared" ca="1" si="2"/>
        <v/>
      </c>
      <c r="AF64" s="80">
        <f t="shared" si="3"/>
        <v>-115966</v>
      </c>
      <c r="AG64" s="80">
        <v>76702.67</v>
      </c>
      <c r="AH64" s="81" t="str">
        <f t="shared" ca="1" si="5"/>
        <v/>
      </c>
      <c r="AI64" s="268">
        <f t="shared" si="4"/>
        <v>-56143.67</v>
      </c>
    </row>
    <row r="65" spans="7:35" x14ac:dyDescent="0.2">
      <c r="H65" s="10" t="s">
        <v>64</v>
      </c>
      <c r="I65" s="26" t="e">
        <f ca="1">_xll.EVPRO($B$1,$H65,"STYLE")</f>
        <v>#NAME?</v>
      </c>
      <c r="J65" s="26" t="e">
        <f ca="1">_xll.EVPRO($B$1,$H65,"CALC")</f>
        <v>#NAME?</v>
      </c>
      <c r="K65" s="8"/>
      <c r="L65" s="23" t="e">
        <f ca="1">_xll.EVPRO($B$1,H65,"JDEID")</f>
        <v>#NAME?</v>
      </c>
      <c r="M65" s="24" t="e">
        <f ca="1">IF(AND(I65="N",J65="N"),_xll.EVPRO($B$1,H65,"PSFTID"),"")</f>
        <v>#NAME?</v>
      </c>
      <c r="N65" s="23" t="e">
        <f ca="1">IF(_xll.EVDES(H65,$B$1)="#NODATA","",_xll.EVDES(H65,$B$1))</f>
        <v>#NAME?</v>
      </c>
      <c r="O65" s="137">
        <v>167945.35</v>
      </c>
      <c r="P65" s="249">
        <v>258631.28</v>
      </c>
      <c r="Q65" s="249">
        <v>108699.02</v>
      </c>
      <c r="R65" s="249">
        <v>36558.050000000003</v>
      </c>
      <c r="S65" s="249">
        <v>134953.01</v>
      </c>
      <c r="T65" s="249">
        <v>80477.55</v>
      </c>
      <c r="U65" s="249">
        <v>43936.02</v>
      </c>
      <c r="V65" s="249">
        <v>16618.52</v>
      </c>
      <c r="W65" s="249">
        <v>111773</v>
      </c>
      <c r="X65" s="249">
        <v>85060</v>
      </c>
      <c r="Y65" s="249">
        <v>72659</v>
      </c>
      <c r="Z65" s="249">
        <v>92069</v>
      </c>
      <c r="AA65" s="249">
        <f t="shared" si="6"/>
        <v>1209379.8000000003</v>
      </c>
      <c r="AB65" s="138" t="str">
        <f t="shared" ca="1" si="1"/>
        <v/>
      </c>
      <c r="AD65" s="139">
        <v>1314249</v>
      </c>
      <c r="AE65" s="138" t="str">
        <f t="shared" ca="1" si="2"/>
        <v/>
      </c>
      <c r="AF65" s="139">
        <f t="shared" si="3"/>
        <v>-104869.19999999972</v>
      </c>
      <c r="AG65" s="139">
        <v>1197376.3899999999</v>
      </c>
      <c r="AH65" s="138" t="str">
        <f t="shared" ca="1" si="5"/>
        <v/>
      </c>
      <c r="AI65" s="269">
        <f t="shared" si="4"/>
        <v>12003.410000000382</v>
      </c>
    </row>
    <row r="66" spans="7:35" x14ac:dyDescent="0.2">
      <c r="H66" s="10" t="s">
        <v>140</v>
      </c>
      <c r="I66" s="24" t="e">
        <f ca="1">_xll.EVPRO($B$1,$H66,"STYLE")</f>
        <v>#NAME?</v>
      </c>
      <c r="J66" s="24" t="e">
        <f ca="1">_xll.EVPRO($B$1,$H66,"CALC")</f>
        <v>#NAME?</v>
      </c>
      <c r="K66" s="24"/>
      <c r="L66" s="24" t="e">
        <f ca="1">_xll.EVPRO($B$1,H66,"JDEID")</f>
        <v>#NAME?</v>
      </c>
      <c r="M66" s="24" t="e">
        <f ca="1">IF(AND(I66="N",J66="N"),_xll.EVPRO($B$1,H66,"PSFTID"),"")</f>
        <v>#NAME?</v>
      </c>
      <c r="N66" s="24" t="e">
        <f ca="1">IF(_xll.EVDES(H66,$B$1)="#NODATA","",_xll.EVDES(H66,$B$1))</f>
        <v>#NAME?</v>
      </c>
      <c r="O66" s="85"/>
      <c r="P66" s="251"/>
      <c r="Q66" s="251"/>
      <c r="R66" s="251"/>
      <c r="S66" s="251"/>
      <c r="T66" s="251"/>
      <c r="U66" s="251"/>
      <c r="V66" s="251"/>
      <c r="W66" s="251"/>
      <c r="X66" s="251"/>
      <c r="Y66" s="251"/>
      <c r="Z66" s="251"/>
      <c r="AA66" s="251">
        <f t="shared" si="6"/>
        <v>0</v>
      </c>
      <c r="AB66" s="86" t="str">
        <f t="shared" si="1"/>
        <v/>
      </c>
      <c r="AD66" s="71"/>
      <c r="AE66" s="86" t="str">
        <f t="shared" si="2"/>
        <v/>
      </c>
      <c r="AF66" s="71">
        <f t="shared" si="3"/>
        <v>0</v>
      </c>
      <c r="AG66" s="71"/>
      <c r="AH66" s="86" t="str">
        <f t="shared" si="5"/>
        <v/>
      </c>
      <c r="AI66" s="271">
        <f t="shared" si="4"/>
        <v>0</v>
      </c>
    </row>
    <row r="67" spans="7:35" x14ac:dyDescent="0.2">
      <c r="H67" s="10" t="s">
        <v>67</v>
      </c>
      <c r="I67" s="26" t="e">
        <f ca="1">_xll.EVPRO($B$1,$H67,"STYLE")</f>
        <v>#NAME?</v>
      </c>
      <c r="J67" s="26" t="e">
        <f ca="1">_xll.EVPRO($B$1,$H67,"CALC")</f>
        <v>#NAME?</v>
      </c>
      <c r="K67" s="8"/>
      <c r="L67" s="23" t="e">
        <f ca="1">_xll.EVPRO($B$1,H67,"JDEID")</f>
        <v>#NAME?</v>
      </c>
      <c r="M67" s="24" t="e">
        <f ca="1">IF(AND(I67="N",J67="N"),_xll.EVPRO($B$1,H67,"PSFTID"),"")</f>
        <v>#NAME?</v>
      </c>
      <c r="N67" s="23" t="e">
        <f ca="1">IF(_xll.EVDES(H67,$B$1)="#NODATA","",_xll.EVDES(H67,$B$1))</f>
        <v>#NAME?</v>
      </c>
      <c r="O67" s="73">
        <v>11403.47</v>
      </c>
      <c r="P67" s="246">
        <v>7310.84</v>
      </c>
      <c r="Q67" s="246">
        <v>11381.43</v>
      </c>
      <c r="R67" s="246">
        <v>5024.12</v>
      </c>
      <c r="S67" s="246">
        <v>8875.4599999999991</v>
      </c>
      <c r="T67" s="246">
        <v>7934.76</v>
      </c>
      <c r="U67" s="246">
        <v>9371.02</v>
      </c>
      <c r="V67" s="246">
        <v>6181.48</v>
      </c>
      <c r="W67" s="246">
        <v>8622.94</v>
      </c>
      <c r="X67" s="246">
        <v>10744.81</v>
      </c>
      <c r="Y67" s="246">
        <v>8508.26</v>
      </c>
      <c r="Z67" s="246">
        <v>10935.08</v>
      </c>
      <c r="AA67" s="246">
        <f t="shared" si="6"/>
        <v>106293.67</v>
      </c>
      <c r="AB67" s="75" t="str">
        <f t="shared" ca="1" si="1"/>
        <v/>
      </c>
      <c r="AD67" s="74">
        <v>145272</v>
      </c>
      <c r="AE67" s="75" t="str">
        <f t="shared" ca="1" si="2"/>
        <v/>
      </c>
      <c r="AF67" s="74">
        <f t="shared" si="3"/>
        <v>-38978.33</v>
      </c>
      <c r="AG67" s="74">
        <v>145974.13</v>
      </c>
      <c r="AH67" s="75" t="str">
        <f t="shared" ca="1" si="5"/>
        <v/>
      </c>
      <c r="AI67" s="266">
        <f t="shared" si="4"/>
        <v>-39680.460000000006</v>
      </c>
    </row>
    <row r="68" spans="7:35" x14ac:dyDescent="0.2">
      <c r="H68" s="10" t="s">
        <v>91</v>
      </c>
      <c r="I68" s="24" t="e">
        <f ca="1">_xll.EVPRO($B$1,$H68,"STYLE")</f>
        <v>#NAME?</v>
      </c>
      <c r="J68" s="24" t="e">
        <f ca="1">_xll.EVPRO($B$1,$H68,"CALC")</f>
        <v>#NAME?</v>
      </c>
      <c r="K68" s="24"/>
      <c r="L68" s="24" t="e">
        <f ca="1">_xll.EVPRO($B$1,H68,"JDEID")</f>
        <v>#NAME?</v>
      </c>
      <c r="M68" s="24" t="e">
        <f ca="1">IF(AND(I68="N",J68="N"),_xll.EVPRO($B$1,H68,"PSFTID"),"")</f>
        <v>#NAME?</v>
      </c>
      <c r="N68" s="24" t="e">
        <f ca="1">IF(_xll.EVDES(H68,$B$1)="#NODATA","",_xll.EVDES(H68,$B$1))</f>
        <v>#NAME?</v>
      </c>
      <c r="O68" s="87">
        <v>-1741.22</v>
      </c>
      <c r="P68" s="252">
        <v>-1025.6099999999999</v>
      </c>
      <c r="Q68" s="252">
        <v>-1058.22</v>
      </c>
      <c r="R68" s="252">
        <v>-1626.32</v>
      </c>
      <c r="S68" s="252">
        <v>-3710.56</v>
      </c>
      <c r="T68" s="252">
        <v>-3639.44</v>
      </c>
      <c r="U68" s="252">
        <v>-3073.46</v>
      </c>
      <c r="V68" s="252">
        <v>-1723.49</v>
      </c>
      <c r="W68" s="252">
        <v>-2501.6799999999998</v>
      </c>
      <c r="X68" s="252">
        <v>-1993.38</v>
      </c>
      <c r="Y68" s="252">
        <v>-3049.66</v>
      </c>
      <c r="Z68" s="252">
        <v>-2717.71</v>
      </c>
      <c r="AA68" s="252">
        <f t="shared" si="6"/>
        <v>-27860.750000000004</v>
      </c>
      <c r="AB68" s="101" t="str">
        <f t="shared" ca="1" si="1"/>
        <v/>
      </c>
      <c r="AD68" s="88">
        <v>-37087</v>
      </c>
      <c r="AE68" s="101" t="str">
        <f t="shared" ca="1" si="2"/>
        <v/>
      </c>
      <c r="AF68" s="88">
        <f t="shared" si="3"/>
        <v>9226.2499999999964</v>
      </c>
      <c r="AG68" s="88">
        <v>-30703.7</v>
      </c>
      <c r="AH68" s="101" t="str">
        <f t="shared" ca="1" si="5"/>
        <v/>
      </c>
      <c r="AI68" s="272">
        <f t="shared" si="4"/>
        <v>2842.9499999999971</v>
      </c>
    </row>
    <row r="69" spans="7:35" x14ac:dyDescent="0.2">
      <c r="G69" s="13"/>
      <c r="H69" s="10" t="s">
        <v>72</v>
      </c>
      <c r="I69" s="26" t="e">
        <f ca="1">_xll.EVPRO($B$1,$H69,"STYLE")</f>
        <v>#NAME?</v>
      </c>
      <c r="J69" s="26" t="e">
        <f ca="1">_xll.EVPRO($B$1,$H69,"CALC")</f>
        <v>#NAME?</v>
      </c>
      <c r="K69" s="8"/>
      <c r="L69" s="23" t="e">
        <f ca="1">_xll.EVPRO($B$1,H69,"JDEID")</f>
        <v>#NAME?</v>
      </c>
      <c r="M69" s="24" t="e">
        <f ca="1">IF(AND(I69="N",J69="N"),_xll.EVPRO($B$1,H69,"PSFTID"),"")</f>
        <v>#NAME?</v>
      </c>
      <c r="N69" s="23" t="e">
        <f ca="1">IF(_xll.EVDES(H69,$B$1)="#NODATA","",_xll.EVDES(H69,$B$1))</f>
        <v>#NAME?</v>
      </c>
      <c r="O69" s="137">
        <v>1050758.76</v>
      </c>
      <c r="P69" s="249">
        <v>1248796.71</v>
      </c>
      <c r="Q69" s="249">
        <v>1184238.79</v>
      </c>
      <c r="R69" s="249">
        <v>954187.37</v>
      </c>
      <c r="S69" s="249">
        <v>777023.21</v>
      </c>
      <c r="T69" s="249">
        <v>530980.69999999995</v>
      </c>
      <c r="U69" s="249">
        <v>541151.31000000006</v>
      </c>
      <c r="V69" s="249">
        <v>480845.86</v>
      </c>
      <c r="W69" s="249">
        <v>421055.73</v>
      </c>
      <c r="X69" s="249">
        <v>610221.82999999996</v>
      </c>
      <c r="Y69" s="249">
        <v>695259.21</v>
      </c>
      <c r="Z69" s="249">
        <v>1001887.74</v>
      </c>
      <c r="AA69" s="249">
        <f t="shared" si="6"/>
        <v>9496407.2200000007</v>
      </c>
      <c r="AB69" s="138" t="str">
        <f t="shared" ca="1" si="1"/>
        <v/>
      </c>
      <c r="AD69" s="139">
        <v>9985571.8200000003</v>
      </c>
      <c r="AE69" s="138" t="str">
        <f t="shared" ca="1" si="2"/>
        <v/>
      </c>
      <c r="AF69" s="139">
        <f t="shared" si="3"/>
        <v>-489164.59999999963</v>
      </c>
      <c r="AG69" s="139">
        <v>9807993.3300000001</v>
      </c>
      <c r="AH69" s="138" t="str">
        <f t="shared" ca="1" si="5"/>
        <v/>
      </c>
      <c r="AI69" s="269">
        <f t="shared" si="4"/>
        <v>-311586.1099999994</v>
      </c>
    </row>
    <row r="70" spans="7:35" x14ac:dyDescent="0.2">
      <c r="G70" s="13"/>
      <c r="H70" s="69"/>
      <c r="O70" s="50"/>
      <c r="AB70" s="51"/>
      <c r="AD70" s="50"/>
      <c r="AF70" s="51"/>
      <c r="AG70" s="50"/>
      <c r="AI70" s="51"/>
    </row>
    <row r="71" spans="7:35" x14ac:dyDescent="0.2">
      <c r="G71" s="13"/>
      <c r="H71" s="1" t="s">
        <v>173</v>
      </c>
      <c r="I71" s="11" t="e">
        <f ca="1">_xll.EVPRO($B$1,$H71,"STYLE")</f>
        <v>#NAME?</v>
      </c>
      <c r="J71" s="11" t="e">
        <f ca="1">_xll.EVPRO($B$1,$H71,"CALC")</f>
        <v>#NAME?</v>
      </c>
      <c r="N71" s="37" t="e">
        <f ca="1">IF(_xll.EVDES(H71,$B$1)="#NODATA","",_xll.EVDES(H71,$B$1))</f>
        <v>#NAME?</v>
      </c>
      <c r="O71" s="50"/>
      <c r="AB71" s="281" t="s">
        <v>742</v>
      </c>
      <c r="AD71" s="50"/>
      <c r="AF71" s="51"/>
      <c r="AG71" s="50"/>
      <c r="AI71" s="51"/>
    </row>
    <row r="72" spans="7:35" x14ac:dyDescent="0.2">
      <c r="H72" s="10" t="s">
        <v>142</v>
      </c>
      <c r="I72" s="26" t="e">
        <f ca="1">_xll.EVPRO($B$1,$H72,"STYLE")</f>
        <v>#NAME?</v>
      </c>
      <c r="J72" s="26" t="e">
        <f ca="1">_xll.EVPRO($B$1,$H72,"CALC")</f>
        <v>#NAME?</v>
      </c>
      <c r="K72" s="65"/>
      <c r="L72" s="23" t="e">
        <f ca="1">_xll.EVPRO($B$1,H72,"JDEID")</f>
        <v>#NAME?</v>
      </c>
      <c r="M72" s="24" t="e">
        <f ca="1">IF(AND(I72="N",J72="N"),_xll.EVPRO($B$1,H72,"PSFTID"),"")</f>
        <v>#NAME?</v>
      </c>
      <c r="N72" s="23" t="e">
        <f ca="1">IF(_xll.EVDES(H72,$B$1)="#NODATA","",_xll.EVDES(H72,$B$1))</f>
        <v>#NAME?</v>
      </c>
      <c r="O72" s="73">
        <v>1410</v>
      </c>
      <c r="P72" s="246">
        <v>1032</v>
      </c>
      <c r="Q72" s="246">
        <v>1339</v>
      </c>
      <c r="R72" s="246">
        <v>1302</v>
      </c>
      <c r="S72" s="246">
        <v>1530</v>
      </c>
      <c r="T72" s="246">
        <v>1188</v>
      </c>
      <c r="U72" s="246">
        <v>1296</v>
      </c>
      <c r="V72" s="246">
        <v>1520</v>
      </c>
      <c r="W72" s="246">
        <v>956</v>
      </c>
      <c r="X72" s="246">
        <v>1132</v>
      </c>
      <c r="Y72" s="246">
        <v>1339</v>
      </c>
      <c r="Z72" s="246">
        <v>1421</v>
      </c>
      <c r="AA72" s="246">
        <f t="shared" ref="AA72:AA116" si="7">SUM(O72:Z72)</f>
        <v>15465</v>
      </c>
      <c r="AB72" s="103" t="str">
        <f t="shared" ref="AB72:AB116" ca="1" si="8">IF($H72="907300",TEXT(IFERROR(AA72/AA$20,""),"0.00"),IF(AA72=0,"",IFERROR(AA72/AA$20,"")))</f>
        <v/>
      </c>
      <c r="AD72" s="74">
        <v>15324</v>
      </c>
      <c r="AE72" s="103" t="str">
        <f t="shared" ref="AE72:AE116" ca="1" si="9">IF($H72="907300",TEXT(IFERROR(AD72/AD$20,""),"0.00"),IF(AD72=0,"",IFERROR(AD72/AD$20,"""")))</f>
        <v>"</v>
      </c>
      <c r="AF72" s="74">
        <f t="shared" ref="AF72:AF116" si="10">IF(AND($AA72="",AD72=""),"",$AA72-AD72)</f>
        <v>141</v>
      </c>
      <c r="AG72" s="74">
        <v>16060</v>
      </c>
      <c r="AH72" s="103" t="str">
        <f ca="1">IF($H72="907300",TEXT(IFERROR(AG72/AG$20,""),"0.00"),IF(AG72=0,"",IFERROR(AG72/AG$20,"""")))</f>
        <v>"</v>
      </c>
      <c r="AI72" s="266">
        <f t="shared" ref="AI72:AI116" si="11">IF(AND($AA72="",AG72=""),"",$AA72-AG72)</f>
        <v>-595</v>
      </c>
    </row>
    <row r="73" spans="7:35" x14ac:dyDescent="0.2">
      <c r="H73" s="10" t="s">
        <v>143</v>
      </c>
      <c r="I73" s="24" t="e">
        <f ca="1">_xll.EVPRO($B$1,$H73,"STYLE")</f>
        <v>#NAME?</v>
      </c>
      <c r="J73" s="24" t="e">
        <f ca="1">_xll.EVPRO($B$1,$H73,"CALC")</f>
        <v>#NAME?</v>
      </c>
      <c r="K73" s="24"/>
      <c r="L73" s="24" t="e">
        <f ca="1">_xll.EVPRO($B$1,H73,"JDEID")</f>
        <v>#NAME?</v>
      </c>
      <c r="M73" s="24" t="e">
        <f ca="1">IF(AND(I73="N",J73="N"),_xll.EVPRO($B$1,H73,"PSFTID"),"")</f>
        <v>#NAME?</v>
      </c>
      <c r="N73" s="24" t="e">
        <f ca="1">IF(_xll.EVDES(H73,$B$1)="#NODATA","",_xll.EVDES(H73,$B$1))</f>
        <v>#NAME?</v>
      </c>
      <c r="O73" s="82">
        <v>168</v>
      </c>
      <c r="P73" s="247">
        <v>237</v>
      </c>
      <c r="Q73" s="247">
        <v>183</v>
      </c>
      <c r="R73" s="247">
        <v>46</v>
      </c>
      <c r="S73" s="247">
        <v>140</v>
      </c>
      <c r="T73" s="247">
        <v>139</v>
      </c>
      <c r="U73" s="247">
        <v>161</v>
      </c>
      <c r="V73" s="247">
        <v>79</v>
      </c>
      <c r="W73" s="247">
        <v>84</v>
      </c>
      <c r="X73" s="247">
        <v>80</v>
      </c>
      <c r="Y73" s="247">
        <v>71</v>
      </c>
      <c r="Z73" s="247">
        <v>78</v>
      </c>
      <c r="AA73" s="247">
        <f t="shared" si="7"/>
        <v>1466</v>
      </c>
      <c r="AB73" s="104" t="str">
        <f t="shared" ca="1" si="8"/>
        <v/>
      </c>
      <c r="AD73" s="83">
        <v>2509</v>
      </c>
      <c r="AE73" s="104" t="str">
        <f t="shared" ca="1" si="9"/>
        <v>"</v>
      </c>
      <c r="AF73" s="83">
        <f t="shared" si="10"/>
        <v>-1043</v>
      </c>
      <c r="AG73" s="83">
        <v>2348</v>
      </c>
      <c r="AH73" s="104" t="str">
        <f t="shared" ref="AH73:AH116" ca="1" si="12">IF($H73="907300",TEXT(IFERROR(AG73/AG$20,""),"0.00"),IF(AG73=0,"",IFERROR(AG73/AG$20,"""")))</f>
        <v>"</v>
      </c>
      <c r="AI73" s="267">
        <f t="shared" si="11"/>
        <v>-882</v>
      </c>
    </row>
    <row r="74" spans="7:35" x14ac:dyDescent="0.2">
      <c r="H74" s="10" t="s">
        <v>144</v>
      </c>
      <c r="I74" s="24" t="e">
        <f ca="1">_xll.EVPRO($B$1,$H74,"STYLE")</f>
        <v>#NAME?</v>
      </c>
      <c r="J74" s="24" t="e">
        <f ca="1">_xll.EVPRO($B$1,$H74,"CALC")</f>
        <v>#NAME?</v>
      </c>
      <c r="K74" s="24"/>
      <c r="L74" s="24" t="e">
        <f ca="1">_xll.EVPRO($B$1,H74,"JDEID")</f>
        <v>#NAME?</v>
      </c>
      <c r="M74" s="24" t="e">
        <f ca="1">IF(AND(I74="N",J74="N"),_xll.EVPRO($B$1,H74,"PSFTID"),"")</f>
        <v>#NAME?</v>
      </c>
      <c r="N74" s="24" t="e">
        <f ca="1">IF(_xll.EVDES(H74,$B$1)="#NODATA","",_xll.EVDES(H74,$B$1))</f>
        <v>#NAME?</v>
      </c>
      <c r="O74" s="82">
        <v>1242</v>
      </c>
      <c r="P74" s="247">
        <v>795</v>
      </c>
      <c r="Q74" s="247">
        <v>1156</v>
      </c>
      <c r="R74" s="247">
        <v>1256</v>
      </c>
      <c r="S74" s="247">
        <v>1390</v>
      </c>
      <c r="T74" s="247">
        <v>1049</v>
      </c>
      <c r="U74" s="247">
        <v>1135</v>
      </c>
      <c r="V74" s="247">
        <v>1441</v>
      </c>
      <c r="W74" s="247">
        <v>872</v>
      </c>
      <c r="X74" s="247">
        <v>1052</v>
      </c>
      <c r="Y74" s="247">
        <v>1268</v>
      </c>
      <c r="Z74" s="247">
        <v>1343</v>
      </c>
      <c r="AA74" s="247">
        <f t="shared" si="7"/>
        <v>13999</v>
      </c>
      <c r="AB74" s="104" t="str">
        <f t="shared" ca="1" si="8"/>
        <v/>
      </c>
      <c r="AD74" s="83">
        <v>12815</v>
      </c>
      <c r="AE74" s="104" t="str">
        <f t="shared" ca="1" si="9"/>
        <v>"</v>
      </c>
      <c r="AF74" s="83">
        <f t="shared" si="10"/>
        <v>1184</v>
      </c>
      <c r="AG74" s="83">
        <v>13712</v>
      </c>
      <c r="AH74" s="104" t="str">
        <f t="shared" ca="1" si="12"/>
        <v>"</v>
      </c>
      <c r="AI74" s="267">
        <f t="shared" si="11"/>
        <v>287</v>
      </c>
    </row>
    <row r="75" spans="7:35" x14ac:dyDescent="0.2">
      <c r="H75" s="10" t="s">
        <v>145</v>
      </c>
      <c r="I75" s="26" t="e">
        <f ca="1">_xll.EVPRO($B$1,$H75,"STYLE")</f>
        <v>#NAME?</v>
      </c>
      <c r="J75" s="26" t="e">
        <f ca="1">_xll.EVPRO($B$1,$H75,"CALC")</f>
        <v>#NAME?</v>
      </c>
      <c r="K75" s="65"/>
      <c r="L75" s="23" t="e">
        <f ca="1">_xll.EVPRO($B$1,H75,"JDEID")</f>
        <v>#NAME?</v>
      </c>
      <c r="M75" s="24" t="e">
        <f ca="1">IF(AND(I75="N",J75="N"),_xll.EVPRO($B$1,H75,"PSFTID"),"")</f>
        <v>#NAME?</v>
      </c>
      <c r="N75" s="23" t="e">
        <f ca="1">IF(_xll.EVDES(H75,$B$1)="#NODATA","",_xll.EVDES(H75,$B$1))</f>
        <v>#NAME?</v>
      </c>
      <c r="O75" s="73">
        <v>1002</v>
      </c>
      <c r="P75" s="246">
        <v>1111</v>
      </c>
      <c r="Q75" s="246">
        <v>1517</v>
      </c>
      <c r="R75" s="246">
        <v>1615</v>
      </c>
      <c r="S75" s="246">
        <v>1263</v>
      </c>
      <c r="T75" s="246">
        <v>1159</v>
      </c>
      <c r="U75" s="246">
        <v>1275</v>
      </c>
      <c r="V75" s="246">
        <v>1164</v>
      </c>
      <c r="W75" s="246">
        <v>933</v>
      </c>
      <c r="X75" s="246">
        <v>1233</v>
      </c>
      <c r="Y75" s="246">
        <v>1424</v>
      </c>
      <c r="Z75" s="246">
        <v>1546</v>
      </c>
      <c r="AA75" s="246">
        <f t="shared" si="7"/>
        <v>15242</v>
      </c>
      <c r="AB75" s="103" t="str">
        <f t="shared" ca="1" si="8"/>
        <v/>
      </c>
      <c r="AD75" s="74">
        <v>14115</v>
      </c>
      <c r="AE75" s="103" t="str">
        <f t="shared" ca="1" si="9"/>
        <v>"</v>
      </c>
      <c r="AF75" s="74">
        <f t="shared" si="10"/>
        <v>1127</v>
      </c>
      <c r="AG75" s="74">
        <v>13583</v>
      </c>
      <c r="AH75" s="103" t="str">
        <f t="shared" ca="1" si="12"/>
        <v>"</v>
      </c>
      <c r="AI75" s="266">
        <f t="shared" si="11"/>
        <v>1659</v>
      </c>
    </row>
    <row r="76" spans="7:35" x14ac:dyDescent="0.2">
      <c r="G76" s="13"/>
      <c r="H76" s="10" t="s">
        <v>146</v>
      </c>
      <c r="I76" s="24" t="e">
        <f ca="1">_xll.EVPRO($B$1,$H76,"STYLE")</f>
        <v>#NAME?</v>
      </c>
      <c r="J76" s="24" t="e">
        <f ca="1">_xll.EVPRO($B$1,$H76,"CALC")</f>
        <v>#NAME?</v>
      </c>
      <c r="K76" s="24"/>
      <c r="L76" s="24" t="e">
        <f ca="1">_xll.EVPRO($B$1,H76,"JDEID")</f>
        <v>#NAME?</v>
      </c>
      <c r="M76" s="24" t="e">
        <f ca="1">IF(AND(I76="N",J76="N"),_xll.EVPRO($B$1,H76,"PSFTID"),"")</f>
        <v>#NAME?</v>
      </c>
      <c r="N76" s="24" t="e">
        <f ca="1">IF(_xll.EVDES(H76,$B$1)="#NODATA","",_xll.EVDES(H76,$B$1))</f>
        <v>#NAME?</v>
      </c>
      <c r="O76" s="82">
        <v>27</v>
      </c>
      <c r="P76" s="247">
        <v>27</v>
      </c>
      <c r="Q76" s="247">
        <v>12</v>
      </c>
      <c r="R76" s="247">
        <v>10</v>
      </c>
      <c r="S76" s="247">
        <v>23</v>
      </c>
      <c r="T76" s="247">
        <v>10</v>
      </c>
      <c r="U76" s="247">
        <v>29</v>
      </c>
      <c r="V76" s="247">
        <v>28</v>
      </c>
      <c r="W76" s="247">
        <v>24</v>
      </c>
      <c r="X76" s="247">
        <v>31</v>
      </c>
      <c r="Y76" s="247">
        <v>54</v>
      </c>
      <c r="Z76" s="247">
        <v>27</v>
      </c>
      <c r="AA76" s="247">
        <f t="shared" si="7"/>
        <v>302</v>
      </c>
      <c r="AB76" s="104" t="str">
        <f t="shared" ca="1" si="8"/>
        <v/>
      </c>
      <c r="AD76" s="83">
        <v>430</v>
      </c>
      <c r="AE76" s="104" t="str">
        <f t="shared" ca="1" si="9"/>
        <v>"</v>
      </c>
      <c r="AF76" s="83">
        <f t="shared" si="10"/>
        <v>-128</v>
      </c>
      <c r="AG76" s="83">
        <v>384</v>
      </c>
      <c r="AH76" s="104" t="str">
        <f t="shared" ca="1" si="12"/>
        <v>"</v>
      </c>
      <c r="AI76" s="267">
        <f t="shared" si="11"/>
        <v>-82</v>
      </c>
    </row>
    <row r="77" spans="7:35" x14ac:dyDescent="0.2">
      <c r="G77" s="13"/>
      <c r="H77" s="10" t="s">
        <v>147</v>
      </c>
      <c r="I77" s="24" t="e">
        <f ca="1">_xll.EVPRO($B$1,$H77,"STYLE")</f>
        <v>#NAME?</v>
      </c>
      <c r="J77" s="24" t="e">
        <f ca="1">_xll.EVPRO($B$1,$H77,"CALC")</f>
        <v>#NAME?</v>
      </c>
      <c r="K77" s="24"/>
      <c r="L77" s="24" t="e">
        <f ca="1">_xll.EVPRO($B$1,H77,"JDEID")</f>
        <v>#NAME?</v>
      </c>
      <c r="M77" s="24" t="e">
        <f ca="1">IF(AND(I77="N",J77="N"),_xll.EVPRO($B$1,H77,"PSFTID"),"")</f>
        <v>#NAME?</v>
      </c>
      <c r="N77" s="24" t="e">
        <f ca="1">IF(_xll.EVDES(H77,$B$1)="#NODATA","",_xll.EVDES(H77,$B$1))</f>
        <v>#NAME?</v>
      </c>
      <c r="O77" s="82">
        <v>119</v>
      </c>
      <c r="P77" s="247">
        <v>74</v>
      </c>
      <c r="Q77" s="247">
        <v>131</v>
      </c>
      <c r="R77" s="247">
        <v>112</v>
      </c>
      <c r="S77" s="247">
        <v>74</v>
      </c>
      <c r="T77" s="247">
        <v>44</v>
      </c>
      <c r="U77" s="247">
        <v>90</v>
      </c>
      <c r="V77" s="247">
        <v>82</v>
      </c>
      <c r="W77" s="247">
        <v>100</v>
      </c>
      <c r="X77" s="247">
        <v>51</v>
      </c>
      <c r="Y77" s="247">
        <v>58</v>
      </c>
      <c r="Z77" s="247">
        <v>70</v>
      </c>
      <c r="AA77" s="247">
        <f t="shared" si="7"/>
        <v>1005</v>
      </c>
      <c r="AB77" s="104" t="str">
        <f t="shared" ca="1" si="8"/>
        <v/>
      </c>
      <c r="AD77" s="83">
        <v>1160</v>
      </c>
      <c r="AE77" s="104" t="str">
        <f t="shared" ca="1" si="9"/>
        <v>"</v>
      </c>
      <c r="AF77" s="83">
        <f t="shared" si="10"/>
        <v>-155</v>
      </c>
      <c r="AG77" s="83">
        <v>845</v>
      </c>
      <c r="AH77" s="104" t="str">
        <f t="shared" ca="1" si="12"/>
        <v>"</v>
      </c>
      <c r="AI77" s="267">
        <f t="shared" si="11"/>
        <v>160</v>
      </c>
    </row>
    <row r="78" spans="7:35" x14ac:dyDescent="0.2">
      <c r="H78" s="10" t="s">
        <v>148</v>
      </c>
      <c r="I78" s="24" t="e">
        <f ca="1">_xll.EVPRO($B$1,$H78,"STYLE")</f>
        <v>#NAME?</v>
      </c>
      <c r="J78" s="24" t="e">
        <f ca="1">_xll.EVPRO($B$1,$H78,"CALC")</f>
        <v>#NAME?</v>
      </c>
      <c r="K78" s="24"/>
      <c r="L78" s="24" t="e">
        <f ca="1">_xll.EVPRO($B$1,H78,"JDEID")</f>
        <v>#NAME?</v>
      </c>
      <c r="M78" s="24" t="e">
        <f ca="1">IF(AND(I78="N",J78="N"),_xll.EVPRO($B$1,H78,"PSFTID"),"")</f>
        <v>#NAME?</v>
      </c>
      <c r="N78" s="24" t="e">
        <f ca="1">IF(_xll.EVDES(H78,$B$1)="#NODATA","",_xll.EVDES(H78,$B$1))</f>
        <v>#NAME?</v>
      </c>
      <c r="O78" s="82">
        <v>305</v>
      </c>
      <c r="P78" s="247">
        <v>302</v>
      </c>
      <c r="Q78" s="247">
        <v>415</v>
      </c>
      <c r="R78" s="247">
        <v>349</v>
      </c>
      <c r="S78" s="247">
        <v>435</v>
      </c>
      <c r="T78" s="247">
        <v>458</v>
      </c>
      <c r="U78" s="247">
        <v>459</v>
      </c>
      <c r="V78" s="247">
        <v>327</v>
      </c>
      <c r="W78" s="247">
        <v>269</v>
      </c>
      <c r="X78" s="247">
        <v>344</v>
      </c>
      <c r="Y78" s="247">
        <v>487</v>
      </c>
      <c r="Z78" s="247">
        <v>556</v>
      </c>
      <c r="AA78" s="247">
        <f t="shared" si="7"/>
        <v>4706</v>
      </c>
      <c r="AB78" s="104" t="str">
        <f t="shared" ca="1" si="8"/>
        <v/>
      </c>
      <c r="AD78" s="83">
        <v>3322</v>
      </c>
      <c r="AE78" s="104" t="str">
        <f t="shared" ca="1" si="9"/>
        <v>"</v>
      </c>
      <c r="AF78" s="83">
        <f t="shared" si="10"/>
        <v>1384</v>
      </c>
      <c r="AG78" s="83">
        <v>3051</v>
      </c>
      <c r="AH78" s="104" t="str">
        <f t="shared" ca="1" si="12"/>
        <v>"</v>
      </c>
      <c r="AI78" s="267">
        <f t="shared" si="11"/>
        <v>1655</v>
      </c>
    </row>
    <row r="79" spans="7:35" x14ac:dyDescent="0.2">
      <c r="H79" s="10" t="s">
        <v>149</v>
      </c>
      <c r="I79" s="24" t="e">
        <f ca="1">_xll.EVPRO($B$1,$H79,"STYLE")</f>
        <v>#NAME?</v>
      </c>
      <c r="J79" s="24" t="e">
        <f ca="1">_xll.EVPRO($B$1,$H79,"CALC")</f>
        <v>#NAME?</v>
      </c>
      <c r="K79" s="24"/>
      <c r="L79" s="24" t="e">
        <f ca="1">_xll.EVPRO($B$1,H79,"JDEID")</f>
        <v>#NAME?</v>
      </c>
      <c r="M79" s="24" t="e">
        <f ca="1">IF(AND(I79="N",J79="N"),_xll.EVPRO($B$1,H79,"PSFTID"),"")</f>
        <v>#NAME?</v>
      </c>
      <c r="N79" s="24" t="e">
        <f ca="1">IF(_xll.EVDES(H79,$B$1)="#NODATA","",_xll.EVDES(H79,$B$1))</f>
        <v>#NAME?</v>
      </c>
      <c r="O79" s="82">
        <v>23</v>
      </c>
      <c r="P79" s="247">
        <v>4</v>
      </c>
      <c r="Q79" s="247">
        <v>2</v>
      </c>
      <c r="R79" s="247">
        <v>3</v>
      </c>
      <c r="S79" s="247"/>
      <c r="T79" s="247"/>
      <c r="U79" s="247"/>
      <c r="V79" s="247"/>
      <c r="W79" s="247"/>
      <c r="X79" s="247"/>
      <c r="Y79" s="247">
        <v>4</v>
      </c>
      <c r="Z79" s="247">
        <v>2</v>
      </c>
      <c r="AA79" s="247">
        <f t="shared" si="7"/>
        <v>38</v>
      </c>
      <c r="AB79" s="104" t="str">
        <f t="shared" ca="1" si="8"/>
        <v/>
      </c>
      <c r="AD79" s="83">
        <v>2</v>
      </c>
      <c r="AE79" s="104" t="str">
        <f t="shared" ca="1" si="9"/>
        <v>"</v>
      </c>
      <c r="AF79" s="83">
        <f t="shared" si="10"/>
        <v>36</v>
      </c>
      <c r="AG79" s="83">
        <v>842</v>
      </c>
      <c r="AH79" s="104" t="str">
        <f t="shared" ca="1" si="12"/>
        <v>"</v>
      </c>
      <c r="AI79" s="267">
        <f t="shared" si="11"/>
        <v>-804</v>
      </c>
    </row>
    <row r="80" spans="7:35" x14ac:dyDescent="0.2">
      <c r="H80" s="10" t="s">
        <v>150</v>
      </c>
      <c r="I80" s="24" t="e">
        <f ca="1">_xll.EVPRO($B$1,$H80,"STYLE")</f>
        <v>#NAME?</v>
      </c>
      <c r="J80" s="24" t="e">
        <f ca="1">_xll.EVPRO($B$1,$H80,"CALC")</f>
        <v>#NAME?</v>
      </c>
      <c r="K80" s="24"/>
      <c r="L80" s="24" t="e">
        <f ca="1">_xll.EVPRO($B$1,H80,"JDEID")</f>
        <v>#NAME?</v>
      </c>
      <c r="M80" s="24" t="e">
        <f ca="1">IF(AND(I80="N",J80="N"),_xll.EVPRO($B$1,H80,"PSFTID"),"")</f>
        <v>#NAME?</v>
      </c>
      <c r="N80" s="24" t="e">
        <f ca="1">IF(_xll.EVDES(H80,$B$1)="#NODATA","",_xll.EVDES(H80,$B$1))</f>
        <v>#NAME?</v>
      </c>
      <c r="O80" s="82">
        <v>528</v>
      </c>
      <c r="P80" s="247">
        <v>704</v>
      </c>
      <c r="Q80" s="247">
        <v>957</v>
      </c>
      <c r="R80" s="247">
        <v>1141</v>
      </c>
      <c r="S80" s="247">
        <v>731</v>
      </c>
      <c r="T80" s="247">
        <v>647</v>
      </c>
      <c r="U80" s="247">
        <v>697</v>
      </c>
      <c r="V80" s="247">
        <v>727</v>
      </c>
      <c r="W80" s="247">
        <v>540</v>
      </c>
      <c r="X80" s="247">
        <v>807</v>
      </c>
      <c r="Y80" s="247">
        <v>821</v>
      </c>
      <c r="Z80" s="247">
        <v>891</v>
      </c>
      <c r="AA80" s="247">
        <f t="shared" si="7"/>
        <v>9191</v>
      </c>
      <c r="AB80" s="104" t="str">
        <f t="shared" ca="1" si="8"/>
        <v/>
      </c>
      <c r="AD80" s="83">
        <v>9201</v>
      </c>
      <c r="AE80" s="104" t="str">
        <f t="shared" ca="1" si="9"/>
        <v>"</v>
      </c>
      <c r="AF80" s="83">
        <f t="shared" si="10"/>
        <v>-10</v>
      </c>
      <c r="AG80" s="83">
        <v>8461</v>
      </c>
      <c r="AH80" s="104" t="str">
        <f t="shared" ca="1" si="12"/>
        <v>"</v>
      </c>
      <c r="AI80" s="267">
        <f t="shared" si="11"/>
        <v>730</v>
      </c>
    </row>
    <row r="81" spans="8:35" x14ac:dyDescent="0.2">
      <c r="H81" s="10" t="s">
        <v>151</v>
      </c>
      <c r="I81" s="24" t="e">
        <f ca="1">_xll.EVPRO($B$1,$H81,"STYLE")</f>
        <v>#NAME?</v>
      </c>
      <c r="J81" s="24" t="e">
        <f ca="1">_xll.EVPRO($B$1,$H81,"CALC")</f>
        <v>#NAME?</v>
      </c>
      <c r="K81" s="24"/>
      <c r="L81" s="24" t="e">
        <f ca="1">_xll.EVPRO($B$1,H81,"JDEID")</f>
        <v>#NAME?</v>
      </c>
      <c r="M81" s="24" t="e">
        <f ca="1">IF(AND(I81="N",J81="N"),_xll.EVPRO($B$1,H81,"PSFTID"),"")</f>
        <v>#NAME?</v>
      </c>
      <c r="N81" s="24" t="e">
        <f ca="1">IF(_xll.EVDES(H81,$B$1)="#NODATA","",_xll.EVDES(H81,$B$1))</f>
        <v>#NAME?</v>
      </c>
      <c r="O81" s="82"/>
      <c r="P81" s="247"/>
      <c r="Q81" s="247"/>
      <c r="R81" s="247"/>
      <c r="S81" s="247"/>
      <c r="T81" s="247"/>
      <c r="U81" s="247"/>
      <c r="V81" s="247"/>
      <c r="W81" s="247"/>
      <c r="X81" s="247"/>
      <c r="Y81" s="247"/>
      <c r="Z81" s="247"/>
      <c r="AA81" s="247">
        <f t="shared" si="7"/>
        <v>0</v>
      </c>
      <c r="AB81" s="104" t="str">
        <f t="shared" si="8"/>
        <v/>
      </c>
      <c r="AD81" s="83"/>
      <c r="AE81" s="104" t="str">
        <f t="shared" si="9"/>
        <v/>
      </c>
      <c r="AF81" s="83">
        <f t="shared" si="10"/>
        <v>0</v>
      </c>
      <c r="AG81" s="83"/>
      <c r="AH81" s="104" t="str">
        <f t="shared" si="12"/>
        <v/>
      </c>
      <c r="AI81" s="267">
        <f t="shared" si="11"/>
        <v>0</v>
      </c>
    </row>
    <row r="82" spans="8:35" x14ac:dyDescent="0.2">
      <c r="H82" s="10" t="s">
        <v>152</v>
      </c>
      <c r="I82" s="26" t="e">
        <f ca="1">_xll.EVPRO($B$1,$H82,"STYLE")</f>
        <v>#NAME?</v>
      </c>
      <c r="J82" s="26" t="e">
        <f ca="1">_xll.EVPRO($B$1,$H82,"CALC")</f>
        <v>#NAME?</v>
      </c>
      <c r="K82" s="65"/>
      <c r="L82" s="23" t="e">
        <f ca="1">_xll.EVPRO($B$1,H82,"JDEID")</f>
        <v>#NAME?</v>
      </c>
      <c r="M82" s="24" t="e">
        <f ca="1">IF(AND(I82="N",J82="N"),_xll.EVPRO($B$1,H82,"PSFTID"),"")</f>
        <v>#NAME?</v>
      </c>
      <c r="N82" s="23" t="e">
        <f ca="1">IF(_xll.EVDES(H82,$B$1)="#NODATA","",_xll.EVDES(H82,$B$1))</f>
        <v>#NAME?</v>
      </c>
      <c r="O82" s="73">
        <v>362</v>
      </c>
      <c r="P82" s="246">
        <v>242</v>
      </c>
      <c r="Q82" s="246">
        <v>126</v>
      </c>
      <c r="R82" s="246">
        <v>84</v>
      </c>
      <c r="S82" s="246">
        <v>81</v>
      </c>
      <c r="T82" s="246">
        <v>48</v>
      </c>
      <c r="U82" s="246">
        <v>36</v>
      </c>
      <c r="V82" s="246">
        <v>29</v>
      </c>
      <c r="W82" s="246">
        <v>35</v>
      </c>
      <c r="X82" s="246">
        <v>145</v>
      </c>
      <c r="Y82" s="246">
        <v>170</v>
      </c>
      <c r="Z82" s="246">
        <v>96</v>
      </c>
      <c r="AA82" s="246">
        <f t="shared" si="7"/>
        <v>1454</v>
      </c>
      <c r="AB82" s="103" t="str">
        <f t="shared" ca="1" si="8"/>
        <v/>
      </c>
      <c r="AD82" s="74">
        <v>1387</v>
      </c>
      <c r="AE82" s="103" t="str">
        <f t="shared" ca="1" si="9"/>
        <v>"</v>
      </c>
      <c r="AF82" s="74">
        <f t="shared" si="10"/>
        <v>67</v>
      </c>
      <c r="AG82" s="74">
        <v>1278</v>
      </c>
      <c r="AH82" s="103" t="str">
        <f t="shared" ca="1" si="12"/>
        <v>"</v>
      </c>
      <c r="AI82" s="266">
        <f t="shared" si="11"/>
        <v>176</v>
      </c>
    </row>
    <row r="83" spans="8:35" x14ac:dyDescent="0.2">
      <c r="H83" s="10" t="s">
        <v>153</v>
      </c>
      <c r="I83" s="24" t="e">
        <f ca="1">_xll.EVPRO($B$1,$H83,"STYLE")</f>
        <v>#NAME?</v>
      </c>
      <c r="J83" s="24" t="e">
        <f ca="1">_xll.EVPRO($B$1,$H83,"CALC")</f>
        <v>#NAME?</v>
      </c>
      <c r="K83" s="24"/>
      <c r="L83" s="24" t="e">
        <f ca="1">_xll.EVPRO($B$1,H83,"JDEID")</f>
        <v>#NAME?</v>
      </c>
      <c r="M83" s="24" t="e">
        <f ca="1">IF(AND(I83="N",J83="N"),_xll.EVPRO($B$1,H83,"PSFTID"),"")</f>
        <v>#NAME?</v>
      </c>
      <c r="N83" s="24" t="e">
        <f ca="1">IF(_xll.EVDES(H83,$B$1)="#NODATA","",_xll.EVDES(H83,$B$1))</f>
        <v>#NAME?</v>
      </c>
      <c r="O83" s="82">
        <v>23</v>
      </c>
      <c r="P83" s="247">
        <v>35</v>
      </c>
      <c r="Q83" s="247">
        <v>14</v>
      </c>
      <c r="R83" s="247">
        <v>12</v>
      </c>
      <c r="S83" s="247">
        <v>4</v>
      </c>
      <c r="T83" s="247"/>
      <c r="U83" s="247">
        <v>5</v>
      </c>
      <c r="V83" s="247">
        <v>2</v>
      </c>
      <c r="W83" s="247">
        <v>9</v>
      </c>
      <c r="X83" s="247">
        <v>16</v>
      </c>
      <c r="Y83" s="247">
        <v>36</v>
      </c>
      <c r="Z83" s="247">
        <v>6</v>
      </c>
      <c r="AA83" s="247">
        <f t="shared" si="7"/>
        <v>162</v>
      </c>
      <c r="AB83" s="104" t="str">
        <f t="shared" ca="1" si="8"/>
        <v/>
      </c>
      <c r="AD83" s="83">
        <v>470</v>
      </c>
      <c r="AE83" s="104" t="str">
        <f t="shared" ca="1" si="9"/>
        <v>"</v>
      </c>
      <c r="AF83" s="83">
        <f t="shared" si="10"/>
        <v>-308</v>
      </c>
      <c r="AG83" s="83">
        <v>367</v>
      </c>
      <c r="AH83" s="104" t="str">
        <f t="shared" ca="1" si="12"/>
        <v>"</v>
      </c>
      <c r="AI83" s="267">
        <f t="shared" si="11"/>
        <v>-205</v>
      </c>
    </row>
    <row r="84" spans="8:35" x14ac:dyDescent="0.2">
      <c r="H84" s="10" t="s">
        <v>154</v>
      </c>
      <c r="I84" s="24" t="e">
        <f ca="1">_xll.EVPRO($B$1,$H84,"STYLE")</f>
        <v>#NAME?</v>
      </c>
      <c r="J84" s="24" t="e">
        <f ca="1">_xll.EVPRO($B$1,$H84,"CALC")</f>
        <v>#NAME?</v>
      </c>
      <c r="K84" s="24"/>
      <c r="L84" s="24" t="e">
        <f ca="1">_xll.EVPRO($B$1,H84,"JDEID")</f>
        <v>#NAME?</v>
      </c>
      <c r="M84" s="24" t="e">
        <f ca="1">IF(AND(I84="N",J84="N"),_xll.EVPRO($B$1,H84,"PSFTID"),"")</f>
        <v>#NAME?</v>
      </c>
      <c r="N84" s="24" t="e">
        <f ca="1">IF(_xll.EVDES(H84,$B$1)="#NODATA","",_xll.EVDES(H84,$B$1))</f>
        <v>#NAME?</v>
      </c>
      <c r="O84" s="82">
        <v>76</v>
      </c>
      <c r="P84" s="247">
        <v>50</v>
      </c>
      <c r="Q84" s="247">
        <v>55</v>
      </c>
      <c r="R84" s="247">
        <v>49</v>
      </c>
      <c r="S84" s="247">
        <v>24</v>
      </c>
      <c r="T84" s="247">
        <v>33</v>
      </c>
      <c r="U84" s="247">
        <v>16</v>
      </c>
      <c r="V84" s="247">
        <v>16</v>
      </c>
      <c r="W84" s="247">
        <v>16</v>
      </c>
      <c r="X84" s="247">
        <v>72</v>
      </c>
      <c r="Y84" s="247">
        <v>71</v>
      </c>
      <c r="Z84" s="247">
        <v>15</v>
      </c>
      <c r="AA84" s="247">
        <f t="shared" si="7"/>
        <v>493</v>
      </c>
      <c r="AB84" s="104" t="str">
        <f t="shared" ca="1" si="8"/>
        <v/>
      </c>
      <c r="AD84" s="83">
        <v>537</v>
      </c>
      <c r="AE84" s="104" t="str">
        <f t="shared" ca="1" si="9"/>
        <v>"</v>
      </c>
      <c r="AF84" s="83">
        <f t="shared" si="10"/>
        <v>-44</v>
      </c>
      <c r="AG84" s="83">
        <v>553</v>
      </c>
      <c r="AH84" s="104" t="str">
        <f t="shared" ca="1" si="12"/>
        <v>"</v>
      </c>
      <c r="AI84" s="267">
        <f t="shared" si="11"/>
        <v>-60</v>
      </c>
    </row>
    <row r="85" spans="8:35" x14ac:dyDescent="0.2">
      <c r="H85" s="10" t="s">
        <v>155</v>
      </c>
      <c r="I85" s="24" t="e">
        <f ca="1">_xll.EVPRO($B$1,$H85,"STYLE")</f>
        <v>#NAME?</v>
      </c>
      <c r="J85" s="24" t="e">
        <f ca="1">_xll.EVPRO($B$1,$H85,"CALC")</f>
        <v>#NAME?</v>
      </c>
      <c r="K85" s="24"/>
      <c r="L85" s="24" t="e">
        <f ca="1">_xll.EVPRO($B$1,H85,"JDEID")</f>
        <v>#NAME?</v>
      </c>
      <c r="M85" s="24" t="e">
        <f ca="1">IF(AND(I85="N",J85="N"),_xll.EVPRO($B$1,H85,"PSFTID"),"")</f>
        <v>#NAME?</v>
      </c>
      <c r="N85" s="24" t="e">
        <f ca="1">IF(_xll.EVDES(H85,$B$1)="#NODATA","",_xll.EVDES(H85,$B$1))</f>
        <v>#NAME?</v>
      </c>
      <c r="O85" s="82">
        <v>263</v>
      </c>
      <c r="P85" s="247">
        <v>157</v>
      </c>
      <c r="Q85" s="247">
        <v>57</v>
      </c>
      <c r="R85" s="247">
        <v>23</v>
      </c>
      <c r="S85" s="247">
        <v>53</v>
      </c>
      <c r="T85" s="247">
        <v>15</v>
      </c>
      <c r="U85" s="247">
        <v>15</v>
      </c>
      <c r="V85" s="247">
        <v>11</v>
      </c>
      <c r="W85" s="247">
        <v>10</v>
      </c>
      <c r="X85" s="247">
        <v>57</v>
      </c>
      <c r="Y85" s="247">
        <v>63</v>
      </c>
      <c r="Z85" s="247">
        <v>75</v>
      </c>
      <c r="AA85" s="247">
        <f t="shared" si="7"/>
        <v>799</v>
      </c>
      <c r="AB85" s="104" t="str">
        <f t="shared" ca="1" si="8"/>
        <v/>
      </c>
      <c r="AD85" s="83">
        <v>380</v>
      </c>
      <c r="AE85" s="104" t="str">
        <f t="shared" ca="1" si="9"/>
        <v>"</v>
      </c>
      <c r="AF85" s="83">
        <f t="shared" si="10"/>
        <v>419</v>
      </c>
      <c r="AG85" s="83">
        <v>358</v>
      </c>
      <c r="AH85" s="104" t="str">
        <f t="shared" ca="1" si="12"/>
        <v>"</v>
      </c>
      <c r="AI85" s="267">
        <f t="shared" si="11"/>
        <v>441</v>
      </c>
    </row>
    <row r="86" spans="8:35" x14ac:dyDescent="0.2">
      <c r="H86" s="10" t="s">
        <v>156</v>
      </c>
      <c r="I86" s="26" t="e">
        <f ca="1">_xll.EVPRO($B$1,$H86,"STYLE")</f>
        <v>#NAME?</v>
      </c>
      <c r="J86" s="26" t="e">
        <f ca="1">_xll.EVPRO($B$1,$H86,"CALC")</f>
        <v>#NAME?</v>
      </c>
      <c r="K86" s="65"/>
      <c r="L86" s="23" t="e">
        <f ca="1">_xll.EVPRO($B$1,H86,"JDEID")</f>
        <v>#NAME?</v>
      </c>
      <c r="M86" s="24" t="e">
        <f ca="1">IF(AND(I86="N",J86="N"),_xll.EVPRO($B$1,H86,"PSFTID"),"")</f>
        <v>#NAME?</v>
      </c>
      <c r="N86" s="23" t="e">
        <f ca="1">IF(_xll.EVDES(H86,$B$1)="#NODATA","",_xll.EVDES(H86,$B$1))</f>
        <v>#NAME?</v>
      </c>
      <c r="O86" s="73">
        <v>129</v>
      </c>
      <c r="P86" s="246">
        <v>143</v>
      </c>
      <c r="Q86" s="246">
        <v>145</v>
      </c>
      <c r="R86" s="246">
        <v>167</v>
      </c>
      <c r="S86" s="246">
        <v>54</v>
      </c>
      <c r="T86" s="246">
        <v>96</v>
      </c>
      <c r="U86" s="246">
        <v>136</v>
      </c>
      <c r="V86" s="246">
        <v>93</v>
      </c>
      <c r="W86" s="246">
        <v>88</v>
      </c>
      <c r="X86" s="246">
        <v>105</v>
      </c>
      <c r="Y86" s="246">
        <v>90</v>
      </c>
      <c r="Z86" s="246">
        <v>102</v>
      </c>
      <c r="AA86" s="246">
        <f t="shared" si="7"/>
        <v>1348</v>
      </c>
      <c r="AB86" s="103" t="str">
        <f t="shared" ca="1" si="8"/>
        <v/>
      </c>
      <c r="AD86" s="74">
        <v>1129</v>
      </c>
      <c r="AE86" s="103" t="str">
        <f t="shared" ca="1" si="9"/>
        <v>"</v>
      </c>
      <c r="AF86" s="74">
        <f t="shared" si="10"/>
        <v>219</v>
      </c>
      <c r="AG86" s="74">
        <v>1047</v>
      </c>
      <c r="AH86" s="103" t="str">
        <f t="shared" ca="1" si="12"/>
        <v>"</v>
      </c>
      <c r="AI86" s="266">
        <f t="shared" si="11"/>
        <v>301</v>
      </c>
    </row>
    <row r="87" spans="8:35" x14ac:dyDescent="0.2">
      <c r="H87" s="10" t="s">
        <v>157</v>
      </c>
      <c r="I87" s="24" t="e">
        <f ca="1">_xll.EVPRO($B$1,$H87,"STYLE")</f>
        <v>#NAME?</v>
      </c>
      <c r="J87" s="24" t="e">
        <f ca="1">_xll.EVPRO($B$1,$H87,"CALC")</f>
        <v>#NAME?</v>
      </c>
      <c r="K87" s="24"/>
      <c r="L87" s="24" t="e">
        <f ca="1">_xll.EVPRO($B$1,H87,"JDEID")</f>
        <v>#NAME?</v>
      </c>
      <c r="M87" s="24" t="e">
        <f ca="1">IF(AND(I87="N",J87="N"),_xll.EVPRO($B$1,H87,"PSFTID"),"")</f>
        <v>#NAME?</v>
      </c>
      <c r="N87" s="24" t="e">
        <f ca="1">IF(_xll.EVDES(H87,$B$1)="#NODATA","",_xll.EVDES(H87,$B$1))</f>
        <v>#NAME?</v>
      </c>
      <c r="O87" s="82">
        <v>97</v>
      </c>
      <c r="P87" s="247">
        <v>114</v>
      </c>
      <c r="Q87" s="247">
        <v>107</v>
      </c>
      <c r="R87" s="247">
        <v>143</v>
      </c>
      <c r="S87" s="247">
        <v>47</v>
      </c>
      <c r="T87" s="247">
        <v>79</v>
      </c>
      <c r="U87" s="247">
        <v>112</v>
      </c>
      <c r="V87" s="247">
        <v>88</v>
      </c>
      <c r="W87" s="247">
        <v>65</v>
      </c>
      <c r="X87" s="247">
        <v>87</v>
      </c>
      <c r="Y87" s="247">
        <v>81</v>
      </c>
      <c r="Z87" s="247">
        <v>101</v>
      </c>
      <c r="AA87" s="247">
        <f t="shared" si="7"/>
        <v>1121</v>
      </c>
      <c r="AB87" s="104" t="str">
        <f t="shared" ca="1" si="8"/>
        <v/>
      </c>
      <c r="AD87" s="83">
        <v>960</v>
      </c>
      <c r="AE87" s="104" t="str">
        <f t="shared" ca="1" si="9"/>
        <v>"</v>
      </c>
      <c r="AF87" s="83">
        <f t="shared" si="10"/>
        <v>161</v>
      </c>
      <c r="AG87" s="83">
        <v>874</v>
      </c>
      <c r="AH87" s="104" t="str">
        <f t="shared" ca="1" si="12"/>
        <v>"</v>
      </c>
      <c r="AI87" s="267">
        <f t="shared" si="11"/>
        <v>247</v>
      </c>
    </row>
    <row r="88" spans="8:35" x14ac:dyDescent="0.2">
      <c r="H88" s="10" t="s">
        <v>158</v>
      </c>
      <c r="I88" s="24" t="e">
        <f ca="1">_xll.EVPRO($B$1,$H88,"STYLE")</f>
        <v>#NAME?</v>
      </c>
      <c r="J88" s="24" t="e">
        <f ca="1">_xll.EVPRO($B$1,$H88,"CALC")</f>
        <v>#NAME?</v>
      </c>
      <c r="K88" s="24"/>
      <c r="L88" s="24" t="e">
        <f ca="1">_xll.EVPRO($B$1,H88,"JDEID")</f>
        <v>#NAME?</v>
      </c>
      <c r="M88" s="24" t="e">
        <f ca="1">IF(AND(I88="N",J88="N"),_xll.EVPRO($B$1,H88,"PSFTID"),"")</f>
        <v>#NAME?</v>
      </c>
      <c r="N88" s="24" t="e">
        <f ca="1">IF(_xll.EVDES(H88,$B$1)="#NODATA","",_xll.EVDES(H88,$B$1))</f>
        <v>#NAME?</v>
      </c>
      <c r="O88" s="82">
        <v>32</v>
      </c>
      <c r="P88" s="247">
        <v>29</v>
      </c>
      <c r="Q88" s="247">
        <v>38</v>
      </c>
      <c r="R88" s="247">
        <v>24</v>
      </c>
      <c r="S88" s="247">
        <v>7</v>
      </c>
      <c r="T88" s="247">
        <v>17</v>
      </c>
      <c r="U88" s="247">
        <v>24</v>
      </c>
      <c r="V88" s="247">
        <v>5</v>
      </c>
      <c r="W88" s="247">
        <v>23</v>
      </c>
      <c r="X88" s="247">
        <v>18</v>
      </c>
      <c r="Y88" s="247">
        <v>9</v>
      </c>
      <c r="Z88" s="247">
        <v>1</v>
      </c>
      <c r="AA88" s="247">
        <f t="shared" si="7"/>
        <v>227</v>
      </c>
      <c r="AB88" s="104" t="str">
        <f t="shared" ca="1" si="8"/>
        <v/>
      </c>
      <c r="AD88" s="83">
        <v>169</v>
      </c>
      <c r="AE88" s="104" t="str">
        <f t="shared" ca="1" si="9"/>
        <v>"</v>
      </c>
      <c r="AF88" s="83">
        <f t="shared" si="10"/>
        <v>58</v>
      </c>
      <c r="AG88" s="83">
        <v>173</v>
      </c>
      <c r="AH88" s="104" t="str">
        <f t="shared" ca="1" si="12"/>
        <v>"</v>
      </c>
      <c r="AI88" s="267">
        <f t="shared" si="11"/>
        <v>54</v>
      </c>
    </row>
    <row r="89" spans="8:35" x14ac:dyDescent="0.2">
      <c r="H89" s="10" t="s">
        <v>159</v>
      </c>
      <c r="I89" s="26" t="e">
        <f ca="1">_xll.EVPRO($B$1,$H89,"STYLE")</f>
        <v>#NAME?</v>
      </c>
      <c r="J89" s="26" t="e">
        <f ca="1">_xll.EVPRO($B$1,$H89,"CALC")</f>
        <v>#NAME?</v>
      </c>
      <c r="K89" s="65"/>
      <c r="L89" s="23" t="e">
        <f ca="1">_xll.EVPRO($B$1,H89,"JDEID")</f>
        <v>#NAME?</v>
      </c>
      <c r="M89" s="24" t="e">
        <f ca="1">IF(AND(I89="N",J89="N"),_xll.EVPRO($B$1,H89,"PSFTID"),"")</f>
        <v>#NAME?</v>
      </c>
      <c r="N89" s="23" t="e">
        <f ca="1">IF(_xll.EVDES(H89,$B$1)="#NODATA","",_xll.EVDES(H89,$B$1))</f>
        <v>#NAME?</v>
      </c>
      <c r="O89" s="79">
        <v>181</v>
      </c>
      <c r="P89" s="248">
        <v>227</v>
      </c>
      <c r="Q89" s="248">
        <v>316</v>
      </c>
      <c r="R89" s="248">
        <v>391</v>
      </c>
      <c r="S89" s="248">
        <v>197</v>
      </c>
      <c r="T89" s="248">
        <v>124</v>
      </c>
      <c r="U89" s="248">
        <v>119</v>
      </c>
      <c r="V89" s="248">
        <v>122</v>
      </c>
      <c r="W89" s="248">
        <v>85</v>
      </c>
      <c r="X89" s="248">
        <v>113</v>
      </c>
      <c r="Y89" s="248">
        <v>138</v>
      </c>
      <c r="Z89" s="248">
        <v>99</v>
      </c>
      <c r="AA89" s="248">
        <f t="shared" si="7"/>
        <v>2112</v>
      </c>
      <c r="AB89" s="105" t="str">
        <f t="shared" ca="1" si="8"/>
        <v/>
      </c>
      <c r="AD89" s="80">
        <v>3490</v>
      </c>
      <c r="AE89" s="105" t="str">
        <f t="shared" ca="1" si="9"/>
        <v>"</v>
      </c>
      <c r="AF89" s="80">
        <f t="shared" si="10"/>
        <v>-1378</v>
      </c>
      <c r="AG89" s="80">
        <v>3572</v>
      </c>
      <c r="AH89" s="105" t="str">
        <f t="shared" ca="1" si="12"/>
        <v>"</v>
      </c>
      <c r="AI89" s="268">
        <f t="shared" si="11"/>
        <v>-1460</v>
      </c>
    </row>
    <row r="90" spans="8:35" x14ac:dyDescent="0.2">
      <c r="H90" s="10" t="s">
        <v>141</v>
      </c>
      <c r="I90" s="26" t="e">
        <f ca="1">_xll.EVPRO($B$1,$H90,"STYLE")</f>
        <v>#NAME?</v>
      </c>
      <c r="J90" s="26" t="e">
        <f ca="1">_xll.EVPRO($B$1,$H90,"CALC")</f>
        <v>#NAME?</v>
      </c>
      <c r="K90" s="65"/>
      <c r="L90" s="23" t="e">
        <f ca="1">_xll.EVPRO($B$1,H90,"JDEID")</f>
        <v>#NAME?</v>
      </c>
      <c r="M90" s="24" t="e">
        <f ca="1">IF(AND(I90="N",J90="N"),_xll.EVPRO($B$1,H90,"PSFTID"),"")</f>
        <v>#NAME?</v>
      </c>
      <c r="N90" s="23" t="e">
        <f ca="1">IF(_xll.EVDES(H90,$B$1)="#NODATA","",_xll.EVDES(H90,$B$1))</f>
        <v>#NAME?</v>
      </c>
      <c r="O90" s="137">
        <v>3084</v>
      </c>
      <c r="P90" s="249">
        <v>2755</v>
      </c>
      <c r="Q90" s="249">
        <v>3443</v>
      </c>
      <c r="R90" s="249">
        <v>3559</v>
      </c>
      <c r="S90" s="249">
        <v>3125</v>
      </c>
      <c r="T90" s="249">
        <v>2615</v>
      </c>
      <c r="U90" s="249">
        <v>2862</v>
      </c>
      <c r="V90" s="249">
        <v>2928</v>
      </c>
      <c r="W90" s="249">
        <v>2097</v>
      </c>
      <c r="X90" s="249">
        <v>2728</v>
      </c>
      <c r="Y90" s="249">
        <v>3161</v>
      </c>
      <c r="Z90" s="249">
        <v>3264</v>
      </c>
      <c r="AA90" s="249">
        <f t="shared" si="7"/>
        <v>35621</v>
      </c>
      <c r="AB90" s="140" t="str">
        <f t="shared" ca="1" si="8"/>
        <v/>
      </c>
      <c r="AD90" s="139">
        <v>35445</v>
      </c>
      <c r="AE90" s="140" t="str">
        <f t="shared" ca="1" si="9"/>
        <v>"</v>
      </c>
      <c r="AF90" s="139">
        <f t="shared" si="10"/>
        <v>176</v>
      </c>
      <c r="AG90" s="139">
        <v>35540</v>
      </c>
      <c r="AH90" s="140" t="str">
        <f t="shared" ca="1" si="12"/>
        <v>"</v>
      </c>
      <c r="AI90" s="269">
        <f t="shared" si="11"/>
        <v>81</v>
      </c>
    </row>
    <row r="91" spans="8:35" x14ac:dyDescent="0.2">
      <c r="H91" s="10" t="s">
        <v>175</v>
      </c>
      <c r="I91" s="24" t="e">
        <f ca="1">_xll.EVPRO($B$1,$H91,"STYLE")</f>
        <v>#NAME?</v>
      </c>
      <c r="J91" s="24" t="e">
        <f ca="1">_xll.EVPRO($B$1,$H91,"CALC")</f>
        <v>#NAME?</v>
      </c>
      <c r="K91" s="24"/>
      <c r="L91" s="24" t="e">
        <f ca="1">_xll.EVPRO($B$1,H91,"JDEID")</f>
        <v>#NAME?</v>
      </c>
      <c r="M91" s="24" t="e">
        <f ca="1">IF(AND(I91="N",J91="N"),_xll.EVPRO($B$1,H91,"PSFTID"),"")</f>
        <v>#NAME?</v>
      </c>
      <c r="N91" s="24" t="e">
        <f ca="1">IF(_xll.EVDES(H91,$B$1)="#NODATA","",_xll.EVDES(H91,$B$1))</f>
        <v>#NAME?</v>
      </c>
      <c r="O91" s="76"/>
      <c r="P91" s="250"/>
      <c r="Q91" s="250"/>
      <c r="R91" s="250"/>
      <c r="S91" s="250"/>
      <c r="T91" s="250"/>
      <c r="U91" s="250"/>
      <c r="V91" s="250"/>
      <c r="W91" s="250"/>
      <c r="X91" s="250"/>
      <c r="Y91" s="250"/>
      <c r="Z91" s="250"/>
      <c r="AA91" s="250">
        <f t="shared" si="7"/>
        <v>0</v>
      </c>
      <c r="AB91" s="106" t="str">
        <f t="shared" si="8"/>
        <v/>
      </c>
      <c r="AD91" s="77"/>
      <c r="AE91" s="106" t="str">
        <f t="shared" si="9"/>
        <v/>
      </c>
      <c r="AF91" s="77">
        <f t="shared" si="10"/>
        <v>0</v>
      </c>
      <c r="AG91" s="77"/>
      <c r="AH91" s="106" t="str">
        <f t="shared" si="12"/>
        <v/>
      </c>
      <c r="AI91" s="270">
        <f t="shared" si="11"/>
        <v>0</v>
      </c>
    </row>
    <row r="92" spans="8:35" x14ac:dyDescent="0.2">
      <c r="H92" s="10" t="s">
        <v>161</v>
      </c>
      <c r="I92" s="26" t="e">
        <f ca="1">_xll.EVPRO($B$1,$H92,"STYLE")</f>
        <v>#NAME?</v>
      </c>
      <c r="J92" s="26" t="e">
        <f ca="1">_xll.EVPRO($B$1,$H92,"CALC")</f>
        <v>#NAME?</v>
      </c>
      <c r="K92" s="65"/>
      <c r="L92" s="23" t="e">
        <f ca="1">_xll.EVPRO($B$1,H92,"JDEID")</f>
        <v>#NAME?</v>
      </c>
      <c r="M92" s="24" t="e">
        <f ca="1">IF(AND(I92="N",J92="N"),_xll.EVPRO($B$1,H92,"PSFTID"),"")</f>
        <v>#NAME?</v>
      </c>
      <c r="N92" s="23" t="e">
        <f ca="1">IF(_xll.EVDES(H92,$B$1)="#NODATA","",_xll.EVDES(H92,$B$1))</f>
        <v>#NAME?</v>
      </c>
      <c r="O92" s="73">
        <v>522</v>
      </c>
      <c r="P92" s="246">
        <v>802</v>
      </c>
      <c r="Q92" s="246">
        <v>350</v>
      </c>
      <c r="R92" s="246">
        <v>98</v>
      </c>
      <c r="S92" s="246">
        <v>291</v>
      </c>
      <c r="T92" s="246">
        <v>393</v>
      </c>
      <c r="U92" s="246">
        <v>154</v>
      </c>
      <c r="V92" s="246">
        <v>89</v>
      </c>
      <c r="W92" s="246">
        <v>376</v>
      </c>
      <c r="X92" s="246">
        <v>132</v>
      </c>
      <c r="Y92" s="246">
        <v>317</v>
      </c>
      <c r="Z92" s="246">
        <v>330</v>
      </c>
      <c r="AA92" s="246">
        <f t="shared" si="7"/>
        <v>3854</v>
      </c>
      <c r="AB92" s="103" t="str">
        <f t="shared" ca="1" si="8"/>
        <v/>
      </c>
      <c r="AD92" s="74">
        <v>3850</v>
      </c>
      <c r="AE92" s="103" t="str">
        <f t="shared" ca="1" si="9"/>
        <v>"</v>
      </c>
      <c r="AF92" s="74">
        <f t="shared" si="10"/>
        <v>4</v>
      </c>
      <c r="AG92" s="74">
        <v>3623</v>
      </c>
      <c r="AH92" s="103" t="str">
        <f t="shared" ca="1" si="12"/>
        <v>"</v>
      </c>
      <c r="AI92" s="266">
        <f t="shared" si="11"/>
        <v>231</v>
      </c>
    </row>
    <row r="93" spans="8:35" x14ac:dyDescent="0.2">
      <c r="H93" s="10" t="s">
        <v>162</v>
      </c>
      <c r="I93" s="24" t="e">
        <f ca="1">_xll.EVPRO($B$1,$H93,"STYLE")</f>
        <v>#NAME?</v>
      </c>
      <c r="J93" s="24" t="e">
        <f ca="1">_xll.EVPRO($B$1,$H93,"CALC")</f>
        <v>#NAME?</v>
      </c>
      <c r="K93" s="24"/>
      <c r="L93" s="24" t="e">
        <f ca="1">_xll.EVPRO($B$1,H93,"JDEID")</f>
        <v>#NAME?</v>
      </c>
      <c r="M93" s="24" t="e">
        <f ca="1">IF(AND(I93="N",J93="N"),_xll.EVPRO($B$1,H93,"PSFTID"),"")</f>
        <v>#NAME?</v>
      </c>
      <c r="N93" s="24" t="e">
        <f ca="1">IF(_xll.EVDES(H93,$B$1)="#NODATA","",_xll.EVDES(H93,$B$1))</f>
        <v>#NAME?</v>
      </c>
      <c r="O93" s="82">
        <v>471</v>
      </c>
      <c r="P93" s="247">
        <v>616</v>
      </c>
      <c r="Q93" s="247">
        <v>179</v>
      </c>
      <c r="R93" s="247">
        <v>44</v>
      </c>
      <c r="S93" s="247">
        <v>291</v>
      </c>
      <c r="T93" s="247">
        <v>360</v>
      </c>
      <c r="U93" s="247">
        <v>154</v>
      </c>
      <c r="V93" s="247">
        <v>63</v>
      </c>
      <c r="W93" s="247">
        <v>288</v>
      </c>
      <c r="X93" s="247">
        <v>132</v>
      </c>
      <c r="Y93" s="247">
        <v>175</v>
      </c>
      <c r="Z93" s="247">
        <v>330</v>
      </c>
      <c r="AA93" s="247">
        <f t="shared" si="7"/>
        <v>3103</v>
      </c>
      <c r="AB93" s="104" t="str">
        <f t="shared" ca="1" si="8"/>
        <v/>
      </c>
      <c r="AD93" s="83">
        <v>2725</v>
      </c>
      <c r="AE93" s="104" t="str">
        <f t="shared" ca="1" si="9"/>
        <v>"</v>
      </c>
      <c r="AF93" s="83">
        <f t="shared" si="10"/>
        <v>378</v>
      </c>
      <c r="AG93" s="83">
        <v>3008</v>
      </c>
      <c r="AH93" s="104" t="str">
        <f t="shared" ca="1" si="12"/>
        <v>"</v>
      </c>
      <c r="AI93" s="267">
        <f t="shared" si="11"/>
        <v>95</v>
      </c>
    </row>
    <row r="94" spans="8:35" x14ac:dyDescent="0.2">
      <c r="H94" s="10" t="s">
        <v>163</v>
      </c>
      <c r="I94" s="24" t="e">
        <f ca="1">_xll.EVPRO($B$1,$H94,"STYLE")</f>
        <v>#NAME?</v>
      </c>
      <c r="J94" s="24" t="e">
        <f ca="1">_xll.EVPRO($B$1,$H94,"CALC")</f>
        <v>#NAME?</v>
      </c>
      <c r="K94" s="24"/>
      <c r="L94" s="24" t="e">
        <f ca="1">_xll.EVPRO($B$1,H94,"JDEID")</f>
        <v>#NAME?</v>
      </c>
      <c r="M94" s="24" t="e">
        <f ca="1">IF(AND(I94="N",J94="N"),_xll.EVPRO($B$1,H94,"PSFTID"),"")</f>
        <v>#NAME?</v>
      </c>
      <c r="N94" s="24" t="e">
        <f ca="1">IF(_xll.EVDES(H94,$B$1)="#NODATA","",_xll.EVDES(H94,$B$1))</f>
        <v>#NAME?</v>
      </c>
      <c r="O94" s="82">
        <v>51</v>
      </c>
      <c r="P94" s="247">
        <v>186</v>
      </c>
      <c r="Q94" s="247">
        <v>171</v>
      </c>
      <c r="R94" s="247">
        <v>54</v>
      </c>
      <c r="S94" s="247"/>
      <c r="T94" s="247">
        <v>33</v>
      </c>
      <c r="U94" s="247"/>
      <c r="V94" s="247">
        <v>26</v>
      </c>
      <c r="W94" s="247">
        <v>88</v>
      </c>
      <c r="X94" s="247"/>
      <c r="Y94" s="247">
        <v>142</v>
      </c>
      <c r="Z94" s="247"/>
      <c r="AA94" s="247">
        <f t="shared" si="7"/>
        <v>751</v>
      </c>
      <c r="AB94" s="104" t="str">
        <f t="shared" ca="1" si="8"/>
        <v/>
      </c>
      <c r="AD94" s="83">
        <v>1125</v>
      </c>
      <c r="AE94" s="104" t="str">
        <f t="shared" ca="1" si="9"/>
        <v>"</v>
      </c>
      <c r="AF94" s="83">
        <f t="shared" si="10"/>
        <v>-374</v>
      </c>
      <c r="AG94" s="83">
        <v>615</v>
      </c>
      <c r="AH94" s="104" t="str">
        <f t="shared" ca="1" si="12"/>
        <v>"</v>
      </c>
      <c r="AI94" s="267">
        <f t="shared" si="11"/>
        <v>136</v>
      </c>
    </row>
    <row r="95" spans="8:35" x14ac:dyDescent="0.2">
      <c r="H95" s="10" t="s">
        <v>164</v>
      </c>
      <c r="I95" s="26" t="e">
        <f ca="1">_xll.EVPRO($B$1,$H95,"STYLE")</f>
        <v>#NAME?</v>
      </c>
      <c r="J95" s="26" t="e">
        <f ca="1">_xll.EVPRO($B$1,$H95,"CALC")</f>
        <v>#NAME?</v>
      </c>
      <c r="K95" s="65"/>
      <c r="L95" s="23" t="e">
        <f ca="1">_xll.EVPRO($B$1,H95,"JDEID")</f>
        <v>#NAME?</v>
      </c>
      <c r="M95" s="24" t="e">
        <f ca="1">IF(AND(I95="N",J95="N"),_xll.EVPRO($B$1,H95,"PSFTID"),"")</f>
        <v>#NAME?</v>
      </c>
      <c r="N95" s="23" t="e">
        <f ca="1">IF(_xll.EVDES(H95,$B$1)="#NODATA","",_xll.EVDES(H95,$B$1))</f>
        <v>#NAME?</v>
      </c>
      <c r="O95" s="73">
        <v>27</v>
      </c>
      <c r="P95" s="246"/>
      <c r="Q95" s="246"/>
      <c r="R95" s="246"/>
      <c r="S95" s="246">
        <v>55</v>
      </c>
      <c r="T95" s="246">
        <v>94</v>
      </c>
      <c r="U95" s="246"/>
      <c r="V95" s="246">
        <v>5</v>
      </c>
      <c r="W95" s="246">
        <v>152</v>
      </c>
      <c r="X95" s="246">
        <v>313</v>
      </c>
      <c r="Y95" s="246"/>
      <c r="Z95" s="246"/>
      <c r="AA95" s="246">
        <f t="shared" si="7"/>
        <v>646</v>
      </c>
      <c r="AB95" s="103" t="str">
        <f t="shared" ca="1" si="8"/>
        <v/>
      </c>
      <c r="AD95" s="74">
        <v>260</v>
      </c>
      <c r="AE95" s="103" t="str">
        <f t="shared" ca="1" si="9"/>
        <v>"</v>
      </c>
      <c r="AF95" s="74">
        <f t="shared" si="10"/>
        <v>386</v>
      </c>
      <c r="AG95" s="74">
        <v>236</v>
      </c>
      <c r="AH95" s="103" t="str">
        <f t="shared" ca="1" si="12"/>
        <v>"</v>
      </c>
      <c r="AI95" s="266">
        <f t="shared" si="11"/>
        <v>410</v>
      </c>
    </row>
    <row r="96" spans="8:35" x14ac:dyDescent="0.2">
      <c r="H96" s="10" t="s">
        <v>165</v>
      </c>
      <c r="I96" s="24" t="e">
        <f ca="1">_xll.EVPRO($B$1,$H96,"STYLE")</f>
        <v>#NAME?</v>
      </c>
      <c r="J96" s="24" t="e">
        <f ca="1">_xll.EVPRO($B$1,$H96,"CALC")</f>
        <v>#NAME?</v>
      </c>
      <c r="K96" s="24"/>
      <c r="L96" s="24" t="e">
        <f ca="1">_xll.EVPRO($B$1,H96,"JDEID")</f>
        <v>#NAME?</v>
      </c>
      <c r="M96" s="24" t="e">
        <f ca="1">IF(AND(I96="N",J96="N"),_xll.EVPRO($B$1,H96,"PSFTID"),"")</f>
        <v>#NAME?</v>
      </c>
      <c r="N96" s="24" t="e">
        <f ca="1">IF(_xll.EVDES(H96,$B$1)="#NODATA","",_xll.EVDES(H96,$B$1))</f>
        <v>#NAME?</v>
      </c>
      <c r="O96" s="82">
        <v>27</v>
      </c>
      <c r="P96" s="247"/>
      <c r="Q96" s="247"/>
      <c r="R96" s="247"/>
      <c r="S96" s="247"/>
      <c r="T96" s="247">
        <v>67</v>
      </c>
      <c r="U96" s="247"/>
      <c r="V96" s="247">
        <v>5</v>
      </c>
      <c r="W96" s="247">
        <v>80</v>
      </c>
      <c r="X96" s="247">
        <v>2</v>
      </c>
      <c r="Y96" s="247"/>
      <c r="Z96" s="247"/>
      <c r="AA96" s="247">
        <f t="shared" si="7"/>
        <v>181</v>
      </c>
      <c r="AB96" s="104" t="str">
        <f t="shared" ca="1" si="8"/>
        <v/>
      </c>
      <c r="AD96" s="83">
        <v>25</v>
      </c>
      <c r="AE96" s="104" t="str">
        <f t="shared" ca="1" si="9"/>
        <v>"</v>
      </c>
      <c r="AF96" s="83">
        <f t="shared" si="10"/>
        <v>156</v>
      </c>
      <c r="AG96" s="83">
        <v>69</v>
      </c>
      <c r="AH96" s="104" t="str">
        <f t="shared" ca="1" si="12"/>
        <v>"</v>
      </c>
      <c r="AI96" s="267">
        <f t="shared" si="11"/>
        <v>112</v>
      </c>
    </row>
    <row r="97" spans="8:35" x14ac:dyDescent="0.2">
      <c r="H97" s="10" t="s">
        <v>166</v>
      </c>
      <c r="I97" s="24" t="e">
        <f ca="1">_xll.EVPRO($B$1,$H97,"STYLE")</f>
        <v>#NAME?</v>
      </c>
      <c r="J97" s="24" t="e">
        <f ca="1">_xll.EVPRO($B$1,$H97,"CALC")</f>
        <v>#NAME?</v>
      </c>
      <c r="K97" s="24"/>
      <c r="L97" s="24" t="e">
        <f ca="1">_xll.EVPRO($B$1,H97,"JDEID")</f>
        <v>#NAME?</v>
      </c>
      <c r="M97" s="24" t="e">
        <f ca="1">IF(AND(I97="N",J97="N"),_xll.EVPRO($B$1,H97,"PSFTID"),"")</f>
        <v>#NAME?</v>
      </c>
      <c r="N97" s="24" t="e">
        <f ca="1">IF(_xll.EVDES(H97,$B$1)="#NODATA","",_xll.EVDES(H97,$B$1))</f>
        <v>#NAME?</v>
      </c>
      <c r="O97" s="82"/>
      <c r="P97" s="247"/>
      <c r="Q97" s="247"/>
      <c r="R97" s="247"/>
      <c r="S97" s="247">
        <v>55</v>
      </c>
      <c r="T97" s="247">
        <v>27</v>
      </c>
      <c r="U97" s="247"/>
      <c r="V97" s="247"/>
      <c r="W97" s="247">
        <v>72</v>
      </c>
      <c r="X97" s="247">
        <v>311</v>
      </c>
      <c r="Y97" s="247"/>
      <c r="Z97" s="247"/>
      <c r="AA97" s="247">
        <f t="shared" si="7"/>
        <v>465</v>
      </c>
      <c r="AB97" s="104" t="str">
        <f t="shared" ca="1" si="8"/>
        <v/>
      </c>
      <c r="AD97" s="83">
        <v>235</v>
      </c>
      <c r="AE97" s="104" t="str">
        <f t="shared" ca="1" si="9"/>
        <v>"</v>
      </c>
      <c r="AF97" s="83">
        <f t="shared" si="10"/>
        <v>230</v>
      </c>
      <c r="AG97" s="83">
        <v>167</v>
      </c>
      <c r="AH97" s="104" t="str">
        <f t="shared" ca="1" si="12"/>
        <v>"</v>
      </c>
      <c r="AI97" s="267">
        <f t="shared" si="11"/>
        <v>298</v>
      </c>
    </row>
    <row r="98" spans="8:35" x14ac:dyDescent="0.2">
      <c r="H98" s="10" t="s">
        <v>167</v>
      </c>
      <c r="I98" s="26" t="e">
        <f ca="1">_xll.EVPRO($B$1,$H98,"STYLE")</f>
        <v>#NAME?</v>
      </c>
      <c r="J98" s="26" t="e">
        <f ca="1">_xll.EVPRO($B$1,$H98,"CALC")</f>
        <v>#NAME?</v>
      </c>
      <c r="K98" s="65"/>
      <c r="L98" s="23" t="e">
        <f ca="1">_xll.EVPRO($B$1,H98,"JDEID")</f>
        <v>#NAME?</v>
      </c>
      <c r="M98" s="24" t="e">
        <f ca="1">IF(AND(I98="N",J98="N"),_xll.EVPRO($B$1,H98,"PSFTID"),"")</f>
        <v>#NAME?</v>
      </c>
      <c r="N98" s="23" t="e">
        <f ca="1">IF(_xll.EVDES(H98,$B$1)="#NODATA","",_xll.EVDES(H98,$B$1))</f>
        <v>#NAME?</v>
      </c>
      <c r="O98" s="73"/>
      <c r="P98" s="246"/>
      <c r="Q98" s="246"/>
      <c r="R98" s="246"/>
      <c r="S98" s="246"/>
      <c r="T98" s="246"/>
      <c r="U98" s="246"/>
      <c r="V98" s="246"/>
      <c r="W98" s="246"/>
      <c r="X98" s="246"/>
      <c r="Y98" s="246"/>
      <c r="Z98" s="246"/>
      <c r="AA98" s="246">
        <f t="shared" si="7"/>
        <v>0</v>
      </c>
      <c r="AB98" s="103" t="str">
        <f t="shared" si="8"/>
        <v/>
      </c>
      <c r="AD98" s="74"/>
      <c r="AE98" s="103" t="str">
        <f t="shared" si="9"/>
        <v/>
      </c>
      <c r="AF98" s="74">
        <f t="shared" si="10"/>
        <v>0</v>
      </c>
      <c r="AG98" s="74"/>
      <c r="AH98" s="103" t="str">
        <f t="shared" si="12"/>
        <v/>
      </c>
      <c r="AI98" s="266">
        <f t="shared" si="11"/>
        <v>0</v>
      </c>
    </row>
    <row r="99" spans="8:35" x14ac:dyDescent="0.2">
      <c r="H99" s="10" t="s">
        <v>168</v>
      </c>
      <c r="I99" s="26" t="e">
        <f ca="1">_xll.EVPRO($B$1,$H99,"STYLE")</f>
        <v>#NAME?</v>
      </c>
      <c r="J99" s="26" t="e">
        <f ca="1">_xll.EVPRO($B$1,$H99,"CALC")</f>
        <v>#NAME?</v>
      </c>
      <c r="K99" s="65"/>
      <c r="L99" s="23" t="e">
        <f ca="1">_xll.EVPRO($B$1,H99,"JDEID")</f>
        <v>#NAME?</v>
      </c>
      <c r="M99" s="24" t="e">
        <f ca="1">IF(AND(I99="N",J99="N"),_xll.EVPRO($B$1,H99,"PSFTID"),"")</f>
        <v>#NAME?</v>
      </c>
      <c r="N99" s="23" t="e">
        <f ca="1">IF(_xll.EVDES(H99,$B$1)="#NODATA","",_xll.EVDES(H99,$B$1))</f>
        <v>#NAME?</v>
      </c>
      <c r="O99" s="73">
        <v>21</v>
      </c>
      <c r="P99" s="246"/>
      <c r="Q99" s="246"/>
      <c r="R99" s="246"/>
      <c r="S99" s="246"/>
      <c r="T99" s="246"/>
      <c r="U99" s="246"/>
      <c r="V99" s="246"/>
      <c r="W99" s="246"/>
      <c r="X99" s="246"/>
      <c r="Y99" s="246"/>
      <c r="Z99" s="246"/>
      <c r="AA99" s="246">
        <f t="shared" si="7"/>
        <v>21</v>
      </c>
      <c r="AB99" s="103" t="str">
        <f t="shared" ca="1" si="8"/>
        <v/>
      </c>
      <c r="AD99" s="74">
        <v>201</v>
      </c>
      <c r="AE99" s="103" t="str">
        <f t="shared" ca="1" si="9"/>
        <v>"</v>
      </c>
      <c r="AF99" s="74">
        <f t="shared" si="10"/>
        <v>-180</v>
      </c>
      <c r="AG99" s="74"/>
      <c r="AH99" s="103" t="str">
        <f t="shared" si="12"/>
        <v/>
      </c>
      <c r="AI99" s="266">
        <f t="shared" si="11"/>
        <v>21</v>
      </c>
    </row>
    <row r="100" spans="8:35" x14ac:dyDescent="0.2">
      <c r="H100" s="10" t="s">
        <v>169</v>
      </c>
      <c r="I100" s="24" t="e">
        <f ca="1">_xll.EVPRO($B$1,$H100,"STYLE")</f>
        <v>#NAME?</v>
      </c>
      <c r="J100" s="24" t="e">
        <f ca="1">_xll.EVPRO($B$1,$H100,"CALC")</f>
        <v>#NAME?</v>
      </c>
      <c r="K100" s="24"/>
      <c r="L100" s="24" t="e">
        <f ca="1">_xll.EVPRO($B$1,H100,"JDEID")</f>
        <v>#NAME?</v>
      </c>
      <c r="M100" s="24" t="e">
        <f ca="1">IF(AND(I100="N",J100="N"),_xll.EVPRO($B$1,H100,"PSFTID"),"")</f>
        <v>#NAME?</v>
      </c>
      <c r="N100" s="24" t="e">
        <f ca="1">IF(_xll.EVDES(H100,$B$1)="#NODATA","",_xll.EVDES(H100,$B$1))</f>
        <v>#NAME?</v>
      </c>
      <c r="O100" s="82">
        <v>21</v>
      </c>
      <c r="P100" s="247"/>
      <c r="Q100" s="247"/>
      <c r="R100" s="247"/>
      <c r="S100" s="247"/>
      <c r="T100" s="247"/>
      <c r="U100" s="247"/>
      <c r="V100" s="247"/>
      <c r="W100" s="247"/>
      <c r="X100" s="247"/>
      <c r="Y100" s="247"/>
      <c r="Z100" s="247"/>
      <c r="AA100" s="247">
        <f t="shared" si="7"/>
        <v>21</v>
      </c>
      <c r="AB100" s="104" t="str">
        <f t="shared" ca="1" si="8"/>
        <v/>
      </c>
      <c r="AD100" s="83">
        <v>201</v>
      </c>
      <c r="AE100" s="104" t="str">
        <f t="shared" ca="1" si="9"/>
        <v>"</v>
      </c>
      <c r="AF100" s="83">
        <f t="shared" si="10"/>
        <v>-180</v>
      </c>
      <c r="AG100" s="83"/>
      <c r="AH100" s="104" t="str">
        <f t="shared" si="12"/>
        <v/>
      </c>
      <c r="AI100" s="267">
        <f t="shared" si="11"/>
        <v>21</v>
      </c>
    </row>
    <row r="101" spans="8:35" x14ac:dyDescent="0.2">
      <c r="H101" s="10" t="s">
        <v>170</v>
      </c>
      <c r="I101" s="24" t="e">
        <f ca="1">_xll.EVPRO($B$1,$H101,"STYLE")</f>
        <v>#NAME?</v>
      </c>
      <c r="J101" s="24" t="e">
        <f ca="1">_xll.EVPRO($B$1,$H101,"CALC")</f>
        <v>#NAME?</v>
      </c>
      <c r="K101" s="24"/>
      <c r="L101" s="24" t="e">
        <f ca="1">_xll.EVPRO($B$1,H101,"JDEID")</f>
        <v>#NAME?</v>
      </c>
      <c r="M101" s="24" t="e">
        <f ca="1">IF(AND(I101="N",J101="N"),_xll.EVPRO($B$1,H101,"PSFTID"),"")</f>
        <v>#NAME?</v>
      </c>
      <c r="N101" s="24" t="e">
        <f ca="1">IF(_xll.EVDES(H101,$B$1)="#NODATA","",_xll.EVDES(H101,$B$1))</f>
        <v>#NAME?</v>
      </c>
      <c r="O101" s="82"/>
      <c r="P101" s="247"/>
      <c r="Q101" s="247"/>
      <c r="R101" s="247"/>
      <c r="S101" s="247"/>
      <c r="T101" s="247"/>
      <c r="U101" s="247"/>
      <c r="V101" s="247"/>
      <c r="W101" s="247"/>
      <c r="X101" s="247"/>
      <c r="Y101" s="247"/>
      <c r="Z101" s="247"/>
      <c r="AA101" s="247">
        <f t="shared" si="7"/>
        <v>0</v>
      </c>
      <c r="AB101" s="104" t="str">
        <f t="shared" si="8"/>
        <v/>
      </c>
      <c r="AD101" s="83"/>
      <c r="AE101" s="104" t="str">
        <f t="shared" si="9"/>
        <v/>
      </c>
      <c r="AF101" s="83">
        <f t="shared" si="10"/>
        <v>0</v>
      </c>
      <c r="AG101" s="83"/>
      <c r="AH101" s="104" t="str">
        <f t="shared" si="12"/>
        <v/>
      </c>
      <c r="AI101" s="267">
        <f t="shared" si="11"/>
        <v>0</v>
      </c>
    </row>
    <row r="102" spans="8:35" x14ac:dyDescent="0.2">
      <c r="H102" s="10" t="s">
        <v>171</v>
      </c>
      <c r="I102" s="26" t="e">
        <f ca="1">_xll.EVPRO($B$1,$H102,"STYLE")</f>
        <v>#NAME?</v>
      </c>
      <c r="J102" s="26" t="e">
        <f ca="1">_xll.EVPRO($B$1,$H102,"CALC")</f>
        <v>#NAME?</v>
      </c>
      <c r="K102" s="65"/>
      <c r="L102" s="23" t="e">
        <f ca="1">_xll.EVPRO($B$1,H102,"JDEID")</f>
        <v>#NAME?</v>
      </c>
      <c r="M102" s="24" t="e">
        <f ca="1">IF(AND(I102="N",J102="N"),_xll.EVPRO($B$1,H102,"PSFTID"),"")</f>
        <v>#NAME?</v>
      </c>
      <c r="N102" s="23" t="e">
        <f ca="1">IF(_xll.EVDES(H102,$B$1)="#NODATA","",_xll.EVDES(H102,$B$1))</f>
        <v>#NAME?</v>
      </c>
      <c r="O102" s="79"/>
      <c r="P102" s="248"/>
      <c r="Q102" s="248"/>
      <c r="R102" s="248">
        <v>35</v>
      </c>
      <c r="S102" s="248"/>
      <c r="T102" s="248"/>
      <c r="U102" s="248"/>
      <c r="V102" s="248">
        <v>8</v>
      </c>
      <c r="W102" s="248"/>
      <c r="X102" s="248"/>
      <c r="Y102" s="248">
        <v>38</v>
      </c>
      <c r="Z102" s="248"/>
      <c r="AA102" s="248">
        <f t="shared" si="7"/>
        <v>81</v>
      </c>
      <c r="AB102" s="105" t="str">
        <f t="shared" ca="1" si="8"/>
        <v/>
      </c>
      <c r="AD102" s="80">
        <v>475</v>
      </c>
      <c r="AE102" s="105" t="str">
        <f t="shared" ca="1" si="9"/>
        <v>"</v>
      </c>
      <c r="AF102" s="80">
        <f t="shared" si="10"/>
        <v>-394</v>
      </c>
      <c r="AG102" s="80">
        <v>297</v>
      </c>
      <c r="AH102" s="105" t="str">
        <f t="shared" ca="1" si="12"/>
        <v>"</v>
      </c>
      <c r="AI102" s="268">
        <f t="shared" si="11"/>
        <v>-216</v>
      </c>
    </row>
    <row r="103" spans="8:35" x14ac:dyDescent="0.2">
      <c r="H103" s="10" t="s">
        <v>160</v>
      </c>
      <c r="I103" s="26" t="e">
        <f ca="1">_xll.EVPRO($B$1,$H103,"STYLE")</f>
        <v>#NAME?</v>
      </c>
      <c r="J103" s="26" t="e">
        <f ca="1">_xll.EVPRO($B$1,$H103,"CALC")</f>
        <v>#NAME?</v>
      </c>
      <c r="K103" s="65"/>
      <c r="L103" s="23" t="e">
        <f ca="1">_xll.EVPRO($B$1,H103,"JDEID")</f>
        <v>#NAME?</v>
      </c>
      <c r="M103" s="24" t="e">
        <f ca="1">IF(AND(I103="N",J103="N"),_xll.EVPRO($B$1,H103,"PSFTID"),"")</f>
        <v>#NAME?</v>
      </c>
      <c r="N103" s="23" t="e">
        <f ca="1">IF(_xll.EVDES(H103,$B$1)="#NODATA","",_xll.EVDES(H103,$B$1))</f>
        <v>#NAME?</v>
      </c>
      <c r="O103" s="137">
        <v>570</v>
      </c>
      <c r="P103" s="249">
        <v>802</v>
      </c>
      <c r="Q103" s="249">
        <v>350</v>
      </c>
      <c r="R103" s="249">
        <v>133</v>
      </c>
      <c r="S103" s="249">
        <v>346</v>
      </c>
      <c r="T103" s="249">
        <v>487</v>
      </c>
      <c r="U103" s="249">
        <v>154</v>
      </c>
      <c r="V103" s="249">
        <v>102</v>
      </c>
      <c r="W103" s="249">
        <v>528</v>
      </c>
      <c r="X103" s="249">
        <v>445</v>
      </c>
      <c r="Y103" s="249">
        <v>355</v>
      </c>
      <c r="Z103" s="249">
        <v>330</v>
      </c>
      <c r="AA103" s="249">
        <f t="shared" si="7"/>
        <v>4602</v>
      </c>
      <c r="AB103" s="140" t="str">
        <f t="shared" ca="1" si="8"/>
        <v/>
      </c>
      <c r="AD103" s="139">
        <v>4786</v>
      </c>
      <c r="AE103" s="140" t="str">
        <f t="shared" ca="1" si="9"/>
        <v>"</v>
      </c>
      <c r="AF103" s="139">
        <f t="shared" si="10"/>
        <v>-184</v>
      </c>
      <c r="AG103" s="139">
        <v>4156</v>
      </c>
      <c r="AH103" s="140" t="str">
        <f t="shared" ca="1" si="12"/>
        <v>"</v>
      </c>
      <c r="AI103" s="269">
        <f t="shared" si="11"/>
        <v>446</v>
      </c>
    </row>
    <row r="104" spans="8:35" x14ac:dyDescent="0.2">
      <c r="H104" s="10" t="s">
        <v>172</v>
      </c>
      <c r="I104" s="24" t="e">
        <f ca="1">_xll.EVPRO($B$1,$H104,"STYLE")</f>
        <v>#NAME?</v>
      </c>
      <c r="J104" s="24" t="e">
        <f ca="1">_xll.EVPRO($B$1,$H104,"CALC")</f>
        <v>#NAME?</v>
      </c>
      <c r="K104" s="24"/>
      <c r="L104" s="24" t="e">
        <f ca="1">_xll.EVPRO($B$1,H104,"JDEID")</f>
        <v>#NAME?</v>
      </c>
      <c r="M104" s="24" t="e">
        <f ca="1">IF(AND(I104="N",J104="N"),_xll.EVPRO($B$1,H104,"PSFTID"),"")</f>
        <v>#NAME?</v>
      </c>
      <c r="N104" s="24" t="e">
        <f ca="1">IF(_xll.EVDES(H104,$B$1)="#NODATA","",_xll.EVDES(H104,$B$1))</f>
        <v>#NAME?</v>
      </c>
      <c r="O104" s="130"/>
      <c r="P104" s="253"/>
      <c r="Q104" s="253"/>
      <c r="R104" s="253"/>
      <c r="S104" s="253"/>
      <c r="T104" s="253"/>
      <c r="U104" s="253"/>
      <c r="V104" s="253"/>
      <c r="W104" s="253"/>
      <c r="X104" s="253"/>
      <c r="Y104" s="253"/>
      <c r="Z104" s="253"/>
      <c r="AA104" s="253">
        <f t="shared" si="7"/>
        <v>0</v>
      </c>
      <c r="AB104" s="131" t="str">
        <f t="shared" si="8"/>
        <v/>
      </c>
      <c r="AD104" s="132"/>
      <c r="AE104" s="131" t="str">
        <f t="shared" si="9"/>
        <v/>
      </c>
      <c r="AF104" s="132">
        <f t="shared" si="10"/>
        <v>0</v>
      </c>
      <c r="AG104" s="132"/>
      <c r="AH104" s="131" t="str">
        <f t="shared" si="12"/>
        <v/>
      </c>
      <c r="AI104" s="273">
        <f t="shared" si="11"/>
        <v>0</v>
      </c>
    </row>
    <row r="105" spans="8:35" x14ac:dyDescent="0.2">
      <c r="H105" s="10" t="s">
        <v>257</v>
      </c>
      <c r="I105" s="26" t="e">
        <f ca="1">_xll.EVPRO($B$1,$H105,"STYLE")</f>
        <v>#NAME?</v>
      </c>
      <c r="J105" s="26" t="e">
        <f ca="1">_xll.EVPRO($B$1,$H105,"CALC")</f>
        <v>#NAME?</v>
      </c>
      <c r="K105" s="65"/>
      <c r="L105" s="23" t="e">
        <f ca="1">_xll.EVPRO($B$1,H105,"JDEID")</f>
        <v>#NAME?</v>
      </c>
      <c r="M105" s="24" t="e">
        <f ca="1">IF(AND(I105="N",J105="N"),_xll.EVPRO($B$1,H105,"PSFTID"),"")</f>
        <v>#NAME?</v>
      </c>
      <c r="N105" s="23" t="e">
        <f ca="1">IF(_xll.EVDES(H105,$B$1)="#NODATA","",_xll.EVDES(H105,$B$1))</f>
        <v>#NAME?</v>
      </c>
      <c r="O105" s="137">
        <v>3654</v>
      </c>
      <c r="P105" s="249">
        <v>3557</v>
      </c>
      <c r="Q105" s="249">
        <v>3793</v>
      </c>
      <c r="R105" s="249">
        <v>3692</v>
      </c>
      <c r="S105" s="249">
        <v>3471</v>
      </c>
      <c r="T105" s="249">
        <v>3102</v>
      </c>
      <c r="U105" s="249">
        <v>3016</v>
      </c>
      <c r="V105" s="249">
        <v>3030</v>
      </c>
      <c r="W105" s="249">
        <v>2625</v>
      </c>
      <c r="X105" s="249">
        <v>3173</v>
      </c>
      <c r="Y105" s="249">
        <v>3516</v>
      </c>
      <c r="Z105" s="249">
        <v>3594</v>
      </c>
      <c r="AA105" s="249">
        <f t="shared" si="7"/>
        <v>40223</v>
      </c>
      <c r="AB105" s="140" t="str">
        <f t="shared" ca="1" si="8"/>
        <v/>
      </c>
      <c r="AD105" s="139">
        <v>40231</v>
      </c>
      <c r="AE105" s="140" t="str">
        <f t="shared" ca="1" si="9"/>
        <v>"</v>
      </c>
      <c r="AF105" s="139">
        <f t="shared" si="10"/>
        <v>-8</v>
      </c>
      <c r="AG105" s="139">
        <v>39696</v>
      </c>
      <c r="AH105" s="140" t="str">
        <f t="shared" ca="1" si="12"/>
        <v>"</v>
      </c>
      <c r="AI105" s="269">
        <f t="shared" si="11"/>
        <v>527</v>
      </c>
    </row>
    <row r="106" spans="8:35" x14ac:dyDescent="0.2">
      <c r="H106" s="10" t="s">
        <v>176</v>
      </c>
      <c r="I106" s="24" t="e">
        <f ca="1">_xll.EVPRO($B$1,$H106,"STYLE")</f>
        <v>#NAME?</v>
      </c>
      <c r="J106" s="24" t="e">
        <f ca="1">_xll.EVPRO($B$1,$H106,"CALC")</f>
        <v>#NAME?</v>
      </c>
      <c r="K106" s="24"/>
      <c r="L106" s="24" t="e">
        <f ca="1">_xll.EVPRO($B$1,H106,"JDEID")</f>
        <v>#NAME?</v>
      </c>
      <c r="M106" s="24" t="e">
        <f ca="1">IF(AND(I106="N",J106="N"),_xll.EVPRO($B$1,H106,"PSFTID"),"")</f>
        <v>#NAME?</v>
      </c>
      <c r="N106" s="24" t="e">
        <f ca="1">IF(_xll.EVDES(H106,$B$1)="#NODATA","",_xll.EVDES(H106,$B$1))</f>
        <v>#NAME?</v>
      </c>
      <c r="O106" s="130">
        <v>40</v>
      </c>
      <c r="P106" s="253">
        <v>36</v>
      </c>
      <c r="Q106" s="253">
        <v>38</v>
      </c>
      <c r="R106" s="253">
        <v>28</v>
      </c>
      <c r="S106" s="253">
        <v>2</v>
      </c>
      <c r="T106" s="253">
        <v>3</v>
      </c>
      <c r="U106" s="253">
        <v>18</v>
      </c>
      <c r="V106" s="253">
        <v>3</v>
      </c>
      <c r="W106" s="253">
        <v>7</v>
      </c>
      <c r="X106" s="253">
        <v>13</v>
      </c>
      <c r="Y106" s="253">
        <v>18</v>
      </c>
      <c r="Z106" s="253">
        <v>41</v>
      </c>
      <c r="AA106" s="253">
        <f t="shared" si="7"/>
        <v>247</v>
      </c>
      <c r="AB106" s="131" t="str">
        <f t="shared" ca="1" si="8"/>
        <v/>
      </c>
      <c r="AD106" s="132"/>
      <c r="AE106" s="131" t="str">
        <f t="shared" si="9"/>
        <v/>
      </c>
      <c r="AF106" s="132">
        <f t="shared" si="10"/>
        <v>247</v>
      </c>
      <c r="AG106" s="132">
        <v>190</v>
      </c>
      <c r="AH106" s="131" t="str">
        <f t="shared" ca="1" si="12"/>
        <v>"</v>
      </c>
      <c r="AI106" s="273">
        <f t="shared" si="11"/>
        <v>57</v>
      </c>
    </row>
    <row r="107" spans="8:35" x14ac:dyDescent="0.2">
      <c r="H107" s="10" t="s">
        <v>174</v>
      </c>
      <c r="I107" s="26" t="e">
        <f ca="1">_xll.EVPRO($B$1,$H107,"STYLE")</f>
        <v>#NAME?</v>
      </c>
      <c r="J107" s="26" t="e">
        <f ca="1">_xll.EVPRO($B$1,$H107,"CALC")</f>
        <v>#NAME?</v>
      </c>
      <c r="K107" s="65"/>
      <c r="L107" s="23" t="e">
        <f ca="1">_xll.EVPRO($B$1,H107,"JDEID")</f>
        <v>#NAME?</v>
      </c>
      <c r="M107" s="24" t="e">
        <f ca="1">IF(AND(I107="N",J107="N"),_xll.EVPRO($B$1,H107,"PSFTID"),"")</f>
        <v>#NAME?</v>
      </c>
      <c r="N107" s="23" t="e">
        <f ca="1">IF(_xll.EVDES(H107,$B$1)="#NODATA","",_xll.EVDES(H107,$B$1))</f>
        <v>#NAME?</v>
      </c>
      <c r="O107" s="137">
        <v>3694</v>
      </c>
      <c r="P107" s="249">
        <v>3593</v>
      </c>
      <c r="Q107" s="249">
        <v>3831</v>
      </c>
      <c r="R107" s="249">
        <v>3720</v>
      </c>
      <c r="S107" s="249">
        <v>3473</v>
      </c>
      <c r="T107" s="249">
        <v>3105</v>
      </c>
      <c r="U107" s="249">
        <v>3034</v>
      </c>
      <c r="V107" s="249">
        <v>3033</v>
      </c>
      <c r="W107" s="249">
        <v>2632</v>
      </c>
      <c r="X107" s="249">
        <v>3186</v>
      </c>
      <c r="Y107" s="249">
        <v>3534</v>
      </c>
      <c r="Z107" s="249">
        <v>3635</v>
      </c>
      <c r="AA107" s="249">
        <f t="shared" si="7"/>
        <v>40470</v>
      </c>
      <c r="AB107" s="140" t="str">
        <f t="shared" ca="1" si="8"/>
        <v/>
      </c>
      <c r="AD107" s="139">
        <v>40231</v>
      </c>
      <c r="AE107" s="140" t="str">
        <f t="shared" ca="1" si="9"/>
        <v>"</v>
      </c>
      <c r="AF107" s="139">
        <f t="shared" si="10"/>
        <v>239</v>
      </c>
      <c r="AG107" s="139">
        <v>39886</v>
      </c>
      <c r="AH107" s="140" t="str">
        <f t="shared" ca="1" si="12"/>
        <v>"</v>
      </c>
      <c r="AI107" s="269">
        <f t="shared" si="11"/>
        <v>584</v>
      </c>
    </row>
    <row r="108" spans="8:35" x14ac:dyDescent="0.2">
      <c r="H108" s="10" t="s">
        <v>175</v>
      </c>
      <c r="I108" s="24" t="e">
        <f ca="1">_xll.EVPRO($B$1,$H108,"STYLE")</f>
        <v>#NAME?</v>
      </c>
      <c r="J108" s="24" t="e">
        <f ca="1">_xll.EVPRO($B$1,$H108,"CALC")</f>
        <v>#NAME?</v>
      </c>
      <c r="K108" s="24"/>
      <c r="L108" s="24" t="e">
        <f ca="1">_xll.EVPRO($B$1,H108,"JDEID")</f>
        <v>#NAME?</v>
      </c>
      <c r="M108" s="24" t="e">
        <f ca="1">IF(AND(I108="N",J108="N"),_xll.EVPRO($B$1,H108,"PSFTID"),"")</f>
        <v>#NAME?</v>
      </c>
      <c r="N108" s="24" t="e">
        <f ca="1">IF(_xll.EVDES(H108,$B$1)="#NODATA","",_xll.EVDES(H108,$B$1))</f>
        <v>#NAME?</v>
      </c>
      <c r="O108" s="76"/>
      <c r="P108" s="250"/>
      <c r="Q108" s="250"/>
      <c r="R108" s="250"/>
      <c r="S108" s="250"/>
      <c r="T108" s="250"/>
      <c r="U108" s="250"/>
      <c r="V108" s="250"/>
      <c r="W108" s="250"/>
      <c r="X108" s="250"/>
      <c r="Y108" s="250"/>
      <c r="Z108" s="250"/>
      <c r="AA108" s="250">
        <f t="shared" si="7"/>
        <v>0</v>
      </c>
      <c r="AB108" s="106" t="str">
        <f t="shared" si="8"/>
        <v/>
      </c>
      <c r="AD108" s="77"/>
      <c r="AE108" s="106" t="str">
        <f t="shared" si="9"/>
        <v/>
      </c>
      <c r="AF108" s="77">
        <f t="shared" si="10"/>
        <v>0</v>
      </c>
      <c r="AG108" s="77"/>
      <c r="AH108" s="106" t="str">
        <f t="shared" si="12"/>
        <v/>
      </c>
      <c r="AI108" s="270">
        <f t="shared" si="11"/>
        <v>0</v>
      </c>
    </row>
    <row r="109" spans="8:35" x14ac:dyDescent="0.2">
      <c r="H109" s="10" t="s">
        <v>211</v>
      </c>
      <c r="I109" s="24" t="e">
        <f ca="1">_xll.EVPRO($B$1,$H109,"STYLE")</f>
        <v>#NAME?</v>
      </c>
      <c r="J109" s="24" t="e">
        <f ca="1">_xll.EVPRO($B$1,$H109,"CALC")</f>
        <v>#NAME?</v>
      </c>
      <c r="K109" s="24"/>
      <c r="L109" s="24" t="e">
        <f ca="1">_xll.EVPRO($B$1,H109,"JDEID")</f>
        <v>#NAME?</v>
      </c>
      <c r="M109" s="24" t="e">
        <f ca="1">IF(AND(I109="N",J109="N"),_xll.EVPRO($B$1,H109,"PSFTID"),"")</f>
        <v>#NAME?</v>
      </c>
      <c r="N109" s="24" t="e">
        <f ca="1">IF(_xll.EVDES(H109,$B$1)="#NODATA","",_xll.EVDES(H109,$B$1))</f>
        <v>#NAME?</v>
      </c>
      <c r="O109" s="82">
        <v>4092</v>
      </c>
      <c r="P109" s="247">
        <v>3828</v>
      </c>
      <c r="Q109" s="247">
        <v>4092</v>
      </c>
      <c r="R109" s="247">
        <v>3960</v>
      </c>
      <c r="S109" s="247">
        <v>4092</v>
      </c>
      <c r="T109" s="247">
        <v>3960</v>
      </c>
      <c r="U109" s="247">
        <v>4092</v>
      </c>
      <c r="V109" s="247">
        <v>4092</v>
      </c>
      <c r="W109" s="247">
        <v>3960</v>
      </c>
      <c r="X109" s="247">
        <v>4092</v>
      </c>
      <c r="Y109" s="247">
        <v>3960</v>
      </c>
      <c r="Z109" s="247">
        <v>4092</v>
      </c>
      <c r="AA109" s="247">
        <f t="shared" si="7"/>
        <v>48312</v>
      </c>
      <c r="AB109" s="104" t="str">
        <f t="shared" ca="1" si="8"/>
        <v/>
      </c>
      <c r="AD109" s="83">
        <v>48312</v>
      </c>
      <c r="AE109" s="104" t="str">
        <f t="shared" ca="1" si="9"/>
        <v>"</v>
      </c>
      <c r="AF109" s="83">
        <f t="shared" si="10"/>
        <v>0</v>
      </c>
      <c r="AG109" s="83">
        <v>48180</v>
      </c>
      <c r="AH109" s="104" t="str">
        <f t="shared" ca="1" si="12"/>
        <v>"</v>
      </c>
      <c r="AI109" s="267">
        <f t="shared" si="11"/>
        <v>132</v>
      </c>
    </row>
    <row r="110" spans="8:35" x14ac:dyDescent="0.2">
      <c r="H110" s="10" t="s">
        <v>212</v>
      </c>
      <c r="I110" s="24" t="e">
        <f ca="1">_xll.EVPRO($B$1,$H110,"STYLE")</f>
        <v>#NAME?</v>
      </c>
      <c r="J110" s="24" t="e">
        <f ca="1">_xll.EVPRO($B$1,$H110,"CALC")</f>
        <v>#NAME?</v>
      </c>
      <c r="K110" s="24"/>
      <c r="L110" s="24" t="e">
        <f ca="1">_xll.EVPRO($B$1,H110,"JDEID")</f>
        <v>#NAME?</v>
      </c>
      <c r="M110" s="24" t="e">
        <f ca="1">IF(AND(I110="N",J110="N"),_xll.EVPRO($B$1,H110,"PSFTID"),"")</f>
        <v>#NAME?</v>
      </c>
      <c r="N110" s="24" t="e">
        <f ca="1">IF(_xll.EVDES(H110,$B$1)="#NODATA","",_xll.EVDES(H110,$B$1))</f>
        <v>#NAME?</v>
      </c>
      <c r="O110" s="82"/>
      <c r="P110" s="247"/>
      <c r="Q110" s="247"/>
      <c r="R110" s="247"/>
      <c r="S110" s="247"/>
      <c r="T110" s="247"/>
      <c r="U110" s="247"/>
      <c r="V110" s="247"/>
      <c r="W110" s="247"/>
      <c r="X110" s="247"/>
      <c r="Y110" s="247"/>
      <c r="Z110" s="247"/>
      <c r="AA110" s="247">
        <f t="shared" si="7"/>
        <v>0</v>
      </c>
      <c r="AB110" s="104" t="str">
        <f t="shared" si="8"/>
        <v/>
      </c>
      <c r="AD110" s="83"/>
      <c r="AE110" s="104" t="str">
        <f t="shared" si="9"/>
        <v/>
      </c>
      <c r="AF110" s="83">
        <f t="shared" si="10"/>
        <v>0</v>
      </c>
      <c r="AG110" s="83"/>
      <c r="AH110" s="104" t="str">
        <f t="shared" si="12"/>
        <v/>
      </c>
      <c r="AI110" s="267">
        <f t="shared" si="11"/>
        <v>0</v>
      </c>
    </row>
    <row r="111" spans="8:35" x14ac:dyDescent="0.2">
      <c r="H111" s="10" t="s">
        <v>213</v>
      </c>
      <c r="I111" s="24" t="e">
        <f ca="1">_xll.EVPRO($B$1,$H111,"STYLE")</f>
        <v>#NAME?</v>
      </c>
      <c r="J111" s="24" t="e">
        <f ca="1">_xll.EVPRO($B$1,$H111,"CALC")</f>
        <v>#NAME?</v>
      </c>
      <c r="K111" s="24"/>
      <c r="L111" s="24" t="e">
        <f ca="1">_xll.EVPRO($B$1,H111,"JDEID")</f>
        <v>#NAME?</v>
      </c>
      <c r="M111" s="24" t="e">
        <f ca="1">IF(AND(I111="N",J111="N"),_xll.EVPRO($B$1,H111,"PSFTID"),"")</f>
        <v>#NAME?</v>
      </c>
      <c r="N111" s="24" t="e">
        <f ca="1">IF(_xll.EVDES(H111,$B$1)="#NODATA","",_xll.EVDES(H111,$B$1))</f>
        <v>#NAME?</v>
      </c>
      <c r="O111" s="82">
        <v>83</v>
      </c>
      <c r="P111" s="247">
        <v>35</v>
      </c>
      <c r="Q111" s="247">
        <v>32</v>
      </c>
      <c r="R111" s="247">
        <v>51</v>
      </c>
      <c r="S111" s="247">
        <v>108</v>
      </c>
      <c r="T111" s="247">
        <v>137</v>
      </c>
      <c r="U111" s="247">
        <v>185</v>
      </c>
      <c r="V111" s="247">
        <v>57</v>
      </c>
      <c r="W111" s="247">
        <v>115</v>
      </c>
      <c r="X111" s="247">
        <v>104</v>
      </c>
      <c r="Y111" s="247">
        <v>39</v>
      </c>
      <c r="Z111" s="247">
        <v>57</v>
      </c>
      <c r="AA111" s="247">
        <f t="shared" si="7"/>
        <v>1003</v>
      </c>
      <c r="AB111" s="104" t="str">
        <f t="shared" ca="1" si="8"/>
        <v/>
      </c>
      <c r="AD111" s="83"/>
      <c r="AE111" s="104" t="str">
        <f t="shared" si="9"/>
        <v/>
      </c>
      <c r="AF111" s="83">
        <f t="shared" si="10"/>
        <v>1003</v>
      </c>
      <c r="AG111" s="83">
        <v>1107</v>
      </c>
      <c r="AH111" s="104" t="str">
        <f t="shared" ca="1" si="12"/>
        <v>"</v>
      </c>
      <c r="AI111" s="267">
        <f t="shared" si="11"/>
        <v>-104</v>
      </c>
    </row>
    <row r="112" spans="8:35" x14ac:dyDescent="0.2">
      <c r="H112" s="10" t="s">
        <v>214</v>
      </c>
      <c r="I112" s="24" t="e">
        <f ca="1">_xll.EVPRO($B$1,$H112,"STYLE")</f>
        <v>#NAME?</v>
      </c>
      <c r="J112" s="24" t="e">
        <f ca="1">_xll.EVPRO($B$1,$H112,"CALC")</f>
        <v>#NAME?</v>
      </c>
      <c r="K112" s="24"/>
      <c r="L112" s="24" t="e">
        <f ca="1">_xll.EVPRO($B$1,H112,"JDEID")</f>
        <v>#NAME?</v>
      </c>
      <c r="M112" s="24" t="e">
        <f ca="1">IF(AND(I112="N",J112="N"),_xll.EVPRO($B$1,H112,"PSFTID"),"")</f>
        <v>#NAME?</v>
      </c>
      <c r="N112" s="24" t="e">
        <f ca="1">IF(_xll.EVDES(H112,$B$1)="#NODATA","",_xll.EVDES(H112,$B$1))</f>
        <v>#NAME?</v>
      </c>
      <c r="O112" s="82"/>
      <c r="P112" s="247"/>
      <c r="Q112" s="247"/>
      <c r="R112" s="247"/>
      <c r="S112" s="247"/>
      <c r="T112" s="247"/>
      <c r="U112" s="247"/>
      <c r="V112" s="247"/>
      <c r="W112" s="247"/>
      <c r="X112" s="247"/>
      <c r="Y112" s="247"/>
      <c r="Z112" s="247"/>
      <c r="AA112" s="247">
        <f t="shared" si="7"/>
        <v>0</v>
      </c>
      <c r="AB112" s="104" t="str">
        <f t="shared" si="8"/>
        <v/>
      </c>
      <c r="AD112" s="83"/>
      <c r="AE112" s="104" t="str">
        <f t="shared" si="9"/>
        <v/>
      </c>
      <c r="AF112" s="83">
        <f t="shared" si="10"/>
        <v>0</v>
      </c>
      <c r="AG112" s="83"/>
      <c r="AH112" s="104" t="str">
        <f t="shared" si="12"/>
        <v/>
      </c>
      <c r="AI112" s="267">
        <f t="shared" si="11"/>
        <v>0</v>
      </c>
    </row>
    <row r="113" spans="7:35" x14ac:dyDescent="0.2">
      <c r="H113" s="10" t="s">
        <v>215</v>
      </c>
      <c r="I113" s="24" t="e">
        <f ca="1">_xll.EVPRO($B$1,$H113,"STYLE")</f>
        <v>#NAME?</v>
      </c>
      <c r="J113" s="24" t="e">
        <f ca="1">_xll.EVPRO($B$1,$H113,"CALC")</f>
        <v>#NAME?</v>
      </c>
      <c r="K113" s="24"/>
      <c r="L113" s="24" t="e">
        <f ca="1">_xll.EVPRO($B$1,H113,"JDEID")</f>
        <v>#NAME?</v>
      </c>
      <c r="M113" s="24" t="e">
        <f ca="1">IF(AND(I113="N",J113="N"),_xll.EVPRO($B$1,H113,"PSFTID"),"")</f>
        <v>#NAME?</v>
      </c>
      <c r="N113" s="24" t="e">
        <f ca="1">IF(_xll.EVDES(H113,$B$1)="#NODATA","",_xll.EVDES(H113,$B$1))</f>
        <v>#NAME?</v>
      </c>
      <c r="O113" s="82">
        <v>1454</v>
      </c>
      <c r="P113" s="247">
        <v>1351</v>
      </c>
      <c r="Q113" s="247">
        <v>1525</v>
      </c>
      <c r="R113" s="247">
        <v>1507</v>
      </c>
      <c r="S113" s="247">
        <v>1490</v>
      </c>
      <c r="T113" s="247">
        <v>1363</v>
      </c>
      <c r="U113" s="247">
        <v>1391</v>
      </c>
      <c r="V113" s="247">
        <v>1350</v>
      </c>
      <c r="W113" s="247">
        <v>1098</v>
      </c>
      <c r="X113" s="247">
        <v>1435</v>
      </c>
      <c r="Y113" s="247">
        <v>3534</v>
      </c>
      <c r="Z113" s="247">
        <v>1623</v>
      </c>
      <c r="AA113" s="247">
        <f t="shared" si="7"/>
        <v>19121</v>
      </c>
      <c r="AB113" s="104" t="str">
        <f t="shared" ca="1" si="8"/>
        <v/>
      </c>
      <c r="AD113" s="83"/>
      <c r="AE113" s="104" t="str">
        <f t="shared" si="9"/>
        <v/>
      </c>
      <c r="AF113" s="83">
        <f t="shared" si="10"/>
        <v>19121</v>
      </c>
      <c r="AG113" s="83">
        <v>15105</v>
      </c>
      <c r="AH113" s="104" t="str">
        <f t="shared" ca="1" si="12"/>
        <v>"</v>
      </c>
      <c r="AI113" s="267">
        <f t="shared" si="11"/>
        <v>4016</v>
      </c>
    </row>
    <row r="114" spans="7:35" x14ac:dyDescent="0.2">
      <c r="H114" s="10" t="s">
        <v>216</v>
      </c>
      <c r="I114" s="24" t="e">
        <f ca="1">_xll.EVPRO($B$1,$H114,"STYLE")</f>
        <v>#NAME?</v>
      </c>
      <c r="J114" s="24" t="e">
        <f ca="1">_xll.EVPRO($B$1,$H114,"CALC")</f>
        <v>#NAME?</v>
      </c>
      <c r="K114" s="24"/>
      <c r="L114" s="24" t="e">
        <f ca="1">_xll.EVPRO($B$1,H114,"JDEID")</f>
        <v>#NAME?</v>
      </c>
      <c r="M114" s="24" t="e">
        <f ca="1">IF(AND(I114="N",J114="N"),_xll.EVPRO($B$1,H114,"PSFTID"),"")</f>
        <v>#NAME?</v>
      </c>
      <c r="N114" s="24" t="e">
        <f ca="1">IF(_xll.EVDES(H114,$B$1)="#NODATA","",_xll.EVDES(H114,$B$1))</f>
        <v>#NAME?</v>
      </c>
      <c r="O114" s="82">
        <v>1452</v>
      </c>
      <c r="P114" s="247">
        <v>1354</v>
      </c>
      <c r="Q114" s="247">
        <v>1547</v>
      </c>
      <c r="R114" s="247">
        <v>1485</v>
      </c>
      <c r="S114" s="247">
        <v>1502</v>
      </c>
      <c r="T114" s="247">
        <v>1389</v>
      </c>
      <c r="U114" s="247">
        <v>1387</v>
      </c>
      <c r="V114" s="247">
        <v>1341</v>
      </c>
      <c r="W114" s="247">
        <v>1112</v>
      </c>
      <c r="X114" s="247">
        <v>1410</v>
      </c>
      <c r="Y114" s="247">
        <v>3524</v>
      </c>
      <c r="Z114" s="247">
        <v>3635</v>
      </c>
      <c r="AA114" s="247">
        <f t="shared" si="7"/>
        <v>21138</v>
      </c>
      <c r="AB114" s="104" t="str">
        <f t="shared" ca="1" si="8"/>
        <v/>
      </c>
      <c r="AD114" s="83"/>
      <c r="AE114" s="104" t="str">
        <f t="shared" si="9"/>
        <v/>
      </c>
      <c r="AF114" s="83">
        <f t="shared" si="10"/>
        <v>21138</v>
      </c>
      <c r="AG114" s="83">
        <v>16094</v>
      </c>
      <c r="AH114" s="104" t="str">
        <f t="shared" ca="1" si="12"/>
        <v>"</v>
      </c>
      <c r="AI114" s="267">
        <f t="shared" si="11"/>
        <v>5044</v>
      </c>
    </row>
    <row r="115" spans="7:35" x14ac:dyDescent="0.2">
      <c r="H115" s="10" t="s">
        <v>217</v>
      </c>
      <c r="I115" s="24" t="e">
        <f ca="1">_xll.EVPRO($B$1,$H115,"STYLE")</f>
        <v>#NAME?</v>
      </c>
      <c r="J115" s="24" t="e">
        <f ca="1">_xll.EVPRO($B$1,$H115,"CALC")</f>
        <v>#NAME?</v>
      </c>
      <c r="K115" s="24"/>
      <c r="L115" s="24" t="e">
        <f ca="1">_xll.EVPRO($B$1,H115,"JDEID")</f>
        <v>#NAME?</v>
      </c>
      <c r="M115" s="24" t="e">
        <f ca="1">IF(AND(I115="N",J115="N"),_xll.EVPRO($B$1,H115,"PSFTID"),"")</f>
        <v>#NAME?</v>
      </c>
      <c r="N115" s="24" t="e">
        <f ca="1">IF(_xll.EVDES(H115,$B$1)="#NODATA","",_xll.EVDES(H115,$B$1))</f>
        <v>#NAME?</v>
      </c>
      <c r="O115" s="82">
        <v>1006</v>
      </c>
      <c r="P115" s="247">
        <v>1085</v>
      </c>
      <c r="Q115" s="247">
        <v>1267</v>
      </c>
      <c r="R115" s="247">
        <v>1070</v>
      </c>
      <c r="S115" s="247">
        <v>782</v>
      </c>
      <c r="T115" s="247">
        <v>907</v>
      </c>
      <c r="U115" s="247">
        <v>718</v>
      </c>
      <c r="V115" s="247">
        <v>599</v>
      </c>
      <c r="W115" s="247">
        <v>725</v>
      </c>
      <c r="X115" s="247">
        <v>975</v>
      </c>
      <c r="Y115" s="247">
        <v>704</v>
      </c>
      <c r="Z115" s="247">
        <v>-99</v>
      </c>
      <c r="AA115" s="247">
        <f t="shared" si="7"/>
        <v>9739</v>
      </c>
      <c r="AB115" s="104" t="str">
        <f t="shared" ca="1" si="8"/>
        <v/>
      </c>
      <c r="AD115" s="83">
        <v>9656</v>
      </c>
      <c r="AE115" s="104" t="str">
        <f t="shared" ca="1" si="9"/>
        <v>"</v>
      </c>
      <c r="AF115" s="83">
        <f t="shared" si="10"/>
        <v>83</v>
      </c>
      <c r="AG115" s="83">
        <v>11168</v>
      </c>
      <c r="AH115" s="104" t="str">
        <f t="shared" ca="1" si="12"/>
        <v>"</v>
      </c>
      <c r="AI115" s="267">
        <f t="shared" si="11"/>
        <v>-1429</v>
      </c>
    </row>
    <row r="116" spans="7:35" x14ac:dyDescent="0.2">
      <c r="H116" s="10" t="s">
        <v>218</v>
      </c>
      <c r="I116" s="24" t="e">
        <f ca="1">_xll.EVPRO($B$1,$H116,"STYLE")</f>
        <v>#NAME?</v>
      </c>
      <c r="J116" s="24" t="e">
        <f ca="1">_xll.EVPRO($B$1,$H116,"CALC")</f>
        <v>#NAME?</v>
      </c>
      <c r="K116" s="24"/>
      <c r="L116" s="24" t="e">
        <f ca="1">_xll.EVPRO($B$1,H116,"JDEID")</f>
        <v>#NAME?</v>
      </c>
      <c r="M116" s="24" t="e">
        <f ca="1">IF(AND(I116="N",J116="N"),_xll.EVPRO($B$1,H116,"PSFTID"),"")</f>
        <v>#NAME?</v>
      </c>
      <c r="N116" s="24" t="e">
        <f ca="1">IF(_xll.EVDES(H116,$B$1)="#NODATA","",_xll.EVDES(H116,$B$1))</f>
        <v>#NAME?</v>
      </c>
      <c r="O116" s="99">
        <v>5879</v>
      </c>
      <c r="P116" s="254">
        <v>5708</v>
      </c>
      <c r="Q116" s="254">
        <v>6784</v>
      </c>
      <c r="R116" s="254">
        <v>6760</v>
      </c>
      <c r="S116" s="254">
        <v>6155</v>
      </c>
      <c r="T116" s="254">
        <v>5541</v>
      </c>
      <c r="U116" s="254">
        <v>6252</v>
      </c>
      <c r="V116" s="254">
        <v>6277</v>
      </c>
      <c r="W116" s="254">
        <v>4513</v>
      </c>
      <c r="X116" s="254">
        <v>5395</v>
      </c>
      <c r="Y116" s="254">
        <v>6094</v>
      </c>
      <c r="Z116" s="254">
        <v>6578</v>
      </c>
      <c r="AA116" s="254">
        <f t="shared" si="7"/>
        <v>71936</v>
      </c>
      <c r="AB116" s="102" t="str">
        <f t="shared" ca="1" si="8"/>
        <v/>
      </c>
      <c r="AD116" s="100"/>
      <c r="AE116" s="102" t="str">
        <f t="shared" ca="1" si="9"/>
        <v/>
      </c>
      <c r="AF116" s="100">
        <f t="shared" si="10"/>
        <v>71936</v>
      </c>
      <c r="AG116" s="100">
        <v>69921</v>
      </c>
      <c r="AH116" s="102" t="str">
        <f t="shared" ca="1" si="12"/>
        <v/>
      </c>
      <c r="AI116" s="274">
        <f t="shared" si="11"/>
        <v>2015</v>
      </c>
    </row>
    <row r="117" spans="7:35" x14ac:dyDescent="0.2">
      <c r="I117" s="1"/>
      <c r="J117" s="1"/>
      <c r="N117" s="24"/>
      <c r="O117" s="50"/>
      <c r="AB117" s="51"/>
      <c r="AD117" s="50"/>
      <c r="AF117" s="51"/>
      <c r="AG117" s="50"/>
      <c r="AI117" s="51"/>
    </row>
    <row r="118" spans="7:35" x14ac:dyDescent="0.2">
      <c r="H118" s="1" t="s">
        <v>494</v>
      </c>
      <c r="I118" s="11" t="e">
        <f ca="1">_xll.EVPRO($B$1,$H118,"STYLE")</f>
        <v>#NAME?</v>
      </c>
      <c r="J118" s="11" t="e">
        <f ca="1">_xll.EVPRO($B$1,$H118,"CALC")</f>
        <v>#NAME?</v>
      </c>
      <c r="N118" s="37" t="e">
        <f ca="1">IF(_xll.EVDES(H118,$B$1)="#NODATA","",_xll.EVDES(H118,$B$1))</f>
        <v>#NAME?</v>
      </c>
      <c r="O118" s="181" t="s">
        <v>743</v>
      </c>
      <c r="P118" s="181" t="s">
        <v>743</v>
      </c>
      <c r="Q118" s="181" t="s">
        <v>743</v>
      </c>
      <c r="R118" s="181" t="s">
        <v>743</v>
      </c>
      <c r="S118" s="181" t="s">
        <v>743</v>
      </c>
      <c r="T118" s="181" t="s">
        <v>743</v>
      </c>
      <c r="U118" s="181" t="s">
        <v>743</v>
      </c>
      <c r="V118" s="181" t="s">
        <v>743</v>
      </c>
      <c r="W118" s="181" t="s">
        <v>743</v>
      </c>
      <c r="X118" s="181" t="s">
        <v>743</v>
      </c>
      <c r="Y118" s="181" t="s">
        <v>743</v>
      </c>
      <c r="Z118" s="181" t="s">
        <v>743</v>
      </c>
      <c r="AA118" s="181" t="s">
        <v>743</v>
      </c>
      <c r="AB118" s="181" t="s">
        <v>744</v>
      </c>
      <c r="AD118" s="181" t="s">
        <v>743</v>
      </c>
      <c r="AE118" s="181" t="s">
        <v>744</v>
      </c>
      <c r="AF118" s="181"/>
      <c r="AG118" s="181" t="s">
        <v>743</v>
      </c>
      <c r="AH118" s="181" t="s">
        <v>744</v>
      </c>
      <c r="AI118" s="181"/>
    </row>
    <row r="119" spans="7:35" x14ac:dyDescent="0.2">
      <c r="G119" s="65" t="str">
        <f t="shared" ref="G119:G151" si="13">REPLACE(H119,1,3,"OCC")</f>
        <v>OCC_RETAIL</v>
      </c>
      <c r="H119" s="10" t="s">
        <v>190</v>
      </c>
      <c r="I119" s="26" t="e">
        <f ca="1">_xll.EVPRO($B$1,$H119,"STYLE")</f>
        <v>#NAME?</v>
      </c>
      <c r="J119" s="26" t="e">
        <f ca="1">_xll.EVPRO($B$1,$H119,"CALC")</f>
        <v>#NAME?</v>
      </c>
      <c r="L119" s="23" t="e">
        <f ca="1">_xll.EVPRO($B$1,H119,"JDEID")</f>
        <v>#NAME?</v>
      </c>
      <c r="M119" s="24" t="e">
        <f ca="1">IF(AND(I119="N",J119="N"),_xll.EVPRO($B$1,H119,"PSFTID"),"")</f>
        <v>#NAME?</v>
      </c>
      <c r="N119" s="23" t="e">
        <f ca="1">IF(_xll.EVDES(H119,$B$1)="#NODATA","",_xll.EVDES(H119,$B$1))</f>
        <v>#NAME?</v>
      </c>
      <c r="O119" s="90">
        <v>290.387304964539</v>
      </c>
      <c r="P119" s="255">
        <v>378.104709302326</v>
      </c>
      <c r="Q119" s="255">
        <v>314.94900672143399</v>
      </c>
      <c r="R119" s="255">
        <v>259.20643625192002</v>
      </c>
      <c r="S119" s="255">
        <v>208.368490196078</v>
      </c>
      <c r="T119" s="255">
        <v>178.620774410774</v>
      </c>
      <c r="U119" s="255">
        <v>180.43571759259299</v>
      </c>
      <c r="V119" s="255">
        <v>155.985105263158</v>
      </c>
      <c r="W119" s="255">
        <v>145.981422594142</v>
      </c>
      <c r="X119" s="255">
        <v>183.27064487632501</v>
      </c>
      <c r="Y119" s="255">
        <v>182.900037341299</v>
      </c>
      <c r="Z119" s="255">
        <v>289.19348346235</v>
      </c>
      <c r="AA119" s="255">
        <f t="shared" ref="AA119:AA150" si="14">IFERROR(AA34/AA72,0)</f>
        <v>230.43444422890397</v>
      </c>
      <c r="AB119" s="176" t="e">
        <f ca="1">IF(_xll.EVGET($B$1,$B$3,$B$5,$B$6,$B$7,$B$9,AA$16,AA$17,AA$18,$G119)="#NODATA","",_xll.EVGET($B$1,$B$3,$B$5,$B$6,$B$7,$B$9,AA$16,AA$17,AA$18,$G119))</f>
        <v>#NAME?</v>
      </c>
      <c r="AD119" s="90">
        <v>253.237656617071</v>
      </c>
      <c r="AE119" s="176" t="e">
        <f ca="1">IF(_xll.EVGET($B$1,$B$3,$B$5,$B$6,$B$7,$B$9,AD$16,AD$17,AD$18,$G119)="#NODATA","",_xll.EVGET($B$1,$B$3,$B$5,$B$6,$B$7,$B$9,AD$16,AD$17,AD$18,$G119))</f>
        <v>#NAME?</v>
      </c>
      <c r="AF119" s="91">
        <f t="shared" ref="AF119:AF151" si="15">IF(AND($AA119="",AD119=""),"",$AA119-AD119)</f>
        <v>-22.803212388167026</v>
      </c>
      <c r="AG119" s="90">
        <v>249.07346575342501</v>
      </c>
      <c r="AH119" s="176" t="e">
        <f ca="1">IF(_xll.EVGET($B$1,$B$3,$B$5,$B$6,$B$7,$B$9,AG$16,AG$17,AG$18,$G119)="#NODATA","",_xll.EVGET($B$1,$B$3,$B$5,$B$6,$B$7,$B$9,AG$16,AG$17,AG$18,$G119))</f>
        <v>#NAME?</v>
      </c>
      <c r="AI119" s="275">
        <f t="shared" ref="AI119:AI152" si="16">IF(AND($AA119="",AG119=""),"",$AA119-AG119)</f>
        <v>-18.639021524521041</v>
      </c>
    </row>
    <row r="120" spans="7:35" x14ac:dyDescent="0.2">
      <c r="G120" s="72" t="str">
        <f t="shared" si="13"/>
        <v>OCC_ROOM</v>
      </c>
      <c r="H120" s="10" t="s">
        <v>191</v>
      </c>
      <c r="I120" s="24" t="e">
        <f ca="1">_xll.EVPRO($B$1,$H120,"STYLE")</f>
        <v>#NAME?</v>
      </c>
      <c r="J120" s="24" t="e">
        <f ca="1">_xll.EVPRO($B$1,$H120,"CALC")</f>
        <v>#NAME?</v>
      </c>
      <c r="L120" s="24" t="e">
        <f ca="1">_xll.EVPRO($B$1,H120,"JDEID")</f>
        <v>#NAME?</v>
      </c>
      <c r="M120" s="24" t="e">
        <f ca="1">IF(AND(I120="N",J120="N"),_xll.EVPRO($B$1,H120,"PSFTID"),"")</f>
        <v>#NAME?</v>
      </c>
      <c r="N120" s="24" t="e">
        <f ca="1">IF(_xll.EVDES(H120,$B$1)="#NODATA","",_xll.EVDES(H120,$B$1))</f>
        <v>#NAME?</v>
      </c>
      <c r="O120" s="97">
        <v>309.76333333333298</v>
      </c>
      <c r="P120" s="256">
        <v>447.40696202531598</v>
      </c>
      <c r="Q120" s="256">
        <v>394.06497267759602</v>
      </c>
      <c r="R120" s="256">
        <v>323.68434782608699</v>
      </c>
      <c r="S120" s="256">
        <v>297.94407142857102</v>
      </c>
      <c r="T120" s="256">
        <v>230.66654676259</v>
      </c>
      <c r="U120" s="256">
        <v>223.08068322981401</v>
      </c>
      <c r="V120" s="256">
        <v>212.38075949367101</v>
      </c>
      <c r="W120" s="256">
        <v>161.232857142857</v>
      </c>
      <c r="X120" s="256">
        <v>218.824625</v>
      </c>
      <c r="Y120" s="256">
        <v>251.94197183098601</v>
      </c>
      <c r="Z120" s="256">
        <v>422.39884615384602</v>
      </c>
      <c r="AA120" s="256">
        <f t="shared" si="14"/>
        <v>309.29909276944073</v>
      </c>
      <c r="AB120" s="180" t="e">
        <f ca="1">IF(_xll.EVGET($B$1,$B$3,$B$5,$B$6,$B$7,$B$9,AA$16,AA$17,AA$18,$G120)="#NODATA","",_xll.EVGET($B$1,$B$3,$B$5,$B$6,$B$7,$B$9,AA$16,AA$17,AA$18,$G120))</f>
        <v>#NAME?</v>
      </c>
      <c r="AD120" s="97">
        <v>339.69748903945799</v>
      </c>
      <c r="AE120" s="180" t="e">
        <f ca="1">IF(_xll.EVGET($B$1,$B$3,$B$5,$B$6,$B$7,$B$9,AD$16,AD$17,AD$18,$G120)="#NODATA","",_xll.EVGET($B$1,$B$3,$B$5,$B$6,$B$7,$B$9,AD$16,AD$17,AD$18,$G120))</f>
        <v>#NAME?</v>
      </c>
      <c r="AF120" s="98">
        <f t="shared" si="15"/>
        <v>-30.398396270017258</v>
      </c>
      <c r="AG120" s="97">
        <v>356.00118398637102</v>
      </c>
      <c r="AH120" s="180" t="e">
        <f ca="1">IF(_xll.EVGET($B$1,$B$3,$B$5,$B$6,$B$7,$B$9,AG$16,AG$17,AG$18,$G120)="#NODATA","",_xll.EVGET($B$1,$B$3,$B$5,$B$6,$B$7,$B$9,AG$16,AG$17,AG$18,$G120))</f>
        <v>#NAME?</v>
      </c>
      <c r="AI120" s="276">
        <f t="shared" si="16"/>
        <v>-46.702091216930285</v>
      </c>
    </row>
    <row r="121" spans="7:35" x14ac:dyDescent="0.2">
      <c r="G121" s="72" t="str">
        <f t="shared" si="13"/>
        <v>OCC_RWEB</v>
      </c>
      <c r="H121" s="10" t="s">
        <v>192</v>
      </c>
      <c r="I121" s="24" t="e">
        <f ca="1">_xll.EVPRO($B$1,$H121,"STYLE")</f>
        <v>#NAME?</v>
      </c>
      <c r="J121" s="24" t="e">
        <f ca="1">_xll.EVPRO($B$1,$H121,"CALC")</f>
        <v>#NAME?</v>
      </c>
      <c r="L121" s="24" t="e">
        <f ca="1">_xll.EVPRO($B$1,H121,"JDEID")</f>
        <v>#NAME?</v>
      </c>
      <c r="M121" s="24" t="e">
        <f ca="1">IF(AND(I121="N",J121="N"),_xll.EVPRO($B$1,H121,"PSFTID"),"")</f>
        <v>#NAME?</v>
      </c>
      <c r="N121" s="24" t="e">
        <f ca="1">IF(_xll.EVDES(H121,$B$1)="#NODATA","",_xll.EVDES(H121,$B$1))</f>
        <v>#NAME?</v>
      </c>
      <c r="O121" s="97">
        <v>287.76639291465398</v>
      </c>
      <c r="P121" s="256">
        <v>357.44479245282997</v>
      </c>
      <c r="Q121" s="256">
        <v>302.42459342560602</v>
      </c>
      <c r="R121" s="256">
        <v>256.84498407643298</v>
      </c>
      <c r="S121" s="256">
        <v>199.34648920863299</v>
      </c>
      <c r="T121" s="256">
        <v>171.72433746425199</v>
      </c>
      <c r="U121" s="256">
        <v>174.386519823789</v>
      </c>
      <c r="V121" s="256">
        <v>152.89332408050001</v>
      </c>
      <c r="W121" s="256">
        <v>144.51224770642199</v>
      </c>
      <c r="X121" s="256">
        <v>180.566920152091</v>
      </c>
      <c r="Y121" s="256">
        <v>179.03412460567799</v>
      </c>
      <c r="Z121" s="256">
        <v>281.457058823529</v>
      </c>
      <c r="AA121" s="256">
        <f t="shared" si="14"/>
        <v>222.17559897135513</v>
      </c>
      <c r="AB121" s="180" t="e">
        <f ca="1">IF(_xll.EVGET($B$1,$B$3,$B$5,$B$6,$B$7,$B$9,AA$16,AA$17,AA$18,$G121)="#NODATA","",_xll.EVGET($B$1,$B$3,$B$5,$B$6,$B$7,$B$9,AA$16,AA$17,AA$18,$G121))</f>
        <v>#NAME?</v>
      </c>
      <c r="AD121" s="97">
        <v>236.310015606711</v>
      </c>
      <c r="AE121" s="180" t="e">
        <f ca="1">IF(_xll.EVGET($B$1,$B$3,$B$5,$B$6,$B$7,$B$9,AD$16,AD$17,AD$18,$G121)="#NODATA","",_xll.EVGET($B$1,$B$3,$B$5,$B$6,$B$7,$B$9,AD$16,AD$17,AD$18,$G121))</f>
        <v>#NAME?</v>
      </c>
      <c r="AF121" s="98">
        <f t="shared" si="15"/>
        <v>-14.134416635355876</v>
      </c>
      <c r="AG121" s="97">
        <v>230.763497666278</v>
      </c>
      <c r="AH121" s="180" t="e">
        <f ca="1">IF(_xll.EVGET($B$1,$B$3,$B$5,$B$6,$B$7,$B$9,AG$16,AG$17,AG$18,$G121)="#NODATA","",_xll.EVGET($B$1,$B$3,$B$5,$B$6,$B$7,$B$9,AG$16,AG$17,AG$18,$G121))</f>
        <v>#NAME?</v>
      </c>
      <c r="AI121" s="276">
        <f t="shared" si="16"/>
        <v>-8.5878986949228704</v>
      </c>
    </row>
    <row r="122" spans="7:35" x14ac:dyDescent="0.2">
      <c r="G122" s="65" t="str">
        <f t="shared" si="13"/>
        <v>OCC_DISCNT</v>
      </c>
      <c r="H122" s="10" t="s">
        <v>193</v>
      </c>
      <c r="I122" s="26" t="e">
        <f ca="1">_xll.EVPRO($B$1,$H122,"STYLE")</f>
        <v>#NAME?</v>
      </c>
      <c r="J122" s="26" t="e">
        <f ca="1">_xll.EVPRO($B$1,$H122,"CALC")</f>
        <v>#NAME?</v>
      </c>
      <c r="L122" s="23" t="e">
        <f ca="1">_xll.EVPRO($B$1,H122,"JDEID")</f>
        <v>#NAME?</v>
      </c>
      <c r="M122" s="24" t="e">
        <f ca="1">IF(AND(I122="N",J122="N"),_xll.EVPRO($B$1,H122,"PSFTID"),"")</f>
        <v>#NAME?</v>
      </c>
      <c r="N122" s="23" t="e">
        <f ca="1">IF(_xll.EVDES(H122,$B$1)="#NODATA","",_xll.EVDES(H122,$B$1))</f>
        <v>#NAME?</v>
      </c>
      <c r="O122" s="90">
        <v>275.23879241517</v>
      </c>
      <c r="P122" s="255">
        <v>363.879207920792</v>
      </c>
      <c r="Q122" s="255">
        <v>307.61403427818101</v>
      </c>
      <c r="R122" s="255">
        <v>263.628222910217</v>
      </c>
      <c r="S122" s="255">
        <v>188.77102137767201</v>
      </c>
      <c r="T122" s="255">
        <v>160.70494391717</v>
      </c>
      <c r="U122" s="255">
        <v>165.90196078431401</v>
      </c>
      <c r="V122" s="255">
        <v>158.65855670103099</v>
      </c>
      <c r="W122" s="255">
        <v>140.58811361200401</v>
      </c>
      <c r="X122" s="255">
        <v>188.757347931873</v>
      </c>
      <c r="Y122" s="255">
        <v>200.085941011236</v>
      </c>
      <c r="Z122" s="255">
        <v>265.21147477360898</v>
      </c>
      <c r="AA122" s="255">
        <f t="shared" si="14"/>
        <v>226.49215129248131</v>
      </c>
      <c r="AB122" s="176" t="e">
        <f ca="1">IF(_xll.EVGET($B$1,$B$3,$B$5,$B$6,$B$7,$B$9,AA$16,AA$17,AA$18,$G122)="#NODATA","",_xll.EVGET($B$1,$B$3,$B$5,$B$6,$B$7,$B$9,AA$16,AA$17,AA$18,$G122))</f>
        <v>#NAME?</v>
      </c>
      <c r="AD122" s="90">
        <v>243.06035777541601</v>
      </c>
      <c r="AE122" s="176" t="e">
        <f ca="1">IF(_xll.EVGET($B$1,$B$3,$B$5,$B$6,$B$7,$B$9,AD$16,AD$17,AD$18,$G122)="#NODATA","",_xll.EVGET($B$1,$B$3,$B$5,$B$6,$B$7,$B$9,AD$16,AD$17,AD$18,$G122))</f>
        <v>#NAME?</v>
      </c>
      <c r="AF122" s="91">
        <f t="shared" si="15"/>
        <v>-16.568206482934698</v>
      </c>
      <c r="AG122" s="90">
        <v>245.38235294117601</v>
      </c>
      <c r="AH122" s="176" t="e">
        <f ca="1">IF(_xll.EVGET($B$1,$B$3,$B$5,$B$6,$B$7,$B$9,AG$16,AG$17,AG$18,$G122)="#NODATA","",_xll.EVGET($B$1,$B$3,$B$5,$B$6,$B$7,$B$9,AG$16,AG$17,AG$18,$G122))</f>
        <v>#NAME?</v>
      </c>
      <c r="AI122" s="275">
        <f t="shared" si="16"/>
        <v>-18.890201648694699</v>
      </c>
    </row>
    <row r="123" spans="7:35" x14ac:dyDescent="0.2">
      <c r="G123" s="72" t="str">
        <f t="shared" si="13"/>
        <v>OCC_PACK</v>
      </c>
      <c r="H123" s="10" t="s">
        <v>194</v>
      </c>
      <c r="I123" s="24" t="e">
        <f ca="1">_xll.EVPRO($B$1,$H123,"STYLE")</f>
        <v>#NAME?</v>
      </c>
      <c r="J123" s="24" t="e">
        <f ca="1">_xll.EVPRO($B$1,$H123,"CALC")</f>
        <v>#NAME?</v>
      </c>
      <c r="L123" s="24" t="e">
        <f ca="1">_xll.EVPRO($B$1,H123,"JDEID")</f>
        <v>#NAME?</v>
      </c>
      <c r="M123" s="24" t="e">
        <f ca="1">IF(AND(I123="N",J123="N"),_xll.EVPRO($B$1,H123,"PSFTID"),"")</f>
        <v>#NAME?</v>
      </c>
      <c r="N123" s="24" t="e">
        <f ca="1">IF(_xll.EVDES(H123,$B$1)="#NODATA","",_xll.EVDES(H123,$B$1))</f>
        <v>#NAME?</v>
      </c>
      <c r="O123" s="97">
        <v>392.40777777777799</v>
      </c>
      <c r="P123" s="256">
        <v>547.34259259259295</v>
      </c>
      <c r="Q123" s="256">
        <v>426.96499999999997</v>
      </c>
      <c r="R123" s="256">
        <v>374.31799999999998</v>
      </c>
      <c r="S123" s="256">
        <v>309.89304347826101</v>
      </c>
      <c r="T123" s="256">
        <v>269.89800000000002</v>
      </c>
      <c r="U123" s="256">
        <v>271.76</v>
      </c>
      <c r="V123" s="256">
        <v>248.643928571429</v>
      </c>
      <c r="W123" s="256">
        <v>170.95249999999999</v>
      </c>
      <c r="X123" s="256">
        <v>245.04096774193499</v>
      </c>
      <c r="Y123" s="256">
        <v>361.48685185185201</v>
      </c>
      <c r="Z123" s="256">
        <v>402.94370370370399</v>
      </c>
      <c r="AA123" s="256">
        <f t="shared" si="14"/>
        <v>334.46526490066225</v>
      </c>
      <c r="AB123" s="180" t="e">
        <f ca="1">IF(_xll.EVGET($B$1,$B$3,$B$5,$B$6,$B$7,$B$9,AA$16,AA$17,AA$18,$G123)="#NODATA","",_xll.EVGET($B$1,$B$3,$B$5,$B$6,$B$7,$B$9,AA$16,AA$17,AA$18,$G123))</f>
        <v>#NAME?</v>
      </c>
      <c r="AD123" s="97">
        <v>330.57148837209297</v>
      </c>
      <c r="AE123" s="180" t="e">
        <f ca="1">IF(_xll.EVGET($B$1,$B$3,$B$5,$B$6,$B$7,$B$9,AD$16,AD$17,AD$18,$G123)="#NODATA","",_xll.EVGET($B$1,$B$3,$B$5,$B$6,$B$7,$B$9,AD$16,AD$17,AD$18,$G123))</f>
        <v>#NAME?</v>
      </c>
      <c r="AF123" s="98">
        <f t="shared" si="15"/>
        <v>3.8937765285692763</v>
      </c>
      <c r="AG123" s="97">
        <v>356.11338541666697</v>
      </c>
      <c r="AH123" s="180" t="e">
        <f ca="1">IF(_xll.EVGET($B$1,$B$3,$B$5,$B$6,$B$7,$B$9,AG$16,AG$17,AG$18,$G123)="#NODATA","",_xll.EVGET($B$1,$B$3,$B$5,$B$6,$B$7,$B$9,AG$16,AG$17,AG$18,$G123))</f>
        <v>#NAME?</v>
      </c>
      <c r="AI123" s="276">
        <f t="shared" si="16"/>
        <v>-21.648120516004724</v>
      </c>
    </row>
    <row r="124" spans="7:35" x14ac:dyDescent="0.2">
      <c r="G124" s="72" t="str">
        <f t="shared" si="13"/>
        <v>OCC_OTA</v>
      </c>
      <c r="H124" s="10" t="s">
        <v>195</v>
      </c>
      <c r="I124" s="24" t="e">
        <f ca="1">_xll.EVPRO($B$1,$H124,"STYLE")</f>
        <v>#NAME?</v>
      </c>
      <c r="J124" s="24" t="e">
        <f ca="1">_xll.EVPRO($B$1,$H124,"CALC")</f>
        <v>#NAME?</v>
      </c>
      <c r="L124" s="24" t="e">
        <f ca="1">_xll.EVPRO($B$1,H124,"JDEID")</f>
        <v>#NAME?</v>
      </c>
      <c r="M124" s="24" t="e">
        <f ca="1">IF(AND(I124="N",J124="N"),_xll.EVPRO($B$1,H124,"PSFTID"),"")</f>
        <v>#NAME?</v>
      </c>
      <c r="N124" s="24" t="e">
        <f ca="1">IF(_xll.EVDES(H124,$B$1)="#NODATA","",_xll.EVDES(H124,$B$1))</f>
        <v>#NAME?</v>
      </c>
      <c r="O124" s="97">
        <v>233.55705882352899</v>
      </c>
      <c r="P124" s="256">
        <v>321.45418918918898</v>
      </c>
      <c r="Q124" s="256">
        <v>255.51236641221399</v>
      </c>
      <c r="R124" s="256">
        <v>191.17803571428601</v>
      </c>
      <c r="S124" s="256">
        <v>195.303243243243</v>
      </c>
      <c r="T124" s="256">
        <v>158.72999999999999</v>
      </c>
      <c r="U124" s="256">
        <v>135.70222222222199</v>
      </c>
      <c r="V124" s="256">
        <v>141.582073170732</v>
      </c>
      <c r="W124" s="256">
        <v>135.5471</v>
      </c>
      <c r="X124" s="256">
        <v>176.94333333333299</v>
      </c>
      <c r="Y124" s="256">
        <v>185.88534482758601</v>
      </c>
      <c r="Z124" s="256">
        <v>275.12442857142901</v>
      </c>
      <c r="AA124" s="256">
        <f t="shared" si="14"/>
        <v>203.32669651741296</v>
      </c>
      <c r="AB124" s="180" t="e">
        <f ca="1">IF(_xll.EVGET($B$1,$B$3,$B$5,$B$6,$B$7,$B$9,AA$16,AA$17,AA$18,$G124)="#NODATA","",_xll.EVGET($B$1,$B$3,$B$5,$B$6,$B$7,$B$9,AA$16,AA$17,AA$18,$G124))</f>
        <v>#NAME?</v>
      </c>
      <c r="AD124" s="97">
        <v>193.17771551724101</v>
      </c>
      <c r="AE124" s="180" t="e">
        <f ca="1">IF(_xll.EVGET($B$1,$B$3,$B$5,$B$6,$B$7,$B$9,AD$16,AD$17,AD$18,$G124)="#NODATA","",_xll.EVGET($B$1,$B$3,$B$5,$B$6,$B$7,$B$9,AD$16,AD$17,AD$18,$G124))</f>
        <v>#NAME?</v>
      </c>
      <c r="AF124" s="98">
        <f t="shared" si="15"/>
        <v>10.148981000171943</v>
      </c>
      <c r="AG124" s="97">
        <v>215.710627218935</v>
      </c>
      <c r="AH124" s="180" t="e">
        <f ca="1">IF(_xll.EVGET($B$1,$B$3,$B$5,$B$6,$B$7,$B$9,AG$16,AG$17,AG$18,$G124)="#NODATA","",_xll.EVGET($B$1,$B$3,$B$5,$B$6,$B$7,$B$9,AG$16,AG$17,AG$18,$G124))</f>
        <v>#NAME?</v>
      </c>
      <c r="AI124" s="276">
        <f t="shared" si="16"/>
        <v>-12.383930701522047</v>
      </c>
    </row>
    <row r="125" spans="7:35" x14ac:dyDescent="0.2">
      <c r="G125" s="72" t="str">
        <f t="shared" si="13"/>
        <v>OCC_BMPRO</v>
      </c>
      <c r="H125" s="10" t="s">
        <v>196</v>
      </c>
      <c r="I125" s="24" t="e">
        <f ca="1">_xll.EVPRO($B$1,$H125,"STYLE")</f>
        <v>#NAME?</v>
      </c>
      <c r="J125" s="24" t="e">
        <f ca="1">_xll.EVPRO($B$1,$H125,"CALC")</f>
        <v>#NAME?</v>
      </c>
      <c r="L125" s="24" t="e">
        <f ca="1">_xll.EVPRO($B$1,H125,"JDEID")</f>
        <v>#NAME?</v>
      </c>
      <c r="M125" s="24" t="e">
        <f ca="1">IF(AND(I125="N",J125="N"),_xll.EVPRO($B$1,H125,"PSFTID"),"")</f>
        <v>#NAME?</v>
      </c>
      <c r="N125" s="24" t="e">
        <f ca="1">IF(_xll.EVDES(H125,$B$1)="#NODATA","",_xll.EVDES(H125,$B$1))</f>
        <v>#NAME?</v>
      </c>
      <c r="O125" s="97">
        <v>179.77183606557401</v>
      </c>
      <c r="P125" s="256">
        <v>269.56751655629103</v>
      </c>
      <c r="Q125" s="256">
        <v>242.970385542169</v>
      </c>
      <c r="R125" s="256">
        <v>192.77641833810901</v>
      </c>
      <c r="S125" s="256">
        <v>101.921609195402</v>
      </c>
      <c r="T125" s="256">
        <v>85.698842794759798</v>
      </c>
      <c r="U125" s="256">
        <v>93.2956209150327</v>
      </c>
      <c r="V125" s="256">
        <v>71.456330275229405</v>
      </c>
      <c r="W125" s="256">
        <v>68.565687732341999</v>
      </c>
      <c r="X125" s="256">
        <v>98.339273255813893</v>
      </c>
      <c r="Y125" s="256">
        <v>121.150985626283</v>
      </c>
      <c r="Z125" s="256">
        <v>130.72496402877701</v>
      </c>
      <c r="AA125" s="256">
        <f t="shared" si="14"/>
        <v>135.58921589460263</v>
      </c>
      <c r="AB125" s="180" t="e">
        <f ca="1">IF(_xll.EVGET($B$1,$B$3,$B$5,$B$6,$B$7,$B$9,AA$16,AA$17,AA$18,$G125)="#NODATA","",_xll.EVGET($B$1,$B$3,$B$5,$B$6,$B$7,$B$9,AA$16,AA$17,AA$18,$G125))</f>
        <v>#NAME?</v>
      </c>
      <c r="AD125" s="97">
        <v>148.35775436483999</v>
      </c>
      <c r="AE125" s="180" t="e">
        <f ca="1">IF(_xll.EVGET($B$1,$B$3,$B$5,$B$6,$B$7,$B$9,AD$16,AD$17,AD$18,$G125)="#NODATA","",_xll.EVGET($B$1,$B$3,$B$5,$B$6,$B$7,$B$9,AD$16,AD$17,AD$18,$G125))</f>
        <v>#NAME?</v>
      </c>
      <c r="AF125" s="98">
        <f t="shared" si="15"/>
        <v>-12.76853847023736</v>
      </c>
      <c r="AG125" s="97">
        <v>155.300783349721</v>
      </c>
      <c r="AH125" s="180" t="e">
        <f ca="1">IF(_xll.EVGET($B$1,$B$3,$B$5,$B$6,$B$7,$B$9,AG$16,AG$17,AG$18,$G125)="#NODATA","",_xll.EVGET($B$1,$B$3,$B$5,$B$6,$B$7,$B$9,AG$16,AG$17,AG$18,$G125))</f>
        <v>#NAME?</v>
      </c>
      <c r="AI125" s="276">
        <f t="shared" si="16"/>
        <v>-19.71156745511837</v>
      </c>
    </row>
    <row r="126" spans="7:35" x14ac:dyDescent="0.2">
      <c r="G126" s="72" t="str">
        <f t="shared" si="13"/>
        <v>OCC_ADVPR</v>
      </c>
      <c r="H126" s="10" t="s">
        <v>197</v>
      </c>
      <c r="I126" s="24" t="e">
        <f ca="1">_xll.EVPRO($B$1,$H126,"STYLE")</f>
        <v>#NAME?</v>
      </c>
      <c r="J126" s="24" t="e">
        <f ca="1">_xll.EVPRO($B$1,$H126,"CALC")</f>
        <v>#NAME?</v>
      </c>
      <c r="L126" s="24" t="e">
        <f ca="1">_xll.EVPRO($B$1,H126,"JDEID")</f>
        <v>#NAME?</v>
      </c>
      <c r="M126" s="24" t="e">
        <f ca="1">IF(AND(I126="N",J126="N"),_xll.EVPRO($B$1,H126,"PSFTID"),"")</f>
        <v>#NAME?</v>
      </c>
      <c r="N126" s="24" t="e">
        <f ca="1">IF(_xll.EVDES(H126,$B$1)="#NODATA","",_xll.EVDES(H126,$B$1))</f>
        <v>#NAME?</v>
      </c>
      <c r="O126" s="97">
        <v>348.81869565217397</v>
      </c>
      <c r="P126" s="256">
        <v>487.15</v>
      </c>
      <c r="Q126" s="256">
        <v>241.16</v>
      </c>
      <c r="R126" s="256">
        <v>281.61</v>
      </c>
      <c r="S126" s="256"/>
      <c r="T126" s="256"/>
      <c r="U126" s="256"/>
      <c r="V126" s="256"/>
      <c r="W126" s="256"/>
      <c r="X126" s="256"/>
      <c r="Y126" s="256">
        <v>152.18</v>
      </c>
      <c r="Z126" s="256">
        <v>242.625</v>
      </c>
      <c r="AA126" s="256">
        <f t="shared" si="14"/>
        <v>326.11973684210523</v>
      </c>
      <c r="AB126" s="180" t="e">
        <f ca="1">IF(_xll.EVGET($B$1,$B$3,$B$5,$B$6,$B$7,$B$9,AA$16,AA$17,AA$18,$G126)="#NODATA","",_xll.EVGET($B$1,$B$3,$B$5,$B$6,$B$7,$B$9,AA$16,AA$17,AA$18,$G126))</f>
        <v>#NAME?</v>
      </c>
      <c r="AD126" s="97">
        <v>349</v>
      </c>
      <c r="AE126" s="180" t="e">
        <f ca="1">IF(_xll.EVGET($B$1,$B$3,$B$5,$B$6,$B$7,$B$9,AD$16,AD$17,AD$18,$G126)="#NODATA","",_xll.EVGET($B$1,$B$3,$B$5,$B$6,$B$7,$B$9,AD$16,AD$17,AD$18,$G126))</f>
        <v>#NAME?</v>
      </c>
      <c r="AF126" s="98">
        <f t="shared" si="15"/>
        <v>-22.880263157894774</v>
      </c>
      <c r="AG126" s="97">
        <v>235.83271971496401</v>
      </c>
      <c r="AH126" s="180" t="e">
        <f ca="1">IF(_xll.EVGET($B$1,$B$3,$B$5,$B$6,$B$7,$B$9,AG$16,AG$17,AG$18,$G126)="#NODATA","",_xll.EVGET($B$1,$B$3,$B$5,$B$6,$B$7,$B$9,AG$16,AG$17,AG$18,$G126))</f>
        <v>#NAME?</v>
      </c>
      <c r="AI126" s="276">
        <f t="shared" si="16"/>
        <v>90.287017127141212</v>
      </c>
    </row>
    <row r="127" spans="7:35" x14ac:dyDescent="0.2">
      <c r="G127" s="72" t="str">
        <f t="shared" si="13"/>
        <v>OCC_LDISCNT</v>
      </c>
      <c r="H127" s="10" t="s">
        <v>198</v>
      </c>
      <c r="I127" s="24" t="e">
        <f ca="1">_xll.EVPRO($B$1,$H127,"STYLE")</f>
        <v>#NAME?</v>
      </c>
      <c r="J127" s="24" t="e">
        <f ca="1">_xll.EVPRO($B$1,$H127,"CALC")</f>
        <v>#NAME?</v>
      </c>
      <c r="L127" s="24" t="e">
        <f ca="1">_xll.EVPRO($B$1,H127,"JDEID")</f>
        <v>#NAME?</v>
      </c>
      <c r="M127" s="24" t="e">
        <f ca="1">IF(AND(I127="N",J127="N"),_xll.EVPRO($B$1,H127,"PSFTID"),"")</f>
        <v>#NAME?</v>
      </c>
      <c r="N127" s="24" t="e">
        <f ca="1">IF(_xll.EVDES(H127,$B$1)="#NODATA","",_xll.EVDES(H127,$B$1))</f>
        <v>#NAME?</v>
      </c>
      <c r="O127" s="97">
        <v>330.58282196969702</v>
      </c>
      <c r="P127" s="256">
        <v>401.05958806818199</v>
      </c>
      <c r="Q127" s="256">
        <v>341.42085684430498</v>
      </c>
      <c r="R127" s="256">
        <v>291.39409290096398</v>
      </c>
      <c r="S127" s="256">
        <v>235.98073871408999</v>
      </c>
      <c r="T127" s="256">
        <v>212.24707882534801</v>
      </c>
      <c r="U127" s="256">
        <v>213.21100430416101</v>
      </c>
      <c r="V127" s="256">
        <v>196.34192572214599</v>
      </c>
      <c r="W127" s="256">
        <v>176.04994444444401</v>
      </c>
      <c r="X127" s="256">
        <v>225.88441140024801</v>
      </c>
      <c r="Y127" s="256">
        <v>237.52922046284999</v>
      </c>
      <c r="Z127" s="256">
        <v>344.23167227833898</v>
      </c>
      <c r="AA127" s="256">
        <f t="shared" si="14"/>
        <v>271.60984985311717</v>
      </c>
      <c r="AB127" s="180" t="e">
        <f ca="1">IF(_xll.EVGET($B$1,$B$3,$B$5,$B$6,$B$7,$B$9,AA$16,AA$17,AA$18,$G127)="#NODATA","",_xll.EVGET($B$1,$B$3,$B$5,$B$6,$B$7,$B$9,AA$16,AA$17,AA$18,$G127))</f>
        <v>#NAME?</v>
      </c>
      <c r="AD127" s="97">
        <v>279.42860558634902</v>
      </c>
      <c r="AE127" s="180" t="e">
        <f ca="1">IF(_xll.EVGET($B$1,$B$3,$B$5,$B$6,$B$7,$B$9,AD$16,AD$17,AD$18,$G127)="#NODATA","",_xll.EVGET($B$1,$B$3,$B$5,$B$6,$B$7,$B$9,AD$16,AD$17,AD$18,$G127))</f>
        <v>#NAME?</v>
      </c>
      <c r="AF127" s="98">
        <f t="shared" si="15"/>
        <v>-7.8187557332318534</v>
      </c>
      <c r="AG127" s="97">
        <v>276.75353267935202</v>
      </c>
      <c r="AH127" s="180" t="e">
        <f ca="1">IF(_xll.EVGET($B$1,$B$3,$B$5,$B$6,$B$7,$B$9,AG$16,AG$17,AG$18,$G127)="#NODATA","",_xll.EVGET($B$1,$B$3,$B$5,$B$6,$B$7,$B$9,AG$16,AG$17,AG$18,$G127))</f>
        <v>#NAME?</v>
      </c>
      <c r="AI127" s="276">
        <f t="shared" si="16"/>
        <v>-5.1436828262348513</v>
      </c>
    </row>
    <row r="128" spans="7:35" x14ac:dyDescent="0.2">
      <c r="G128" s="72" t="str">
        <f t="shared" si="13"/>
        <v>OCC_PAPR</v>
      </c>
      <c r="H128" s="10" t="s">
        <v>199</v>
      </c>
      <c r="I128" s="24" t="e">
        <f ca="1">_xll.EVPRO($B$1,$H128,"STYLE")</f>
        <v>#NAME?</v>
      </c>
      <c r="J128" s="24" t="e">
        <f ca="1">_xll.EVPRO($B$1,$H128,"CALC")</f>
        <v>#NAME?</v>
      </c>
      <c r="L128" s="24" t="e">
        <f ca="1">_xll.EVPRO($B$1,H128,"JDEID")</f>
        <v>#NAME?</v>
      </c>
      <c r="M128" s="24" t="e">
        <f ca="1">IF(AND(I128="N",J128="N"),_xll.EVPRO($B$1,H128,"PSFTID"),"")</f>
        <v>#NAME?</v>
      </c>
      <c r="N128" s="24" t="e">
        <f ca="1">IF(_xll.EVDES(H128,$B$1)="#NODATA","",_xll.EVDES(H128,$B$1))</f>
        <v>#NAME?</v>
      </c>
      <c r="O128" s="97"/>
      <c r="P128" s="256"/>
      <c r="Q128" s="256"/>
      <c r="R128" s="256"/>
      <c r="S128" s="256"/>
      <c r="T128" s="256"/>
      <c r="U128" s="256"/>
      <c r="V128" s="256"/>
      <c r="W128" s="256"/>
      <c r="X128" s="256"/>
      <c r="Y128" s="256"/>
      <c r="Z128" s="256"/>
      <c r="AA128" s="256">
        <f t="shared" si="14"/>
        <v>0</v>
      </c>
      <c r="AB128" s="180" t="e">
        <f ca="1">IF(_xll.EVGET($B$1,$B$3,$B$5,$B$6,$B$7,$B$9,AA$16,AA$17,AA$18,$G128)="#NODATA","",_xll.EVGET($B$1,$B$3,$B$5,$B$6,$B$7,$B$9,AA$16,AA$17,AA$18,$G128))</f>
        <v>#NAME?</v>
      </c>
      <c r="AD128" s="97"/>
      <c r="AE128" s="180" t="e">
        <f ca="1">IF(_xll.EVGET($B$1,$B$3,$B$5,$B$6,$B$7,$B$9,AD$16,AD$17,AD$18,$G128)="#NODATA","",_xll.EVGET($B$1,$B$3,$B$5,$B$6,$B$7,$B$9,AD$16,AD$17,AD$18,$G128))</f>
        <v>#NAME?</v>
      </c>
      <c r="AF128" s="98">
        <f t="shared" si="15"/>
        <v>0</v>
      </c>
      <c r="AG128" s="97"/>
      <c r="AH128" s="180" t="e">
        <f ca="1">IF(_xll.EVGET($B$1,$B$3,$B$5,$B$6,$B$7,$B$9,AG$16,AG$17,AG$18,$G128)="#NODATA","",_xll.EVGET($B$1,$B$3,$B$5,$B$6,$B$7,$B$9,AG$16,AG$17,AG$18,$G128))</f>
        <v>#NAME?</v>
      </c>
      <c r="AI128" s="276">
        <f t="shared" si="16"/>
        <v>0</v>
      </c>
    </row>
    <row r="129" spans="7:35" x14ac:dyDescent="0.2">
      <c r="G129" s="65" t="str">
        <f t="shared" si="13"/>
        <v>OCC_NEGOT</v>
      </c>
      <c r="H129" s="10" t="s">
        <v>200</v>
      </c>
      <c r="I129" s="26" t="e">
        <f ca="1">_xll.EVPRO($B$1,$H129,"STYLE")</f>
        <v>#NAME?</v>
      </c>
      <c r="J129" s="26" t="e">
        <f ca="1">_xll.EVPRO($B$1,$H129,"CALC")</f>
        <v>#NAME?</v>
      </c>
      <c r="L129" s="23" t="e">
        <f ca="1">_xll.EVPRO($B$1,H129,"JDEID")</f>
        <v>#NAME?</v>
      </c>
      <c r="M129" s="24" t="e">
        <f ca="1">IF(AND(I129="N",J129="N"),_xll.EVPRO($B$1,H129,"PSFTID"),"")</f>
        <v>#NAME?</v>
      </c>
      <c r="N129" s="23" t="e">
        <f ca="1">IF(_xll.EVDES(H129,$B$1)="#NODATA","",_xll.EVDES(H129,$B$1))</f>
        <v>#NAME?</v>
      </c>
      <c r="O129" s="90">
        <v>316.42127071823199</v>
      </c>
      <c r="P129" s="255">
        <v>357.95818181818203</v>
      </c>
      <c r="Q129" s="255">
        <v>380.06206349206298</v>
      </c>
      <c r="R129" s="255">
        <v>280.34666666666698</v>
      </c>
      <c r="S129" s="255">
        <v>288.55456790123498</v>
      </c>
      <c r="T129" s="255">
        <v>220.02958333333299</v>
      </c>
      <c r="U129" s="255">
        <v>194.911944444444</v>
      </c>
      <c r="V129" s="255">
        <v>161.86793103448301</v>
      </c>
      <c r="W129" s="255">
        <v>169.90857142857101</v>
      </c>
      <c r="X129" s="255">
        <v>247.059586206897</v>
      </c>
      <c r="Y129" s="255">
        <v>279.46758823529399</v>
      </c>
      <c r="Z129" s="255">
        <v>351.480520833333</v>
      </c>
      <c r="AA129" s="255">
        <f t="shared" si="14"/>
        <v>303.4901788170564</v>
      </c>
      <c r="AB129" s="176" t="e">
        <f ca="1">IF(_xll.EVGET($B$1,$B$3,$B$5,$B$6,$B$7,$B$9,AA$16,AA$17,AA$18,$G129)="#NODATA","",_xll.EVGET($B$1,$B$3,$B$5,$B$6,$B$7,$B$9,AA$16,AA$17,AA$18,$G129))</f>
        <v>#NAME?</v>
      </c>
      <c r="AD129" s="90">
        <v>269.66726748377801</v>
      </c>
      <c r="AE129" s="176" t="e">
        <f ca="1">IF(_xll.EVGET($B$1,$B$3,$B$5,$B$6,$B$7,$B$9,AD$16,AD$17,AD$18,$G129)="#NODATA","",_xll.EVGET($B$1,$B$3,$B$5,$B$6,$B$7,$B$9,AD$16,AD$17,AD$18,$G129))</f>
        <v>#NAME?</v>
      </c>
      <c r="AF129" s="91">
        <f t="shared" si="15"/>
        <v>33.822911333278398</v>
      </c>
      <c r="AG129" s="90">
        <v>286.40184663536797</v>
      </c>
      <c r="AH129" s="176" t="e">
        <f ca="1">IF(_xll.EVGET($B$1,$B$3,$B$5,$B$6,$B$7,$B$9,AG$16,AG$17,AG$18,$G129)="#NODATA","",_xll.EVGET($B$1,$B$3,$B$5,$B$6,$B$7,$B$9,AG$16,AG$17,AG$18,$G129))</f>
        <v>#NAME?</v>
      </c>
      <c r="AI129" s="275">
        <f t="shared" si="16"/>
        <v>17.088332181688429</v>
      </c>
    </row>
    <row r="130" spans="7:35" x14ac:dyDescent="0.2">
      <c r="G130" s="72" t="str">
        <f t="shared" si="13"/>
        <v>OCC_CONS</v>
      </c>
      <c r="H130" s="10" t="s">
        <v>201</v>
      </c>
      <c r="I130" s="24" t="e">
        <f ca="1">_xll.EVPRO($B$1,$H130,"STYLE")</f>
        <v>#NAME?</v>
      </c>
      <c r="J130" s="24" t="e">
        <f ca="1">_xll.EVPRO($B$1,$H130,"CALC")</f>
        <v>#NAME?</v>
      </c>
      <c r="L130" s="24" t="e">
        <f ca="1">_xll.EVPRO($B$1,H130,"JDEID")</f>
        <v>#NAME?</v>
      </c>
      <c r="M130" s="24" t="e">
        <f ca="1">IF(AND(I130="N",J130="N"),_xll.EVPRO($B$1,H130,"PSFTID"),"")</f>
        <v>#NAME?</v>
      </c>
      <c r="N130" s="24" t="e">
        <f ca="1">IF(_xll.EVDES(H130,$B$1)="#NODATA","",_xll.EVDES(H130,$B$1))</f>
        <v>#NAME?</v>
      </c>
      <c r="O130" s="97">
        <v>379.59782608695701</v>
      </c>
      <c r="P130" s="256">
        <v>466.94285714285701</v>
      </c>
      <c r="Q130" s="256">
        <v>434.86785714285702</v>
      </c>
      <c r="R130" s="256">
        <v>302.59916666666697</v>
      </c>
      <c r="S130" s="256">
        <v>190.345</v>
      </c>
      <c r="T130" s="256"/>
      <c r="U130" s="256">
        <v>181.93</v>
      </c>
      <c r="V130" s="256">
        <v>123</v>
      </c>
      <c r="W130" s="256">
        <v>223.26666666666699</v>
      </c>
      <c r="X130" s="256">
        <v>227.74875</v>
      </c>
      <c r="Y130" s="256">
        <v>362.97916666666703</v>
      </c>
      <c r="Z130" s="256">
        <v>243.85499999999999</v>
      </c>
      <c r="AA130" s="256">
        <f t="shared" si="14"/>
        <v>351.19679012345682</v>
      </c>
      <c r="AB130" s="180" t="e">
        <f ca="1">IF(_xll.EVGET($B$1,$B$3,$B$5,$B$6,$B$7,$B$9,AA$16,AA$17,AA$18,$G130)="#NODATA","",_xll.EVGET($B$1,$B$3,$B$5,$B$6,$B$7,$B$9,AA$16,AA$17,AA$18,$G130))</f>
        <v>#NAME?</v>
      </c>
      <c r="AD130" s="97">
        <v>316.69255319148903</v>
      </c>
      <c r="AE130" s="180" t="e">
        <f ca="1">IF(_xll.EVGET($B$1,$B$3,$B$5,$B$6,$B$7,$B$9,AD$16,AD$17,AD$18,$G130)="#NODATA","",_xll.EVGET($B$1,$B$3,$B$5,$B$6,$B$7,$B$9,AD$16,AD$17,AD$18,$G130))</f>
        <v>#NAME?</v>
      </c>
      <c r="AF130" s="98">
        <f t="shared" si="15"/>
        <v>34.504236931967796</v>
      </c>
      <c r="AG130" s="97">
        <v>306.06771117166198</v>
      </c>
      <c r="AH130" s="180" t="e">
        <f ca="1">IF(_xll.EVGET($B$1,$B$3,$B$5,$B$6,$B$7,$B$9,AG$16,AG$17,AG$18,$G130)="#NODATA","",_xll.EVGET($B$1,$B$3,$B$5,$B$6,$B$7,$B$9,AG$16,AG$17,AG$18,$G130))</f>
        <v>#NAME?</v>
      </c>
      <c r="AI130" s="276">
        <f t="shared" si="16"/>
        <v>45.129078951794838</v>
      </c>
    </row>
    <row r="131" spans="7:35" x14ac:dyDescent="0.2">
      <c r="G131" s="72" t="str">
        <f t="shared" si="13"/>
        <v>OCC_NNEG</v>
      </c>
      <c r="H131" s="10" t="s">
        <v>202</v>
      </c>
      <c r="I131" s="24" t="e">
        <f ca="1">_xll.EVPRO($B$1,$H131,"STYLE")</f>
        <v>#NAME?</v>
      </c>
      <c r="J131" s="24" t="e">
        <f ca="1">_xll.EVPRO($B$1,$H131,"CALC")</f>
        <v>#NAME?</v>
      </c>
      <c r="L131" s="24" t="e">
        <f ca="1">_xll.EVPRO($B$1,H131,"JDEID")</f>
        <v>#NAME?</v>
      </c>
      <c r="M131" s="24" t="e">
        <f ca="1">IF(AND(I131="N",J131="N"),_xll.EVPRO($B$1,H131,"PSFTID"),"")</f>
        <v>#NAME?</v>
      </c>
      <c r="N131" s="24" t="e">
        <f ca="1">IF(_xll.EVDES(H131,$B$1)="#NODATA","",_xll.EVDES(H131,$B$1))</f>
        <v>#NAME?</v>
      </c>
      <c r="O131" s="97">
        <v>347.866184210526</v>
      </c>
      <c r="P131" s="256">
        <v>431.18880000000001</v>
      </c>
      <c r="Q131" s="256">
        <v>403.69781818181798</v>
      </c>
      <c r="R131" s="256">
        <v>281.68265306122498</v>
      </c>
      <c r="S131" s="256">
        <v>227.84125</v>
      </c>
      <c r="T131" s="256">
        <v>228.315151515152</v>
      </c>
      <c r="U131" s="256">
        <v>185.26875000000001</v>
      </c>
      <c r="V131" s="256">
        <v>171.01875000000001</v>
      </c>
      <c r="W131" s="256">
        <v>153.92625000000001</v>
      </c>
      <c r="X131" s="256">
        <v>287.66347222222203</v>
      </c>
      <c r="Y131" s="256">
        <v>295.57422535211299</v>
      </c>
      <c r="Z131" s="256">
        <v>283.52866666666699</v>
      </c>
      <c r="AA131" s="256">
        <f t="shared" si="14"/>
        <v>306.53058823529415</v>
      </c>
      <c r="AB131" s="180" t="e">
        <f ca="1">IF(_xll.EVGET($B$1,$B$3,$B$5,$B$6,$B$7,$B$9,AA$16,AA$17,AA$18,$G131)="#NODATA","",_xll.EVGET($B$1,$B$3,$B$5,$B$6,$B$7,$B$9,AA$16,AA$17,AA$18,$G131))</f>
        <v>#NAME?</v>
      </c>
      <c r="AD131" s="97">
        <v>248.124767225326</v>
      </c>
      <c r="AE131" s="180" t="e">
        <f ca="1">IF(_xll.EVGET($B$1,$B$3,$B$5,$B$6,$B$7,$B$9,AD$16,AD$17,AD$18,$G131)="#NODATA","",_xll.EVGET($B$1,$B$3,$B$5,$B$6,$B$7,$B$9,AD$16,AD$17,AD$18,$G131))</f>
        <v>#NAME?</v>
      </c>
      <c r="AF131" s="98">
        <f t="shared" si="15"/>
        <v>58.40582100996815</v>
      </c>
      <c r="AG131" s="97">
        <v>274.96296564195302</v>
      </c>
      <c r="AH131" s="180" t="e">
        <f ca="1">IF(_xll.EVGET($B$1,$B$3,$B$5,$B$6,$B$7,$B$9,AG$16,AG$17,AG$18,$G131)="#NODATA","",_xll.EVGET($B$1,$B$3,$B$5,$B$6,$B$7,$B$9,AG$16,AG$17,AG$18,$G131))</f>
        <v>#NAME?</v>
      </c>
      <c r="AI131" s="276">
        <f t="shared" si="16"/>
        <v>31.567622593341127</v>
      </c>
    </row>
    <row r="132" spans="7:35" x14ac:dyDescent="0.2">
      <c r="G132" s="72" t="str">
        <f t="shared" si="13"/>
        <v>OCC_LNEG</v>
      </c>
      <c r="H132" s="10" t="s">
        <v>203</v>
      </c>
      <c r="I132" s="24" t="e">
        <f ca="1">_xll.EVPRO($B$1,$H132,"STYLE")</f>
        <v>#NAME?</v>
      </c>
      <c r="J132" s="24" t="e">
        <f ca="1">_xll.EVPRO($B$1,$H132,"CALC")</f>
        <v>#NAME?</v>
      </c>
      <c r="L132" s="24" t="e">
        <f ca="1">_xll.EVPRO($B$1,H132,"JDEID")</f>
        <v>#NAME?</v>
      </c>
      <c r="M132" s="24" t="e">
        <f ca="1">IF(AND(I132="N",J132="N"),_xll.EVPRO($B$1,H132,"PSFTID"),"")</f>
        <v>#NAME?</v>
      </c>
      <c r="N132" s="24" t="e">
        <f ca="1">IF(_xll.EVDES(H132,$B$1)="#NODATA","",_xll.EVDES(H132,$B$1))</f>
        <v>#NAME?</v>
      </c>
      <c r="O132" s="97">
        <v>301.80958174904902</v>
      </c>
      <c r="P132" s="256">
        <v>310.34038216560498</v>
      </c>
      <c r="Q132" s="256">
        <v>343.79456140350902</v>
      </c>
      <c r="R132" s="256">
        <v>265.89043478260902</v>
      </c>
      <c r="S132" s="256">
        <v>323.45943396226397</v>
      </c>
      <c r="T132" s="256">
        <v>201.80133333333299</v>
      </c>
      <c r="U132" s="256">
        <v>209.52533333333301</v>
      </c>
      <c r="V132" s="256">
        <v>155.624545454545</v>
      </c>
      <c r="W132" s="256">
        <v>147.458</v>
      </c>
      <c r="X132" s="256">
        <v>201.191052631579</v>
      </c>
      <c r="Y132" s="256">
        <v>213.59476190476201</v>
      </c>
      <c r="Z132" s="256">
        <v>373.68093333333297</v>
      </c>
      <c r="AA132" s="256">
        <f t="shared" si="14"/>
        <v>291.94150187734664</v>
      </c>
      <c r="AB132" s="180" t="e">
        <f ca="1">IF(_xll.EVGET($B$1,$B$3,$B$5,$B$6,$B$7,$B$9,AA$16,AA$17,AA$18,$G132)="#NODATA","",_xll.EVGET($B$1,$B$3,$B$5,$B$6,$B$7,$B$9,AA$16,AA$17,AA$18,$G132))</f>
        <v>#NAME?</v>
      </c>
      <c r="AD132" s="97">
        <v>241.947368421053</v>
      </c>
      <c r="AE132" s="180" t="e">
        <f ca="1">IF(_xll.EVGET($B$1,$B$3,$B$5,$B$6,$B$7,$B$9,AD$16,AD$17,AD$18,$G132)="#NODATA","",_xll.EVGET($B$1,$B$3,$B$5,$B$6,$B$7,$B$9,AD$16,AD$17,AD$18,$G132))</f>
        <v>#NAME?</v>
      </c>
      <c r="AF132" s="98">
        <f t="shared" si="15"/>
        <v>49.994133456293639</v>
      </c>
      <c r="AG132" s="97">
        <v>283.91114525139699</v>
      </c>
      <c r="AH132" s="180" t="e">
        <f ca="1">IF(_xll.EVGET($B$1,$B$3,$B$5,$B$6,$B$7,$B$9,AG$16,AG$17,AG$18,$G132)="#NODATA","",_xll.EVGET($B$1,$B$3,$B$5,$B$6,$B$7,$B$9,AG$16,AG$17,AG$18,$G132))</f>
        <v>#NAME?</v>
      </c>
      <c r="AI132" s="276">
        <f t="shared" si="16"/>
        <v>8.0303566259496506</v>
      </c>
    </row>
    <row r="133" spans="7:35" x14ac:dyDescent="0.2">
      <c r="G133" s="65" t="str">
        <f t="shared" si="13"/>
        <v>OCC_QUALF</v>
      </c>
      <c r="H133" s="10" t="s">
        <v>204</v>
      </c>
      <c r="I133" s="26" t="e">
        <f ca="1">_xll.EVPRO($B$1,$H133,"STYLE")</f>
        <v>#NAME?</v>
      </c>
      <c r="J133" s="26" t="e">
        <f ca="1">_xll.EVPRO($B$1,$H133,"CALC")</f>
        <v>#NAME?</v>
      </c>
      <c r="L133" s="23" t="e">
        <f ca="1">_xll.EVPRO($B$1,H133,"JDEID")</f>
        <v>#NAME?</v>
      </c>
      <c r="M133" s="24" t="e">
        <f ca="1">IF(AND(I133="N",J133="N"),_xll.EVPRO($B$1,H133,"PSFTID"),"")</f>
        <v>#NAME?</v>
      </c>
      <c r="N133" s="23" t="e">
        <f ca="1">IF(_xll.EVDES(H133,$B$1)="#NODATA","",_xll.EVDES(H133,$B$1))</f>
        <v>#NAME?</v>
      </c>
      <c r="O133" s="90">
        <v>187.73527131782899</v>
      </c>
      <c r="P133" s="255">
        <v>225.49860139860101</v>
      </c>
      <c r="Q133" s="255">
        <v>258.76862068965499</v>
      </c>
      <c r="R133" s="255">
        <v>214.97796407185601</v>
      </c>
      <c r="S133" s="255">
        <v>174.61944444444401</v>
      </c>
      <c r="T133" s="255">
        <v>141.36010416666701</v>
      </c>
      <c r="U133" s="255">
        <v>129.396985294118</v>
      </c>
      <c r="V133" s="255">
        <v>142.43225806451599</v>
      </c>
      <c r="W133" s="255">
        <v>149.998295454545</v>
      </c>
      <c r="X133" s="255">
        <v>167.99952380952399</v>
      </c>
      <c r="Y133" s="255">
        <v>156.29833333333301</v>
      </c>
      <c r="Z133" s="255">
        <v>165.31960784313699</v>
      </c>
      <c r="AA133" s="255">
        <f t="shared" si="14"/>
        <v>182.12194362017806</v>
      </c>
      <c r="AB133" s="176" t="e">
        <f ca="1">IF(_xll.EVGET($B$1,$B$3,$B$5,$B$6,$B$7,$B$9,AA$16,AA$17,AA$18,$G133)="#NODATA","",_xll.EVGET($B$1,$B$3,$B$5,$B$6,$B$7,$B$9,AA$16,AA$17,AA$18,$G133))</f>
        <v>#NAME?</v>
      </c>
      <c r="AD133" s="90">
        <v>176.87549158547401</v>
      </c>
      <c r="AE133" s="176" t="e">
        <f ca="1">IF(_xll.EVGET($B$1,$B$3,$B$5,$B$6,$B$7,$B$9,AD$16,AD$17,AD$18,$G133)="#NODATA","",_xll.EVGET($B$1,$B$3,$B$5,$B$6,$B$7,$B$9,AD$16,AD$17,AD$18,$G133))</f>
        <v>#NAME?</v>
      </c>
      <c r="AF133" s="91">
        <f t="shared" si="15"/>
        <v>5.2464520347040491</v>
      </c>
      <c r="AG133" s="90">
        <v>169.52925501432699</v>
      </c>
      <c r="AH133" s="176" t="e">
        <f ca="1">IF(_xll.EVGET($B$1,$B$3,$B$5,$B$6,$B$7,$B$9,AG$16,AG$17,AG$18,$G133)="#NODATA","",_xll.EVGET($B$1,$B$3,$B$5,$B$6,$B$7,$B$9,AG$16,AG$17,AG$18,$G133))</f>
        <v>#NAME?</v>
      </c>
      <c r="AI133" s="275">
        <f t="shared" si="16"/>
        <v>12.592688605851066</v>
      </c>
    </row>
    <row r="134" spans="7:35" x14ac:dyDescent="0.2">
      <c r="G134" s="72" t="str">
        <f t="shared" si="13"/>
        <v>OCC_QUDI</v>
      </c>
      <c r="H134" s="10" t="s">
        <v>205</v>
      </c>
      <c r="I134" s="24" t="e">
        <f ca="1">_xll.EVPRO($B$1,$H134,"STYLE")</f>
        <v>#NAME?</v>
      </c>
      <c r="J134" s="24" t="e">
        <f ca="1">_xll.EVPRO($B$1,$H134,"CALC")</f>
        <v>#NAME?</v>
      </c>
      <c r="L134" s="24" t="e">
        <f ca="1">_xll.EVPRO($B$1,H134,"JDEID")</f>
        <v>#NAME?</v>
      </c>
      <c r="M134" s="24" t="e">
        <f ca="1">IF(AND(I134="N",J134="N"),_xll.EVPRO($B$1,H134,"PSFTID"),"")</f>
        <v>#NAME?</v>
      </c>
      <c r="N134" s="24" t="e">
        <f ca="1">IF(_xll.EVDES(H134,$B$1)="#NODATA","",_xll.EVDES(H134,$B$1))</f>
        <v>#NAME?</v>
      </c>
      <c r="O134" s="97">
        <v>178.74072164948501</v>
      </c>
      <c r="P134" s="256">
        <v>228.16929824561399</v>
      </c>
      <c r="Q134" s="256">
        <v>274.31261682243002</v>
      </c>
      <c r="R134" s="256">
        <v>217.65958041958001</v>
      </c>
      <c r="S134" s="256">
        <v>170.98829787234001</v>
      </c>
      <c r="T134" s="256">
        <v>141.22240506329101</v>
      </c>
      <c r="U134" s="256">
        <v>126.696339285714</v>
      </c>
      <c r="V134" s="256">
        <v>142.45681818181799</v>
      </c>
      <c r="W134" s="256">
        <v>152.82846153846199</v>
      </c>
      <c r="X134" s="256">
        <v>171.378735632184</v>
      </c>
      <c r="Y134" s="256">
        <v>156.36851851851901</v>
      </c>
      <c r="Z134" s="256">
        <v>164.87722772277201</v>
      </c>
      <c r="AA134" s="256">
        <f t="shared" si="14"/>
        <v>181.89775200713649</v>
      </c>
      <c r="AB134" s="180" t="e">
        <f ca="1">IF(_xll.EVGET($B$1,$B$3,$B$5,$B$6,$B$7,$B$9,AA$16,AA$17,AA$18,$G134)="#NODATA","",_xll.EVGET($B$1,$B$3,$B$5,$B$6,$B$7,$B$9,AA$16,AA$17,AA$18,$G134))</f>
        <v>#NAME?</v>
      </c>
      <c r="AD134" s="97">
        <v>175.05461458333301</v>
      </c>
      <c r="AE134" s="180" t="e">
        <f ca="1">IF(_xll.EVGET($B$1,$B$3,$B$5,$B$6,$B$7,$B$9,AD$16,AD$17,AD$18,$G134)="#NODATA","",_xll.EVGET($B$1,$B$3,$B$5,$B$6,$B$7,$B$9,AD$16,AD$17,AD$18,$G134))</f>
        <v>#NAME?</v>
      </c>
      <c r="AF134" s="98">
        <f t="shared" si="15"/>
        <v>6.8431374238034834</v>
      </c>
      <c r="AG134" s="97">
        <v>167.63172768878701</v>
      </c>
      <c r="AH134" s="180" t="e">
        <f ca="1">IF(_xll.EVGET($B$1,$B$3,$B$5,$B$6,$B$7,$B$9,AG$16,AG$17,AG$18,$G134)="#NODATA","",_xll.EVGET($B$1,$B$3,$B$5,$B$6,$B$7,$B$9,AG$16,AG$17,AG$18,$G134))</f>
        <v>#NAME?</v>
      </c>
      <c r="AI134" s="276">
        <f t="shared" si="16"/>
        <v>14.26602431834948</v>
      </c>
    </row>
    <row r="135" spans="7:35" x14ac:dyDescent="0.2">
      <c r="G135" s="72" t="str">
        <f t="shared" si="13"/>
        <v>OCC_TGOV</v>
      </c>
      <c r="H135" s="10" t="s">
        <v>206</v>
      </c>
      <c r="I135" s="24" t="e">
        <f ca="1">_xll.EVPRO($B$1,$H135,"STYLE")</f>
        <v>#NAME?</v>
      </c>
      <c r="J135" s="24" t="e">
        <f ca="1">_xll.EVPRO($B$1,$H135,"CALC")</f>
        <v>#NAME?</v>
      </c>
      <c r="L135" s="24" t="e">
        <f ca="1">_xll.EVPRO($B$1,H135,"JDEID")</f>
        <v>#NAME?</v>
      </c>
      <c r="M135" s="24" t="e">
        <f ca="1">IF(AND(I135="N",J135="N"),_xll.EVPRO($B$1,H135,"PSFTID"),"")</f>
        <v>#NAME?</v>
      </c>
      <c r="N135" s="24" t="e">
        <f ca="1">IF(_xll.EVDES(H135,$B$1)="#NODATA","",_xll.EVDES(H135,$B$1))</f>
        <v>#NAME?</v>
      </c>
      <c r="O135" s="97">
        <v>215</v>
      </c>
      <c r="P135" s="256">
        <v>215</v>
      </c>
      <c r="Q135" s="256">
        <v>215</v>
      </c>
      <c r="R135" s="256">
        <v>199</v>
      </c>
      <c r="S135" s="256">
        <v>199</v>
      </c>
      <c r="T135" s="256">
        <v>142</v>
      </c>
      <c r="U135" s="256">
        <v>142</v>
      </c>
      <c r="V135" s="256">
        <v>142</v>
      </c>
      <c r="W135" s="256">
        <v>142</v>
      </c>
      <c r="X135" s="256">
        <v>151.666666666667</v>
      </c>
      <c r="Y135" s="256">
        <v>155.666666666667</v>
      </c>
      <c r="Z135" s="256">
        <v>210</v>
      </c>
      <c r="AA135" s="256">
        <f t="shared" si="14"/>
        <v>183.22907488986783</v>
      </c>
      <c r="AB135" s="180" t="e">
        <f ca="1">IF(_xll.EVGET($B$1,$B$3,$B$5,$B$6,$B$7,$B$9,AA$16,AA$17,AA$18,$G135)="#NODATA","",_xll.EVGET($B$1,$B$3,$B$5,$B$6,$B$7,$B$9,AA$16,AA$17,AA$18,$G135))</f>
        <v>#NAME?</v>
      </c>
      <c r="AD135" s="97">
        <v>187.218934911243</v>
      </c>
      <c r="AE135" s="180" t="e">
        <f ca="1">IF(_xll.EVGET($B$1,$B$3,$B$5,$B$6,$B$7,$B$9,AD$16,AD$17,AD$18,$G135)="#NODATA","",_xll.EVGET($B$1,$B$3,$B$5,$B$6,$B$7,$B$9,AD$16,AD$17,AD$18,$G135))</f>
        <v>#NAME?</v>
      </c>
      <c r="AF135" s="98">
        <f t="shared" si="15"/>
        <v>-3.9898600213751649</v>
      </c>
      <c r="AG135" s="97">
        <v>179.11560693641599</v>
      </c>
      <c r="AH135" s="180" t="e">
        <f ca="1">IF(_xll.EVGET($B$1,$B$3,$B$5,$B$6,$B$7,$B$9,AG$16,AG$17,AG$18,$G135)="#NODATA","",_xll.EVGET($B$1,$B$3,$B$5,$B$6,$B$7,$B$9,AG$16,AG$17,AG$18,$G135))</f>
        <v>#NAME?</v>
      </c>
      <c r="AI135" s="276">
        <f t="shared" si="16"/>
        <v>4.1134679534518455</v>
      </c>
    </row>
    <row r="136" spans="7:35" x14ac:dyDescent="0.2">
      <c r="G136" s="65" t="str">
        <f t="shared" si="13"/>
        <v>OCC_WHOL</v>
      </c>
      <c r="H136" s="10" t="s">
        <v>207</v>
      </c>
      <c r="I136" s="26" t="e">
        <f ca="1">_xll.EVPRO($B$1,$H136,"STYLE")</f>
        <v>#NAME?</v>
      </c>
      <c r="J136" s="26" t="e">
        <f ca="1">_xll.EVPRO($B$1,$H136,"CALC")</f>
        <v>#NAME?</v>
      </c>
      <c r="L136" s="23" t="e">
        <f ca="1">_xll.EVPRO($B$1,H136,"JDEID")</f>
        <v>#NAME?</v>
      </c>
      <c r="M136" s="24" t="e">
        <f ca="1">IF(AND(I136="N",J136="N"),_xll.EVPRO($B$1,H136,"PSFTID"),"")</f>
        <v>#NAME?</v>
      </c>
      <c r="N136" s="23" t="e">
        <f ca="1">IF(_xll.EVDES(H136,$B$1)="#NODATA","",_xll.EVDES(H136,$B$1))</f>
        <v>#NAME?</v>
      </c>
      <c r="O136" s="95">
        <v>271.565966850829</v>
      </c>
      <c r="P136" s="257">
        <v>310.72317180616699</v>
      </c>
      <c r="Q136" s="257">
        <v>289.36734177215197</v>
      </c>
      <c r="R136" s="257">
        <v>234.104143222506</v>
      </c>
      <c r="S136" s="257">
        <v>237.976345177665</v>
      </c>
      <c r="T136" s="257">
        <v>190.462338709677</v>
      </c>
      <c r="U136" s="257">
        <v>175.90941176470599</v>
      </c>
      <c r="V136" s="257">
        <v>164.36934426229499</v>
      </c>
      <c r="W136" s="257">
        <v>156.327882352941</v>
      </c>
      <c r="X136" s="257">
        <v>201.297610619469</v>
      </c>
      <c r="Y136" s="257">
        <v>186.519855072464</v>
      </c>
      <c r="Z136" s="257">
        <v>303.39151515151502</v>
      </c>
      <c r="AA136" s="257">
        <f t="shared" si="14"/>
        <v>239.56313920454548</v>
      </c>
      <c r="AB136" s="179" t="e">
        <f ca="1">IF(_xll.EVGET($B$1,$B$3,$B$5,$B$6,$B$7,$B$9,AA$16,AA$17,AA$18,$G136)="#NODATA","",_xll.EVGET($B$1,$B$3,$B$5,$B$6,$B$7,$B$9,AA$16,AA$17,AA$18,$G136))</f>
        <v>#NAME?</v>
      </c>
      <c r="AD136" s="95">
        <v>194.271085959885</v>
      </c>
      <c r="AE136" s="179" t="e">
        <f ca="1">IF(_xll.EVGET($B$1,$B$3,$B$5,$B$6,$B$7,$B$9,AD$16,AD$17,AD$18,$G136)="#NODATA","",_xll.EVGET($B$1,$B$3,$B$5,$B$6,$B$7,$B$9,AD$16,AD$17,AD$18,$G136))</f>
        <v>#NAME?</v>
      </c>
      <c r="AF136" s="96">
        <f t="shared" si="15"/>
        <v>45.29205324466048</v>
      </c>
      <c r="AG136" s="95">
        <v>173.202536394177</v>
      </c>
      <c r="AH136" s="179" t="e">
        <f ca="1">IF(_xll.EVGET($B$1,$B$3,$B$5,$B$6,$B$7,$B$9,AG$16,AG$17,AG$18,$G136)="#NODATA","",_xll.EVGET($B$1,$B$3,$B$5,$B$6,$B$7,$B$9,AG$16,AG$17,AG$18,$G136))</f>
        <v>#NAME?</v>
      </c>
      <c r="AI136" s="277">
        <f t="shared" si="16"/>
        <v>66.360602810368476</v>
      </c>
    </row>
    <row r="137" spans="7:35" x14ac:dyDescent="0.2">
      <c r="G137" s="65" t="str">
        <f t="shared" si="13"/>
        <v>OCC_INDT</v>
      </c>
      <c r="H137" s="10" t="s">
        <v>177</v>
      </c>
      <c r="I137" s="26" t="e">
        <f ca="1">_xll.EVPRO($B$1,$H137,"STYLE")</f>
        <v>#NAME?</v>
      </c>
      <c r="J137" s="26" t="e">
        <f ca="1">_xll.EVPRO($B$1,$H137,"CALC")</f>
        <v>#NAME?</v>
      </c>
      <c r="L137" s="23" t="e">
        <f ca="1">_xll.EVPRO($B$1,H137,"JDEID")</f>
        <v>#NAME?</v>
      </c>
      <c r="M137" s="24" t="e">
        <f ca="1">IF(AND(I137="N",J137="N"),_xll.EVPRO($B$1,H137,"PSFTID"),"")</f>
        <v>#NAME?</v>
      </c>
      <c r="N137" s="23" t="e">
        <f ca="1">IF(_xll.EVDES(H137,$B$1)="#NODATA","",_xll.EVDES(H137,$B$1))</f>
        <v>#NAME?</v>
      </c>
      <c r="O137" s="141">
        <v>283.122944228275</v>
      </c>
      <c r="P137" s="258">
        <v>357.12529945553501</v>
      </c>
      <c r="Q137" s="258">
        <v>309.38616322974099</v>
      </c>
      <c r="R137" s="258">
        <v>256.87876369766798</v>
      </c>
      <c r="S137" s="258">
        <v>203.809696</v>
      </c>
      <c r="T137" s="258">
        <v>170.63396940726599</v>
      </c>
      <c r="U137" s="258">
        <v>171.529605171209</v>
      </c>
      <c r="V137" s="258">
        <v>157.02505122950799</v>
      </c>
      <c r="W137" s="258">
        <v>144.569132093467</v>
      </c>
      <c r="X137" s="258">
        <v>189.3</v>
      </c>
      <c r="Y137" s="258">
        <v>195.236194242328</v>
      </c>
      <c r="Z137" s="258">
        <v>276.22590992647099</v>
      </c>
      <c r="AA137" s="258">
        <f t="shared" si="14"/>
        <v>230.44256197187056</v>
      </c>
      <c r="AB137" s="178" t="e">
        <f ca="1">IF(_xll.EVGET($B$1,$B$3,$B$5,$B$6,$B$7,$B$9,AA$16,AA$17,AA$18,$G137)="#NODATA","",_xll.EVGET($B$1,$B$3,$B$5,$B$6,$B$7,$B$9,AA$16,AA$17,AA$18,$G137))</f>
        <v>#NAME?</v>
      </c>
      <c r="AD137" s="141">
        <v>241.58944336295701</v>
      </c>
      <c r="AE137" s="178" t="e">
        <f ca="1">IF(_xll.EVGET($B$1,$B$3,$B$5,$B$6,$B$7,$B$9,AD$16,AD$17,AD$18,$G137)="#NODATA","",_xll.EVGET($B$1,$B$3,$B$5,$B$6,$B$7,$B$9,AD$16,AD$17,AD$18,$G137))</f>
        <v>#NAME?</v>
      </c>
      <c r="AF137" s="142">
        <f t="shared" si="15"/>
        <v>-11.146881391086453</v>
      </c>
      <c r="AG137" s="141">
        <v>239.03619893078201</v>
      </c>
      <c r="AH137" s="178" t="e">
        <f ca="1">IF(_xll.EVGET($B$1,$B$3,$B$5,$B$6,$B$7,$B$9,AG$16,AG$17,AG$18,$G137)="#NODATA","",_xll.EVGET($B$1,$B$3,$B$5,$B$6,$B$7,$B$9,AG$16,AG$17,AG$18,$G137))</f>
        <v>#NAME?</v>
      </c>
      <c r="AI137" s="278">
        <f t="shared" si="16"/>
        <v>-8.5936369589114463</v>
      </c>
    </row>
    <row r="138" spans="7:35" x14ac:dyDescent="0.2">
      <c r="G138" s="72" t="str">
        <f t="shared" si="13"/>
        <v>OCCNKROW</v>
      </c>
      <c r="H138" s="10" t="s">
        <v>175</v>
      </c>
      <c r="I138" s="24" t="e">
        <f ca="1">_xll.EVPRO($B$1,$H138,"STYLE")</f>
        <v>#NAME?</v>
      </c>
      <c r="J138" s="24" t="e">
        <f ca="1">_xll.EVPRO($B$1,$H138,"CALC")</f>
        <v>#NAME?</v>
      </c>
      <c r="L138" s="24" t="e">
        <f ca="1">_xll.EVPRO($B$1,H138,"JDEID")</f>
        <v>#NAME?</v>
      </c>
      <c r="M138" s="24" t="e">
        <f ca="1">IF(AND(I138="N",J138="N"),_xll.EVPRO($B$1,H138,"PSFTID"),"")</f>
        <v>#NAME?</v>
      </c>
      <c r="N138" s="24" t="e">
        <f ca="1">IF(_xll.EVDES(H138,$B$1)="#NODATA","",_xll.EVDES(H138,$B$1))</f>
        <v>#NAME?</v>
      </c>
      <c r="O138" s="93"/>
      <c r="P138" s="259"/>
      <c r="Q138" s="259"/>
      <c r="R138" s="259"/>
      <c r="S138" s="259"/>
      <c r="T138" s="259"/>
      <c r="U138" s="259"/>
      <c r="V138" s="259"/>
      <c r="W138" s="259"/>
      <c r="X138" s="259"/>
      <c r="Y138" s="259"/>
      <c r="Z138" s="259"/>
      <c r="AA138" s="259">
        <f t="shared" si="14"/>
        <v>0</v>
      </c>
      <c r="AB138" s="177" t="e">
        <f ca="1">IF(_xll.EVGET($B$1,$B$3,$B$5,$B$6,$B$7,$B$9,AA$16,AA$17,AA$18,$G138)="#NODATA","",_xll.EVGET($B$1,$B$3,$B$5,$B$6,$B$7,$B$9,AA$16,AA$17,AA$18,$G138))</f>
        <v>#NAME?</v>
      </c>
      <c r="AD138" s="93"/>
      <c r="AE138" s="177" t="e">
        <f ca="1">IF(_xll.EVGET($B$1,$B$3,$B$5,$B$6,$B$7,$B$9,AD$16,AD$17,AD$18,$G138)="#NODATA","",_xll.EVGET($B$1,$B$3,$B$5,$B$6,$B$7,$B$9,AD$16,AD$17,AD$18,$G138))</f>
        <v>#NAME?</v>
      </c>
      <c r="AF138" s="94">
        <f t="shared" si="15"/>
        <v>0</v>
      </c>
      <c r="AG138" s="93"/>
      <c r="AH138" s="177" t="e">
        <f ca="1">IF(_xll.EVGET($B$1,$B$3,$B$5,$B$6,$B$7,$B$9,AG$16,AG$17,AG$18,$G138)="#NODATA","",_xll.EVGET($B$1,$B$3,$B$5,$B$6,$B$7,$B$9,AG$16,AG$17,AG$18,$G138))</f>
        <v>#NAME?</v>
      </c>
      <c r="AI138" s="279">
        <f t="shared" si="16"/>
        <v>0</v>
      </c>
    </row>
    <row r="139" spans="7:35" x14ac:dyDescent="0.2">
      <c r="G139" s="65" t="str">
        <f t="shared" si="13"/>
        <v>OCC_CORPT</v>
      </c>
      <c r="H139" s="10" t="s">
        <v>179</v>
      </c>
      <c r="I139" s="26" t="e">
        <f ca="1">_xll.EVPRO($B$1,$H139,"STYLE")</f>
        <v>#NAME?</v>
      </c>
      <c r="J139" s="26" t="e">
        <f ca="1">_xll.EVPRO($B$1,$H139,"CALC")</f>
        <v>#NAME?</v>
      </c>
      <c r="L139" s="23" t="e">
        <f ca="1">_xll.EVPRO($B$1,H139,"JDEID")</f>
        <v>#NAME?</v>
      </c>
      <c r="M139" s="24" t="e">
        <f ca="1">IF(AND(I139="N",J139="N"),_xll.EVPRO($B$1,H139,"PSFTID"),"")</f>
        <v>#NAME?</v>
      </c>
      <c r="N139" s="23" t="e">
        <f ca="1">IF(_xll.EVDES(H139,$B$1)="#NODATA","",_xll.EVDES(H139,$B$1))</f>
        <v>#NAME?</v>
      </c>
      <c r="O139" s="90">
        <v>293.47318007662801</v>
      </c>
      <c r="P139" s="255">
        <v>322.13466334164599</v>
      </c>
      <c r="Q139" s="255">
        <v>310.56857142857098</v>
      </c>
      <c r="R139" s="255">
        <v>262.58163265306098</v>
      </c>
      <c r="S139" s="255">
        <v>424.25429553264598</v>
      </c>
      <c r="T139" s="255">
        <v>162.72483460559801</v>
      </c>
      <c r="U139" s="255">
        <v>284.81168831168799</v>
      </c>
      <c r="V139" s="255">
        <v>160.69123595505599</v>
      </c>
      <c r="W139" s="255">
        <v>214.10372340425499</v>
      </c>
      <c r="X139" s="255">
        <v>172.666666666667</v>
      </c>
      <c r="Y139" s="255">
        <v>203.52365930599399</v>
      </c>
      <c r="Z139" s="255">
        <v>278.99696969696998</v>
      </c>
      <c r="AA139" s="255">
        <f t="shared" si="14"/>
        <v>272.81509600415148</v>
      </c>
      <c r="AB139" s="176" t="e">
        <f ca="1">IF(_xll.EVGET($B$1,$B$3,$B$5,$B$6,$B$7,$B$9,AA$16,AA$17,AA$18,$G139)="#NODATA","",_xll.EVGET($B$1,$B$3,$B$5,$B$6,$B$7,$B$9,AA$16,AA$17,AA$18,$G139))</f>
        <v>#NAME?</v>
      </c>
      <c r="AD139" s="90">
        <v>283.47142857142899</v>
      </c>
      <c r="AE139" s="176" t="e">
        <f ca="1">IF(_xll.EVGET($B$1,$B$3,$B$5,$B$6,$B$7,$B$9,AD$16,AD$17,AD$18,$G139)="#NODATA","",_xll.EVGET($B$1,$B$3,$B$5,$B$6,$B$7,$B$9,AD$16,AD$17,AD$18,$G139))</f>
        <v>#NAME?</v>
      </c>
      <c r="AF139" s="91">
        <f t="shared" si="15"/>
        <v>-10.656332567277502</v>
      </c>
      <c r="AG139" s="90">
        <v>298.80562241236498</v>
      </c>
      <c r="AH139" s="176" t="e">
        <f ca="1">IF(_xll.EVGET($B$1,$B$3,$B$5,$B$6,$B$7,$B$9,AG$16,AG$17,AG$18,$G139)="#NODATA","",_xll.EVGET($B$1,$B$3,$B$5,$B$6,$B$7,$B$9,AG$16,AG$17,AG$18,$G139))</f>
        <v>#NAME?</v>
      </c>
      <c r="AI139" s="275">
        <f t="shared" si="16"/>
        <v>-25.990526408213498</v>
      </c>
    </row>
    <row r="140" spans="7:35" x14ac:dyDescent="0.2">
      <c r="G140" s="72" t="str">
        <f t="shared" si="13"/>
        <v>OCC_CORP</v>
      </c>
      <c r="H140" s="10" t="s">
        <v>180</v>
      </c>
      <c r="I140" s="24" t="e">
        <f ca="1">_xll.EVPRO($B$1,$H140,"STYLE")</f>
        <v>#NAME?</v>
      </c>
      <c r="J140" s="24" t="e">
        <f ca="1">_xll.EVPRO($B$1,$H140,"CALC")</f>
        <v>#NAME?</v>
      </c>
      <c r="L140" s="24" t="e">
        <f ca="1">_xll.EVPRO($B$1,H140,"JDEID")</f>
        <v>#NAME?</v>
      </c>
      <c r="M140" s="24" t="e">
        <f ca="1">IF(AND(I140="N",J140="N"),_xll.EVPRO($B$1,H140,"PSFTID"),"")</f>
        <v>#NAME?</v>
      </c>
      <c r="N140" s="24" t="e">
        <f ca="1">IF(_xll.EVDES(H140,$B$1)="#NODATA","",_xll.EVDES(H140,$B$1))</f>
        <v>#NAME?</v>
      </c>
      <c r="O140" s="97">
        <v>279.30997876857703</v>
      </c>
      <c r="P140" s="256">
        <v>291.54383116883099</v>
      </c>
      <c r="Q140" s="256">
        <v>278.02793296089402</v>
      </c>
      <c r="R140" s="256">
        <v>206.29545454545499</v>
      </c>
      <c r="S140" s="256">
        <v>424.25429553264598</v>
      </c>
      <c r="T140" s="256">
        <v>162.149611111111</v>
      </c>
      <c r="U140" s="256">
        <v>284.81168831168799</v>
      </c>
      <c r="V140" s="256">
        <v>150.42857142857099</v>
      </c>
      <c r="W140" s="256">
        <v>218.027777777778</v>
      </c>
      <c r="X140" s="256">
        <v>172.666666666667</v>
      </c>
      <c r="Y140" s="256">
        <v>199.137142857143</v>
      </c>
      <c r="Z140" s="256">
        <v>278.99696969696998</v>
      </c>
      <c r="AA140" s="256">
        <f t="shared" si="14"/>
        <v>263.50688366097324</v>
      </c>
      <c r="AB140" s="180" t="e">
        <f ca="1">IF(_xll.EVGET($B$1,$B$3,$B$5,$B$6,$B$7,$B$9,AA$16,AA$17,AA$18,$G140)="#NODATA","",_xll.EVGET($B$1,$B$3,$B$5,$B$6,$B$7,$B$9,AA$16,AA$17,AA$18,$G140))</f>
        <v>#NAME?</v>
      </c>
      <c r="AD140" s="97">
        <v>275.57798165137598</v>
      </c>
      <c r="AE140" s="180" t="e">
        <f ca="1">IF(_xll.EVGET($B$1,$B$3,$B$5,$B$6,$B$7,$B$9,AD$16,AD$17,AD$18,$G140)="#NODATA","",_xll.EVGET($B$1,$B$3,$B$5,$B$6,$B$7,$B$9,AD$16,AD$17,AD$18,$G140))</f>
        <v>#NAME?</v>
      </c>
      <c r="AF140" s="98">
        <f t="shared" si="15"/>
        <v>-12.071097990402734</v>
      </c>
      <c r="AG140" s="97">
        <v>296.57040890957398</v>
      </c>
      <c r="AH140" s="180" t="e">
        <f ca="1">IF(_xll.EVGET($B$1,$B$3,$B$5,$B$6,$B$7,$B$9,AG$16,AG$17,AG$18,$G140)="#NODATA","",_xll.EVGET($B$1,$B$3,$B$5,$B$6,$B$7,$B$9,AG$16,AG$17,AG$18,$G140))</f>
        <v>#NAME?</v>
      </c>
      <c r="AI140" s="276">
        <f t="shared" si="16"/>
        <v>-33.06352524860074</v>
      </c>
    </row>
    <row r="141" spans="7:35" x14ac:dyDescent="0.2">
      <c r="G141" s="72" t="str">
        <f t="shared" si="13"/>
        <v>OCC_ENTR</v>
      </c>
      <c r="H141" s="10" t="s">
        <v>181</v>
      </c>
      <c r="I141" s="24" t="e">
        <f ca="1">_xll.EVPRO($B$1,$H141,"STYLE")</f>
        <v>#NAME?</v>
      </c>
      <c r="J141" s="24" t="e">
        <f ca="1">_xll.EVPRO($B$1,$H141,"CALC")</f>
        <v>#NAME?</v>
      </c>
      <c r="L141" s="24" t="e">
        <f ca="1">_xll.EVPRO($B$1,H141,"JDEID")</f>
        <v>#NAME?</v>
      </c>
      <c r="M141" s="24" t="e">
        <f ca="1">IF(AND(I141="N",J141="N"),_xll.EVPRO($B$1,H141,"PSFTID"),"")</f>
        <v>#NAME?</v>
      </c>
      <c r="N141" s="24" t="e">
        <f ca="1">IF(_xll.EVDES(H141,$B$1)="#NODATA","",_xll.EVDES(H141,$B$1))</f>
        <v>#NAME?</v>
      </c>
      <c r="O141" s="97">
        <v>424.274509803922</v>
      </c>
      <c r="P141" s="256">
        <v>423.44623655914</v>
      </c>
      <c r="Q141" s="256">
        <v>344.63157894736798</v>
      </c>
      <c r="R141" s="256">
        <v>308.444444444444</v>
      </c>
      <c r="S141" s="256"/>
      <c r="T141" s="256">
        <v>169</v>
      </c>
      <c r="U141" s="256"/>
      <c r="V141" s="256">
        <v>185.55846153846201</v>
      </c>
      <c r="W141" s="256">
        <v>201.261363636364</v>
      </c>
      <c r="X141" s="256"/>
      <c r="Y141" s="256">
        <v>208.92957746478899</v>
      </c>
      <c r="Z141" s="256"/>
      <c r="AA141" s="256">
        <f t="shared" si="14"/>
        <v>311.27499334221039</v>
      </c>
      <c r="AB141" s="180" t="e">
        <f ca="1">IF(_xll.EVGET($B$1,$B$3,$B$5,$B$6,$B$7,$B$9,AA$16,AA$17,AA$18,$G141)="#NODATA","",_xll.EVGET($B$1,$B$3,$B$5,$B$6,$B$7,$B$9,AA$16,AA$17,AA$18,$G141))</f>
        <v>#NAME?</v>
      </c>
      <c r="AD141" s="97">
        <v>302.59111111111099</v>
      </c>
      <c r="AE141" s="180" t="e">
        <f ca="1">IF(_xll.EVGET($B$1,$B$3,$B$5,$B$6,$B$7,$B$9,AD$16,AD$17,AD$18,$G141)="#NODATA","",_xll.EVGET($B$1,$B$3,$B$5,$B$6,$B$7,$B$9,AD$16,AD$17,AD$18,$G141))</f>
        <v>#NAME?</v>
      </c>
      <c r="AF141" s="98">
        <f t="shared" si="15"/>
        <v>8.6838822310994033</v>
      </c>
      <c r="AG141" s="97">
        <v>309.73817886178898</v>
      </c>
      <c r="AH141" s="180" t="e">
        <f ca="1">IF(_xll.EVGET($B$1,$B$3,$B$5,$B$6,$B$7,$B$9,AG$16,AG$17,AG$18,$G141)="#NODATA","",_xll.EVGET($B$1,$B$3,$B$5,$B$6,$B$7,$B$9,AG$16,AG$17,AG$18,$G141))</f>
        <v>#NAME?</v>
      </c>
      <c r="AI141" s="276">
        <f t="shared" si="16"/>
        <v>1.5368144804214126</v>
      </c>
    </row>
    <row r="142" spans="7:35" x14ac:dyDescent="0.2">
      <c r="G142" s="65" t="str">
        <f t="shared" si="13"/>
        <v>OCC_ASSCN</v>
      </c>
      <c r="H142" s="10" t="s">
        <v>182</v>
      </c>
      <c r="I142" s="26" t="e">
        <f ca="1">_xll.EVPRO($B$1,$H142,"STYLE")</f>
        <v>#NAME?</v>
      </c>
      <c r="J142" s="26" t="e">
        <f ca="1">_xll.EVPRO($B$1,$H142,"CALC")</f>
        <v>#NAME?</v>
      </c>
      <c r="L142" s="23" t="e">
        <f ca="1">_xll.EVPRO($B$1,H142,"JDEID")</f>
        <v>#NAME?</v>
      </c>
      <c r="M142" s="24" t="e">
        <f ca="1">IF(AND(I142="N",J142="N"),_xll.EVPRO($B$1,H142,"PSFTID"),"")</f>
        <v>#NAME?</v>
      </c>
      <c r="N142" s="23" t="e">
        <f ca="1">IF(_xll.EVDES(H142,$B$1)="#NODATA","",_xll.EVDES(H142,$B$1))</f>
        <v>#NAME?</v>
      </c>
      <c r="O142" s="90">
        <v>315.67962962963003</v>
      </c>
      <c r="P142" s="255"/>
      <c r="Q142" s="255"/>
      <c r="R142" s="255"/>
      <c r="S142" s="255">
        <v>209.000181818182</v>
      </c>
      <c r="T142" s="255">
        <v>175.81585106383</v>
      </c>
      <c r="U142" s="255"/>
      <c r="V142" s="255">
        <v>145</v>
      </c>
      <c r="W142" s="255">
        <v>205.72368421052599</v>
      </c>
      <c r="X142" s="255">
        <v>198.93929712460101</v>
      </c>
      <c r="Y142" s="255"/>
      <c r="Z142" s="255"/>
      <c r="AA142" s="255">
        <f t="shared" si="14"/>
        <v>203.03780185758512</v>
      </c>
      <c r="AB142" s="176" t="e">
        <f ca="1">IF(_xll.EVGET($B$1,$B$3,$B$5,$B$6,$B$7,$B$9,AA$16,AA$17,AA$18,$G142)="#NODATA","",_xll.EVGET($B$1,$B$3,$B$5,$B$6,$B$7,$B$9,AA$16,AA$17,AA$18,$G142))</f>
        <v>#NAME?</v>
      </c>
      <c r="AD142" s="90">
        <v>164.38461538461499</v>
      </c>
      <c r="AE142" s="176" t="e">
        <f ca="1">IF(_xll.EVGET($B$1,$B$3,$B$5,$B$6,$B$7,$B$9,AD$16,AD$17,AD$18,$G142)="#NODATA","",_xll.EVGET($B$1,$B$3,$B$5,$B$6,$B$7,$B$9,AD$16,AD$17,AD$18,$G142))</f>
        <v>#NAME?</v>
      </c>
      <c r="AF142" s="91">
        <f t="shared" si="15"/>
        <v>38.653186472970134</v>
      </c>
      <c r="AG142" s="90">
        <v>161.44470338983001</v>
      </c>
      <c r="AH142" s="176" t="e">
        <f ca="1">IF(_xll.EVGET($B$1,$B$3,$B$5,$B$6,$B$7,$B$9,AG$16,AG$17,AG$18,$G142)="#NODATA","",_xll.EVGET($B$1,$B$3,$B$5,$B$6,$B$7,$B$9,AG$16,AG$17,AG$18,$G142))</f>
        <v>#NAME?</v>
      </c>
      <c r="AI142" s="275">
        <f t="shared" si="16"/>
        <v>41.593098467755112</v>
      </c>
    </row>
    <row r="143" spans="7:35" x14ac:dyDescent="0.2">
      <c r="G143" s="72" t="str">
        <f t="shared" si="13"/>
        <v>OCC_ASSC</v>
      </c>
      <c r="H143" s="10" t="s">
        <v>183</v>
      </c>
      <c r="I143" s="24" t="e">
        <f ca="1">_xll.EVPRO($B$1,$H143,"STYLE")</f>
        <v>#NAME?</v>
      </c>
      <c r="J143" s="24" t="e">
        <f ca="1">_xll.EVPRO($B$1,$H143,"CALC")</f>
        <v>#NAME?</v>
      </c>
      <c r="L143" s="24" t="e">
        <f ca="1">_xll.EVPRO($B$1,H143,"JDEID")</f>
        <v>#NAME?</v>
      </c>
      <c r="M143" s="24" t="e">
        <f ca="1">IF(AND(I143="N",J143="N"),_xll.EVPRO($B$1,H143,"PSFTID"),"")</f>
        <v>#NAME?</v>
      </c>
      <c r="N143" s="24" t="e">
        <f ca="1">IF(_xll.EVDES(H143,$B$1)="#NODATA","",_xll.EVDES(H143,$B$1))</f>
        <v>#NAME?</v>
      </c>
      <c r="O143" s="97">
        <v>315.67962962963003</v>
      </c>
      <c r="P143" s="256"/>
      <c r="Q143" s="256"/>
      <c r="R143" s="256"/>
      <c r="S143" s="256"/>
      <c r="T143" s="256">
        <v>193.64223880597001</v>
      </c>
      <c r="U143" s="256"/>
      <c r="V143" s="256">
        <v>145</v>
      </c>
      <c r="W143" s="256">
        <v>202.77500000000001</v>
      </c>
      <c r="X143" s="256">
        <v>99.5</v>
      </c>
      <c r="Y143" s="256"/>
      <c r="Z143" s="256"/>
      <c r="AA143" s="256">
        <f t="shared" si="14"/>
        <v>215.45723756906079</v>
      </c>
      <c r="AB143" s="180" t="e">
        <f ca="1">IF(_xll.EVGET($B$1,$B$3,$B$5,$B$6,$B$7,$B$9,AA$16,AA$17,AA$18,$G143)="#NODATA","",_xll.EVGET($B$1,$B$3,$B$5,$B$6,$B$7,$B$9,AA$16,AA$17,AA$18,$G143))</f>
        <v>#NAME?</v>
      </c>
      <c r="AD143" s="97">
        <v>199</v>
      </c>
      <c r="AE143" s="180" t="e">
        <f ca="1">IF(_xll.EVGET($B$1,$B$3,$B$5,$B$6,$B$7,$B$9,AD$16,AD$17,AD$18,$G143)="#NODATA","",_xll.EVGET($B$1,$B$3,$B$5,$B$6,$B$7,$B$9,AD$16,AD$17,AD$18,$G143))</f>
        <v>#NAME?</v>
      </c>
      <c r="AF143" s="98">
        <f t="shared" si="15"/>
        <v>16.457237569060794</v>
      </c>
      <c r="AG143" s="97">
        <v>187.999275362319</v>
      </c>
      <c r="AH143" s="180" t="e">
        <f ca="1">IF(_xll.EVGET($B$1,$B$3,$B$5,$B$6,$B$7,$B$9,AG$16,AG$17,AG$18,$G143)="#NODATA","",_xll.EVGET($B$1,$B$3,$B$5,$B$6,$B$7,$B$9,AG$16,AG$17,AG$18,$G143))</f>
        <v>#NAME?</v>
      </c>
      <c r="AI143" s="276">
        <f t="shared" si="16"/>
        <v>27.457962206741797</v>
      </c>
    </row>
    <row r="144" spans="7:35" x14ac:dyDescent="0.2">
      <c r="G144" s="72" t="str">
        <f t="shared" si="13"/>
        <v>OCC_CONV</v>
      </c>
      <c r="H144" s="10" t="s">
        <v>184</v>
      </c>
      <c r="I144" s="24" t="e">
        <f ca="1">_xll.EVPRO($B$1,$H144,"STYLE")</f>
        <v>#NAME?</v>
      </c>
      <c r="J144" s="24" t="e">
        <f ca="1">_xll.EVPRO($B$1,$H144,"CALC")</f>
        <v>#NAME?</v>
      </c>
      <c r="L144" s="24" t="e">
        <f ca="1">_xll.EVPRO($B$1,H144,"JDEID")</f>
        <v>#NAME?</v>
      </c>
      <c r="M144" s="24" t="e">
        <f ca="1">IF(AND(I144="N",J144="N"),_xll.EVPRO($B$1,H144,"PSFTID"),"")</f>
        <v>#NAME?</v>
      </c>
      <c r="N144" s="24" t="e">
        <f ca="1">IF(_xll.EVDES(H144,$B$1)="#NODATA","",_xll.EVDES(H144,$B$1))</f>
        <v>#NAME?</v>
      </c>
      <c r="O144" s="97"/>
      <c r="P144" s="256"/>
      <c r="Q144" s="256"/>
      <c r="R144" s="256"/>
      <c r="S144" s="256">
        <v>209</v>
      </c>
      <c r="T144" s="256">
        <v>131.58000000000001</v>
      </c>
      <c r="U144" s="256"/>
      <c r="V144" s="256"/>
      <c r="W144" s="256">
        <v>209</v>
      </c>
      <c r="X144" s="256">
        <v>199.578778135048</v>
      </c>
      <c r="Y144" s="256"/>
      <c r="Z144" s="256"/>
      <c r="AA144" s="256">
        <f t="shared" si="14"/>
        <v>198.20356989247313</v>
      </c>
      <c r="AB144" s="180" t="e">
        <f ca="1">IF(_xll.EVGET($B$1,$B$3,$B$5,$B$6,$B$7,$B$9,AA$16,AA$17,AA$18,$G144)="#NODATA","",_xll.EVGET($B$1,$B$3,$B$5,$B$6,$B$7,$B$9,AA$16,AA$17,AA$18,$G144))</f>
        <v>#NAME?</v>
      </c>
      <c r="AD144" s="97">
        <v>160.70212765957399</v>
      </c>
      <c r="AE144" s="180" t="e">
        <f ca="1">IF(_xll.EVGET($B$1,$B$3,$B$5,$B$6,$B$7,$B$9,AD$16,AD$17,AD$18,$G144)="#NODATA","",_xll.EVGET($B$1,$B$3,$B$5,$B$6,$B$7,$B$9,AD$16,AD$17,AD$18,$G144))</f>
        <v>#NAME?</v>
      </c>
      <c r="AF144" s="98">
        <f t="shared" si="15"/>
        <v>37.501442232899137</v>
      </c>
      <c r="AG144" s="97">
        <v>150.473053892216</v>
      </c>
      <c r="AH144" s="180" t="e">
        <f ca="1">IF(_xll.EVGET($B$1,$B$3,$B$5,$B$6,$B$7,$B$9,AG$16,AG$17,AG$18,$G144)="#NODATA","",_xll.EVGET($B$1,$B$3,$B$5,$B$6,$B$7,$B$9,AG$16,AG$17,AG$18,$G144))</f>
        <v>#NAME?</v>
      </c>
      <c r="AI144" s="276">
        <f t="shared" si="16"/>
        <v>47.730516000257126</v>
      </c>
    </row>
    <row r="145" spans="7:35" x14ac:dyDescent="0.2">
      <c r="G145" s="65" t="str">
        <f t="shared" si="13"/>
        <v>OCC_GGOV</v>
      </c>
      <c r="H145" s="10" t="s">
        <v>185</v>
      </c>
      <c r="I145" s="26" t="e">
        <f ca="1">_xll.EVPRO($B$1,$H145,"STYLE")</f>
        <v>#NAME?</v>
      </c>
      <c r="J145" s="26" t="e">
        <f ca="1">_xll.EVPRO($B$1,$H145,"CALC")</f>
        <v>#NAME?</v>
      </c>
      <c r="L145" s="23" t="e">
        <f ca="1">_xll.EVPRO($B$1,H145,"JDEID")</f>
        <v>#NAME?</v>
      </c>
      <c r="M145" s="24" t="e">
        <f ca="1">IF(AND(I145="N",J145="N"),_xll.EVPRO($B$1,H145,"PSFTID"),"")</f>
        <v>#NAME?</v>
      </c>
      <c r="N145" s="23" t="e">
        <f ca="1">IF(_xll.EVDES(H145,$B$1)="#NODATA","",_xll.EVDES(H145,$B$1))</f>
        <v>#NAME?</v>
      </c>
      <c r="O145" s="90"/>
      <c r="P145" s="255"/>
      <c r="Q145" s="255"/>
      <c r="R145" s="255"/>
      <c r="S145" s="255"/>
      <c r="T145" s="255"/>
      <c r="U145" s="255"/>
      <c r="V145" s="255"/>
      <c r="W145" s="255"/>
      <c r="X145" s="255"/>
      <c r="Y145" s="255"/>
      <c r="Z145" s="255"/>
      <c r="AA145" s="255">
        <f t="shared" si="14"/>
        <v>0</v>
      </c>
      <c r="AB145" s="176" t="e">
        <f ca="1">IF(_xll.EVGET($B$1,$B$3,$B$5,$B$6,$B$7,$B$9,AA$16,AA$17,AA$18,$G145)="#NODATA","",_xll.EVGET($B$1,$B$3,$B$5,$B$6,$B$7,$B$9,AA$16,AA$17,AA$18,$G145))</f>
        <v>#NAME?</v>
      </c>
      <c r="AD145" s="90"/>
      <c r="AE145" s="176" t="e">
        <f ca="1">IF(_xll.EVGET($B$1,$B$3,$B$5,$B$6,$B$7,$B$9,AD$16,AD$17,AD$18,$G145)="#NODATA","",_xll.EVGET($B$1,$B$3,$B$5,$B$6,$B$7,$B$9,AD$16,AD$17,AD$18,$G145))</f>
        <v>#NAME?</v>
      </c>
      <c r="AF145" s="91">
        <f t="shared" si="15"/>
        <v>0</v>
      </c>
      <c r="AG145" s="90"/>
      <c r="AH145" s="176" t="e">
        <f ca="1">IF(_xll.EVGET($B$1,$B$3,$B$5,$B$6,$B$7,$B$9,AG$16,AG$17,AG$18,$G145)="#NODATA","",_xll.EVGET($B$1,$B$3,$B$5,$B$6,$B$7,$B$9,AG$16,AG$17,AG$18,$G145))</f>
        <v>#NAME?</v>
      </c>
      <c r="AI145" s="275">
        <f t="shared" si="16"/>
        <v>0</v>
      </c>
    </row>
    <row r="146" spans="7:35" x14ac:dyDescent="0.2">
      <c r="G146" s="65" t="str">
        <f t="shared" si="13"/>
        <v>OCC_TOURW</v>
      </c>
      <c r="H146" s="10" t="s">
        <v>186</v>
      </c>
      <c r="I146" s="26" t="e">
        <f ca="1">_xll.EVPRO($B$1,$H146,"STYLE")</f>
        <v>#NAME?</v>
      </c>
      <c r="J146" s="26" t="e">
        <f ca="1">_xll.EVPRO($B$1,$H146,"CALC")</f>
        <v>#NAME?</v>
      </c>
      <c r="L146" s="23" t="e">
        <f ca="1">_xll.EVPRO($B$1,H146,"JDEID")</f>
        <v>#NAME?</v>
      </c>
      <c r="M146" s="24" t="e">
        <f ca="1">IF(AND(I146="N",J146="N"),_xll.EVPRO($B$1,H146,"PSFTID"),"")</f>
        <v>#NAME?</v>
      </c>
      <c r="N146" s="23" t="e">
        <f ca="1">IF(_xll.EVDES(H146,$B$1)="#NODATA","",_xll.EVDES(H146,$B$1))</f>
        <v>#NAME?</v>
      </c>
      <c r="O146" s="90">
        <v>296.61904761904799</v>
      </c>
      <c r="P146" s="255"/>
      <c r="Q146" s="255"/>
      <c r="R146" s="255"/>
      <c r="S146" s="255"/>
      <c r="T146" s="255"/>
      <c r="U146" s="255"/>
      <c r="V146" s="255"/>
      <c r="W146" s="255"/>
      <c r="X146" s="255"/>
      <c r="Y146" s="255"/>
      <c r="Z146" s="255"/>
      <c r="AA146" s="255">
        <f t="shared" si="14"/>
        <v>296.61904761904759</v>
      </c>
      <c r="AB146" s="176" t="e">
        <f ca="1">IF(_xll.EVGET($B$1,$B$3,$B$5,$B$6,$B$7,$B$9,AA$16,AA$17,AA$18,$G146)="#NODATA","",_xll.EVGET($B$1,$B$3,$B$5,$B$6,$B$7,$B$9,AA$16,AA$17,AA$18,$G146))</f>
        <v>#NAME?</v>
      </c>
      <c r="AD146" s="90">
        <v>217.00995024875601</v>
      </c>
      <c r="AE146" s="176" t="e">
        <f ca="1">IF(_xll.EVGET($B$1,$B$3,$B$5,$B$6,$B$7,$B$9,AD$16,AD$17,AD$18,$G146)="#NODATA","",_xll.EVGET($B$1,$B$3,$B$5,$B$6,$B$7,$B$9,AD$16,AD$17,AD$18,$G146))</f>
        <v>#NAME?</v>
      </c>
      <c r="AF146" s="91">
        <f t="shared" si="15"/>
        <v>79.609097370291579</v>
      </c>
      <c r="AG146" s="90"/>
      <c r="AH146" s="176" t="e">
        <f ca="1">IF(_xll.EVGET($B$1,$B$3,$B$5,$B$6,$B$7,$B$9,AG$16,AG$17,AG$18,$G146)="#NODATA","",_xll.EVGET($B$1,$B$3,$B$5,$B$6,$B$7,$B$9,AG$16,AG$17,AG$18,$G146))</f>
        <v>#NAME?</v>
      </c>
      <c r="AI146" s="275">
        <f t="shared" si="16"/>
        <v>296.61904761904759</v>
      </c>
    </row>
    <row r="147" spans="7:35" x14ac:dyDescent="0.2">
      <c r="G147" s="72" t="str">
        <f t="shared" si="13"/>
        <v>OCC_WHTT</v>
      </c>
      <c r="H147" s="10" t="s">
        <v>187</v>
      </c>
      <c r="I147" s="24" t="e">
        <f ca="1">_xll.EVPRO($B$1,$H147,"STYLE")</f>
        <v>#NAME?</v>
      </c>
      <c r="J147" s="24" t="e">
        <f ca="1">_xll.EVPRO($B$1,$H147,"CALC")</f>
        <v>#NAME?</v>
      </c>
      <c r="L147" s="24" t="e">
        <f ca="1">_xll.EVPRO($B$1,H147,"JDEID")</f>
        <v>#NAME?</v>
      </c>
      <c r="M147" s="24" t="e">
        <f ca="1">IF(AND(I147="N",J147="N"),_xll.EVPRO($B$1,H147,"PSFTID"),"")</f>
        <v>#NAME?</v>
      </c>
      <c r="N147" s="24" t="e">
        <f ca="1">IF(_xll.EVDES(H147,$B$1)="#NODATA","",_xll.EVDES(H147,$B$1))</f>
        <v>#NAME?</v>
      </c>
      <c r="O147" s="97">
        <v>296.61904761904799</v>
      </c>
      <c r="P147" s="256"/>
      <c r="Q147" s="256"/>
      <c r="R147" s="256"/>
      <c r="S147" s="256"/>
      <c r="T147" s="256"/>
      <c r="U147" s="256"/>
      <c r="V147" s="256"/>
      <c r="W147" s="256"/>
      <c r="X147" s="256"/>
      <c r="Y147" s="256"/>
      <c r="Z147" s="256"/>
      <c r="AA147" s="256">
        <f t="shared" si="14"/>
        <v>296.61904761904759</v>
      </c>
      <c r="AB147" s="180" t="e">
        <f ca="1">IF(_xll.EVGET($B$1,$B$3,$B$5,$B$6,$B$7,$B$9,AA$16,AA$17,AA$18,$G147)="#NODATA","",_xll.EVGET($B$1,$B$3,$B$5,$B$6,$B$7,$B$9,AA$16,AA$17,AA$18,$G147))</f>
        <v>#NAME?</v>
      </c>
      <c r="AD147" s="97">
        <v>217.00995024875601</v>
      </c>
      <c r="AE147" s="180" t="e">
        <f ca="1">IF(_xll.EVGET($B$1,$B$3,$B$5,$B$6,$B$7,$B$9,AD$16,AD$17,AD$18,$G147)="#NODATA","",_xll.EVGET($B$1,$B$3,$B$5,$B$6,$B$7,$B$9,AD$16,AD$17,AD$18,$G147))</f>
        <v>#NAME?</v>
      </c>
      <c r="AF147" s="98">
        <f t="shared" si="15"/>
        <v>79.609097370291579</v>
      </c>
      <c r="AG147" s="97"/>
      <c r="AH147" s="180" t="e">
        <f ca="1">IF(_xll.EVGET($B$1,$B$3,$B$5,$B$6,$B$7,$B$9,AG$16,AG$17,AG$18,$G147)="#NODATA","",_xll.EVGET($B$1,$B$3,$B$5,$B$6,$B$7,$B$9,AG$16,AG$17,AG$18,$G147))</f>
        <v>#NAME?</v>
      </c>
      <c r="AI147" s="276">
        <f t="shared" si="16"/>
        <v>296.61904761904759</v>
      </c>
    </row>
    <row r="148" spans="7:35" x14ac:dyDescent="0.2">
      <c r="G148" s="72" t="str">
        <f t="shared" si="13"/>
        <v>OCC_MICE</v>
      </c>
      <c r="H148" s="10" t="s">
        <v>188</v>
      </c>
      <c r="I148" s="24" t="e">
        <f ca="1">_xll.EVPRO($B$1,$H148,"STYLE")</f>
        <v>#NAME?</v>
      </c>
      <c r="J148" s="24" t="e">
        <f ca="1">_xll.EVPRO($B$1,$H148,"CALC")</f>
        <v>#NAME?</v>
      </c>
      <c r="L148" s="24" t="e">
        <f ca="1">_xll.EVPRO($B$1,H148,"JDEID")</f>
        <v>#NAME?</v>
      </c>
      <c r="M148" s="24" t="e">
        <f ca="1">IF(AND(I148="N",J148="N"),_xll.EVPRO($B$1,H148,"PSFTID"),"")</f>
        <v>#NAME?</v>
      </c>
      <c r="N148" s="24" t="e">
        <f ca="1">IF(_xll.EVDES(H148,$B$1)="#NODATA","",_xll.EVDES(H148,$B$1))</f>
        <v>#NAME?</v>
      </c>
      <c r="O148" s="97"/>
      <c r="P148" s="256"/>
      <c r="Q148" s="256"/>
      <c r="R148" s="256"/>
      <c r="S148" s="256"/>
      <c r="T148" s="256"/>
      <c r="U148" s="256"/>
      <c r="V148" s="256"/>
      <c r="W148" s="256"/>
      <c r="X148" s="256"/>
      <c r="Y148" s="256"/>
      <c r="Z148" s="256"/>
      <c r="AA148" s="256">
        <f t="shared" si="14"/>
        <v>0</v>
      </c>
      <c r="AB148" s="180" t="e">
        <f ca="1">IF(_xll.EVGET($B$1,$B$3,$B$5,$B$6,$B$7,$B$9,AA$16,AA$17,AA$18,$G148)="#NODATA","",_xll.EVGET($B$1,$B$3,$B$5,$B$6,$B$7,$B$9,AA$16,AA$17,AA$18,$G148))</f>
        <v>#NAME?</v>
      </c>
      <c r="AD148" s="97"/>
      <c r="AE148" s="180" t="e">
        <f ca="1">IF(_xll.EVGET($B$1,$B$3,$B$5,$B$6,$B$7,$B$9,AD$16,AD$17,AD$18,$G148)="#NODATA","",_xll.EVGET($B$1,$B$3,$B$5,$B$6,$B$7,$B$9,AD$16,AD$17,AD$18,$G148))</f>
        <v>#NAME?</v>
      </c>
      <c r="AF148" s="98">
        <f t="shared" si="15"/>
        <v>0</v>
      </c>
      <c r="AG148" s="97"/>
      <c r="AH148" s="180" t="e">
        <f ca="1">IF(_xll.EVGET($B$1,$B$3,$B$5,$B$6,$B$7,$B$9,AG$16,AG$17,AG$18,$G148)="#NODATA","",_xll.EVGET($B$1,$B$3,$B$5,$B$6,$B$7,$B$9,AG$16,AG$17,AG$18,$G148))</f>
        <v>#NAME?</v>
      </c>
      <c r="AI148" s="276">
        <f t="shared" si="16"/>
        <v>0</v>
      </c>
    </row>
    <row r="149" spans="7:35" x14ac:dyDescent="0.2">
      <c r="G149" s="65" t="str">
        <f t="shared" si="13"/>
        <v>OCC_SMERF</v>
      </c>
      <c r="H149" s="10" t="s">
        <v>189</v>
      </c>
      <c r="I149" s="26" t="e">
        <f ca="1">_xll.EVPRO($B$1,$H149,"STYLE")</f>
        <v>#NAME?</v>
      </c>
      <c r="J149" s="26" t="e">
        <f ca="1">_xll.EVPRO($B$1,$H149,"CALC")</f>
        <v>#NAME?</v>
      </c>
      <c r="L149" s="23" t="e">
        <f ca="1">_xll.EVPRO($B$1,H149,"JDEID")</f>
        <v>#NAME?</v>
      </c>
      <c r="M149" s="24" t="e">
        <f ca="1">IF(AND(I149="N",J149="N"),_xll.EVPRO($B$1,H149,"PSFTID"),"")</f>
        <v>#NAME?</v>
      </c>
      <c r="N149" s="23" t="e">
        <f ca="1">IF(_xll.EVDES(H149,$B$1)="#NODATA","",_xll.EVDES(H149,$B$1))</f>
        <v>#NAME?</v>
      </c>
      <c r="O149" s="95"/>
      <c r="P149" s="257"/>
      <c r="Q149" s="257"/>
      <c r="R149" s="257">
        <v>309.28571428571399</v>
      </c>
      <c r="S149" s="257"/>
      <c r="T149" s="257"/>
      <c r="U149" s="257"/>
      <c r="V149" s="257">
        <v>199</v>
      </c>
      <c r="W149" s="257"/>
      <c r="X149" s="257"/>
      <c r="Y149" s="257">
        <v>214.26315789473699</v>
      </c>
      <c r="Z149" s="257"/>
      <c r="AA149" s="257">
        <f t="shared" si="14"/>
        <v>253.81481481481481</v>
      </c>
      <c r="AB149" s="179" t="e">
        <f ca="1">IF(_xll.EVGET($B$1,$B$3,$B$5,$B$6,$B$7,$B$9,AA$16,AA$17,AA$18,$G149)="#NODATA","",_xll.EVGET($B$1,$B$3,$B$5,$B$6,$B$7,$B$9,AA$16,AA$17,AA$18,$G149))</f>
        <v>#NAME?</v>
      </c>
      <c r="AD149" s="95">
        <v>287.42105263157902</v>
      </c>
      <c r="AE149" s="179" t="e">
        <f ca="1">IF(_xll.EVGET($B$1,$B$3,$B$5,$B$6,$B$7,$B$9,AD$16,AD$17,AD$18,$G149)="#NODATA","",_xll.EVGET($B$1,$B$3,$B$5,$B$6,$B$7,$B$9,AD$16,AD$17,AD$18,$G149))</f>
        <v>#NAME?</v>
      </c>
      <c r="AF149" s="96">
        <f t="shared" si="15"/>
        <v>-33.606237816764207</v>
      </c>
      <c r="AG149" s="95">
        <v>258.258148148148</v>
      </c>
      <c r="AH149" s="179" t="e">
        <f ca="1">IF(_xll.EVGET($B$1,$B$3,$B$5,$B$6,$B$7,$B$9,AG$16,AG$17,AG$18,$G149)="#NODATA","",_xll.EVGET($B$1,$B$3,$B$5,$B$6,$B$7,$B$9,AG$16,AG$17,AG$18,$G149))</f>
        <v>#NAME?</v>
      </c>
      <c r="AI149" s="277">
        <f t="shared" si="16"/>
        <v>-4.4433333333331859</v>
      </c>
    </row>
    <row r="150" spans="7:35" x14ac:dyDescent="0.2">
      <c r="G150" s="65" t="str">
        <f t="shared" si="13"/>
        <v>OCC_GROP</v>
      </c>
      <c r="H150" s="10" t="s">
        <v>178</v>
      </c>
      <c r="I150" s="26" t="e">
        <f ca="1">_xll.EVPRO($B$1,$H150,"STYLE")</f>
        <v>#NAME?</v>
      </c>
      <c r="J150" s="26" t="e">
        <f ca="1">_xll.EVPRO($B$1,$H150,"CALC")</f>
        <v>#NAME?</v>
      </c>
      <c r="L150" s="23" t="e">
        <f ca="1">_xll.EVPRO($B$1,H150,"JDEID")</f>
        <v>#NAME?</v>
      </c>
      <c r="M150" s="24" t="e">
        <f ca="1">IF(AND(I150="N",J150="N"),_xll.EVPRO($B$1,H150,"PSFTID"),"")</f>
        <v>#NAME?</v>
      </c>
      <c r="N150" s="23" t="e">
        <f ca="1">IF(_xll.EVDES(H150,$B$1)="#NODATA","",_xll.EVDES(H150,$B$1))</f>
        <v>#NAME?</v>
      </c>
      <c r="O150" s="141">
        <v>294.64096491228099</v>
      </c>
      <c r="P150" s="258">
        <v>322.48289276807998</v>
      </c>
      <c r="Q150" s="258">
        <v>310.56862857142897</v>
      </c>
      <c r="R150" s="258">
        <v>274.87255639097702</v>
      </c>
      <c r="S150" s="258">
        <v>390.037601156069</v>
      </c>
      <c r="T150" s="258">
        <v>165.251642710472</v>
      </c>
      <c r="U150" s="258">
        <v>285.29883116883099</v>
      </c>
      <c r="V150" s="258">
        <v>162.92666666666699</v>
      </c>
      <c r="W150" s="258">
        <v>211.69128787878799</v>
      </c>
      <c r="X150" s="258">
        <v>191.14606741572999</v>
      </c>
      <c r="Y150" s="258">
        <v>204.67323943662001</v>
      </c>
      <c r="Z150" s="258">
        <v>278.99696969696998</v>
      </c>
      <c r="AA150" s="258">
        <f t="shared" si="14"/>
        <v>262.79439374185142</v>
      </c>
      <c r="AB150" s="178" t="e">
        <f ca="1">IF(_xll.EVGET($B$1,$B$3,$B$5,$B$6,$B$7,$B$9,AA$16,AA$17,AA$18,$G150)="#NODATA","",_xll.EVGET($B$1,$B$3,$B$5,$B$6,$B$7,$B$9,AA$16,AA$17,AA$18,$G150))</f>
        <v>#NAME?</v>
      </c>
      <c r="AD150" s="141">
        <v>274.60279983284602</v>
      </c>
      <c r="AE150" s="178" t="e">
        <f ca="1">IF(_xll.EVGET($B$1,$B$3,$B$5,$B$6,$B$7,$B$9,AD$16,AD$17,AD$18,$G150)="#NODATA","",_xll.EVGET($B$1,$B$3,$B$5,$B$6,$B$7,$B$9,AD$16,AD$17,AD$18,$G150))</f>
        <v>#NAME?</v>
      </c>
      <c r="AF150" s="142">
        <f t="shared" si="15"/>
        <v>-11.808406090994595</v>
      </c>
      <c r="AG150" s="141">
        <v>288.10788979788299</v>
      </c>
      <c r="AH150" s="178" t="e">
        <f ca="1">IF(_xll.EVGET($B$1,$B$3,$B$5,$B$6,$B$7,$B$9,AG$16,AG$17,AG$18,$G150)="#NODATA","",_xll.EVGET($B$1,$B$3,$B$5,$B$6,$B$7,$B$9,AG$16,AG$17,AG$18,$G150))</f>
        <v>#NAME?</v>
      </c>
      <c r="AI150" s="278">
        <f t="shared" si="16"/>
        <v>-25.313496056031568</v>
      </c>
    </row>
    <row r="151" spans="7:35" x14ac:dyDescent="0.2">
      <c r="G151" s="72" t="str">
        <f t="shared" si="13"/>
        <v>OCC_CONT</v>
      </c>
      <c r="H151" s="10" t="s">
        <v>210</v>
      </c>
      <c r="I151" s="24" t="e">
        <f ca="1">_xll.EVPRO($B$1,$H151,"STYLE")</f>
        <v>#NAME?</v>
      </c>
      <c r="J151" s="24" t="e">
        <f ca="1">_xll.EVPRO($B$1,$H151,"CALC")</f>
        <v>#NAME?</v>
      </c>
      <c r="L151" s="24" t="e">
        <f ca="1">_xll.EVPRO($B$1,H151,"JDEID")</f>
        <v>#NAME?</v>
      </c>
      <c r="M151" s="24" t="e">
        <f ca="1">IF(AND(I151="N",J151="N"),_xll.EVPRO($B$1,H151,"PSFTID"),"")</f>
        <v>#NAME?</v>
      </c>
      <c r="N151" s="24" t="e">
        <f ca="1">IF(_xll.EVDES(H151,$B$1)="#NODATA","",_xll.EVDES(H151,$B$1))</f>
        <v>#NAME?</v>
      </c>
      <c r="O151" s="186"/>
      <c r="P151" s="260"/>
      <c r="Q151" s="260"/>
      <c r="R151" s="260"/>
      <c r="S151" s="260"/>
      <c r="T151" s="260"/>
      <c r="U151" s="260"/>
      <c r="V151" s="260"/>
      <c r="W151" s="260"/>
      <c r="X151" s="260"/>
      <c r="Y151" s="260"/>
      <c r="Z151" s="260"/>
      <c r="AA151" s="260"/>
      <c r="AB151" s="187" t="e">
        <f ca="1">IF(_xll.EVGET($B$1,$B$3,$B$5,$B$6,$B$7,$B$9,AA$16,AA$17,AA$18,$G151)="#NODATA","",_xll.EVGET($B$1,$B$3,$B$5,$B$6,$B$7,$B$9,AA$16,AA$17,AA$18,$G151))</f>
        <v>#NAME?</v>
      </c>
      <c r="AD151" s="186"/>
      <c r="AE151" s="187" t="e">
        <f ca="1">IF(_xll.EVGET($B$1,$B$3,$B$5,$B$6,$B$7,$B$9,AD$16,AD$17,AD$18,$G151)="#NODATA","",_xll.EVGET($B$1,$B$3,$B$5,$B$6,$B$7,$B$9,AD$16,AD$17,AD$18,$G151))</f>
        <v>#NAME?</v>
      </c>
      <c r="AF151" s="188" t="str">
        <f t="shared" si="15"/>
        <v/>
      </c>
      <c r="AG151" s="186"/>
      <c r="AH151" s="187" t="e">
        <f ca="1">IF(_xll.EVGET($B$1,$B$3,$B$5,$B$6,$B$7,$B$9,AG$16,AG$17,AG$18,$G151)="#NODATA","",_xll.EVGET($B$1,$B$3,$B$5,$B$6,$B$7,$B$9,AG$16,AG$17,AG$18,$G151))</f>
        <v>#NAME?</v>
      </c>
      <c r="AI151" s="280" t="str">
        <f t="shared" si="16"/>
        <v/>
      </c>
    </row>
    <row r="152" spans="7:35" x14ac:dyDescent="0.2">
      <c r="G152" s="65" t="s">
        <v>495</v>
      </c>
      <c r="H152" s="10" t="s">
        <v>208</v>
      </c>
      <c r="I152" s="26" t="e">
        <f ca="1">_xll.EVPRO($B$1,$H152,"STYLE")</f>
        <v>#NAME?</v>
      </c>
      <c r="J152" s="26" t="e">
        <f ca="1">_xll.EVPRO($B$1,$H152,"CALC")</f>
        <v>#NAME?</v>
      </c>
      <c r="L152" s="23" t="e">
        <f ca="1">_xll.EVPRO($B$1,H152,"JDEID")</f>
        <v>#NAME?</v>
      </c>
      <c r="M152" s="24" t="e">
        <f ca="1">IF(AND(I152="N",J152="N"),_xll.EVPRO($B$1,H152,"PSFTID"),"")</f>
        <v>#NAME?</v>
      </c>
      <c r="N152" s="23" t="s">
        <v>496</v>
      </c>
      <c r="O152" s="183" t="e">
        <f ca="1">IF(_xll.EVGET($B$1,$B$3,$B$5,$B$6,$B$7,$B$9,O$16,O$17,O$18,$H152)="#NODATA","",_xll.EVGET($B$1,$B$3,$B$5,$B$6,$B$7,$B$9,O$16,O$17,O$18,$H152))</f>
        <v>#NAME?</v>
      </c>
      <c r="P152" s="183" t="e">
        <f ca="1">IF(_xll.EVGET($B$1,$B$3,$B$5,$B$6,$B$7,$B$9,P$16,P$17,P$18,$H152)="#NODATA","",_xll.EVGET($B$1,$B$3,$B$5,$B$6,$B$7,$B$9,P$16,P$17,P$18,$H152))</f>
        <v>#NAME?</v>
      </c>
      <c r="Q152" s="183" t="e">
        <f ca="1">IF(_xll.EVGET($B$1,$B$3,$B$5,$B$6,$B$7,$B$9,Q$16,Q$17,Q$18,$H152)="#NODATA","",_xll.EVGET($B$1,$B$3,$B$5,$B$6,$B$7,$B$9,Q$16,Q$17,Q$18,$H152))</f>
        <v>#NAME?</v>
      </c>
      <c r="R152" s="183" t="e">
        <f ca="1">IF(_xll.EVGET($B$1,$B$3,$B$5,$B$6,$B$7,$B$9,R$16,R$17,R$18,$H152)="#NODATA","",_xll.EVGET($B$1,$B$3,$B$5,$B$6,$B$7,$B$9,R$16,R$17,R$18,$H152))</f>
        <v>#NAME?</v>
      </c>
      <c r="S152" s="183" t="e">
        <f ca="1">IF(_xll.EVGET($B$1,$B$3,$B$5,$B$6,$B$7,$B$9,S$16,S$17,S$18,$H152)="#NODATA","",_xll.EVGET($B$1,$B$3,$B$5,$B$6,$B$7,$B$9,S$16,S$17,S$18,$H152))</f>
        <v>#NAME?</v>
      </c>
      <c r="T152" s="183" t="e">
        <f ca="1">IF(_xll.EVGET($B$1,$B$3,$B$5,$B$6,$B$7,$B$9,T$16,T$17,T$18,$H152)="#NODATA","",_xll.EVGET($B$1,$B$3,$B$5,$B$6,$B$7,$B$9,T$16,T$17,T$18,$H152))</f>
        <v>#NAME?</v>
      </c>
      <c r="U152" s="183" t="e">
        <f ca="1">IF(_xll.EVGET($B$1,$B$3,$B$5,$B$6,$B$7,$B$9,U$16,U$17,U$18,$H152)="#NODATA","",_xll.EVGET($B$1,$B$3,$B$5,$B$6,$B$7,$B$9,U$16,U$17,U$18,$H152))</f>
        <v>#NAME?</v>
      </c>
      <c r="V152" s="183" t="e">
        <f ca="1">IF(_xll.EVGET($B$1,$B$3,$B$5,$B$6,$B$7,$B$9,V$16,V$17,V$18,$H152)="#NODATA","",_xll.EVGET($B$1,$B$3,$B$5,$B$6,$B$7,$B$9,V$16,V$17,V$18,$H152))</f>
        <v>#NAME?</v>
      </c>
      <c r="W152" s="183" t="e">
        <f ca="1">IF(_xll.EVGET($B$1,$B$3,$B$5,$B$6,$B$7,$B$9,W$16,W$17,W$18,$H152)="#NODATA","",_xll.EVGET($B$1,$B$3,$B$5,$B$6,$B$7,$B$9,W$16,W$17,W$18,$H152))</f>
        <v>#NAME?</v>
      </c>
      <c r="X152" s="183" t="e">
        <f ca="1">IF(_xll.EVGET($B$1,$B$3,$B$5,$B$6,$B$7,$B$9,X$16,X$17,X$18,$H152)="#NODATA","",_xll.EVGET($B$1,$B$3,$B$5,$B$6,$B$7,$B$9,X$16,X$17,X$18,$H152))</f>
        <v>#NAME?</v>
      </c>
      <c r="Y152" s="183" t="e">
        <f ca="1">IF(_xll.EVGET($B$1,$B$3,$B$5,$B$6,$B$7,$B$9,Y$16,Y$17,Y$18,$H152)="#NODATA","",_xll.EVGET($B$1,$B$3,$B$5,$B$6,$B$7,$B$9,Y$16,Y$17,Y$18,$H152))</f>
        <v>#NAME?</v>
      </c>
      <c r="Z152" s="183" t="e">
        <f ca="1">IF(_xll.EVGET($B$1,$B$3,$B$5,$B$6,$B$7,$B$9,Z$16,Z$17,Z$18,$H152)="#NODATA","",_xll.EVGET($B$1,$B$3,$B$5,$B$6,$B$7,$B$9,Z$16,Z$17,Z$18,$H152))</f>
        <v>#NAME?</v>
      </c>
      <c r="AA152" s="183" t="e">
        <f ca="1">IF(_xll.EVGET($B$1,$B$3,$B$5,$B$6,$B$7,$B$9,AA$16,AA$17,AA$18,$H152)="#NODATA","",_xll.EVGET($B$1,$B$3,$B$5,$B$6,$B$7,$B$9,AA$16,AA$17,AA$18,$H152))</f>
        <v>#NAME?</v>
      </c>
      <c r="AB152" s="184" t="e">
        <f ca="1">IF(_xll.EVGET($B$1,$B$3,$B$5,$B$6,$B$7,$B$9,AA$16,AA$17,AA$18,$G152)="#NODATA","",_xll.EVGET($B$1,$B$3,$B$5,$B$6,$B$7,$B$9,AA$16,AA$17,AA$18,$G152))</f>
        <v>#NAME?</v>
      </c>
      <c r="AD152" s="183" t="e">
        <f ca="1">IF(_xll.EVGET($B$1,$B$3,$B$5,$B$6,$B$7,$B$9,AD$16,AD$17,AD$18,$H152)="#NODATA","",_xll.EVGET($B$1,$B$3,$B$5,$B$6,$B$7,$B$9,AD$16,AD$17,AD$18,$H152))</f>
        <v>#NAME?</v>
      </c>
      <c r="AE152" s="184" t="e">
        <f ca="1">IF(_xll.EVGET($B$1,$B$3,$B$5,$B$6,$B$7,$B$9,AD$16,AD$17,AD$18,$G152)="#NODATA","",_xll.EVGET($B$1,$B$3,$B$5,$B$6,$B$7,$B$9,AD$16,AD$17,AD$18,$G152))</f>
        <v>#NAME?</v>
      </c>
      <c r="AF152" s="185" t="e">
        <f t="shared" ref="AF152" ca="1" si="17">IF(AND($AA152="",AD152=""),"",$AA152-AD152)</f>
        <v>#NAME?</v>
      </c>
      <c r="AG152" s="183" t="e">
        <f ca="1">IF(_xll.EVGET($B$1,$B$3,$B$5,$B$6,$B$7,$B$9,AG$16,AG$17,AG$18,$H152)="#NODATA","",_xll.EVGET($B$1,$B$3,$B$5,$B$6,$B$7,$B$9,AG$16,AG$17,AG$18,$H152))</f>
        <v>#NAME?</v>
      </c>
      <c r="AH152" s="184" t="e">
        <f ca="1">IF(_xll.EVGET($B$1,$B$3,$B$5,$B$6,$B$7,$B$9,AG$16,AG$17,AG$18,$G152)="#NODATA","",_xll.EVGET($B$1,$B$3,$B$5,$B$6,$B$7,$B$9,AG$16,AG$17,AG$18,$G152))</f>
        <v>#NAME?</v>
      </c>
      <c r="AI152" s="185" t="e">
        <f t="shared" ca="1" si="16"/>
        <v>#NAME?</v>
      </c>
    </row>
    <row r="154" spans="7:35" x14ac:dyDescent="0.2">
      <c r="I154" s="1"/>
      <c r="J154" s="1"/>
      <c r="N154" s="24" t="str">
        <f>N152&amp;" - Check"</f>
        <v>Total ADR/ OCC% - Check</v>
      </c>
      <c r="O154" s="107">
        <f>IFERROR(O69/O105,0)</f>
        <v>287.56397372742202</v>
      </c>
      <c r="P154" s="107">
        <f t="shared" ref="P154:Z154" si="18">IFERROR(P69/P105,0)</f>
        <v>351.08144784931119</v>
      </c>
      <c r="Q154" s="107">
        <f t="shared" si="18"/>
        <v>312.21692327972585</v>
      </c>
      <c r="R154" s="107">
        <f t="shared" si="18"/>
        <v>258.44728331527625</v>
      </c>
      <c r="S154" s="107">
        <f t="shared" si="18"/>
        <v>223.86148372227024</v>
      </c>
      <c r="T154" s="107">
        <f t="shared" si="18"/>
        <v>171.17366215344938</v>
      </c>
      <c r="U154" s="107">
        <f t="shared" si="18"/>
        <v>179.42682692307693</v>
      </c>
      <c r="V154" s="107">
        <f t="shared" si="18"/>
        <v>158.69500330033003</v>
      </c>
      <c r="W154" s="107">
        <f t="shared" si="18"/>
        <v>160.40218285714286</v>
      </c>
      <c r="X154" s="107">
        <f t="shared" si="18"/>
        <v>192.31699653324927</v>
      </c>
      <c r="Y154" s="107">
        <f t="shared" si="18"/>
        <v>197.74152730375425</v>
      </c>
      <c r="Z154" s="107">
        <f t="shared" si="18"/>
        <v>278.76676126878129</v>
      </c>
      <c r="AA154" s="107">
        <f>IFERROR(AA69/AA105,0)</f>
        <v>236.09395669144521</v>
      </c>
      <c r="AB154" s="182">
        <f>IFERROR(AA105/AA109,0)</f>
        <v>0.83256747805928133</v>
      </c>
      <c r="AD154" s="107">
        <f>IFERROR(AD69/AD105,0)</f>
        <v>248.20590639059432</v>
      </c>
      <c r="AE154" s="182">
        <f>IFERROR(AD105/AD109,0)</f>
        <v>0.83273306838880612</v>
      </c>
      <c r="AF154" s="19"/>
      <c r="AG154" s="107">
        <f>IFERROR(AG69/AG105,0)</f>
        <v>247.07762318621525</v>
      </c>
      <c r="AH154" s="182">
        <f>IFERROR(AG105/AG109,0)</f>
        <v>0.82391033623910337</v>
      </c>
      <c r="AI154" s="19"/>
    </row>
  </sheetData>
  <mergeCells count="2">
    <mergeCell ref="AD31:AE31"/>
    <mergeCell ref="AG31:AH31"/>
  </mergeCells>
  <conditionalFormatting sqref="AF34:AF69 AI34:AI69 AF72:AF116 AI72:AI116">
    <cfRule type="expression" dxfId="182" priority="12">
      <formula>AF$32="Variance"</formula>
    </cfRule>
  </conditionalFormatting>
  <conditionalFormatting sqref="AF119:AF152">
    <cfRule type="expression" dxfId="181" priority="4">
      <formula>AF$32="Variance"</formula>
    </cfRule>
  </conditionalFormatting>
  <conditionalFormatting sqref="AI119:AI152">
    <cfRule type="expression" dxfId="180" priority="3">
      <formula>AI$32="Variance"</formula>
    </cfRule>
  </conditionalFormatting>
  <pageMargins left="0.25" right="0.25" top="0.5" bottom="0.5" header="0.3" footer="0.3"/>
  <pageSetup scale="50" fitToHeight="0" orientation="landscape" r:id="rId1"/>
  <headerFooter>
    <oddFooter>&amp;L&amp;F&amp;C&amp;P of &amp;N&amp;R&amp;D</oddFooter>
  </headerFooter>
  <rowBreaks count="2" manualBreakCount="2">
    <brk id="70" min="13" max="30" man="1"/>
    <brk id="117" min="13" max="30" man="1"/>
  </rowBreaks>
  <customProperties>
    <customPr name="EpmWorksheetKeyString_GUID" r:id="rId2"/>
    <customPr name="FPMExcelClientCellBasedFunctionStatus" r:id="rId3"/>
    <customPr name="FPMExcelClientRefreshTime" r:id="rId4"/>
  </customPropertie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7">
    <tabColor theme="5" tint="0.39997558519241921"/>
    <pageSetUpPr fitToPage="1"/>
  </sheetPr>
  <dimension ref="A1:AI15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 hidden="1" customWidth="1" outlineLevel="1" collapsed="1"/>
    <col min="13" max="13" width="9.6640625" style="1" hidden="1" customWidth="1" outlineLevel="1"/>
    <col min="14" max="14" width="35.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16384" width="9.1640625" style="1"/>
  </cols>
  <sheetData>
    <row r="1" spans="1:35" hidden="1" outlineLevel="1" x14ac:dyDescent="0.2">
      <c r="A1" s="8" t="s">
        <v>48</v>
      </c>
      <c r="B1" s="2" t="s">
        <v>49</v>
      </c>
      <c r="C1" s="8" t="s">
        <v>980</v>
      </c>
      <c r="I1" s="1"/>
      <c r="J1" s="1"/>
    </row>
    <row r="2" spans="1:35" hidden="1" outlineLevel="1" x14ac:dyDescent="0.2">
      <c r="A2" s="8" t="s">
        <v>22</v>
      </c>
      <c r="B2" s="12" t="s">
        <v>56</v>
      </c>
      <c r="C2" s="1" t="s">
        <v>981</v>
      </c>
      <c r="I2" s="1"/>
      <c r="J2" s="1"/>
    </row>
    <row r="3" spans="1:35" hidden="1" outlineLevel="1" x14ac:dyDescent="0.2">
      <c r="A3" s="8" t="s">
        <v>50</v>
      </c>
      <c r="B3" s="9" t="s">
        <v>979</v>
      </c>
      <c r="C3" s="1" t="s">
        <v>982</v>
      </c>
      <c r="I3" s="1"/>
      <c r="J3" s="1"/>
    </row>
    <row r="4" spans="1:35" hidden="1" outlineLevel="1" x14ac:dyDescent="0.2">
      <c r="A4" s="8" t="s">
        <v>19</v>
      </c>
      <c r="B4" s="9" t="str">
        <f>SetUp!$D$6</f>
        <v>CURRENT</v>
      </c>
      <c r="C4" s="1" t="s">
        <v>960</v>
      </c>
      <c r="E4" s="46">
        <v>20250100</v>
      </c>
      <c r="F4" s="46">
        <v>20250100</v>
      </c>
      <c r="L4" s="11"/>
      <c r="M4" s="11"/>
    </row>
    <row r="5" spans="1:35" hidden="1" outlineLevel="1" x14ac:dyDescent="0.2">
      <c r="A5" s="8" t="s">
        <v>51</v>
      </c>
      <c r="B5" s="12" t="s">
        <v>59</v>
      </c>
      <c r="C5" s="1" t="s">
        <v>59</v>
      </c>
      <c r="L5" s="11"/>
      <c r="M5" s="11"/>
    </row>
    <row r="6" spans="1:35" hidden="1" outlineLevel="1" x14ac:dyDescent="0.2">
      <c r="A6" s="8" t="s">
        <v>52</v>
      </c>
      <c r="B6" s="12" t="s">
        <v>60</v>
      </c>
      <c r="C6" s="1" t="s">
        <v>1014</v>
      </c>
      <c r="E6" s="46" t="s">
        <v>749</v>
      </c>
      <c r="F6" s="1" t="s">
        <v>278</v>
      </c>
      <c r="L6" s="11"/>
      <c r="M6" s="11"/>
    </row>
    <row r="7" spans="1:35" hidden="1" outlineLevel="1" x14ac:dyDescent="0.2">
      <c r="A7" s="8" t="s">
        <v>53</v>
      </c>
      <c r="B7" s="12" t="s">
        <v>61</v>
      </c>
      <c r="C7" s="1" t="s">
        <v>984</v>
      </c>
      <c r="L7" s="11"/>
      <c r="M7" s="11"/>
    </row>
    <row r="8" spans="1:35" hidden="1" outlineLevel="1" x14ac:dyDescent="0.2">
      <c r="A8" s="8" t="s">
        <v>20</v>
      </c>
      <c r="B8" s="12" t="s">
        <v>63</v>
      </c>
      <c r="C8" s="1" t="s">
        <v>985</v>
      </c>
      <c r="L8" s="11"/>
      <c r="M8" s="11"/>
    </row>
    <row r="9" spans="1:35" hidden="1" outlineLevel="1" x14ac:dyDescent="0.2">
      <c r="A9" s="8" t="s">
        <v>54</v>
      </c>
      <c r="B9" s="9" t="str">
        <f>SetUp!$D$10</f>
        <v>LC</v>
      </c>
      <c r="C9" s="1" t="s">
        <v>986</v>
      </c>
      <c r="L9" s="11"/>
      <c r="M9" s="11"/>
    </row>
    <row r="10" spans="1:35" hidden="1" outlineLevel="1" x14ac:dyDescent="0.2">
      <c r="A10" s="8" t="s">
        <v>18</v>
      </c>
      <c r="B10" s="9" t="str">
        <f>SetUp!$D$7</f>
        <v>2024.TOTAL</v>
      </c>
      <c r="C10" s="1" t="s">
        <v>987</v>
      </c>
      <c r="D10" s="212" t="s">
        <v>988</v>
      </c>
      <c r="L10" s="11"/>
      <c r="M10" s="11"/>
    </row>
    <row r="11" spans="1:35" hidden="1" outlineLevel="1" x14ac:dyDescent="0.2">
      <c r="B11" s="8"/>
      <c r="L11" s="11"/>
      <c r="M11" s="46" t="str">
        <f>IF(LEFT(SetUp!$D$6,3)="ALT","Y","N")</f>
        <v>N</v>
      </c>
      <c r="N11" s="1" t="s">
        <v>800</v>
      </c>
      <c r="O11" s="2" t="s">
        <v>682</v>
      </c>
      <c r="P11" s="2" t="s">
        <v>682</v>
      </c>
      <c r="Q11" s="2" t="s">
        <v>682</v>
      </c>
      <c r="R11" s="2" t="s">
        <v>682</v>
      </c>
      <c r="S11" s="2" t="s">
        <v>682</v>
      </c>
      <c r="T11" s="2" t="s">
        <v>682</v>
      </c>
      <c r="U11" s="2" t="s">
        <v>682</v>
      </c>
      <c r="V11" s="2" t="s">
        <v>682</v>
      </c>
      <c r="W11" s="2" t="s">
        <v>682</v>
      </c>
      <c r="X11" s="2" t="s">
        <v>682</v>
      </c>
      <c r="Y11" s="2" t="s">
        <v>682</v>
      </c>
      <c r="Z11" s="2" t="s">
        <v>682</v>
      </c>
    </row>
    <row r="12" spans="1:35" hidden="1" outlineLevel="1" x14ac:dyDescent="0.2">
      <c r="A12" s="1" t="s">
        <v>115</v>
      </c>
      <c r="B12" s="46">
        <v>2024</v>
      </c>
      <c r="L12" s="11"/>
      <c r="M12" s="11"/>
      <c r="N12" s="1" t="s">
        <v>597</v>
      </c>
      <c r="O12" s="213" t="s">
        <v>78</v>
      </c>
      <c r="P12" s="213" t="s">
        <v>78</v>
      </c>
      <c r="Q12" s="213" t="s">
        <v>78</v>
      </c>
      <c r="R12" s="213" t="s">
        <v>78</v>
      </c>
      <c r="S12" s="213" t="s">
        <v>78</v>
      </c>
      <c r="T12" s="213" t="s">
        <v>78</v>
      </c>
      <c r="U12" s="213" t="s">
        <v>78</v>
      </c>
      <c r="V12" s="213" t="s">
        <v>78</v>
      </c>
      <c r="W12" s="213" t="s">
        <v>78</v>
      </c>
      <c r="X12" s="213" t="s">
        <v>78</v>
      </c>
      <c r="Y12" s="213" t="s">
        <v>78</v>
      </c>
      <c r="Z12" s="213" t="s">
        <v>78</v>
      </c>
      <c r="AA12" s="213"/>
      <c r="AD12" s="213"/>
      <c r="AG12" s="213"/>
    </row>
    <row r="13" spans="1:35" hidden="1" outlineLevel="1" x14ac:dyDescent="0.2">
      <c r="A13" s="1" t="s">
        <v>602</v>
      </c>
      <c r="B13" s="46">
        <v>2024</v>
      </c>
      <c r="L13" s="11"/>
      <c r="M13" s="11"/>
      <c r="N13" s="1" t="s">
        <v>598</v>
      </c>
      <c r="O13" s="53">
        <v>20240100</v>
      </c>
      <c r="P13" s="53">
        <v>20240200</v>
      </c>
      <c r="Q13" s="53">
        <v>20240300</v>
      </c>
      <c r="R13" s="53">
        <v>20240400</v>
      </c>
      <c r="S13" s="53">
        <v>20240500</v>
      </c>
      <c r="T13" s="53">
        <v>20240600</v>
      </c>
      <c r="U13" s="53">
        <v>20240700</v>
      </c>
      <c r="V13" s="53">
        <v>20240800</v>
      </c>
      <c r="W13" s="53">
        <v>20240900</v>
      </c>
      <c r="X13" s="53">
        <v>20241000</v>
      </c>
      <c r="Y13" s="53">
        <v>20241100</v>
      </c>
      <c r="Z13" s="53">
        <v>20241200</v>
      </c>
      <c r="AA13" s="53">
        <v>10000193</v>
      </c>
      <c r="AD13" s="53">
        <v>10000193</v>
      </c>
      <c r="AG13" s="53">
        <v>10000183</v>
      </c>
    </row>
    <row r="14" spans="1:35" hidden="1" outlineLevel="1" x14ac:dyDescent="0.2">
      <c r="A14" s="4" t="s">
        <v>989</v>
      </c>
      <c r="B14" s="8" t="s">
        <v>361</v>
      </c>
      <c r="C14" s="92"/>
      <c r="L14" s="11"/>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L15" s="11"/>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L16" s="11"/>
      <c r="M16" s="11"/>
      <c r="N16" s="1" t="s">
        <v>18</v>
      </c>
      <c r="O16" s="2" t="s">
        <v>990</v>
      </c>
      <c r="P16" s="2" t="s">
        <v>991</v>
      </c>
      <c r="Q16" s="2" t="s">
        <v>992</v>
      </c>
      <c r="R16" s="2" t="s">
        <v>993</v>
      </c>
      <c r="S16" s="2" t="s">
        <v>994</v>
      </c>
      <c r="T16" s="2" t="s">
        <v>995</v>
      </c>
      <c r="U16" s="2" t="s">
        <v>996</v>
      </c>
      <c r="V16" s="2" t="s">
        <v>997</v>
      </c>
      <c r="W16" s="2" t="s">
        <v>998</v>
      </c>
      <c r="X16" s="2" t="s">
        <v>999</v>
      </c>
      <c r="Y16" s="2" t="s">
        <v>1000</v>
      </c>
      <c r="Z16" s="2" t="str">
        <f>IF(SetUp!$O$1=TRUE,SetUp!$Q$6,IF($D$10="FY",LEFT($B$10,6)&amp;"."&amp;Z15,$B$12&amp;"."&amp;Z14))</f>
        <v>2024.DEC</v>
      </c>
      <c r="AA16" s="2" t="str">
        <f>IF($D$10="FY",LEFT($B$10,6)&amp;"."&amp;AA15,$B$12&amp;"."&amp;AA14)</f>
        <v>2024.TOTAL</v>
      </c>
      <c r="AB16" s="10"/>
      <c r="AC16" s="10"/>
      <c r="AD16" s="2" t="str">
        <f>IF(SetUp!$O$1=TRUE,SetUp!$Q$6,SetUp!$G$7)</f>
        <v>2024.TOTAL</v>
      </c>
      <c r="AE16" s="10"/>
      <c r="AF16" s="10"/>
      <c r="AG16" s="2" t="s">
        <v>955</v>
      </c>
      <c r="AH16" s="10"/>
      <c r="AI16" s="10"/>
    </row>
    <row r="17" spans="1:35" hidden="1" outlineLevel="1" x14ac:dyDescent="0.2">
      <c r="A17" s="6" t="s">
        <v>2</v>
      </c>
      <c r="B17" s="14" t="s">
        <v>1114</v>
      </c>
      <c r="L17" s="11"/>
      <c r="M17" s="11"/>
      <c r="N17" s="1" t="s">
        <v>19</v>
      </c>
      <c r="O17" s="2" t="s">
        <v>682</v>
      </c>
      <c r="P17" s="2" t="s">
        <v>682</v>
      </c>
      <c r="Q17" s="2" t="s">
        <v>682</v>
      </c>
      <c r="R17" s="2" t="s">
        <v>682</v>
      </c>
      <c r="S17" s="2" t="s">
        <v>682</v>
      </c>
      <c r="T17" s="2" t="s">
        <v>682</v>
      </c>
      <c r="U17" s="2" t="s">
        <v>682</v>
      </c>
      <c r="V17" s="2" t="s">
        <v>682</v>
      </c>
      <c r="W17" s="2" t="s">
        <v>682</v>
      </c>
      <c r="X17" s="2" t="s">
        <v>682</v>
      </c>
      <c r="Y17" s="2" t="s">
        <v>682</v>
      </c>
      <c r="Z17" s="2" t="s">
        <v>682</v>
      </c>
      <c r="AA17" s="2" t="str">
        <f>Z17</f>
        <v>ACTUAL_CON</v>
      </c>
      <c r="AB17" s="10"/>
      <c r="AC17" s="10"/>
      <c r="AD17" s="2" t="str">
        <f>SetUp!$G$6</f>
        <v>BUDGET</v>
      </c>
      <c r="AE17" s="10"/>
      <c r="AF17" s="10"/>
      <c r="AG17" s="2" t="str">
        <f>SetUp!$J$6</f>
        <v>ACTUAL_CON</v>
      </c>
      <c r="AH17" s="10"/>
      <c r="AI17" s="10"/>
    </row>
    <row r="18" spans="1:35" hidden="1" outlineLevel="1" x14ac:dyDescent="0.2">
      <c r="A18" s="6" t="s">
        <v>3</v>
      </c>
      <c r="B18" s="14" t="s">
        <v>1115</v>
      </c>
      <c r="L18" s="11"/>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2" t="str">
        <f>IF(SetUp!$O$1=TRUE,"TRAILING12",IF(AA17="CURRENT","ROLLINGFORECAST","PERIODIC"))</f>
        <v>PERIODIC</v>
      </c>
      <c r="AB18" s="10"/>
      <c r="AC18" s="10"/>
      <c r="AD18" s="2" t="str">
        <f>IF(SetUp!$O$1=TRUE,"TRAILING12",IF(AD17="CURRENT","ROLLINGFORECAST","PERIODIC"))</f>
        <v>PERIODIC</v>
      </c>
      <c r="AE18" s="10"/>
      <c r="AF18" s="10"/>
      <c r="AG18" s="2" t="str">
        <f>IF(SetUp!$O$1=TRUE,"TRAILING12",IF(AG17="CURRENT","ROLLINGFORECAST","PERIODIC"))</f>
        <v>PERIODIC</v>
      </c>
      <c r="AH18" s="10"/>
      <c r="AI18" s="10"/>
    </row>
    <row r="19" spans="1:35" hidden="1" outlineLevel="1" x14ac:dyDescent="0.2">
      <c r="A19" s="6" t="s">
        <v>4</v>
      </c>
      <c r="B19" s="14" t="s">
        <v>1116</v>
      </c>
      <c r="G19" s="16" t="str">
        <f>$B$6</f>
        <v>D_ROOMS_CON</v>
      </c>
      <c r="H19" s="16">
        <v>400000</v>
      </c>
      <c r="I19" s="17"/>
      <c r="J19" s="17"/>
      <c r="K19" s="16"/>
      <c r="L19" s="16"/>
      <c r="M19" s="16"/>
      <c r="N19" s="16" t="s">
        <v>1001</v>
      </c>
      <c r="O19" s="18">
        <v>1050758.76</v>
      </c>
      <c r="P19" s="18">
        <v>1248796.71</v>
      </c>
      <c r="Q19" s="18">
        <v>1184238.79</v>
      </c>
      <c r="R19" s="18">
        <v>954187.37</v>
      </c>
      <c r="S19" s="18">
        <v>777023.21</v>
      </c>
      <c r="T19" s="18">
        <v>530980.69999999995</v>
      </c>
      <c r="U19" s="18">
        <v>541151.31000000006</v>
      </c>
      <c r="V19" s="18">
        <v>480845.86</v>
      </c>
      <c r="W19" s="18">
        <v>421055.73</v>
      </c>
      <c r="X19" s="18">
        <v>610221.82999999996</v>
      </c>
      <c r="Y19" s="18">
        <v>695259.21</v>
      </c>
      <c r="Z19" s="18">
        <v>1001887.74</v>
      </c>
      <c r="AA19" s="18">
        <f>SUM(O19:Z19)</f>
        <v>9496407.2200000007</v>
      </c>
      <c r="AB19" s="16"/>
      <c r="AC19" s="16"/>
      <c r="AD19" s="18">
        <v>9985571.8200000003</v>
      </c>
      <c r="AE19" s="16"/>
      <c r="AF19" s="16"/>
      <c r="AG19" s="18">
        <v>9807993.3300000001</v>
      </c>
      <c r="AH19" s="16"/>
      <c r="AI19" s="16"/>
    </row>
    <row r="20" spans="1:35" hidden="1" outlineLevel="1" x14ac:dyDescent="0.2">
      <c r="A20" s="6" t="s">
        <v>5</v>
      </c>
      <c r="B20" s="7"/>
      <c r="G20" s="16" t="str">
        <f>$B$6</f>
        <v>D_ROOMS_CON</v>
      </c>
      <c r="H20" s="16">
        <v>900200</v>
      </c>
      <c r="I20" s="17"/>
      <c r="J20" s="17"/>
      <c r="K20" s="16"/>
      <c r="L20" s="16"/>
      <c r="M20" s="16"/>
      <c r="N20" s="16" t="s">
        <v>1047</v>
      </c>
      <c r="O20" s="18">
        <v>3694</v>
      </c>
      <c r="P20" s="18">
        <v>3593</v>
      </c>
      <c r="Q20" s="18">
        <v>3831</v>
      </c>
      <c r="R20" s="18">
        <v>3720</v>
      </c>
      <c r="S20" s="18">
        <v>3473</v>
      </c>
      <c r="T20" s="18">
        <v>3105</v>
      </c>
      <c r="U20" s="18">
        <v>3034</v>
      </c>
      <c r="V20" s="18">
        <v>3033</v>
      </c>
      <c r="W20" s="18">
        <v>2632</v>
      </c>
      <c r="X20" s="18">
        <v>3186</v>
      </c>
      <c r="Y20" s="18">
        <v>3534</v>
      </c>
      <c r="Z20" s="18">
        <v>3635</v>
      </c>
      <c r="AA20" s="18">
        <f>SUM(O20:Z20)</f>
        <v>40470</v>
      </c>
      <c r="AB20" s="16"/>
      <c r="AC20" s="16"/>
      <c r="AD20" s="18">
        <v>40231</v>
      </c>
      <c r="AE20" s="16"/>
      <c r="AF20" s="16"/>
      <c r="AG20" s="18">
        <v>39886</v>
      </c>
      <c r="AH20" s="16"/>
      <c r="AI20" s="16"/>
    </row>
    <row r="21" spans="1:35" hidden="1" outlineLevel="1" x14ac:dyDescent="0.2">
      <c r="A21" s="6" t="s">
        <v>6</v>
      </c>
      <c r="B21" s="7"/>
    </row>
    <row r="22" spans="1:35" hidden="1" outlineLevel="1" x14ac:dyDescent="0.2">
      <c r="A22" s="6" t="s">
        <v>7</v>
      </c>
      <c r="B22" s="7"/>
    </row>
    <row r="23" spans="1:35" hidden="1" outlineLevel="1" x14ac:dyDescent="0.2">
      <c r="A23" s="6" t="s">
        <v>47</v>
      </c>
      <c r="B23" s="14" t="s">
        <v>1117</v>
      </c>
      <c r="K23" s="53"/>
      <c r="L23" s="53"/>
      <c r="M23" s="53"/>
    </row>
    <row r="24" spans="1:35" hidden="1" outlineLevel="1" x14ac:dyDescent="0.2">
      <c r="A24" s="6" t="s">
        <v>8</v>
      </c>
      <c r="B24" s="7"/>
    </row>
    <row r="25" spans="1:35" collapsed="1" x14ac:dyDescent="0.2"/>
    <row r="26" spans="1:35" ht="23" x14ac:dyDescent="0.25">
      <c r="N26" s="61" t="s">
        <v>982</v>
      </c>
    </row>
    <row r="27" spans="1:35" ht="18" x14ac:dyDescent="0.2">
      <c r="A27" s="3" t="s">
        <v>23</v>
      </c>
      <c r="B27" s="5" t="s">
        <v>24</v>
      </c>
      <c r="N27" s="66" t="s">
        <v>1050</v>
      </c>
    </row>
    <row r="28" spans="1:35" ht="16" x14ac:dyDescent="0.2">
      <c r="A28" s="6" t="s">
        <v>25</v>
      </c>
      <c r="B28" s="7"/>
      <c r="N28" s="67" t="s">
        <v>1002</v>
      </c>
    </row>
    <row r="29" spans="1:35" ht="15" customHeight="1" x14ac:dyDescent="0.2">
      <c r="A29" s="6" t="s">
        <v>26</v>
      </c>
      <c r="B29" s="7"/>
      <c r="N29" s="67" t="s">
        <v>986</v>
      </c>
    </row>
    <row r="30" spans="1:35" x14ac:dyDescent="0.2">
      <c r="A30" s="6" t="s">
        <v>27</v>
      </c>
      <c r="B30" s="7"/>
      <c r="O30" s="208"/>
      <c r="P30" s="209"/>
      <c r="Q30" s="209"/>
      <c r="R30" s="209"/>
      <c r="S30" s="209"/>
      <c r="T30" s="209"/>
      <c r="U30" s="209"/>
      <c r="V30" s="209"/>
      <c r="W30" s="209"/>
      <c r="X30" s="209"/>
      <c r="Y30" s="209"/>
      <c r="Z30" s="209"/>
      <c r="AA30" s="209"/>
      <c r="AB30" s="210"/>
      <c r="AD30" s="209"/>
      <c r="AE30" s="209"/>
      <c r="AF30" s="209"/>
      <c r="AG30" s="209"/>
      <c r="AH30" s="209"/>
      <c r="AI30" s="209"/>
    </row>
    <row r="31" spans="1:35" x14ac:dyDescent="0.2">
      <c r="A31" s="6" t="s">
        <v>28</v>
      </c>
      <c r="B31" s="7"/>
      <c r="G31" s="13"/>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tr">
        <f>AA14</f>
        <v>TOTAL</v>
      </c>
      <c r="AB31" s="207"/>
      <c r="AD31" s="540" t="s">
        <v>987</v>
      </c>
      <c r="AE31" s="541"/>
      <c r="AF31" s="211" t="s">
        <v>631</v>
      </c>
      <c r="AG31" s="540" t="s">
        <v>1003</v>
      </c>
      <c r="AH31" s="541"/>
      <c r="AI31" s="211" t="s">
        <v>631</v>
      </c>
    </row>
    <row r="32" spans="1:35" s="232" customFormat="1" ht="30" customHeight="1" x14ac:dyDescent="0.2">
      <c r="A32" s="6" t="s">
        <v>29</v>
      </c>
      <c r="B32" s="7"/>
      <c r="C32" s="1"/>
      <c r="D32" s="1"/>
      <c r="E32" s="1"/>
      <c r="F32" s="1"/>
      <c r="H32" s="233"/>
      <c r="I32" s="234"/>
      <c r="J32" s="234"/>
      <c r="N32" s="318" t="s">
        <v>219</v>
      </c>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c r="AC32" s="1"/>
      <c r="AD32" s="237" t="s">
        <v>959</v>
      </c>
      <c r="AE32" s="238" t="s">
        <v>58</v>
      </c>
      <c r="AF32" s="237" t="s">
        <v>57</v>
      </c>
      <c r="AG32" s="237" t="s">
        <v>957</v>
      </c>
      <c r="AH32" s="238" t="s">
        <v>58</v>
      </c>
      <c r="AI32" s="237" t="s">
        <v>57</v>
      </c>
    </row>
    <row r="33" spans="1:35" x14ac:dyDescent="0.2">
      <c r="A33" s="6" t="s">
        <v>30</v>
      </c>
      <c r="B33" s="7" t="s">
        <v>78</v>
      </c>
      <c r="H33" s="1" t="s">
        <v>69</v>
      </c>
      <c r="I33" s="11" t="s">
        <v>1006</v>
      </c>
      <c r="J33" s="11" t="s">
        <v>78</v>
      </c>
      <c r="L33" s="175" t="s">
        <v>364</v>
      </c>
      <c r="M33" s="175" t="s">
        <v>782</v>
      </c>
      <c r="N33" s="37" t="s">
        <v>1013</v>
      </c>
      <c r="O33" s="38"/>
      <c r="P33" s="42"/>
      <c r="Q33" s="42"/>
      <c r="R33" s="42"/>
      <c r="S33" s="42"/>
      <c r="T33" s="42"/>
      <c r="U33" s="42"/>
      <c r="V33" s="42"/>
      <c r="W33" s="42"/>
      <c r="X33" s="42"/>
      <c r="Y33" s="42"/>
      <c r="Z33" s="42"/>
      <c r="AA33" s="42"/>
      <c r="AB33" s="39"/>
      <c r="AD33" s="38"/>
      <c r="AE33" s="42"/>
      <c r="AF33" s="89"/>
      <c r="AG33" s="38"/>
      <c r="AH33" s="42"/>
      <c r="AI33" s="39"/>
    </row>
    <row r="34" spans="1:35" x14ac:dyDescent="0.2">
      <c r="A34" s="6" t="s">
        <v>31</v>
      </c>
      <c r="B34" s="7" t="s">
        <v>78</v>
      </c>
      <c r="H34" s="10" t="s">
        <v>83</v>
      </c>
      <c r="I34" s="26" t="s">
        <v>1052</v>
      </c>
      <c r="J34" s="26" t="s">
        <v>78</v>
      </c>
      <c r="K34" s="8"/>
      <c r="L34" s="23"/>
      <c r="M34" s="24"/>
      <c r="N34" s="23" t="s">
        <v>1053</v>
      </c>
      <c r="O34" s="73">
        <v>409446.1</v>
      </c>
      <c r="P34" s="246">
        <v>390204.06</v>
      </c>
      <c r="Q34" s="246">
        <v>421716.72</v>
      </c>
      <c r="R34" s="246">
        <v>337486.78</v>
      </c>
      <c r="S34" s="246">
        <v>318803.78999999998</v>
      </c>
      <c r="T34" s="246">
        <v>212201.48</v>
      </c>
      <c r="U34" s="246">
        <v>233844.69</v>
      </c>
      <c r="V34" s="246">
        <v>237097.36</v>
      </c>
      <c r="W34" s="246">
        <v>139558.24</v>
      </c>
      <c r="X34" s="246">
        <v>207462.37</v>
      </c>
      <c r="Y34" s="246">
        <v>244903.15</v>
      </c>
      <c r="Z34" s="246">
        <v>410943.94</v>
      </c>
      <c r="AA34" s="246">
        <f t="shared" ref="AA34:AA52" si="0">SUM(O34:Z34)</f>
        <v>3563668.6799999997</v>
      </c>
      <c r="AB34" s="75">
        <f t="shared" ref="AB34:AB69" si="1">IF(AA34=0,"",IFERROR(AA34/AA$19,""))</f>
        <v>0.37526493940726346</v>
      </c>
      <c r="AD34" s="74">
        <v>3880613.85</v>
      </c>
      <c r="AE34" s="75">
        <f t="shared" ref="AE34:AE69" si="2">IF(AD34=0,"",IFERROR(AD34/AD$19,""))</f>
        <v>0.38862209595524194</v>
      </c>
      <c r="AF34" s="74">
        <f t="shared" ref="AF34:AF69" si="3">IF(AND($AA34="",AD34=""),"",$AA34-AD34)</f>
        <v>-316945.17000000039</v>
      </c>
      <c r="AG34" s="74">
        <v>4000119.86</v>
      </c>
      <c r="AH34" s="75">
        <f t="shared" ref="AH34:AH69" si="4">IF(AG34=0,"",IFERROR(AG34/AG$19,""))</f>
        <v>0.40784284057012099</v>
      </c>
      <c r="AI34" s="266">
        <f t="shared" ref="AI34:AI69" si="5">IF(AND($AA34="",AG34=""),"",$AA34-AG34)</f>
        <v>-436451.18000000017</v>
      </c>
    </row>
    <row r="35" spans="1:35" x14ac:dyDescent="0.2">
      <c r="A35" s="6" t="s">
        <v>32</v>
      </c>
      <c r="B35" s="7"/>
      <c r="H35" s="10" t="s">
        <v>121</v>
      </c>
      <c r="I35" s="24" t="s">
        <v>1118</v>
      </c>
      <c r="J35" s="24" t="s">
        <v>78</v>
      </c>
      <c r="K35" s="24"/>
      <c r="L35" s="24">
        <v>402100</v>
      </c>
      <c r="M35" s="24"/>
      <c r="N35" s="24" t="s">
        <v>1119</v>
      </c>
      <c r="O35" s="82">
        <v>52040.24</v>
      </c>
      <c r="P35" s="247">
        <v>106035.45</v>
      </c>
      <c r="Q35" s="247">
        <v>72113.89</v>
      </c>
      <c r="R35" s="247">
        <v>14889.48</v>
      </c>
      <c r="S35" s="247">
        <v>41712.17</v>
      </c>
      <c r="T35" s="247">
        <v>32062.65</v>
      </c>
      <c r="U35" s="247">
        <v>35915.99</v>
      </c>
      <c r="V35" s="247">
        <v>16778.080000000002</v>
      </c>
      <c r="W35" s="247">
        <v>13543.56</v>
      </c>
      <c r="X35" s="247">
        <v>17505.97</v>
      </c>
      <c r="Y35" s="247">
        <v>17887.88</v>
      </c>
      <c r="Z35" s="247">
        <v>32947.11</v>
      </c>
      <c r="AA35" s="247">
        <f t="shared" si="0"/>
        <v>453432.47000000009</v>
      </c>
      <c r="AB35" s="84">
        <f t="shared" si="1"/>
        <v>4.774779129574859E-2</v>
      </c>
      <c r="AD35" s="83">
        <v>852301</v>
      </c>
      <c r="AE35" s="84">
        <f t="shared" si="2"/>
        <v>8.5353249204310463E-2</v>
      </c>
      <c r="AF35" s="83">
        <f t="shared" si="3"/>
        <v>-398868.52999999991</v>
      </c>
      <c r="AG35" s="83">
        <v>835890.78</v>
      </c>
      <c r="AH35" s="84">
        <f t="shared" si="4"/>
        <v>8.5225463749372274E-2</v>
      </c>
      <c r="AI35" s="267">
        <f t="shared" si="5"/>
        <v>-382458.30999999994</v>
      </c>
    </row>
    <row r="36" spans="1:35" x14ac:dyDescent="0.2">
      <c r="A36" s="6" t="s">
        <v>33</v>
      </c>
      <c r="B36" s="7"/>
      <c r="H36" s="10" t="s">
        <v>122</v>
      </c>
      <c r="I36" s="24" t="s">
        <v>1118</v>
      </c>
      <c r="J36" s="24" t="s">
        <v>78</v>
      </c>
      <c r="K36" s="24"/>
      <c r="L36" s="24">
        <v>402130</v>
      </c>
      <c r="M36" s="24"/>
      <c r="N36" s="24" t="s">
        <v>1120</v>
      </c>
      <c r="O36" s="82">
        <v>357405.86</v>
      </c>
      <c r="P36" s="247">
        <v>284168.61</v>
      </c>
      <c r="Q36" s="247">
        <v>349602.83</v>
      </c>
      <c r="R36" s="247">
        <v>322597.3</v>
      </c>
      <c r="S36" s="247">
        <v>277091.62</v>
      </c>
      <c r="T36" s="247">
        <v>180138.83</v>
      </c>
      <c r="U36" s="247">
        <v>197928.7</v>
      </c>
      <c r="V36" s="247">
        <v>220319.28</v>
      </c>
      <c r="W36" s="247">
        <v>126014.68</v>
      </c>
      <c r="X36" s="247">
        <v>189956.4</v>
      </c>
      <c r="Y36" s="247">
        <v>227015.27</v>
      </c>
      <c r="Z36" s="247">
        <v>377996.83</v>
      </c>
      <c r="AA36" s="247">
        <f t="shared" si="0"/>
        <v>3110236.2100000004</v>
      </c>
      <c r="AB36" s="84">
        <f t="shared" si="1"/>
        <v>0.327517148111515</v>
      </c>
      <c r="AD36" s="83">
        <v>3028312.85</v>
      </c>
      <c r="AE36" s="84">
        <f t="shared" si="2"/>
        <v>0.30326884675093146</v>
      </c>
      <c r="AF36" s="83">
        <f t="shared" si="3"/>
        <v>81923.360000000335</v>
      </c>
      <c r="AG36" s="83">
        <v>3164229.08</v>
      </c>
      <c r="AH36" s="84">
        <f t="shared" si="4"/>
        <v>0.3226173768207487</v>
      </c>
      <c r="AI36" s="267">
        <f t="shared" si="5"/>
        <v>-53992.869999999646</v>
      </c>
    </row>
    <row r="37" spans="1:35" x14ac:dyDescent="0.2">
      <c r="A37" s="6" t="s">
        <v>34</v>
      </c>
      <c r="B37" s="7"/>
      <c r="H37" s="10" t="s">
        <v>84</v>
      </c>
      <c r="I37" s="26" t="s">
        <v>1052</v>
      </c>
      <c r="J37" s="26" t="s">
        <v>78</v>
      </c>
      <c r="K37" s="8"/>
      <c r="L37" s="23"/>
      <c r="M37" s="24"/>
      <c r="N37" s="23" t="s">
        <v>1054</v>
      </c>
      <c r="O37" s="73">
        <v>275789.27</v>
      </c>
      <c r="P37" s="246">
        <v>404269.8</v>
      </c>
      <c r="Q37" s="246">
        <v>466650.49</v>
      </c>
      <c r="R37" s="246">
        <v>425759.58</v>
      </c>
      <c r="S37" s="246">
        <v>238417.8</v>
      </c>
      <c r="T37" s="246">
        <v>186257.03</v>
      </c>
      <c r="U37" s="246">
        <v>211525</v>
      </c>
      <c r="V37" s="246">
        <v>184678.56</v>
      </c>
      <c r="W37" s="246">
        <v>131168.71</v>
      </c>
      <c r="X37" s="246">
        <v>232737.81</v>
      </c>
      <c r="Y37" s="246">
        <v>284922.38</v>
      </c>
      <c r="Z37" s="246">
        <v>410016.94</v>
      </c>
      <c r="AA37" s="246">
        <f t="shared" si="0"/>
        <v>3452193.37</v>
      </c>
      <c r="AB37" s="75">
        <f t="shared" si="1"/>
        <v>0.36352625682789536</v>
      </c>
      <c r="AD37" s="74">
        <v>3430796.95</v>
      </c>
      <c r="AE37" s="75">
        <f t="shared" si="2"/>
        <v>0.34357541178848583</v>
      </c>
      <c r="AF37" s="74">
        <f t="shared" si="3"/>
        <v>21396.419999999925</v>
      </c>
      <c r="AG37" s="74">
        <v>3333028.5</v>
      </c>
      <c r="AH37" s="75">
        <f t="shared" si="4"/>
        <v>0.33982776984616891</v>
      </c>
      <c r="AI37" s="266">
        <f t="shared" si="5"/>
        <v>119164.87000000011</v>
      </c>
    </row>
    <row r="38" spans="1:35" x14ac:dyDescent="0.2">
      <c r="A38" s="6" t="s">
        <v>35</v>
      </c>
      <c r="B38" s="7"/>
      <c r="H38" s="10" t="s">
        <v>123</v>
      </c>
      <c r="I38" s="24" t="s">
        <v>1118</v>
      </c>
      <c r="J38" s="24" t="s">
        <v>78</v>
      </c>
      <c r="K38" s="24"/>
      <c r="L38" s="24">
        <v>402530</v>
      </c>
      <c r="M38" s="24"/>
      <c r="N38" s="24" t="s">
        <v>1121</v>
      </c>
      <c r="O38" s="82">
        <v>10595.01</v>
      </c>
      <c r="P38" s="247">
        <v>14778.25</v>
      </c>
      <c r="Q38" s="247">
        <v>5123.58</v>
      </c>
      <c r="R38" s="247">
        <v>3743.18</v>
      </c>
      <c r="S38" s="247">
        <v>7127.54</v>
      </c>
      <c r="T38" s="247">
        <v>2698.98</v>
      </c>
      <c r="U38" s="247">
        <v>7881.04</v>
      </c>
      <c r="V38" s="247">
        <v>6962.03</v>
      </c>
      <c r="W38" s="247">
        <v>4102.8599999999997</v>
      </c>
      <c r="X38" s="247">
        <v>7596.27</v>
      </c>
      <c r="Y38" s="247">
        <v>19520.29</v>
      </c>
      <c r="Z38" s="247">
        <v>10879.48</v>
      </c>
      <c r="AA38" s="247">
        <f t="shared" si="0"/>
        <v>101008.51</v>
      </c>
      <c r="AB38" s="84">
        <f t="shared" si="1"/>
        <v>1.0636497325774956E-2</v>
      </c>
      <c r="AD38" s="83">
        <v>142145.74</v>
      </c>
      <c r="AE38" s="84">
        <f t="shared" si="2"/>
        <v>1.4235112676802117E-2</v>
      </c>
      <c r="AF38" s="83">
        <f t="shared" si="3"/>
        <v>-41137.229999999996</v>
      </c>
      <c r="AG38" s="83">
        <v>136747.54</v>
      </c>
      <c r="AH38" s="84">
        <f t="shared" si="4"/>
        <v>1.3942458502875022E-2</v>
      </c>
      <c r="AI38" s="267">
        <f t="shared" si="5"/>
        <v>-35739.030000000013</v>
      </c>
    </row>
    <row r="39" spans="1:35" x14ac:dyDescent="0.2">
      <c r="A39" s="6" t="s">
        <v>36</v>
      </c>
      <c r="B39" s="7"/>
      <c r="H39" s="10" t="s">
        <v>124</v>
      </c>
      <c r="I39" s="24" t="s">
        <v>1118</v>
      </c>
      <c r="J39" s="24" t="s">
        <v>78</v>
      </c>
      <c r="K39" s="24"/>
      <c r="L39" s="24">
        <v>402500</v>
      </c>
      <c r="M39" s="24"/>
      <c r="N39" s="24" t="s">
        <v>1122</v>
      </c>
      <c r="O39" s="82">
        <v>27793.29</v>
      </c>
      <c r="P39" s="247">
        <v>23787.61</v>
      </c>
      <c r="Q39" s="247">
        <v>33472.120000000003</v>
      </c>
      <c r="R39" s="247">
        <v>21411.94</v>
      </c>
      <c r="S39" s="247">
        <v>14452.44</v>
      </c>
      <c r="T39" s="247">
        <v>6984.12</v>
      </c>
      <c r="U39" s="247">
        <v>12213.2</v>
      </c>
      <c r="V39" s="247">
        <v>11609.73</v>
      </c>
      <c r="W39" s="247">
        <v>13554.71</v>
      </c>
      <c r="X39" s="247">
        <v>9024.11</v>
      </c>
      <c r="Y39" s="247">
        <v>10781.35</v>
      </c>
      <c r="Z39" s="247">
        <v>19258.71</v>
      </c>
      <c r="AA39" s="247">
        <f t="shared" si="0"/>
        <v>204343.33000000002</v>
      </c>
      <c r="AB39" s="84">
        <f t="shared" si="1"/>
        <v>2.1517962031960967E-2</v>
      </c>
      <c r="AD39" s="83">
        <v>224086.15</v>
      </c>
      <c r="AE39" s="84">
        <f t="shared" si="2"/>
        <v>2.2440993269026429E-2</v>
      </c>
      <c r="AF39" s="83">
        <f t="shared" si="3"/>
        <v>-19742.819999999978</v>
      </c>
      <c r="AG39" s="83">
        <v>182275.48</v>
      </c>
      <c r="AH39" s="84">
        <f t="shared" si="4"/>
        <v>1.8584380501408846E-2</v>
      </c>
      <c r="AI39" s="267">
        <f t="shared" si="5"/>
        <v>22067.850000000006</v>
      </c>
    </row>
    <row r="40" spans="1:35" x14ac:dyDescent="0.2">
      <c r="A40" s="6" t="s">
        <v>37</v>
      </c>
      <c r="B40" s="7"/>
      <c r="H40" s="10" t="s">
        <v>125</v>
      </c>
      <c r="I40" s="24" t="s">
        <v>1118</v>
      </c>
      <c r="J40" s="24" t="s">
        <v>78</v>
      </c>
      <c r="K40" s="24"/>
      <c r="L40" s="24">
        <v>402540</v>
      </c>
      <c r="M40" s="24"/>
      <c r="N40" s="24" t="s">
        <v>1123</v>
      </c>
      <c r="O40" s="82">
        <v>54830.41</v>
      </c>
      <c r="P40" s="247">
        <v>81409.39</v>
      </c>
      <c r="Q40" s="247">
        <v>100832.71</v>
      </c>
      <c r="R40" s="247">
        <v>67278.97</v>
      </c>
      <c r="S40" s="247">
        <v>44335.9</v>
      </c>
      <c r="T40" s="247">
        <v>39250.07</v>
      </c>
      <c r="U40" s="247">
        <v>42822.69</v>
      </c>
      <c r="V40" s="247">
        <v>23366.22</v>
      </c>
      <c r="W40" s="247">
        <v>18444.169999999998</v>
      </c>
      <c r="X40" s="247">
        <v>33828.71</v>
      </c>
      <c r="Y40" s="247">
        <v>59000.53</v>
      </c>
      <c r="Z40" s="247">
        <v>72683.08</v>
      </c>
      <c r="AA40" s="247">
        <f t="shared" si="0"/>
        <v>638082.85</v>
      </c>
      <c r="AB40" s="84">
        <f t="shared" si="1"/>
        <v>6.7192026965330567E-2</v>
      </c>
      <c r="AD40" s="83">
        <v>492844.46</v>
      </c>
      <c r="AE40" s="84">
        <f t="shared" si="2"/>
        <v>4.9355657230654222E-2</v>
      </c>
      <c r="AF40" s="83">
        <f t="shared" si="3"/>
        <v>145238.38999999996</v>
      </c>
      <c r="AG40" s="83">
        <v>473822.69</v>
      </c>
      <c r="AH40" s="84">
        <f t="shared" si="4"/>
        <v>4.8309850349378243E-2</v>
      </c>
      <c r="AI40" s="267">
        <f t="shared" si="5"/>
        <v>164260.15999999997</v>
      </c>
    </row>
    <row r="41" spans="1:35" x14ac:dyDescent="0.2">
      <c r="A41" s="6" t="s">
        <v>38</v>
      </c>
      <c r="B41" s="7"/>
      <c r="H41" s="10" t="s">
        <v>126</v>
      </c>
      <c r="I41" s="24" t="s">
        <v>1118</v>
      </c>
      <c r="J41" s="24" t="s">
        <v>78</v>
      </c>
      <c r="K41" s="24"/>
      <c r="L41" s="24">
        <v>402550</v>
      </c>
      <c r="M41" s="24"/>
      <c r="N41" s="24" t="s">
        <v>1124</v>
      </c>
      <c r="O41" s="82">
        <v>8022.83</v>
      </c>
      <c r="P41" s="247">
        <v>1948.6</v>
      </c>
      <c r="Q41" s="247">
        <v>482.32</v>
      </c>
      <c r="R41" s="247">
        <v>844.83</v>
      </c>
      <c r="S41" s="247"/>
      <c r="T41" s="247"/>
      <c r="U41" s="247"/>
      <c r="V41" s="247"/>
      <c r="W41" s="247"/>
      <c r="X41" s="247"/>
      <c r="Y41" s="247">
        <v>608.72</v>
      </c>
      <c r="Z41" s="247">
        <v>485.25</v>
      </c>
      <c r="AA41" s="247">
        <f t="shared" si="0"/>
        <v>12392.55</v>
      </c>
      <c r="AB41" s="84">
        <f t="shared" si="1"/>
        <v>1.3049724714732692E-3</v>
      </c>
      <c r="AD41" s="83">
        <v>698</v>
      </c>
      <c r="AE41" s="84">
        <f t="shared" si="2"/>
        <v>6.9900854210670532E-5</v>
      </c>
      <c r="AF41" s="83">
        <f t="shared" si="3"/>
        <v>11694.55</v>
      </c>
      <c r="AG41" s="83">
        <v>198571.15</v>
      </c>
      <c r="AH41" s="84">
        <f t="shared" si="4"/>
        <v>2.0245848800959573E-2</v>
      </c>
      <c r="AI41" s="267">
        <f t="shared" si="5"/>
        <v>-186178.6</v>
      </c>
    </row>
    <row r="42" spans="1:35" x14ac:dyDescent="0.2">
      <c r="A42" s="6" t="s">
        <v>39</v>
      </c>
      <c r="B42" s="7"/>
      <c r="H42" s="10" t="s">
        <v>127</v>
      </c>
      <c r="I42" s="24" t="s">
        <v>1118</v>
      </c>
      <c r="J42" s="24" t="s">
        <v>78</v>
      </c>
      <c r="K42" s="24"/>
      <c r="L42" s="24">
        <v>402560</v>
      </c>
      <c r="M42" s="24"/>
      <c r="N42" s="24" t="s">
        <v>1125</v>
      </c>
      <c r="O42" s="82">
        <v>174547.73</v>
      </c>
      <c r="P42" s="247">
        <v>282345.95</v>
      </c>
      <c r="Q42" s="247">
        <v>326739.76</v>
      </c>
      <c r="R42" s="247">
        <v>332480.65999999997</v>
      </c>
      <c r="S42" s="247">
        <v>172501.92</v>
      </c>
      <c r="T42" s="247">
        <v>137323.85999999999</v>
      </c>
      <c r="U42" s="247">
        <v>148608.07</v>
      </c>
      <c r="V42" s="247">
        <v>142740.57999999999</v>
      </c>
      <c r="W42" s="247">
        <v>95066.97</v>
      </c>
      <c r="X42" s="247">
        <v>182288.72</v>
      </c>
      <c r="Y42" s="247">
        <v>195011.49</v>
      </c>
      <c r="Z42" s="247">
        <v>306710.42</v>
      </c>
      <c r="AA42" s="247">
        <f t="shared" si="0"/>
        <v>2496366.13</v>
      </c>
      <c r="AB42" s="84">
        <f t="shared" si="1"/>
        <v>0.26287479803335556</v>
      </c>
      <c r="AD42" s="83">
        <v>2571022.6</v>
      </c>
      <c r="AE42" s="84">
        <f t="shared" si="2"/>
        <v>0.25747374775779241</v>
      </c>
      <c r="AF42" s="83">
        <f t="shared" si="3"/>
        <v>-74656.470000000205</v>
      </c>
      <c r="AG42" s="83">
        <v>2341611.64</v>
      </c>
      <c r="AH42" s="84">
        <f t="shared" si="4"/>
        <v>0.23874523169154727</v>
      </c>
      <c r="AI42" s="267">
        <f t="shared" si="5"/>
        <v>154754.48999999976</v>
      </c>
    </row>
    <row r="43" spans="1:35" x14ac:dyDescent="0.2">
      <c r="A43" s="6" t="s">
        <v>40</v>
      </c>
      <c r="B43" s="7"/>
      <c r="H43" s="10" t="s">
        <v>128</v>
      </c>
      <c r="I43" s="24" t="s">
        <v>1118</v>
      </c>
      <c r="J43" s="24" t="s">
        <v>78</v>
      </c>
      <c r="K43" s="24"/>
      <c r="L43" s="24">
        <v>402600</v>
      </c>
      <c r="M43" s="24"/>
      <c r="N43" s="24" t="s">
        <v>1126</v>
      </c>
      <c r="O43" s="82"/>
      <c r="P43" s="247"/>
      <c r="Q43" s="247"/>
      <c r="R43" s="247"/>
      <c r="S43" s="247"/>
      <c r="T43" s="247"/>
      <c r="U43" s="247"/>
      <c r="V43" s="247"/>
      <c r="W43" s="247"/>
      <c r="X43" s="247"/>
      <c r="Y43" s="247"/>
      <c r="Z43" s="247"/>
      <c r="AA43" s="247">
        <f t="shared" si="0"/>
        <v>0</v>
      </c>
      <c r="AB43" s="84" t="str">
        <f t="shared" si="1"/>
        <v/>
      </c>
      <c r="AD43" s="83"/>
      <c r="AE43" s="84" t="str">
        <f t="shared" si="2"/>
        <v/>
      </c>
      <c r="AF43" s="83">
        <f t="shared" si="3"/>
        <v>0</v>
      </c>
      <c r="AG43" s="83"/>
      <c r="AH43" s="84" t="str">
        <f t="shared" si="4"/>
        <v/>
      </c>
      <c r="AI43" s="267">
        <f t="shared" si="5"/>
        <v>0</v>
      </c>
    </row>
    <row r="44" spans="1:35" x14ac:dyDescent="0.2">
      <c r="A44" s="6" t="s">
        <v>41</v>
      </c>
      <c r="B44" s="7"/>
      <c r="H44" s="10" t="s">
        <v>85</v>
      </c>
      <c r="I44" s="26" t="s">
        <v>1052</v>
      </c>
      <c r="J44" s="26" t="s">
        <v>78</v>
      </c>
      <c r="K44" s="8"/>
      <c r="L44" s="23"/>
      <c r="M44" s="24"/>
      <c r="N44" s="23" t="s">
        <v>1055</v>
      </c>
      <c r="O44" s="73">
        <v>114544.5</v>
      </c>
      <c r="P44" s="246">
        <v>86625.88</v>
      </c>
      <c r="Q44" s="246">
        <v>47887.82</v>
      </c>
      <c r="R44" s="246">
        <v>23549.119999999999</v>
      </c>
      <c r="S44" s="246">
        <v>23372.92</v>
      </c>
      <c r="T44" s="246">
        <v>10561.42</v>
      </c>
      <c r="U44" s="246">
        <v>7016.83</v>
      </c>
      <c r="V44" s="246">
        <v>4694.17</v>
      </c>
      <c r="W44" s="246">
        <v>5946.8</v>
      </c>
      <c r="X44" s="246">
        <v>35823.64</v>
      </c>
      <c r="Y44" s="246">
        <v>47509.49</v>
      </c>
      <c r="Z44" s="246">
        <v>33742.129999999997</v>
      </c>
      <c r="AA44" s="246">
        <f t="shared" si="0"/>
        <v>441274.72</v>
      </c>
      <c r="AB44" s="75">
        <f t="shared" si="1"/>
        <v>4.64675439644847E-2</v>
      </c>
      <c r="AD44" s="74">
        <v>374028.5</v>
      </c>
      <c r="AE44" s="75">
        <f t="shared" si="2"/>
        <v>3.7456893480137227E-2</v>
      </c>
      <c r="AF44" s="74">
        <f t="shared" si="3"/>
        <v>67246.219999999972</v>
      </c>
      <c r="AG44" s="74">
        <v>366021.56</v>
      </c>
      <c r="AH44" s="75">
        <f t="shared" si="4"/>
        <v>3.7318699930233332E-2</v>
      </c>
      <c r="AI44" s="266">
        <f t="shared" si="5"/>
        <v>75253.159999999974</v>
      </c>
    </row>
    <row r="45" spans="1:35" x14ac:dyDescent="0.2">
      <c r="A45" s="6" t="s">
        <v>42</v>
      </c>
      <c r="B45" s="7"/>
      <c r="H45" s="10" t="s">
        <v>129</v>
      </c>
      <c r="I45" s="24" t="s">
        <v>1118</v>
      </c>
      <c r="J45" s="24" t="s">
        <v>78</v>
      </c>
      <c r="K45" s="24"/>
      <c r="L45" s="24">
        <v>402300</v>
      </c>
      <c r="M45" s="24"/>
      <c r="N45" s="24" t="s">
        <v>1127</v>
      </c>
      <c r="O45" s="82">
        <v>8730.75</v>
      </c>
      <c r="P45" s="247">
        <v>16343</v>
      </c>
      <c r="Q45" s="247">
        <v>6088.15</v>
      </c>
      <c r="R45" s="247">
        <v>3631.19</v>
      </c>
      <c r="S45" s="247">
        <v>761.38</v>
      </c>
      <c r="T45" s="247"/>
      <c r="U45" s="247">
        <v>909.65</v>
      </c>
      <c r="V45" s="247">
        <v>246</v>
      </c>
      <c r="W45" s="247">
        <v>2009.4</v>
      </c>
      <c r="X45" s="247">
        <v>3643.98</v>
      </c>
      <c r="Y45" s="247">
        <v>13067.25</v>
      </c>
      <c r="Z45" s="247">
        <v>1463.13</v>
      </c>
      <c r="AA45" s="247">
        <f t="shared" si="0"/>
        <v>56893.880000000005</v>
      </c>
      <c r="AB45" s="84">
        <f t="shared" si="1"/>
        <v>5.9910952302232885E-3</v>
      </c>
      <c r="AD45" s="83">
        <v>148845.5</v>
      </c>
      <c r="AE45" s="84">
        <f t="shared" si="2"/>
        <v>1.4906056726954671E-2</v>
      </c>
      <c r="AF45" s="83">
        <f t="shared" si="3"/>
        <v>-91951.62</v>
      </c>
      <c r="AG45" s="83">
        <v>112326.85</v>
      </c>
      <c r="AH45" s="84">
        <f t="shared" si="4"/>
        <v>1.1452582217447329E-2</v>
      </c>
      <c r="AI45" s="267">
        <f t="shared" si="5"/>
        <v>-55432.97</v>
      </c>
    </row>
    <row r="46" spans="1:35" x14ac:dyDescent="0.2">
      <c r="A46" s="6" t="s">
        <v>43</v>
      </c>
      <c r="B46" s="7"/>
      <c r="H46" s="10" t="s">
        <v>130</v>
      </c>
      <c r="I46" s="24" t="s">
        <v>1118</v>
      </c>
      <c r="J46" s="24" t="s">
        <v>78</v>
      </c>
      <c r="K46" s="24"/>
      <c r="L46" s="24">
        <v>402350</v>
      </c>
      <c r="M46" s="24"/>
      <c r="N46" s="24" t="s">
        <v>1128</v>
      </c>
      <c r="O46" s="82">
        <v>26437.83</v>
      </c>
      <c r="P46" s="247">
        <v>21559.439999999999</v>
      </c>
      <c r="Q46" s="247">
        <v>22203.38</v>
      </c>
      <c r="R46" s="247">
        <v>13802.45</v>
      </c>
      <c r="S46" s="247">
        <v>5468.19</v>
      </c>
      <c r="T46" s="247">
        <v>7534.4</v>
      </c>
      <c r="U46" s="247">
        <v>2964.3</v>
      </c>
      <c r="V46" s="247">
        <v>2736.3</v>
      </c>
      <c r="W46" s="247">
        <v>2462.8200000000002</v>
      </c>
      <c r="X46" s="247">
        <v>20711.77</v>
      </c>
      <c r="Y46" s="247">
        <v>20985.77</v>
      </c>
      <c r="Z46" s="247">
        <v>4252.93</v>
      </c>
      <c r="AA46" s="247">
        <f t="shared" si="0"/>
        <v>151119.58000000002</v>
      </c>
      <c r="AB46" s="84">
        <f t="shared" si="1"/>
        <v>1.5913342435624828E-2</v>
      </c>
      <c r="AD46" s="83">
        <v>133243</v>
      </c>
      <c r="AE46" s="84">
        <f t="shared" si="2"/>
        <v>1.3343552317467583E-2</v>
      </c>
      <c r="AF46" s="83">
        <f t="shared" si="3"/>
        <v>17876.580000000016</v>
      </c>
      <c r="AG46" s="83">
        <v>152054.51999999999</v>
      </c>
      <c r="AH46" s="84">
        <f t="shared" si="4"/>
        <v>1.5503122288522192E-2</v>
      </c>
      <c r="AI46" s="267">
        <f t="shared" si="5"/>
        <v>-934.93999999997322</v>
      </c>
    </row>
    <row r="47" spans="1:35" x14ac:dyDescent="0.2">
      <c r="A47" s="6" t="s">
        <v>44</v>
      </c>
      <c r="B47" s="7"/>
      <c r="H47" s="10" t="s">
        <v>131</v>
      </c>
      <c r="I47" s="24" t="s">
        <v>1118</v>
      </c>
      <c r="J47" s="24" t="s">
        <v>78</v>
      </c>
      <c r="K47" s="24"/>
      <c r="L47" s="24">
        <v>402400</v>
      </c>
      <c r="M47" s="24"/>
      <c r="N47" s="24" t="s">
        <v>1129</v>
      </c>
      <c r="O47" s="82">
        <v>79375.92</v>
      </c>
      <c r="P47" s="247">
        <v>48723.44</v>
      </c>
      <c r="Q47" s="247">
        <v>19596.29</v>
      </c>
      <c r="R47" s="247">
        <v>6115.48</v>
      </c>
      <c r="S47" s="247">
        <v>17143.349999999999</v>
      </c>
      <c r="T47" s="247">
        <v>3027.02</v>
      </c>
      <c r="U47" s="247">
        <v>3142.88</v>
      </c>
      <c r="V47" s="247">
        <v>1711.87</v>
      </c>
      <c r="W47" s="247">
        <v>1474.58</v>
      </c>
      <c r="X47" s="247">
        <v>11467.89</v>
      </c>
      <c r="Y47" s="247">
        <v>13456.47</v>
      </c>
      <c r="Z47" s="247">
        <v>28026.07</v>
      </c>
      <c r="AA47" s="247">
        <f t="shared" si="0"/>
        <v>233261.25999999998</v>
      </c>
      <c r="AB47" s="84">
        <f t="shared" si="1"/>
        <v>2.4563106298636589E-2</v>
      </c>
      <c r="AD47" s="83">
        <v>91940</v>
      </c>
      <c r="AE47" s="84">
        <f t="shared" si="2"/>
        <v>9.2072844357149689E-3</v>
      </c>
      <c r="AF47" s="83">
        <f t="shared" si="3"/>
        <v>141321.25999999998</v>
      </c>
      <c r="AG47" s="83">
        <v>101640.19</v>
      </c>
      <c r="AH47" s="84">
        <f t="shared" si="4"/>
        <v>1.0362995424263813E-2</v>
      </c>
      <c r="AI47" s="267">
        <f t="shared" si="5"/>
        <v>131621.06999999998</v>
      </c>
    </row>
    <row r="48" spans="1:35" x14ac:dyDescent="0.2">
      <c r="A48" s="6" t="s">
        <v>45</v>
      </c>
      <c r="B48" s="7"/>
      <c r="H48" s="10" t="s">
        <v>86</v>
      </c>
      <c r="I48" s="26" t="s">
        <v>1052</v>
      </c>
      <c r="J48" s="26" t="s">
        <v>78</v>
      </c>
      <c r="K48" s="8"/>
      <c r="L48" s="23"/>
      <c r="M48" s="24"/>
      <c r="N48" s="23" t="s">
        <v>1056</v>
      </c>
      <c r="O48" s="73">
        <v>24217.85</v>
      </c>
      <c r="P48" s="246">
        <v>32246.3</v>
      </c>
      <c r="Q48" s="246">
        <v>37521.449999999997</v>
      </c>
      <c r="R48" s="246">
        <v>35901.32</v>
      </c>
      <c r="S48" s="246">
        <v>9429.4500000000007</v>
      </c>
      <c r="T48" s="246">
        <v>13570.57</v>
      </c>
      <c r="U48" s="246">
        <v>17597.990000000002</v>
      </c>
      <c r="V48" s="246">
        <v>13246.2</v>
      </c>
      <c r="W48" s="246">
        <v>13199.85</v>
      </c>
      <c r="X48" s="246">
        <v>17639.95</v>
      </c>
      <c r="Y48" s="246">
        <v>14066.85</v>
      </c>
      <c r="Z48" s="246">
        <v>16862.599999999999</v>
      </c>
      <c r="AA48" s="246">
        <f t="shared" si="0"/>
        <v>245500.38000000003</v>
      </c>
      <c r="AB48" s="75">
        <f t="shared" si="1"/>
        <v>2.5851922133558213E-2</v>
      </c>
      <c r="AD48" s="74">
        <v>199692.43</v>
      </c>
      <c r="AE48" s="75">
        <f t="shared" si="2"/>
        <v>1.999809661376007E-2</v>
      </c>
      <c r="AF48" s="74">
        <f t="shared" si="3"/>
        <v>45807.950000000041</v>
      </c>
      <c r="AG48" s="74">
        <v>177497.13</v>
      </c>
      <c r="AH48" s="75">
        <f t="shared" si="4"/>
        <v>1.809719114072848E-2</v>
      </c>
      <c r="AI48" s="266">
        <f t="shared" si="5"/>
        <v>68003.250000000029</v>
      </c>
    </row>
    <row r="49" spans="1:35" x14ac:dyDescent="0.2">
      <c r="A49" s="6" t="s">
        <v>46</v>
      </c>
      <c r="B49" s="7"/>
      <c r="H49" s="10" t="s">
        <v>132</v>
      </c>
      <c r="I49" s="24" t="s">
        <v>1118</v>
      </c>
      <c r="J49" s="24" t="s">
        <v>78</v>
      </c>
      <c r="K49" s="24"/>
      <c r="L49" s="24">
        <v>402700</v>
      </c>
      <c r="M49" s="24"/>
      <c r="N49" s="24" t="s">
        <v>1056</v>
      </c>
      <c r="O49" s="82">
        <v>17337.849999999999</v>
      </c>
      <c r="P49" s="247">
        <v>26011.3</v>
      </c>
      <c r="Q49" s="247">
        <v>29351.45</v>
      </c>
      <c r="R49" s="247">
        <v>31125.32</v>
      </c>
      <c r="S49" s="247">
        <v>8036.45</v>
      </c>
      <c r="T49" s="247">
        <v>11156.57</v>
      </c>
      <c r="U49" s="247">
        <v>14189.99</v>
      </c>
      <c r="V49" s="247">
        <v>12536.2</v>
      </c>
      <c r="W49" s="247">
        <v>9933.85</v>
      </c>
      <c r="X49" s="247">
        <v>14909.95</v>
      </c>
      <c r="Y49" s="247">
        <v>12665.85</v>
      </c>
      <c r="Z49" s="247">
        <v>16652.599999999999</v>
      </c>
      <c r="AA49" s="247">
        <f t="shared" si="0"/>
        <v>203907.38</v>
      </c>
      <c r="AB49" s="84">
        <f t="shared" si="1"/>
        <v>2.1472055196891607E-2</v>
      </c>
      <c r="AD49" s="83">
        <v>168052.43</v>
      </c>
      <c r="AE49" s="84">
        <f t="shared" si="2"/>
        <v>1.6829524941517068E-2</v>
      </c>
      <c r="AF49" s="83">
        <f t="shared" si="3"/>
        <v>35854.950000000012</v>
      </c>
      <c r="AG49" s="83">
        <v>146510.13</v>
      </c>
      <c r="AH49" s="84">
        <f t="shared" si="4"/>
        <v>1.4937829285819876E-2</v>
      </c>
      <c r="AI49" s="267">
        <f t="shared" si="5"/>
        <v>57397.25</v>
      </c>
    </row>
    <row r="50" spans="1:35" x14ac:dyDescent="0.2">
      <c r="H50" s="10" t="s">
        <v>133</v>
      </c>
      <c r="I50" s="24" t="s">
        <v>1118</v>
      </c>
      <c r="J50" s="24" t="s">
        <v>78</v>
      </c>
      <c r="K50" s="24"/>
      <c r="L50" s="24">
        <v>402730</v>
      </c>
      <c r="M50" s="24"/>
      <c r="N50" s="24" t="s">
        <v>1063</v>
      </c>
      <c r="O50" s="82">
        <v>6880</v>
      </c>
      <c r="P50" s="247">
        <v>6235</v>
      </c>
      <c r="Q50" s="247">
        <v>8170</v>
      </c>
      <c r="R50" s="247">
        <v>4776</v>
      </c>
      <c r="S50" s="247">
        <v>1393</v>
      </c>
      <c r="T50" s="247">
        <v>2414</v>
      </c>
      <c r="U50" s="247">
        <v>3408</v>
      </c>
      <c r="V50" s="247">
        <v>710</v>
      </c>
      <c r="W50" s="247">
        <v>3266</v>
      </c>
      <c r="X50" s="247">
        <v>2730</v>
      </c>
      <c r="Y50" s="247">
        <v>1401</v>
      </c>
      <c r="Z50" s="247">
        <v>210</v>
      </c>
      <c r="AA50" s="247">
        <f t="shared" si="0"/>
        <v>41593</v>
      </c>
      <c r="AB50" s="84">
        <f t="shared" si="1"/>
        <v>4.3798669366666015E-3</v>
      </c>
      <c r="AD50" s="83">
        <v>31640</v>
      </c>
      <c r="AE50" s="84">
        <f t="shared" si="2"/>
        <v>3.1685716722430024E-3</v>
      </c>
      <c r="AF50" s="83">
        <f t="shared" si="3"/>
        <v>9953</v>
      </c>
      <c r="AG50" s="83">
        <v>30987</v>
      </c>
      <c r="AH50" s="84">
        <f t="shared" si="4"/>
        <v>3.1593618549086025E-3</v>
      </c>
      <c r="AI50" s="267">
        <f t="shared" si="5"/>
        <v>10606</v>
      </c>
    </row>
    <row r="51" spans="1:35" x14ac:dyDescent="0.2">
      <c r="H51" s="10" t="s">
        <v>65</v>
      </c>
      <c r="I51" s="26" t="s">
        <v>1052</v>
      </c>
      <c r="J51" s="26" t="s">
        <v>78</v>
      </c>
      <c r="K51" s="8"/>
      <c r="L51" s="23">
        <v>402200</v>
      </c>
      <c r="M51" s="24"/>
      <c r="N51" s="23" t="s">
        <v>1057</v>
      </c>
      <c r="O51" s="79">
        <v>49153.440000000002</v>
      </c>
      <c r="P51" s="248">
        <v>70534.16</v>
      </c>
      <c r="Q51" s="248">
        <v>91440.08</v>
      </c>
      <c r="R51" s="248">
        <v>91534.720000000001</v>
      </c>
      <c r="S51" s="248">
        <v>46881.34</v>
      </c>
      <c r="T51" s="248">
        <v>23617.33</v>
      </c>
      <c r="U51" s="248">
        <v>20933.22</v>
      </c>
      <c r="V51" s="248">
        <v>20053.060000000001</v>
      </c>
      <c r="W51" s="248">
        <v>13287.87</v>
      </c>
      <c r="X51" s="248">
        <v>22746.63</v>
      </c>
      <c r="Y51" s="248">
        <v>25739.74</v>
      </c>
      <c r="Z51" s="248">
        <v>30035.759999999998</v>
      </c>
      <c r="AA51" s="248">
        <f t="shared" si="0"/>
        <v>505957.35000000003</v>
      </c>
      <c r="AB51" s="81">
        <f t="shared" si="1"/>
        <v>5.3278817796947847E-2</v>
      </c>
      <c r="AD51" s="80">
        <v>678006.09</v>
      </c>
      <c r="AE51" s="81">
        <f t="shared" si="2"/>
        <v>6.7898574285152946E-2</v>
      </c>
      <c r="AF51" s="80">
        <f t="shared" si="3"/>
        <v>-172048.73999999993</v>
      </c>
      <c r="AG51" s="80">
        <v>618679.46</v>
      </c>
      <c r="AH51" s="81">
        <f t="shared" si="4"/>
        <v>6.3079106926758069E-2</v>
      </c>
      <c r="AI51" s="268">
        <f t="shared" si="5"/>
        <v>-112722.10999999993</v>
      </c>
    </row>
    <row r="52" spans="1:35" x14ac:dyDescent="0.2">
      <c r="H52" s="10" t="s">
        <v>66</v>
      </c>
      <c r="I52" s="26" t="s">
        <v>1058</v>
      </c>
      <c r="J52" s="26" t="s">
        <v>78</v>
      </c>
      <c r="K52" s="8"/>
      <c r="L52" s="23">
        <v>402000</v>
      </c>
      <c r="M52" s="24"/>
      <c r="N52" s="23" t="s">
        <v>1059</v>
      </c>
      <c r="O52" s="137">
        <v>873151.16</v>
      </c>
      <c r="P52" s="249">
        <v>983880.2</v>
      </c>
      <c r="Q52" s="249">
        <v>1065216.56</v>
      </c>
      <c r="R52" s="249">
        <v>914231.52</v>
      </c>
      <c r="S52" s="249">
        <v>636905.30000000005</v>
      </c>
      <c r="T52" s="249">
        <v>446207.83</v>
      </c>
      <c r="U52" s="249">
        <v>490917.73</v>
      </c>
      <c r="V52" s="249">
        <v>459769.35</v>
      </c>
      <c r="W52" s="249">
        <v>303161.46999999997</v>
      </c>
      <c r="X52" s="249">
        <v>516410.4</v>
      </c>
      <c r="Y52" s="249">
        <v>617141.61</v>
      </c>
      <c r="Z52" s="249">
        <v>901601.37</v>
      </c>
      <c r="AA52" s="249">
        <f t="shared" si="0"/>
        <v>8208594.5000000009</v>
      </c>
      <c r="AB52" s="138">
        <f t="shared" si="1"/>
        <v>0.86438948013014971</v>
      </c>
      <c r="AD52" s="139">
        <v>8563137.8200000003</v>
      </c>
      <c r="AE52" s="138">
        <f t="shared" si="2"/>
        <v>0.85755107212277804</v>
      </c>
      <c r="AF52" s="139">
        <f t="shared" si="3"/>
        <v>-354543.31999999937</v>
      </c>
      <c r="AG52" s="139">
        <v>8495346.5099999998</v>
      </c>
      <c r="AH52" s="138">
        <f t="shared" si="4"/>
        <v>0.8661656084140098</v>
      </c>
      <c r="AI52" s="269">
        <f t="shared" si="5"/>
        <v>-286752.00999999885</v>
      </c>
    </row>
    <row r="53" spans="1:35" x14ac:dyDescent="0.2">
      <c r="H53" s="10" t="s">
        <v>175</v>
      </c>
      <c r="I53" s="26" t="s">
        <v>1006</v>
      </c>
      <c r="J53" s="26" t="s">
        <v>78</v>
      </c>
      <c r="K53" s="8"/>
      <c r="L53" s="23"/>
      <c r="M53" s="24"/>
      <c r="N53" s="23" t="s">
        <v>175</v>
      </c>
      <c r="O53" s="76"/>
      <c r="P53" s="250"/>
      <c r="Q53" s="250"/>
      <c r="R53" s="250"/>
      <c r="S53" s="250"/>
      <c r="T53" s="250"/>
      <c r="U53" s="250"/>
      <c r="V53" s="250"/>
      <c r="W53" s="250"/>
      <c r="X53" s="250"/>
      <c r="Y53" s="250"/>
      <c r="Z53" s="250"/>
      <c r="AA53" s="250"/>
      <c r="AB53" s="78" t="str">
        <f t="shared" si="1"/>
        <v/>
      </c>
      <c r="AD53" s="77"/>
      <c r="AE53" s="78" t="str">
        <f t="shared" si="2"/>
        <v/>
      </c>
      <c r="AF53" s="77" t="str">
        <f t="shared" si="3"/>
        <v/>
      </c>
      <c r="AG53" s="77"/>
      <c r="AH53" s="78" t="str">
        <f t="shared" si="4"/>
        <v/>
      </c>
      <c r="AI53" s="270" t="str">
        <f t="shared" si="5"/>
        <v/>
      </c>
    </row>
    <row r="54" spans="1:35" x14ac:dyDescent="0.2">
      <c r="H54" s="10" t="s">
        <v>87</v>
      </c>
      <c r="I54" s="26" t="s">
        <v>1052</v>
      </c>
      <c r="J54" s="26" t="s">
        <v>78</v>
      </c>
      <c r="K54" s="8"/>
      <c r="L54" s="23"/>
      <c r="M54" s="24"/>
      <c r="N54" s="23" t="s">
        <v>1061</v>
      </c>
      <c r="O54" s="73">
        <v>153193</v>
      </c>
      <c r="P54" s="246">
        <v>258352</v>
      </c>
      <c r="Q54" s="246">
        <v>108699</v>
      </c>
      <c r="R54" s="246">
        <v>25733</v>
      </c>
      <c r="S54" s="246">
        <v>123458</v>
      </c>
      <c r="T54" s="246">
        <v>63950.86</v>
      </c>
      <c r="U54" s="246">
        <v>43861</v>
      </c>
      <c r="V54" s="246">
        <v>14301.52</v>
      </c>
      <c r="W54" s="246">
        <v>80503</v>
      </c>
      <c r="X54" s="246">
        <v>22792</v>
      </c>
      <c r="Y54" s="246">
        <v>64517</v>
      </c>
      <c r="Z54" s="246">
        <v>92069</v>
      </c>
      <c r="AA54" s="246">
        <f t="shared" ref="AA54:AA69" si="6">SUM(O54:Z54)</f>
        <v>1051429.3799999999</v>
      </c>
      <c r="AB54" s="75">
        <f t="shared" si="1"/>
        <v>0.11071864923669521</v>
      </c>
      <c r="AD54" s="74">
        <v>1091365</v>
      </c>
      <c r="AE54" s="75">
        <f t="shared" si="2"/>
        <v>0.10929419162697485</v>
      </c>
      <c r="AF54" s="74">
        <f t="shared" si="3"/>
        <v>-39935.620000000112</v>
      </c>
      <c r="AG54" s="74">
        <v>1082572.77</v>
      </c>
      <c r="AH54" s="75">
        <f t="shared" si="4"/>
        <v>0.11037658097591713</v>
      </c>
      <c r="AI54" s="266">
        <f t="shared" si="5"/>
        <v>-31143.39000000013</v>
      </c>
    </row>
    <row r="55" spans="1:35" x14ac:dyDescent="0.2">
      <c r="H55" s="10" t="s">
        <v>134</v>
      </c>
      <c r="I55" s="24" t="s">
        <v>1118</v>
      </c>
      <c r="J55" s="24" t="s">
        <v>78</v>
      </c>
      <c r="K55" s="24"/>
      <c r="L55" s="24">
        <v>401100</v>
      </c>
      <c r="M55" s="24"/>
      <c r="N55" s="24" t="s">
        <v>1061</v>
      </c>
      <c r="O55" s="82">
        <v>131555</v>
      </c>
      <c r="P55" s="247">
        <v>179591</v>
      </c>
      <c r="Q55" s="247">
        <v>49767</v>
      </c>
      <c r="R55" s="247">
        <v>9077</v>
      </c>
      <c r="S55" s="247">
        <v>123458</v>
      </c>
      <c r="T55" s="247">
        <v>58373.86</v>
      </c>
      <c r="U55" s="247">
        <v>43861</v>
      </c>
      <c r="V55" s="247">
        <v>9477</v>
      </c>
      <c r="W55" s="247">
        <v>62792</v>
      </c>
      <c r="X55" s="247">
        <v>22792</v>
      </c>
      <c r="Y55" s="247">
        <v>34849</v>
      </c>
      <c r="Z55" s="247">
        <v>92069</v>
      </c>
      <c r="AA55" s="247">
        <f t="shared" si="6"/>
        <v>817661.86</v>
      </c>
      <c r="AB55" s="84">
        <f t="shared" si="1"/>
        <v>8.6102232250314131E-2</v>
      </c>
      <c r="AD55" s="83">
        <v>750950</v>
      </c>
      <c r="AE55" s="84">
        <f t="shared" si="2"/>
        <v>7.5203504970634716E-2</v>
      </c>
      <c r="AF55" s="83">
        <f t="shared" si="3"/>
        <v>66711.859999999986</v>
      </c>
      <c r="AG55" s="83">
        <v>892083.79</v>
      </c>
      <c r="AH55" s="84">
        <f t="shared" si="4"/>
        <v>9.0954771275318563E-2</v>
      </c>
      <c r="AI55" s="267">
        <f t="shared" si="5"/>
        <v>-74421.930000000051</v>
      </c>
    </row>
    <row r="56" spans="1:35" x14ac:dyDescent="0.2">
      <c r="G56" s="13"/>
      <c r="H56" s="10" t="s">
        <v>135</v>
      </c>
      <c r="I56" s="24" t="s">
        <v>1118</v>
      </c>
      <c r="J56" s="24" t="s">
        <v>78</v>
      </c>
      <c r="K56" s="24"/>
      <c r="L56" s="24">
        <v>401500</v>
      </c>
      <c r="M56" s="24"/>
      <c r="N56" s="24" t="s">
        <v>1130</v>
      </c>
      <c r="O56" s="82">
        <v>21638</v>
      </c>
      <c r="P56" s="247">
        <v>78761</v>
      </c>
      <c r="Q56" s="247">
        <v>58932</v>
      </c>
      <c r="R56" s="247">
        <v>16656</v>
      </c>
      <c r="S56" s="247"/>
      <c r="T56" s="247">
        <v>5577</v>
      </c>
      <c r="U56" s="247"/>
      <c r="V56" s="247">
        <v>4824.5200000000004</v>
      </c>
      <c r="W56" s="247">
        <v>17711</v>
      </c>
      <c r="X56" s="247"/>
      <c r="Y56" s="247">
        <v>29668</v>
      </c>
      <c r="Z56" s="247"/>
      <c r="AA56" s="247">
        <f t="shared" si="6"/>
        <v>233767.52</v>
      </c>
      <c r="AB56" s="84">
        <f t="shared" si="1"/>
        <v>2.4616416986381083E-2</v>
      </c>
      <c r="AD56" s="83">
        <v>340415</v>
      </c>
      <c r="AE56" s="84">
        <f t="shared" si="2"/>
        <v>3.4090686656340123E-2</v>
      </c>
      <c r="AF56" s="83">
        <f t="shared" si="3"/>
        <v>-106647.48000000001</v>
      </c>
      <c r="AG56" s="83">
        <v>190488.98</v>
      </c>
      <c r="AH56" s="84">
        <f t="shared" si="4"/>
        <v>1.9421809700598563E-2</v>
      </c>
      <c r="AI56" s="267">
        <f t="shared" si="5"/>
        <v>43278.539999999979</v>
      </c>
    </row>
    <row r="57" spans="1:35" x14ac:dyDescent="0.2">
      <c r="H57" s="10" t="s">
        <v>88</v>
      </c>
      <c r="I57" s="26" t="s">
        <v>1052</v>
      </c>
      <c r="J57" s="26" t="s">
        <v>78</v>
      </c>
      <c r="K57" s="8"/>
      <c r="L57" s="23"/>
      <c r="M57" s="24"/>
      <c r="N57" s="23" t="s">
        <v>1062</v>
      </c>
      <c r="O57" s="73">
        <v>8523.35</v>
      </c>
      <c r="P57" s="246">
        <v>279.27999999999997</v>
      </c>
      <c r="Q57" s="246">
        <v>0.02</v>
      </c>
      <c r="R57" s="246">
        <v>0.05</v>
      </c>
      <c r="S57" s="246">
        <v>11495.01</v>
      </c>
      <c r="T57" s="246">
        <v>16526.689999999999</v>
      </c>
      <c r="U57" s="246">
        <v>75.02</v>
      </c>
      <c r="V57" s="246">
        <v>725</v>
      </c>
      <c r="W57" s="246">
        <v>31270</v>
      </c>
      <c r="X57" s="246">
        <v>62268</v>
      </c>
      <c r="Y57" s="246"/>
      <c r="Z57" s="246"/>
      <c r="AA57" s="246">
        <f t="shared" si="6"/>
        <v>131162.41999999998</v>
      </c>
      <c r="AB57" s="75">
        <f t="shared" si="1"/>
        <v>1.3811793972331357E-2</v>
      </c>
      <c r="AD57" s="74">
        <v>42740</v>
      </c>
      <c r="AE57" s="75">
        <f t="shared" si="2"/>
        <v>4.2801755142751552E-3</v>
      </c>
      <c r="AF57" s="74">
        <f t="shared" si="3"/>
        <v>88422.419999999984</v>
      </c>
      <c r="AG57" s="74">
        <v>38100.949999999997</v>
      </c>
      <c r="AH57" s="75">
        <f t="shared" si="4"/>
        <v>3.8846835145635236E-3</v>
      </c>
      <c r="AI57" s="266">
        <f t="shared" si="5"/>
        <v>93061.469999999987</v>
      </c>
    </row>
    <row r="58" spans="1:35" x14ac:dyDescent="0.2">
      <c r="H58" s="10" t="s">
        <v>136</v>
      </c>
      <c r="I58" s="24" t="s">
        <v>1118</v>
      </c>
      <c r="J58" s="24" t="s">
        <v>78</v>
      </c>
      <c r="K58" s="24"/>
      <c r="L58" s="24">
        <v>401400</v>
      </c>
      <c r="M58" s="24"/>
      <c r="N58" s="24" t="s">
        <v>1131</v>
      </c>
      <c r="O58" s="82">
        <v>8523.35</v>
      </c>
      <c r="P58" s="247">
        <v>279.27999999999997</v>
      </c>
      <c r="Q58" s="247">
        <v>0.02</v>
      </c>
      <c r="R58" s="247">
        <v>0.05</v>
      </c>
      <c r="S58" s="247">
        <v>0.01</v>
      </c>
      <c r="T58" s="247">
        <v>12974.03</v>
      </c>
      <c r="U58" s="247">
        <v>75.02</v>
      </c>
      <c r="V58" s="247">
        <v>725</v>
      </c>
      <c r="W58" s="247">
        <v>16222</v>
      </c>
      <c r="X58" s="247">
        <v>199</v>
      </c>
      <c r="Y58" s="247"/>
      <c r="Z58" s="247"/>
      <c r="AA58" s="247">
        <f t="shared" si="6"/>
        <v>38997.760000000002</v>
      </c>
      <c r="AB58" s="84">
        <f t="shared" si="1"/>
        <v>4.1065804252652929E-3</v>
      </c>
      <c r="AD58" s="83">
        <v>4975</v>
      </c>
      <c r="AE58" s="84">
        <f t="shared" si="2"/>
        <v>4.9821883910900551E-4</v>
      </c>
      <c r="AF58" s="83">
        <f t="shared" si="3"/>
        <v>34022.76</v>
      </c>
      <c r="AG58" s="83">
        <v>12971.95</v>
      </c>
      <c r="AH58" s="84">
        <f t="shared" si="4"/>
        <v>1.3225896025359553E-3</v>
      </c>
      <c r="AI58" s="267">
        <f t="shared" si="5"/>
        <v>26025.81</v>
      </c>
    </row>
    <row r="59" spans="1:35" x14ac:dyDescent="0.2">
      <c r="H59" s="10" t="s">
        <v>137</v>
      </c>
      <c r="I59" s="24" t="s">
        <v>1118</v>
      </c>
      <c r="J59" s="24" t="s">
        <v>78</v>
      </c>
      <c r="K59" s="24"/>
      <c r="L59" s="24">
        <v>401600</v>
      </c>
      <c r="M59" s="24"/>
      <c r="N59" s="24" t="s">
        <v>1132</v>
      </c>
      <c r="O59" s="82"/>
      <c r="P59" s="247"/>
      <c r="Q59" s="247"/>
      <c r="R59" s="247"/>
      <c r="S59" s="247">
        <v>11495</v>
      </c>
      <c r="T59" s="247">
        <v>3552.66</v>
      </c>
      <c r="U59" s="247"/>
      <c r="V59" s="247"/>
      <c r="W59" s="247">
        <v>15048</v>
      </c>
      <c r="X59" s="247">
        <v>62069</v>
      </c>
      <c r="Y59" s="247"/>
      <c r="Z59" s="247"/>
      <c r="AA59" s="247">
        <f t="shared" si="6"/>
        <v>92164.66</v>
      </c>
      <c r="AB59" s="84">
        <f t="shared" si="1"/>
        <v>9.7052135470660651E-3</v>
      </c>
      <c r="AD59" s="83">
        <v>37765</v>
      </c>
      <c r="AE59" s="84">
        <f t="shared" si="2"/>
        <v>3.7819566751661499E-3</v>
      </c>
      <c r="AF59" s="83">
        <f t="shared" si="3"/>
        <v>54399.66</v>
      </c>
      <c r="AG59" s="83">
        <v>25129</v>
      </c>
      <c r="AH59" s="84">
        <f t="shared" si="4"/>
        <v>2.5620939120275686E-3</v>
      </c>
      <c r="AI59" s="267">
        <f t="shared" si="5"/>
        <v>67035.66</v>
      </c>
    </row>
    <row r="60" spans="1:35" x14ac:dyDescent="0.2">
      <c r="H60" s="10" t="s">
        <v>89</v>
      </c>
      <c r="I60" s="26" t="s">
        <v>1052</v>
      </c>
      <c r="J60" s="26" t="s">
        <v>78</v>
      </c>
      <c r="K60" s="8"/>
      <c r="L60" s="23">
        <v>401800</v>
      </c>
      <c r="M60" s="24"/>
      <c r="N60" s="23" t="s">
        <v>1063</v>
      </c>
      <c r="O60" s="73"/>
      <c r="P60" s="246"/>
      <c r="Q60" s="246"/>
      <c r="R60" s="246"/>
      <c r="S60" s="246"/>
      <c r="T60" s="246"/>
      <c r="U60" s="246"/>
      <c r="V60" s="246"/>
      <c r="W60" s="246"/>
      <c r="X60" s="246"/>
      <c r="Y60" s="246"/>
      <c r="Z60" s="246"/>
      <c r="AA60" s="246">
        <f t="shared" si="6"/>
        <v>0</v>
      </c>
      <c r="AB60" s="75" t="str">
        <f t="shared" si="1"/>
        <v/>
      </c>
      <c r="AD60" s="74"/>
      <c r="AE60" s="75" t="str">
        <f t="shared" si="2"/>
        <v/>
      </c>
      <c r="AF60" s="74">
        <f t="shared" si="3"/>
        <v>0</v>
      </c>
      <c r="AG60" s="74"/>
      <c r="AH60" s="75" t="str">
        <f t="shared" si="4"/>
        <v/>
      </c>
      <c r="AI60" s="266">
        <f t="shared" si="5"/>
        <v>0</v>
      </c>
    </row>
    <row r="61" spans="1:35" x14ac:dyDescent="0.2">
      <c r="H61" s="10" t="s">
        <v>90</v>
      </c>
      <c r="I61" s="26" t="s">
        <v>1052</v>
      </c>
      <c r="J61" s="26" t="s">
        <v>78</v>
      </c>
      <c r="K61" s="8"/>
      <c r="L61" s="23"/>
      <c r="M61" s="24"/>
      <c r="N61" s="23" t="s">
        <v>1064</v>
      </c>
      <c r="O61" s="73">
        <v>6229</v>
      </c>
      <c r="P61" s="246"/>
      <c r="Q61" s="246"/>
      <c r="R61" s="246"/>
      <c r="S61" s="246"/>
      <c r="T61" s="246"/>
      <c r="U61" s="246"/>
      <c r="V61" s="246"/>
      <c r="W61" s="246"/>
      <c r="X61" s="246"/>
      <c r="Y61" s="246"/>
      <c r="Z61" s="246"/>
      <c r="AA61" s="246">
        <f t="shared" si="6"/>
        <v>6229</v>
      </c>
      <c r="AB61" s="75">
        <f t="shared" si="1"/>
        <v>6.5593227582757337E-4</v>
      </c>
      <c r="AD61" s="74">
        <v>43619</v>
      </c>
      <c r="AE61" s="75">
        <f t="shared" si="2"/>
        <v>4.3682025212252694E-3</v>
      </c>
      <c r="AF61" s="74">
        <f t="shared" si="3"/>
        <v>-37390</v>
      </c>
      <c r="AG61" s="74"/>
      <c r="AH61" s="75" t="str">
        <f t="shared" si="4"/>
        <v/>
      </c>
      <c r="AI61" s="266">
        <f t="shared" si="5"/>
        <v>6229</v>
      </c>
    </row>
    <row r="62" spans="1:35" x14ac:dyDescent="0.2">
      <c r="H62" s="10" t="s">
        <v>138</v>
      </c>
      <c r="I62" s="24" t="s">
        <v>1118</v>
      </c>
      <c r="J62" s="24" t="s">
        <v>78</v>
      </c>
      <c r="K62" s="24"/>
      <c r="L62" s="24">
        <v>401300</v>
      </c>
      <c r="M62" s="24"/>
      <c r="N62" s="24" t="s">
        <v>1133</v>
      </c>
      <c r="O62" s="82">
        <v>6229</v>
      </c>
      <c r="P62" s="247"/>
      <c r="Q62" s="247"/>
      <c r="R62" s="247"/>
      <c r="S62" s="247"/>
      <c r="T62" s="247"/>
      <c r="U62" s="247"/>
      <c r="V62" s="247"/>
      <c r="W62" s="247"/>
      <c r="X62" s="247"/>
      <c r="Y62" s="247"/>
      <c r="Z62" s="247"/>
      <c r="AA62" s="247">
        <f t="shared" si="6"/>
        <v>6229</v>
      </c>
      <c r="AB62" s="84">
        <f t="shared" si="1"/>
        <v>6.5593227582757337E-4</v>
      </c>
      <c r="AD62" s="83">
        <v>43619</v>
      </c>
      <c r="AE62" s="84">
        <f t="shared" si="2"/>
        <v>4.3682025212252694E-3</v>
      </c>
      <c r="AF62" s="83">
        <f t="shared" si="3"/>
        <v>-37390</v>
      </c>
      <c r="AG62" s="83"/>
      <c r="AH62" s="84" t="str">
        <f t="shared" si="4"/>
        <v/>
      </c>
      <c r="AI62" s="267">
        <f t="shared" si="5"/>
        <v>6229</v>
      </c>
    </row>
    <row r="63" spans="1:35" x14ac:dyDescent="0.2">
      <c r="H63" s="10" t="s">
        <v>139</v>
      </c>
      <c r="I63" s="24" t="s">
        <v>1118</v>
      </c>
      <c r="J63" s="24" t="s">
        <v>78</v>
      </c>
      <c r="K63" s="24"/>
      <c r="L63" s="24">
        <v>401330</v>
      </c>
      <c r="M63" s="24"/>
      <c r="N63" s="24" t="s">
        <v>1134</v>
      </c>
      <c r="O63" s="82"/>
      <c r="P63" s="247"/>
      <c r="Q63" s="247"/>
      <c r="R63" s="247"/>
      <c r="S63" s="247"/>
      <c r="T63" s="247"/>
      <c r="U63" s="247"/>
      <c r="V63" s="247"/>
      <c r="W63" s="247"/>
      <c r="X63" s="247"/>
      <c r="Y63" s="247"/>
      <c r="Z63" s="247"/>
      <c r="AA63" s="247">
        <f t="shared" si="6"/>
        <v>0</v>
      </c>
      <c r="AB63" s="84" t="str">
        <f t="shared" si="1"/>
        <v/>
      </c>
      <c r="AD63" s="83"/>
      <c r="AE63" s="84" t="str">
        <f t="shared" si="2"/>
        <v/>
      </c>
      <c r="AF63" s="83">
        <f t="shared" si="3"/>
        <v>0</v>
      </c>
      <c r="AG63" s="83"/>
      <c r="AH63" s="84" t="str">
        <f t="shared" si="4"/>
        <v/>
      </c>
      <c r="AI63" s="267">
        <f t="shared" si="5"/>
        <v>0</v>
      </c>
    </row>
    <row r="64" spans="1:35" x14ac:dyDescent="0.2">
      <c r="H64" s="10" t="s">
        <v>68</v>
      </c>
      <c r="I64" s="26" t="s">
        <v>1052</v>
      </c>
      <c r="J64" s="26" t="s">
        <v>78</v>
      </c>
      <c r="K64" s="8"/>
      <c r="L64" s="23">
        <v>401200</v>
      </c>
      <c r="M64" s="24"/>
      <c r="N64" s="23" t="s">
        <v>1065</v>
      </c>
      <c r="O64" s="79"/>
      <c r="P64" s="248"/>
      <c r="Q64" s="248"/>
      <c r="R64" s="248">
        <v>10825</v>
      </c>
      <c r="S64" s="248"/>
      <c r="T64" s="248"/>
      <c r="U64" s="248"/>
      <c r="V64" s="248">
        <v>1592</v>
      </c>
      <c r="W64" s="248"/>
      <c r="X64" s="248"/>
      <c r="Y64" s="248">
        <v>8142</v>
      </c>
      <c r="Z64" s="248"/>
      <c r="AA64" s="248">
        <f t="shared" si="6"/>
        <v>20559</v>
      </c>
      <c r="AB64" s="81">
        <f t="shared" si="1"/>
        <v>2.1649240100720954E-3</v>
      </c>
      <c r="AD64" s="80">
        <v>136525</v>
      </c>
      <c r="AE64" s="81">
        <f t="shared" si="2"/>
        <v>1.3672226534544118E-2</v>
      </c>
      <c r="AF64" s="80">
        <f t="shared" si="3"/>
        <v>-115966</v>
      </c>
      <c r="AG64" s="80">
        <v>76702.67</v>
      </c>
      <c r="AH64" s="81">
        <f t="shared" si="4"/>
        <v>7.8204243640120821E-3</v>
      </c>
      <c r="AI64" s="268">
        <f t="shared" si="5"/>
        <v>-56143.67</v>
      </c>
    </row>
    <row r="65" spans="7:35" x14ac:dyDescent="0.2">
      <c r="H65" s="10" t="s">
        <v>64</v>
      </c>
      <c r="I65" s="26" t="s">
        <v>1058</v>
      </c>
      <c r="J65" s="26" t="s">
        <v>78</v>
      </c>
      <c r="K65" s="8"/>
      <c r="L65" s="23">
        <v>401000</v>
      </c>
      <c r="M65" s="24"/>
      <c r="N65" s="23" t="s">
        <v>1066</v>
      </c>
      <c r="O65" s="137">
        <v>167945.35</v>
      </c>
      <c r="P65" s="249">
        <v>258631.28</v>
      </c>
      <c r="Q65" s="249">
        <v>108699.02</v>
      </c>
      <c r="R65" s="249">
        <v>36558.050000000003</v>
      </c>
      <c r="S65" s="249">
        <v>134953.01</v>
      </c>
      <c r="T65" s="249">
        <v>80477.55</v>
      </c>
      <c r="U65" s="249">
        <v>43936.02</v>
      </c>
      <c r="V65" s="249">
        <v>16618.52</v>
      </c>
      <c r="W65" s="249">
        <v>111773</v>
      </c>
      <c r="X65" s="249">
        <v>85060</v>
      </c>
      <c r="Y65" s="249">
        <v>72659</v>
      </c>
      <c r="Z65" s="249">
        <v>92069</v>
      </c>
      <c r="AA65" s="249">
        <f t="shared" si="6"/>
        <v>1209379.8000000003</v>
      </c>
      <c r="AB65" s="138">
        <f t="shared" si="1"/>
        <v>0.12735129949492627</v>
      </c>
      <c r="AD65" s="139">
        <v>1314249</v>
      </c>
      <c r="AE65" s="138">
        <f t="shared" si="2"/>
        <v>0.13161479619701938</v>
      </c>
      <c r="AF65" s="139">
        <f t="shared" si="3"/>
        <v>-104869.19999999972</v>
      </c>
      <c r="AG65" s="139">
        <v>1197376.3899999999</v>
      </c>
      <c r="AH65" s="138">
        <f t="shared" si="4"/>
        <v>0.12208168885449272</v>
      </c>
      <c r="AI65" s="269">
        <f t="shared" si="5"/>
        <v>12003.410000000382</v>
      </c>
    </row>
    <row r="66" spans="7:35" x14ac:dyDescent="0.2">
      <c r="H66" s="10" t="s">
        <v>140</v>
      </c>
      <c r="I66" s="24" t="s">
        <v>1118</v>
      </c>
      <c r="J66" s="24" t="s">
        <v>78</v>
      </c>
      <c r="K66" s="24"/>
      <c r="L66" s="24">
        <v>401700</v>
      </c>
      <c r="M66" s="24"/>
      <c r="N66" s="24" t="s">
        <v>1135</v>
      </c>
      <c r="O66" s="85"/>
      <c r="P66" s="251"/>
      <c r="Q66" s="251"/>
      <c r="R66" s="251"/>
      <c r="S66" s="251"/>
      <c r="T66" s="251"/>
      <c r="U66" s="251"/>
      <c r="V66" s="251"/>
      <c r="W66" s="251"/>
      <c r="X66" s="251"/>
      <c r="Y66" s="251"/>
      <c r="Z66" s="251"/>
      <c r="AA66" s="251">
        <f t="shared" si="6"/>
        <v>0</v>
      </c>
      <c r="AB66" s="86" t="str">
        <f t="shared" si="1"/>
        <v/>
      </c>
      <c r="AD66" s="71"/>
      <c r="AE66" s="86" t="str">
        <f t="shared" si="2"/>
        <v/>
      </c>
      <c r="AF66" s="71">
        <f t="shared" si="3"/>
        <v>0</v>
      </c>
      <c r="AG66" s="71"/>
      <c r="AH66" s="86" t="str">
        <f t="shared" si="4"/>
        <v/>
      </c>
      <c r="AI66" s="271">
        <f t="shared" si="5"/>
        <v>0</v>
      </c>
    </row>
    <row r="67" spans="7:35" x14ac:dyDescent="0.2">
      <c r="H67" s="10" t="s">
        <v>67</v>
      </c>
      <c r="I67" s="26" t="s">
        <v>1052</v>
      </c>
      <c r="J67" s="26" t="s">
        <v>78</v>
      </c>
      <c r="K67" s="8"/>
      <c r="L67" s="23">
        <v>403000</v>
      </c>
      <c r="M67" s="24"/>
      <c r="N67" s="23" t="s">
        <v>1068</v>
      </c>
      <c r="O67" s="73">
        <v>11403.47</v>
      </c>
      <c r="P67" s="246">
        <v>7310.84</v>
      </c>
      <c r="Q67" s="246">
        <v>11381.43</v>
      </c>
      <c r="R67" s="246">
        <v>5024.12</v>
      </c>
      <c r="S67" s="246">
        <v>8875.4599999999991</v>
      </c>
      <c r="T67" s="246">
        <v>7934.76</v>
      </c>
      <c r="U67" s="246">
        <v>9371.02</v>
      </c>
      <c r="V67" s="246">
        <v>6181.48</v>
      </c>
      <c r="W67" s="246">
        <v>8622.94</v>
      </c>
      <c r="X67" s="246">
        <v>10744.81</v>
      </c>
      <c r="Y67" s="246">
        <v>8508.26</v>
      </c>
      <c r="Z67" s="246">
        <v>10935.08</v>
      </c>
      <c r="AA67" s="246">
        <f t="shared" si="6"/>
        <v>106293.67</v>
      </c>
      <c r="AB67" s="75">
        <f t="shared" si="1"/>
        <v>1.1193040434927767E-2</v>
      </c>
      <c r="AD67" s="74">
        <v>145272</v>
      </c>
      <c r="AE67" s="75">
        <f t="shared" si="2"/>
        <v>1.4548190390963509E-2</v>
      </c>
      <c r="AF67" s="74">
        <f t="shared" si="3"/>
        <v>-38978.33</v>
      </c>
      <c r="AG67" s="74">
        <v>145974.13</v>
      </c>
      <c r="AH67" s="75">
        <f t="shared" si="4"/>
        <v>1.4883179982749847E-2</v>
      </c>
      <c r="AI67" s="266">
        <f t="shared" si="5"/>
        <v>-39680.460000000006</v>
      </c>
    </row>
    <row r="68" spans="7:35" x14ac:dyDescent="0.2">
      <c r="H68" s="10" t="s">
        <v>91</v>
      </c>
      <c r="I68" s="24" t="s">
        <v>1004</v>
      </c>
      <c r="J68" s="24" t="s">
        <v>1004</v>
      </c>
      <c r="K68" s="24"/>
      <c r="L68" s="24">
        <v>403990</v>
      </c>
      <c r="M68" s="24">
        <v>200529</v>
      </c>
      <c r="N68" s="24" t="s">
        <v>1069</v>
      </c>
      <c r="O68" s="87">
        <v>-1741.22</v>
      </c>
      <c r="P68" s="252">
        <v>-1025.6099999999999</v>
      </c>
      <c r="Q68" s="252">
        <v>-1058.22</v>
      </c>
      <c r="R68" s="252">
        <v>-1626.32</v>
      </c>
      <c r="S68" s="252">
        <v>-3710.56</v>
      </c>
      <c r="T68" s="252">
        <v>-3639.44</v>
      </c>
      <c r="U68" s="252">
        <v>-3073.46</v>
      </c>
      <c r="V68" s="252">
        <v>-1723.49</v>
      </c>
      <c r="W68" s="252">
        <v>-2501.6799999999998</v>
      </c>
      <c r="X68" s="252">
        <v>-1993.38</v>
      </c>
      <c r="Y68" s="252">
        <v>-3049.66</v>
      </c>
      <c r="Z68" s="252">
        <v>-2717.71</v>
      </c>
      <c r="AA68" s="252">
        <f t="shared" si="6"/>
        <v>-27860.750000000004</v>
      </c>
      <c r="AB68" s="101">
        <f t="shared" si="1"/>
        <v>-2.9338200600037031E-3</v>
      </c>
      <c r="AD68" s="88">
        <v>-37087</v>
      </c>
      <c r="AE68" s="101">
        <f t="shared" si="2"/>
        <v>-3.7140587107609424E-3</v>
      </c>
      <c r="AF68" s="88">
        <f t="shared" si="3"/>
        <v>9226.2499999999964</v>
      </c>
      <c r="AG68" s="88">
        <v>-30703.7</v>
      </c>
      <c r="AH68" s="101">
        <f t="shared" si="4"/>
        <v>-3.1304772512523722E-3</v>
      </c>
      <c r="AI68" s="272">
        <f t="shared" si="5"/>
        <v>2842.9499999999971</v>
      </c>
    </row>
    <row r="69" spans="7:35" x14ac:dyDescent="0.2">
      <c r="G69" s="13"/>
      <c r="H69" s="10" t="s">
        <v>72</v>
      </c>
      <c r="I69" s="26" t="s">
        <v>1058</v>
      </c>
      <c r="J69" s="26" t="s">
        <v>78</v>
      </c>
      <c r="K69" s="8"/>
      <c r="L69" s="23"/>
      <c r="M69" s="24"/>
      <c r="N69" s="23" t="s">
        <v>1070</v>
      </c>
      <c r="O69" s="137">
        <v>1050758.76</v>
      </c>
      <c r="P69" s="249">
        <v>1248796.71</v>
      </c>
      <c r="Q69" s="249">
        <v>1184238.79</v>
      </c>
      <c r="R69" s="249">
        <v>954187.37</v>
      </c>
      <c r="S69" s="249">
        <v>777023.21</v>
      </c>
      <c r="T69" s="249">
        <v>530980.69999999995</v>
      </c>
      <c r="U69" s="249">
        <v>541151.31000000006</v>
      </c>
      <c r="V69" s="249">
        <v>480845.86</v>
      </c>
      <c r="W69" s="249">
        <v>421055.73</v>
      </c>
      <c r="X69" s="249">
        <v>610221.82999999996</v>
      </c>
      <c r="Y69" s="249">
        <v>695259.21</v>
      </c>
      <c r="Z69" s="249">
        <v>1001887.74</v>
      </c>
      <c r="AA69" s="249">
        <f t="shared" si="6"/>
        <v>9496407.2200000007</v>
      </c>
      <c r="AB69" s="138">
        <f t="shared" si="1"/>
        <v>1</v>
      </c>
      <c r="AD69" s="139">
        <v>9985571.8200000003</v>
      </c>
      <c r="AE69" s="138">
        <f t="shared" si="2"/>
        <v>1</v>
      </c>
      <c r="AF69" s="139">
        <f t="shared" si="3"/>
        <v>-489164.59999999963</v>
      </c>
      <c r="AG69" s="139">
        <v>9807993.3300000001</v>
      </c>
      <c r="AH69" s="138">
        <f t="shared" si="4"/>
        <v>1</v>
      </c>
      <c r="AI69" s="269">
        <f t="shared" si="5"/>
        <v>-311586.1099999994</v>
      </c>
    </row>
    <row r="70" spans="7:35" x14ac:dyDescent="0.2">
      <c r="G70" s="13"/>
      <c r="H70" s="69"/>
      <c r="O70" s="50"/>
      <c r="AB70" s="51"/>
      <c r="AD70" s="50"/>
      <c r="AF70" s="51"/>
      <c r="AG70" s="50"/>
      <c r="AI70" s="51"/>
    </row>
    <row r="71" spans="7:35" x14ac:dyDescent="0.2">
      <c r="G71" s="13"/>
      <c r="H71" s="1" t="s">
        <v>173</v>
      </c>
      <c r="I71" s="11" t="s">
        <v>1040</v>
      </c>
      <c r="J71" s="11" t="s">
        <v>78</v>
      </c>
      <c r="N71" s="37" t="s">
        <v>1136</v>
      </c>
      <c r="O71" s="50"/>
      <c r="AB71" s="281" t="s">
        <v>742</v>
      </c>
      <c r="AD71" s="50"/>
      <c r="AF71" s="51"/>
      <c r="AG71" s="50"/>
      <c r="AI71" s="51"/>
    </row>
    <row r="72" spans="7:35" x14ac:dyDescent="0.2">
      <c r="H72" s="10" t="s">
        <v>142</v>
      </c>
      <c r="I72" s="26" t="s">
        <v>1007</v>
      </c>
      <c r="J72" s="26" t="s">
        <v>78</v>
      </c>
      <c r="K72" s="65"/>
      <c r="L72" s="23"/>
      <c r="M72" s="24"/>
      <c r="N72" s="23" t="s">
        <v>1053</v>
      </c>
      <c r="O72" s="73">
        <v>1410</v>
      </c>
      <c r="P72" s="246">
        <v>1032</v>
      </c>
      <c r="Q72" s="246">
        <v>1339</v>
      </c>
      <c r="R72" s="246">
        <v>1302</v>
      </c>
      <c r="S72" s="246">
        <v>1530</v>
      </c>
      <c r="T72" s="246">
        <v>1188</v>
      </c>
      <c r="U72" s="246">
        <v>1296</v>
      </c>
      <c r="V72" s="246">
        <v>1520</v>
      </c>
      <c r="W72" s="246">
        <v>956</v>
      </c>
      <c r="X72" s="246">
        <v>1132</v>
      </c>
      <c r="Y72" s="246">
        <v>1339</v>
      </c>
      <c r="Z72" s="246">
        <v>1421</v>
      </c>
      <c r="AA72" s="246">
        <f t="shared" ref="AA72:AA116" si="7">SUM(O72:Z72)</f>
        <v>15465</v>
      </c>
      <c r="AB72" s="103">
        <f t="shared" ref="AB72:AB116" si="8">IF($H72="907300",TEXT(IFERROR(AA72/AA$20,""),"0.00"),IF(AA72=0,"",IFERROR(AA72/AA$20,"")))</f>
        <v>0.38213491475166789</v>
      </c>
      <c r="AD72" s="74">
        <v>15324</v>
      </c>
      <c r="AE72" s="103">
        <f t="shared" ref="AE72:AE116" si="9">IF($H72="907300",TEXT(IFERROR(AD72/AD$20,""),"0.00"),IF(AD72=0,"",IFERROR(AD72/AD$20,"""")))</f>
        <v>0.38090030076309311</v>
      </c>
      <c r="AF72" s="74">
        <f t="shared" ref="AF72:AF116" si="10">IF(AND($AA72="",AD72=""),"",$AA72-AD72)</f>
        <v>141</v>
      </c>
      <c r="AG72" s="74">
        <v>16060</v>
      </c>
      <c r="AH72" s="103">
        <f t="shared" ref="AH72:AH116" si="11">IF($H72="907300",TEXT(IFERROR(AG72/AG$20,""),"0.00"),IF(AG72=0,"",IFERROR(AG72/AG$20,"""")))</f>
        <v>0.40264754550468834</v>
      </c>
      <c r="AI72" s="266">
        <f t="shared" ref="AI72:AI116" si="12">IF(AND($AA72="",AG72=""),"",$AA72-AG72)</f>
        <v>-595</v>
      </c>
    </row>
    <row r="73" spans="7:35" x14ac:dyDescent="0.2">
      <c r="H73" s="10" t="s">
        <v>143</v>
      </c>
      <c r="I73" s="24" t="s">
        <v>1004</v>
      </c>
      <c r="J73" s="24" t="s">
        <v>1004</v>
      </c>
      <c r="K73" s="24"/>
      <c r="L73" s="24">
        <v>902100</v>
      </c>
      <c r="M73" s="24">
        <v>991768</v>
      </c>
      <c r="N73" s="24" t="s">
        <v>1119</v>
      </c>
      <c r="O73" s="82">
        <v>168</v>
      </c>
      <c r="P73" s="247">
        <v>237</v>
      </c>
      <c r="Q73" s="247">
        <v>183</v>
      </c>
      <c r="R73" s="247">
        <v>46</v>
      </c>
      <c r="S73" s="247">
        <v>140</v>
      </c>
      <c r="T73" s="247">
        <v>139</v>
      </c>
      <c r="U73" s="247">
        <v>161</v>
      </c>
      <c r="V73" s="247">
        <v>79</v>
      </c>
      <c r="W73" s="247">
        <v>84</v>
      </c>
      <c r="X73" s="247">
        <v>80</v>
      </c>
      <c r="Y73" s="247">
        <v>71</v>
      </c>
      <c r="Z73" s="247">
        <v>78</v>
      </c>
      <c r="AA73" s="247">
        <f t="shared" si="7"/>
        <v>1466</v>
      </c>
      <c r="AB73" s="104">
        <f t="shared" si="8"/>
        <v>3.622436372621695E-2</v>
      </c>
      <c r="AD73" s="83">
        <v>2509</v>
      </c>
      <c r="AE73" s="104">
        <f t="shared" si="9"/>
        <v>6.2364843031493124E-2</v>
      </c>
      <c r="AF73" s="83">
        <f t="shared" si="10"/>
        <v>-1043</v>
      </c>
      <c r="AG73" s="83">
        <v>2348</v>
      </c>
      <c r="AH73" s="104">
        <f t="shared" si="11"/>
        <v>5.8867773153487436E-2</v>
      </c>
      <c r="AI73" s="267">
        <f t="shared" si="12"/>
        <v>-882</v>
      </c>
    </row>
    <row r="74" spans="7:35" x14ac:dyDescent="0.2">
      <c r="H74" s="10" t="s">
        <v>144</v>
      </c>
      <c r="I74" s="24" t="s">
        <v>1004</v>
      </c>
      <c r="J74" s="24" t="s">
        <v>1004</v>
      </c>
      <c r="K74" s="24"/>
      <c r="L74" s="24">
        <v>902130</v>
      </c>
      <c r="M74" s="24">
        <v>991755</v>
      </c>
      <c r="N74" s="24" t="s">
        <v>1120</v>
      </c>
      <c r="O74" s="82">
        <v>1242</v>
      </c>
      <c r="P74" s="247">
        <v>795</v>
      </c>
      <c r="Q74" s="247">
        <v>1156</v>
      </c>
      <c r="R74" s="247">
        <v>1256</v>
      </c>
      <c r="S74" s="247">
        <v>1390</v>
      </c>
      <c r="T74" s="247">
        <v>1049</v>
      </c>
      <c r="U74" s="247">
        <v>1135</v>
      </c>
      <c r="V74" s="247">
        <v>1441</v>
      </c>
      <c r="W74" s="247">
        <v>872</v>
      </c>
      <c r="X74" s="247">
        <v>1052</v>
      </c>
      <c r="Y74" s="247">
        <v>1268</v>
      </c>
      <c r="Z74" s="247">
        <v>1343</v>
      </c>
      <c r="AA74" s="247">
        <f t="shared" si="7"/>
        <v>13999</v>
      </c>
      <c r="AB74" s="104">
        <f t="shared" si="8"/>
        <v>0.34591055102545093</v>
      </c>
      <c r="AD74" s="83">
        <v>12815</v>
      </c>
      <c r="AE74" s="104">
        <f t="shared" si="9"/>
        <v>0.31853545773160002</v>
      </c>
      <c r="AF74" s="83">
        <f t="shared" si="10"/>
        <v>1184</v>
      </c>
      <c r="AG74" s="83">
        <v>13712</v>
      </c>
      <c r="AH74" s="104">
        <f t="shared" si="11"/>
        <v>0.34377977235120094</v>
      </c>
      <c r="AI74" s="267">
        <f t="shared" si="12"/>
        <v>287</v>
      </c>
    </row>
    <row r="75" spans="7:35" x14ac:dyDescent="0.2">
      <c r="H75" s="10" t="s">
        <v>145</v>
      </c>
      <c r="I75" s="26" t="s">
        <v>1007</v>
      </c>
      <c r="J75" s="26" t="s">
        <v>78</v>
      </c>
      <c r="K75" s="65"/>
      <c r="L75" s="23"/>
      <c r="M75" s="24"/>
      <c r="N75" s="23" t="s">
        <v>1054</v>
      </c>
      <c r="O75" s="73">
        <v>1002</v>
      </c>
      <c r="P75" s="246">
        <v>1111</v>
      </c>
      <c r="Q75" s="246">
        <v>1517</v>
      </c>
      <c r="R75" s="246">
        <v>1615</v>
      </c>
      <c r="S75" s="246">
        <v>1263</v>
      </c>
      <c r="T75" s="246">
        <v>1159</v>
      </c>
      <c r="U75" s="246">
        <v>1275</v>
      </c>
      <c r="V75" s="246">
        <v>1164</v>
      </c>
      <c r="W75" s="246">
        <v>933</v>
      </c>
      <c r="X75" s="246">
        <v>1233</v>
      </c>
      <c r="Y75" s="246">
        <v>1424</v>
      </c>
      <c r="Z75" s="246">
        <v>1546</v>
      </c>
      <c r="AA75" s="246">
        <f t="shared" si="7"/>
        <v>15242</v>
      </c>
      <c r="AB75" s="103">
        <f t="shared" si="8"/>
        <v>0.37662466024215469</v>
      </c>
      <c r="AD75" s="74">
        <v>14115</v>
      </c>
      <c r="AE75" s="103">
        <f t="shared" si="9"/>
        <v>0.35084884790335813</v>
      </c>
      <c r="AF75" s="74">
        <f t="shared" si="10"/>
        <v>1127</v>
      </c>
      <c r="AG75" s="74">
        <v>13583</v>
      </c>
      <c r="AH75" s="103">
        <f t="shared" si="11"/>
        <v>0.34054555483126914</v>
      </c>
      <c r="AI75" s="266">
        <f t="shared" si="12"/>
        <v>1659</v>
      </c>
    </row>
    <row r="76" spans="7:35" x14ac:dyDescent="0.2">
      <c r="G76" s="13"/>
      <c r="H76" s="10" t="s">
        <v>146</v>
      </c>
      <c r="I76" s="24" t="s">
        <v>1004</v>
      </c>
      <c r="J76" s="24" t="s">
        <v>1004</v>
      </c>
      <c r="K76" s="24"/>
      <c r="L76" s="24">
        <v>902530</v>
      </c>
      <c r="M76" s="24">
        <v>991014</v>
      </c>
      <c r="N76" s="24" t="s">
        <v>1121</v>
      </c>
      <c r="O76" s="82">
        <v>27</v>
      </c>
      <c r="P76" s="247">
        <v>27</v>
      </c>
      <c r="Q76" s="247">
        <v>12</v>
      </c>
      <c r="R76" s="247">
        <v>10</v>
      </c>
      <c r="S76" s="247">
        <v>23</v>
      </c>
      <c r="T76" s="247">
        <v>10</v>
      </c>
      <c r="U76" s="247">
        <v>29</v>
      </c>
      <c r="V76" s="247">
        <v>28</v>
      </c>
      <c r="W76" s="247">
        <v>24</v>
      </c>
      <c r="X76" s="247">
        <v>31</v>
      </c>
      <c r="Y76" s="247">
        <v>54</v>
      </c>
      <c r="Z76" s="247">
        <v>27</v>
      </c>
      <c r="AA76" s="247">
        <f t="shared" si="7"/>
        <v>302</v>
      </c>
      <c r="AB76" s="104">
        <f t="shared" si="8"/>
        <v>7.4623177662466022E-3</v>
      </c>
      <c r="AD76" s="83">
        <v>430</v>
      </c>
      <c r="AE76" s="104">
        <f t="shared" si="9"/>
        <v>1.0688275210658448E-2</v>
      </c>
      <c r="AF76" s="83">
        <f t="shared" si="10"/>
        <v>-128</v>
      </c>
      <c r="AG76" s="83">
        <v>384</v>
      </c>
      <c r="AH76" s="104">
        <f t="shared" si="11"/>
        <v>9.6274381988667706E-3</v>
      </c>
      <c r="AI76" s="267">
        <f t="shared" si="12"/>
        <v>-82</v>
      </c>
    </row>
    <row r="77" spans="7:35" x14ac:dyDescent="0.2">
      <c r="G77" s="13"/>
      <c r="H77" s="10" t="s">
        <v>147</v>
      </c>
      <c r="I77" s="24" t="s">
        <v>1004</v>
      </c>
      <c r="J77" s="24" t="s">
        <v>1004</v>
      </c>
      <c r="K77" s="24"/>
      <c r="L77" s="24">
        <v>902500</v>
      </c>
      <c r="M77" s="24">
        <v>991759</v>
      </c>
      <c r="N77" s="24" t="s">
        <v>1122</v>
      </c>
      <c r="O77" s="82">
        <v>119</v>
      </c>
      <c r="P77" s="247">
        <v>74</v>
      </c>
      <c r="Q77" s="247">
        <v>131</v>
      </c>
      <c r="R77" s="247">
        <v>112</v>
      </c>
      <c r="S77" s="247">
        <v>74</v>
      </c>
      <c r="T77" s="247">
        <v>44</v>
      </c>
      <c r="U77" s="247">
        <v>90</v>
      </c>
      <c r="V77" s="247">
        <v>82</v>
      </c>
      <c r="W77" s="247">
        <v>100</v>
      </c>
      <c r="X77" s="247">
        <v>51</v>
      </c>
      <c r="Y77" s="247">
        <v>58</v>
      </c>
      <c r="Z77" s="247">
        <v>70</v>
      </c>
      <c r="AA77" s="247">
        <f t="shared" si="7"/>
        <v>1005</v>
      </c>
      <c r="AB77" s="104">
        <f t="shared" si="8"/>
        <v>2.4833209785025945E-2</v>
      </c>
      <c r="AD77" s="83">
        <v>1160</v>
      </c>
      <c r="AE77" s="104">
        <f t="shared" si="9"/>
        <v>2.8833486614799533E-2</v>
      </c>
      <c r="AF77" s="83">
        <f t="shared" si="10"/>
        <v>-155</v>
      </c>
      <c r="AG77" s="83">
        <v>845</v>
      </c>
      <c r="AH77" s="104">
        <f t="shared" si="11"/>
        <v>2.1185378328235471E-2</v>
      </c>
      <c r="AI77" s="267">
        <f t="shared" si="12"/>
        <v>160</v>
      </c>
    </row>
    <row r="78" spans="7:35" x14ac:dyDescent="0.2">
      <c r="H78" s="10" t="s">
        <v>148</v>
      </c>
      <c r="I78" s="24" t="s">
        <v>1004</v>
      </c>
      <c r="J78" s="24" t="s">
        <v>1004</v>
      </c>
      <c r="K78" s="24"/>
      <c r="L78" s="24">
        <v>902540</v>
      </c>
      <c r="M78" s="24">
        <v>991762</v>
      </c>
      <c r="N78" s="24" t="s">
        <v>1123</v>
      </c>
      <c r="O78" s="82">
        <v>305</v>
      </c>
      <c r="P78" s="247">
        <v>302</v>
      </c>
      <c r="Q78" s="247">
        <v>415</v>
      </c>
      <c r="R78" s="247">
        <v>349</v>
      </c>
      <c r="S78" s="247">
        <v>435</v>
      </c>
      <c r="T78" s="247">
        <v>458</v>
      </c>
      <c r="U78" s="247">
        <v>459</v>
      </c>
      <c r="V78" s="247">
        <v>327</v>
      </c>
      <c r="W78" s="247">
        <v>269</v>
      </c>
      <c r="X78" s="247">
        <v>344</v>
      </c>
      <c r="Y78" s="247">
        <v>487</v>
      </c>
      <c r="Z78" s="247">
        <v>556</v>
      </c>
      <c r="AA78" s="247">
        <f t="shared" si="7"/>
        <v>4706</v>
      </c>
      <c r="AB78" s="104">
        <f t="shared" si="8"/>
        <v>0.11628366691376328</v>
      </c>
      <c r="AD78" s="83">
        <v>3322</v>
      </c>
      <c r="AE78" s="104">
        <f t="shared" si="9"/>
        <v>8.257314011583107E-2</v>
      </c>
      <c r="AF78" s="83">
        <f t="shared" si="10"/>
        <v>1384</v>
      </c>
      <c r="AG78" s="83">
        <v>3051</v>
      </c>
      <c r="AH78" s="104">
        <f t="shared" si="11"/>
        <v>7.6493005064433642E-2</v>
      </c>
      <c r="AI78" s="267">
        <f t="shared" si="12"/>
        <v>1655</v>
      </c>
    </row>
    <row r="79" spans="7:35" x14ac:dyDescent="0.2">
      <c r="H79" s="10" t="s">
        <v>149</v>
      </c>
      <c r="I79" s="24" t="s">
        <v>1004</v>
      </c>
      <c r="J79" s="24" t="s">
        <v>1004</v>
      </c>
      <c r="K79" s="24"/>
      <c r="L79" s="24">
        <v>902550</v>
      </c>
      <c r="M79" s="24">
        <v>991764</v>
      </c>
      <c r="N79" s="24" t="s">
        <v>1124</v>
      </c>
      <c r="O79" s="82">
        <v>23</v>
      </c>
      <c r="P79" s="247">
        <v>4</v>
      </c>
      <c r="Q79" s="247">
        <v>2</v>
      </c>
      <c r="R79" s="247">
        <v>3</v>
      </c>
      <c r="S79" s="247"/>
      <c r="T79" s="247"/>
      <c r="U79" s="247"/>
      <c r="V79" s="247"/>
      <c r="W79" s="247"/>
      <c r="X79" s="247"/>
      <c r="Y79" s="247">
        <v>4</v>
      </c>
      <c r="Z79" s="247">
        <v>2</v>
      </c>
      <c r="AA79" s="247">
        <f t="shared" si="7"/>
        <v>38</v>
      </c>
      <c r="AB79" s="104">
        <f t="shared" si="8"/>
        <v>9.3896713615023472E-4</v>
      </c>
      <c r="AD79" s="83">
        <v>2</v>
      </c>
      <c r="AE79" s="104">
        <f t="shared" si="9"/>
        <v>4.9712907956550921E-5</v>
      </c>
      <c r="AF79" s="83">
        <f t="shared" si="10"/>
        <v>36</v>
      </c>
      <c r="AG79" s="83">
        <v>842</v>
      </c>
      <c r="AH79" s="104">
        <f t="shared" si="11"/>
        <v>2.1110163967306826E-2</v>
      </c>
      <c r="AI79" s="267">
        <f t="shared" si="12"/>
        <v>-804</v>
      </c>
    </row>
    <row r="80" spans="7:35" x14ac:dyDescent="0.2">
      <c r="H80" s="10" t="s">
        <v>150</v>
      </c>
      <c r="I80" s="24" t="s">
        <v>1004</v>
      </c>
      <c r="J80" s="24" t="s">
        <v>1004</v>
      </c>
      <c r="K80" s="24"/>
      <c r="L80" s="24">
        <v>902560</v>
      </c>
      <c r="M80" s="24">
        <v>991769</v>
      </c>
      <c r="N80" s="24" t="s">
        <v>1125</v>
      </c>
      <c r="O80" s="82">
        <v>528</v>
      </c>
      <c r="P80" s="247">
        <v>704</v>
      </c>
      <c r="Q80" s="247">
        <v>957</v>
      </c>
      <c r="R80" s="247">
        <v>1141</v>
      </c>
      <c r="S80" s="247">
        <v>731</v>
      </c>
      <c r="T80" s="247">
        <v>647</v>
      </c>
      <c r="U80" s="247">
        <v>697</v>
      </c>
      <c r="V80" s="247">
        <v>727</v>
      </c>
      <c r="W80" s="247">
        <v>540</v>
      </c>
      <c r="X80" s="247">
        <v>807</v>
      </c>
      <c r="Y80" s="247">
        <v>821</v>
      </c>
      <c r="Z80" s="247">
        <v>891</v>
      </c>
      <c r="AA80" s="247">
        <f t="shared" si="7"/>
        <v>9191</v>
      </c>
      <c r="AB80" s="104">
        <f t="shared" si="8"/>
        <v>0.22710649864096863</v>
      </c>
      <c r="AD80" s="83">
        <v>9201</v>
      </c>
      <c r="AE80" s="104">
        <f t="shared" si="9"/>
        <v>0.2287042330541125</v>
      </c>
      <c r="AF80" s="83">
        <f t="shared" si="10"/>
        <v>-10</v>
      </c>
      <c r="AG80" s="83">
        <v>8461</v>
      </c>
      <c r="AH80" s="104">
        <f t="shared" si="11"/>
        <v>0.2121295692724264</v>
      </c>
      <c r="AI80" s="267">
        <f t="shared" si="12"/>
        <v>730</v>
      </c>
    </row>
    <row r="81" spans="8:35" x14ac:dyDescent="0.2">
      <c r="H81" s="10" t="s">
        <v>151</v>
      </c>
      <c r="I81" s="24" t="s">
        <v>1004</v>
      </c>
      <c r="J81" s="24" t="s">
        <v>1004</v>
      </c>
      <c r="K81" s="24"/>
      <c r="L81" s="24">
        <v>902600</v>
      </c>
      <c r="M81" s="24">
        <v>991763</v>
      </c>
      <c r="N81" s="24" t="s">
        <v>1126</v>
      </c>
      <c r="O81" s="82"/>
      <c r="P81" s="247"/>
      <c r="Q81" s="247"/>
      <c r="R81" s="247"/>
      <c r="S81" s="247"/>
      <c r="T81" s="247"/>
      <c r="U81" s="247"/>
      <c r="V81" s="247"/>
      <c r="W81" s="247"/>
      <c r="X81" s="247"/>
      <c r="Y81" s="247"/>
      <c r="Z81" s="247"/>
      <c r="AA81" s="247">
        <f t="shared" si="7"/>
        <v>0</v>
      </c>
      <c r="AB81" s="104" t="str">
        <f t="shared" si="8"/>
        <v/>
      </c>
      <c r="AD81" s="83"/>
      <c r="AE81" s="104" t="str">
        <f t="shared" si="9"/>
        <v/>
      </c>
      <c r="AF81" s="83">
        <f t="shared" si="10"/>
        <v>0</v>
      </c>
      <c r="AG81" s="83"/>
      <c r="AH81" s="104" t="str">
        <f t="shared" si="11"/>
        <v/>
      </c>
      <c r="AI81" s="267">
        <f t="shared" si="12"/>
        <v>0</v>
      </c>
    </row>
    <row r="82" spans="8:35" x14ac:dyDescent="0.2">
      <c r="H82" s="10" t="s">
        <v>152</v>
      </c>
      <c r="I82" s="26" t="s">
        <v>1007</v>
      </c>
      <c r="J82" s="26" t="s">
        <v>78</v>
      </c>
      <c r="K82" s="65"/>
      <c r="L82" s="23"/>
      <c r="M82" s="24"/>
      <c r="N82" s="23" t="s">
        <v>1055</v>
      </c>
      <c r="O82" s="73">
        <v>362</v>
      </c>
      <c r="P82" s="246">
        <v>242</v>
      </c>
      <c r="Q82" s="246">
        <v>126</v>
      </c>
      <c r="R82" s="246">
        <v>84</v>
      </c>
      <c r="S82" s="246">
        <v>81</v>
      </c>
      <c r="T82" s="246">
        <v>48</v>
      </c>
      <c r="U82" s="246">
        <v>36</v>
      </c>
      <c r="V82" s="246">
        <v>29</v>
      </c>
      <c r="W82" s="246">
        <v>35</v>
      </c>
      <c r="X82" s="246">
        <v>145</v>
      </c>
      <c r="Y82" s="246">
        <v>170</v>
      </c>
      <c r="Z82" s="246">
        <v>96</v>
      </c>
      <c r="AA82" s="246">
        <f t="shared" si="7"/>
        <v>1454</v>
      </c>
      <c r="AB82" s="103">
        <f t="shared" si="8"/>
        <v>3.5927847788485297E-2</v>
      </c>
      <c r="AD82" s="74">
        <v>1387</v>
      </c>
      <c r="AE82" s="103">
        <f t="shared" si="9"/>
        <v>3.4475901667868063E-2</v>
      </c>
      <c r="AF82" s="74">
        <f t="shared" si="10"/>
        <v>67</v>
      </c>
      <c r="AG82" s="74">
        <v>1278</v>
      </c>
      <c r="AH82" s="103">
        <f t="shared" si="11"/>
        <v>3.2041317755603468E-2</v>
      </c>
      <c r="AI82" s="266">
        <f t="shared" si="12"/>
        <v>176</v>
      </c>
    </row>
    <row r="83" spans="8:35" x14ac:dyDescent="0.2">
      <c r="H83" s="10" t="s">
        <v>153</v>
      </c>
      <c r="I83" s="24" t="s">
        <v>1004</v>
      </c>
      <c r="J83" s="24" t="s">
        <v>1004</v>
      </c>
      <c r="K83" s="24"/>
      <c r="L83" s="24">
        <v>902300</v>
      </c>
      <c r="M83" s="24">
        <v>991757</v>
      </c>
      <c r="N83" s="24" t="s">
        <v>1127</v>
      </c>
      <c r="O83" s="82">
        <v>23</v>
      </c>
      <c r="P83" s="247">
        <v>35</v>
      </c>
      <c r="Q83" s="247">
        <v>14</v>
      </c>
      <c r="R83" s="247">
        <v>12</v>
      </c>
      <c r="S83" s="247">
        <v>4</v>
      </c>
      <c r="T83" s="247"/>
      <c r="U83" s="247">
        <v>5</v>
      </c>
      <c r="V83" s="247">
        <v>2</v>
      </c>
      <c r="W83" s="247">
        <v>9</v>
      </c>
      <c r="X83" s="247">
        <v>16</v>
      </c>
      <c r="Y83" s="247">
        <v>36</v>
      </c>
      <c r="Z83" s="247">
        <v>6</v>
      </c>
      <c r="AA83" s="247">
        <f t="shared" si="7"/>
        <v>162</v>
      </c>
      <c r="AB83" s="104">
        <f t="shared" si="8"/>
        <v>4.0029651593773167E-3</v>
      </c>
      <c r="AD83" s="83">
        <v>470</v>
      </c>
      <c r="AE83" s="104">
        <f t="shared" si="9"/>
        <v>1.1682533369789467E-2</v>
      </c>
      <c r="AF83" s="83">
        <f t="shared" si="10"/>
        <v>-308</v>
      </c>
      <c r="AG83" s="83">
        <v>367</v>
      </c>
      <c r="AH83" s="104">
        <f t="shared" si="11"/>
        <v>9.2012234869377728E-3</v>
      </c>
      <c r="AI83" s="267">
        <f t="shared" si="12"/>
        <v>-205</v>
      </c>
    </row>
    <row r="84" spans="8:35" x14ac:dyDescent="0.2">
      <c r="H84" s="10" t="s">
        <v>154</v>
      </c>
      <c r="I84" s="24" t="s">
        <v>1004</v>
      </c>
      <c r="J84" s="24" t="s">
        <v>1004</v>
      </c>
      <c r="K84" s="24"/>
      <c r="L84" s="24">
        <v>902350</v>
      </c>
      <c r="M84" s="24">
        <v>991758</v>
      </c>
      <c r="N84" s="24" t="s">
        <v>1128</v>
      </c>
      <c r="O84" s="82">
        <v>76</v>
      </c>
      <c r="P84" s="247">
        <v>50</v>
      </c>
      <c r="Q84" s="247">
        <v>55</v>
      </c>
      <c r="R84" s="247">
        <v>49</v>
      </c>
      <c r="S84" s="247">
        <v>24</v>
      </c>
      <c r="T84" s="247">
        <v>33</v>
      </c>
      <c r="U84" s="247">
        <v>16</v>
      </c>
      <c r="V84" s="247">
        <v>16</v>
      </c>
      <c r="W84" s="247">
        <v>16</v>
      </c>
      <c r="X84" s="247">
        <v>72</v>
      </c>
      <c r="Y84" s="247">
        <v>71</v>
      </c>
      <c r="Z84" s="247">
        <v>15</v>
      </c>
      <c r="AA84" s="247">
        <f t="shared" si="7"/>
        <v>493</v>
      </c>
      <c r="AB84" s="104">
        <f t="shared" si="8"/>
        <v>1.2181863108475414E-2</v>
      </c>
      <c r="AD84" s="83">
        <v>537</v>
      </c>
      <c r="AE84" s="104">
        <f t="shared" si="9"/>
        <v>1.3347915786333922E-2</v>
      </c>
      <c r="AF84" s="83">
        <f t="shared" si="10"/>
        <v>-44</v>
      </c>
      <c r="AG84" s="83">
        <v>553</v>
      </c>
      <c r="AH84" s="104">
        <f t="shared" si="11"/>
        <v>1.3864513864513865E-2</v>
      </c>
      <c r="AI84" s="267">
        <f t="shared" si="12"/>
        <v>-60</v>
      </c>
    </row>
    <row r="85" spans="8:35" x14ac:dyDescent="0.2">
      <c r="H85" s="10" t="s">
        <v>155</v>
      </c>
      <c r="I85" s="24" t="s">
        <v>1004</v>
      </c>
      <c r="J85" s="24" t="s">
        <v>1004</v>
      </c>
      <c r="K85" s="24"/>
      <c r="L85" s="24">
        <v>902200</v>
      </c>
      <c r="M85" s="24">
        <v>991756</v>
      </c>
      <c r="N85" s="24" t="s">
        <v>1129</v>
      </c>
      <c r="O85" s="82">
        <v>263</v>
      </c>
      <c r="P85" s="247">
        <v>157</v>
      </c>
      <c r="Q85" s="247">
        <v>57</v>
      </c>
      <c r="R85" s="247">
        <v>23</v>
      </c>
      <c r="S85" s="247">
        <v>53</v>
      </c>
      <c r="T85" s="247">
        <v>15</v>
      </c>
      <c r="U85" s="247">
        <v>15</v>
      </c>
      <c r="V85" s="247">
        <v>11</v>
      </c>
      <c r="W85" s="247">
        <v>10</v>
      </c>
      <c r="X85" s="247">
        <v>57</v>
      </c>
      <c r="Y85" s="247">
        <v>63</v>
      </c>
      <c r="Z85" s="247">
        <v>75</v>
      </c>
      <c r="AA85" s="247">
        <f t="shared" si="7"/>
        <v>799</v>
      </c>
      <c r="AB85" s="104">
        <f t="shared" si="8"/>
        <v>1.9743019520632569E-2</v>
      </c>
      <c r="AD85" s="83">
        <v>380</v>
      </c>
      <c r="AE85" s="104">
        <f t="shared" si="9"/>
        <v>9.4454525117446744E-3</v>
      </c>
      <c r="AF85" s="83">
        <f t="shared" si="10"/>
        <v>419</v>
      </c>
      <c r="AG85" s="83">
        <v>358</v>
      </c>
      <c r="AH85" s="104">
        <f t="shared" si="11"/>
        <v>8.9755804041518322E-3</v>
      </c>
      <c r="AI85" s="267">
        <f t="shared" si="12"/>
        <v>441</v>
      </c>
    </row>
    <row r="86" spans="8:35" x14ac:dyDescent="0.2">
      <c r="H86" s="10" t="s">
        <v>156</v>
      </c>
      <c r="I86" s="26" t="s">
        <v>1007</v>
      </c>
      <c r="J86" s="26" t="s">
        <v>78</v>
      </c>
      <c r="K86" s="65"/>
      <c r="L86" s="23"/>
      <c r="M86" s="24"/>
      <c r="N86" s="23" t="s">
        <v>1056</v>
      </c>
      <c r="O86" s="73">
        <v>129</v>
      </c>
      <c r="P86" s="246">
        <v>143</v>
      </c>
      <c r="Q86" s="246">
        <v>145</v>
      </c>
      <c r="R86" s="246">
        <v>167</v>
      </c>
      <c r="S86" s="246">
        <v>54</v>
      </c>
      <c r="T86" s="246">
        <v>96</v>
      </c>
      <c r="U86" s="246">
        <v>136</v>
      </c>
      <c r="V86" s="246">
        <v>93</v>
      </c>
      <c r="W86" s="246">
        <v>88</v>
      </c>
      <c r="X86" s="246">
        <v>105</v>
      </c>
      <c r="Y86" s="246">
        <v>90</v>
      </c>
      <c r="Z86" s="246">
        <v>102</v>
      </c>
      <c r="AA86" s="246">
        <f t="shared" si="7"/>
        <v>1348</v>
      </c>
      <c r="AB86" s="103">
        <f t="shared" si="8"/>
        <v>3.3308623671855699E-2</v>
      </c>
      <c r="AD86" s="74">
        <v>1129</v>
      </c>
      <c r="AE86" s="103">
        <f t="shared" si="9"/>
        <v>2.8062936541472995E-2</v>
      </c>
      <c r="AF86" s="74">
        <f t="shared" si="10"/>
        <v>219</v>
      </c>
      <c r="AG86" s="74">
        <v>1047</v>
      </c>
      <c r="AH86" s="103">
        <f t="shared" si="11"/>
        <v>2.6249811964097678E-2</v>
      </c>
      <c r="AI86" s="266">
        <f t="shared" si="12"/>
        <v>301</v>
      </c>
    </row>
    <row r="87" spans="8:35" x14ac:dyDescent="0.2">
      <c r="H87" s="10" t="s">
        <v>157</v>
      </c>
      <c r="I87" s="24" t="s">
        <v>1004</v>
      </c>
      <c r="J87" s="24" t="s">
        <v>1004</v>
      </c>
      <c r="K87" s="24"/>
      <c r="L87" s="24">
        <v>902700</v>
      </c>
      <c r="M87" s="24">
        <v>991770</v>
      </c>
      <c r="N87" s="24" t="s">
        <v>1056</v>
      </c>
      <c r="O87" s="82">
        <v>97</v>
      </c>
      <c r="P87" s="247">
        <v>114</v>
      </c>
      <c r="Q87" s="247">
        <v>107</v>
      </c>
      <c r="R87" s="247">
        <v>143</v>
      </c>
      <c r="S87" s="247">
        <v>47</v>
      </c>
      <c r="T87" s="247">
        <v>79</v>
      </c>
      <c r="U87" s="247">
        <v>112</v>
      </c>
      <c r="V87" s="247">
        <v>88</v>
      </c>
      <c r="W87" s="247">
        <v>65</v>
      </c>
      <c r="X87" s="247">
        <v>87</v>
      </c>
      <c r="Y87" s="247">
        <v>81</v>
      </c>
      <c r="Z87" s="247">
        <v>101</v>
      </c>
      <c r="AA87" s="247">
        <f t="shared" si="7"/>
        <v>1121</v>
      </c>
      <c r="AB87" s="104">
        <f t="shared" si="8"/>
        <v>2.7699530516431925E-2</v>
      </c>
      <c r="AD87" s="83">
        <v>960</v>
      </c>
      <c r="AE87" s="104">
        <f t="shared" si="9"/>
        <v>2.3862195819144442E-2</v>
      </c>
      <c r="AF87" s="83">
        <f t="shared" si="10"/>
        <v>161</v>
      </c>
      <c r="AG87" s="83">
        <v>874</v>
      </c>
      <c r="AH87" s="104">
        <f t="shared" si="11"/>
        <v>2.1912450483879055E-2</v>
      </c>
      <c r="AI87" s="267">
        <f t="shared" si="12"/>
        <v>247</v>
      </c>
    </row>
    <row r="88" spans="8:35" x14ac:dyDescent="0.2">
      <c r="H88" s="10" t="s">
        <v>158</v>
      </c>
      <c r="I88" s="24" t="s">
        <v>1004</v>
      </c>
      <c r="J88" s="24" t="s">
        <v>1004</v>
      </c>
      <c r="K88" s="24"/>
      <c r="L88" s="24">
        <v>902730</v>
      </c>
      <c r="M88" s="24">
        <v>991030</v>
      </c>
      <c r="N88" s="24" t="s">
        <v>1063</v>
      </c>
      <c r="O88" s="82">
        <v>32</v>
      </c>
      <c r="P88" s="247">
        <v>29</v>
      </c>
      <c r="Q88" s="247">
        <v>38</v>
      </c>
      <c r="R88" s="247">
        <v>24</v>
      </c>
      <c r="S88" s="247">
        <v>7</v>
      </c>
      <c r="T88" s="247">
        <v>17</v>
      </c>
      <c r="U88" s="247">
        <v>24</v>
      </c>
      <c r="V88" s="247">
        <v>5</v>
      </c>
      <c r="W88" s="247">
        <v>23</v>
      </c>
      <c r="X88" s="247">
        <v>18</v>
      </c>
      <c r="Y88" s="247">
        <v>9</v>
      </c>
      <c r="Z88" s="247">
        <v>1</v>
      </c>
      <c r="AA88" s="247">
        <f t="shared" si="7"/>
        <v>227</v>
      </c>
      <c r="AB88" s="104">
        <f t="shared" si="8"/>
        <v>5.609093155423771E-3</v>
      </c>
      <c r="AD88" s="83">
        <v>169</v>
      </c>
      <c r="AE88" s="104">
        <f t="shared" si="9"/>
        <v>4.2007407223285526E-3</v>
      </c>
      <c r="AF88" s="83">
        <f t="shared" si="10"/>
        <v>58</v>
      </c>
      <c r="AG88" s="83">
        <v>173</v>
      </c>
      <c r="AH88" s="104">
        <f t="shared" si="11"/>
        <v>4.3373614802186232E-3</v>
      </c>
      <c r="AI88" s="267">
        <f t="shared" si="12"/>
        <v>54</v>
      </c>
    </row>
    <row r="89" spans="8:35" x14ac:dyDescent="0.2">
      <c r="H89" s="10" t="s">
        <v>159</v>
      </c>
      <c r="I89" s="26" t="s">
        <v>1007</v>
      </c>
      <c r="J89" s="26" t="s">
        <v>1004</v>
      </c>
      <c r="K89" s="65"/>
      <c r="L89" s="23">
        <v>902400</v>
      </c>
      <c r="M89" s="24"/>
      <c r="N89" s="23" t="s">
        <v>1057</v>
      </c>
      <c r="O89" s="79">
        <v>181</v>
      </c>
      <c r="P89" s="248">
        <v>227</v>
      </c>
      <c r="Q89" s="248">
        <v>316</v>
      </c>
      <c r="R89" s="248">
        <v>391</v>
      </c>
      <c r="S89" s="248">
        <v>197</v>
      </c>
      <c r="T89" s="248">
        <v>124</v>
      </c>
      <c r="U89" s="248">
        <v>119</v>
      </c>
      <c r="V89" s="248">
        <v>122</v>
      </c>
      <c r="W89" s="248">
        <v>85</v>
      </c>
      <c r="X89" s="248">
        <v>113</v>
      </c>
      <c r="Y89" s="248">
        <v>138</v>
      </c>
      <c r="Z89" s="248">
        <v>99</v>
      </c>
      <c r="AA89" s="248">
        <f t="shared" si="7"/>
        <v>2112</v>
      </c>
      <c r="AB89" s="105">
        <f t="shared" si="8"/>
        <v>5.2186805040770938E-2</v>
      </c>
      <c r="AD89" s="80">
        <v>3490</v>
      </c>
      <c r="AE89" s="105">
        <f t="shared" si="9"/>
        <v>8.6749024384181347E-2</v>
      </c>
      <c r="AF89" s="80">
        <f t="shared" si="10"/>
        <v>-1378</v>
      </c>
      <c r="AG89" s="80">
        <v>3572</v>
      </c>
      <c r="AH89" s="105">
        <f t="shared" si="11"/>
        <v>8.9555232412375271E-2</v>
      </c>
      <c r="AI89" s="268">
        <f t="shared" si="12"/>
        <v>-1460</v>
      </c>
    </row>
    <row r="90" spans="8:35" x14ac:dyDescent="0.2">
      <c r="H90" s="10" t="s">
        <v>141</v>
      </c>
      <c r="I90" s="26" t="s">
        <v>1005</v>
      </c>
      <c r="J90" s="26" t="s">
        <v>78</v>
      </c>
      <c r="K90" s="65"/>
      <c r="L90" s="23">
        <v>902000</v>
      </c>
      <c r="M90" s="24"/>
      <c r="N90" s="23" t="s">
        <v>1137</v>
      </c>
      <c r="O90" s="137">
        <v>3084</v>
      </c>
      <c r="P90" s="249">
        <v>2755</v>
      </c>
      <c r="Q90" s="249">
        <v>3443</v>
      </c>
      <c r="R90" s="249">
        <v>3559</v>
      </c>
      <c r="S90" s="249">
        <v>3125</v>
      </c>
      <c r="T90" s="249">
        <v>2615</v>
      </c>
      <c r="U90" s="249">
        <v>2862</v>
      </c>
      <c r="V90" s="249">
        <v>2928</v>
      </c>
      <c r="W90" s="249">
        <v>2097</v>
      </c>
      <c r="X90" s="249">
        <v>2728</v>
      </c>
      <c r="Y90" s="249">
        <v>3161</v>
      </c>
      <c r="Z90" s="249">
        <v>3264</v>
      </c>
      <c r="AA90" s="249">
        <f t="shared" si="7"/>
        <v>35621</v>
      </c>
      <c r="AB90" s="140">
        <f t="shared" si="8"/>
        <v>0.88018285149493447</v>
      </c>
      <c r="AD90" s="139">
        <v>35445</v>
      </c>
      <c r="AE90" s="140">
        <f t="shared" si="9"/>
        <v>0.88103701125997369</v>
      </c>
      <c r="AF90" s="139">
        <f t="shared" si="10"/>
        <v>176</v>
      </c>
      <c r="AG90" s="139">
        <v>35540</v>
      </c>
      <c r="AH90" s="140">
        <f t="shared" si="11"/>
        <v>0.89103946246803389</v>
      </c>
      <c r="AI90" s="269">
        <f t="shared" si="12"/>
        <v>81</v>
      </c>
    </row>
    <row r="91" spans="8:35" x14ac:dyDescent="0.2">
      <c r="H91" s="10" t="s">
        <v>175</v>
      </c>
      <c r="I91" s="24" t="s">
        <v>1006</v>
      </c>
      <c r="J91" s="24" t="s">
        <v>78</v>
      </c>
      <c r="K91" s="24"/>
      <c r="L91" s="24"/>
      <c r="M91" s="24"/>
      <c r="N91" s="24" t="s">
        <v>175</v>
      </c>
      <c r="O91" s="76"/>
      <c r="P91" s="250"/>
      <c r="Q91" s="250"/>
      <c r="R91" s="250"/>
      <c r="S91" s="250"/>
      <c r="T91" s="250"/>
      <c r="U91" s="250"/>
      <c r="V91" s="250"/>
      <c r="W91" s="250"/>
      <c r="X91" s="250"/>
      <c r="Y91" s="250"/>
      <c r="Z91" s="250"/>
      <c r="AA91" s="250">
        <f t="shared" si="7"/>
        <v>0</v>
      </c>
      <c r="AB91" s="106" t="str">
        <f t="shared" si="8"/>
        <v/>
      </c>
      <c r="AD91" s="77"/>
      <c r="AE91" s="106" t="str">
        <f t="shared" si="9"/>
        <v/>
      </c>
      <c r="AF91" s="77">
        <f t="shared" si="10"/>
        <v>0</v>
      </c>
      <c r="AG91" s="77"/>
      <c r="AH91" s="106" t="str">
        <f t="shared" si="11"/>
        <v/>
      </c>
      <c r="AI91" s="270">
        <f t="shared" si="12"/>
        <v>0</v>
      </c>
    </row>
    <row r="92" spans="8:35" x14ac:dyDescent="0.2">
      <c r="H92" s="10" t="s">
        <v>161</v>
      </c>
      <c r="I92" s="26" t="s">
        <v>1007</v>
      </c>
      <c r="J92" s="26" t="s">
        <v>78</v>
      </c>
      <c r="K92" s="65"/>
      <c r="L92" s="23"/>
      <c r="M92" s="24"/>
      <c r="N92" s="23" t="s">
        <v>1061</v>
      </c>
      <c r="O92" s="73">
        <v>522</v>
      </c>
      <c r="P92" s="246">
        <v>802</v>
      </c>
      <c r="Q92" s="246">
        <v>350</v>
      </c>
      <c r="R92" s="246">
        <v>98</v>
      </c>
      <c r="S92" s="246">
        <v>291</v>
      </c>
      <c r="T92" s="246">
        <v>393</v>
      </c>
      <c r="U92" s="246">
        <v>154</v>
      </c>
      <c r="V92" s="246">
        <v>89</v>
      </c>
      <c r="W92" s="246">
        <v>376</v>
      </c>
      <c r="X92" s="246">
        <v>132</v>
      </c>
      <c r="Y92" s="246">
        <v>317</v>
      </c>
      <c r="Z92" s="246">
        <v>330</v>
      </c>
      <c r="AA92" s="246">
        <f t="shared" si="7"/>
        <v>3854</v>
      </c>
      <c r="AB92" s="103">
        <f t="shared" si="8"/>
        <v>9.5231035334815917E-2</v>
      </c>
      <c r="AD92" s="74">
        <v>3850</v>
      </c>
      <c r="AE92" s="103">
        <f t="shared" si="9"/>
        <v>9.5697347816360523E-2</v>
      </c>
      <c r="AF92" s="74">
        <f t="shared" si="10"/>
        <v>4</v>
      </c>
      <c r="AG92" s="74">
        <v>3623</v>
      </c>
      <c r="AH92" s="103">
        <f t="shared" si="11"/>
        <v>9.083387654816226E-2</v>
      </c>
      <c r="AI92" s="266">
        <f t="shared" si="12"/>
        <v>231</v>
      </c>
    </row>
    <row r="93" spans="8:35" x14ac:dyDescent="0.2">
      <c r="H93" s="10" t="s">
        <v>162</v>
      </c>
      <c r="I93" s="24" t="s">
        <v>1004</v>
      </c>
      <c r="J93" s="24" t="s">
        <v>1004</v>
      </c>
      <c r="K93" s="24"/>
      <c r="L93" s="24">
        <v>901100</v>
      </c>
      <c r="M93" s="24">
        <v>991704</v>
      </c>
      <c r="N93" s="24" t="s">
        <v>1061</v>
      </c>
      <c r="O93" s="82">
        <v>471</v>
      </c>
      <c r="P93" s="247">
        <v>616</v>
      </c>
      <c r="Q93" s="247">
        <v>179</v>
      </c>
      <c r="R93" s="247">
        <v>44</v>
      </c>
      <c r="S93" s="247">
        <v>291</v>
      </c>
      <c r="T93" s="247">
        <v>360</v>
      </c>
      <c r="U93" s="247">
        <v>154</v>
      </c>
      <c r="V93" s="247">
        <v>63</v>
      </c>
      <c r="W93" s="247">
        <v>288</v>
      </c>
      <c r="X93" s="247">
        <v>132</v>
      </c>
      <c r="Y93" s="247">
        <v>175</v>
      </c>
      <c r="Z93" s="247">
        <v>330</v>
      </c>
      <c r="AA93" s="247">
        <f t="shared" si="7"/>
        <v>3103</v>
      </c>
      <c r="AB93" s="104">
        <f t="shared" si="8"/>
        <v>7.6674079565109965E-2</v>
      </c>
      <c r="AD93" s="83">
        <v>2725</v>
      </c>
      <c r="AE93" s="104">
        <f t="shared" si="9"/>
        <v>6.7733837090800622E-2</v>
      </c>
      <c r="AF93" s="83">
        <f t="shared" si="10"/>
        <v>378</v>
      </c>
      <c r="AG93" s="83">
        <v>3008</v>
      </c>
      <c r="AH93" s="104">
        <f t="shared" si="11"/>
        <v>7.5414932557789707E-2</v>
      </c>
      <c r="AI93" s="267">
        <f t="shared" si="12"/>
        <v>95</v>
      </c>
    </row>
    <row r="94" spans="8:35" x14ac:dyDescent="0.2">
      <c r="H94" s="10" t="s">
        <v>163</v>
      </c>
      <c r="I94" s="24" t="s">
        <v>1004</v>
      </c>
      <c r="J94" s="24" t="s">
        <v>1004</v>
      </c>
      <c r="K94" s="24"/>
      <c r="L94" s="24">
        <v>901500</v>
      </c>
      <c r="M94" s="24">
        <v>991754</v>
      </c>
      <c r="N94" s="24" t="s">
        <v>1138</v>
      </c>
      <c r="O94" s="82">
        <v>51</v>
      </c>
      <c r="P94" s="247">
        <v>186</v>
      </c>
      <c r="Q94" s="247">
        <v>171</v>
      </c>
      <c r="R94" s="247">
        <v>54</v>
      </c>
      <c r="S94" s="247"/>
      <c r="T94" s="247">
        <v>33</v>
      </c>
      <c r="U94" s="247"/>
      <c r="V94" s="247">
        <v>26</v>
      </c>
      <c r="W94" s="247">
        <v>88</v>
      </c>
      <c r="X94" s="247"/>
      <c r="Y94" s="247">
        <v>142</v>
      </c>
      <c r="Z94" s="247"/>
      <c r="AA94" s="247">
        <f t="shared" si="7"/>
        <v>751</v>
      </c>
      <c r="AB94" s="104">
        <f t="shared" si="8"/>
        <v>1.8556955769705955E-2</v>
      </c>
      <c r="AD94" s="83">
        <v>1125</v>
      </c>
      <c r="AE94" s="104">
        <f t="shared" si="9"/>
        <v>2.796351072555989E-2</v>
      </c>
      <c r="AF94" s="83">
        <f t="shared" si="10"/>
        <v>-374</v>
      </c>
      <c r="AG94" s="83">
        <v>615</v>
      </c>
      <c r="AH94" s="104">
        <f t="shared" si="11"/>
        <v>1.5418943990372563E-2</v>
      </c>
      <c r="AI94" s="267">
        <f t="shared" si="12"/>
        <v>136</v>
      </c>
    </row>
    <row r="95" spans="8:35" x14ac:dyDescent="0.2">
      <c r="H95" s="10" t="s">
        <v>164</v>
      </c>
      <c r="I95" s="26" t="s">
        <v>1007</v>
      </c>
      <c r="J95" s="26" t="s">
        <v>78</v>
      </c>
      <c r="K95" s="65"/>
      <c r="L95" s="23"/>
      <c r="M95" s="24"/>
      <c r="N95" s="23" t="s">
        <v>1139</v>
      </c>
      <c r="O95" s="73">
        <v>27</v>
      </c>
      <c r="P95" s="246"/>
      <c r="Q95" s="246"/>
      <c r="R95" s="246"/>
      <c r="S95" s="246">
        <v>55</v>
      </c>
      <c r="T95" s="246">
        <v>94</v>
      </c>
      <c r="U95" s="246"/>
      <c r="V95" s="246">
        <v>5</v>
      </c>
      <c r="W95" s="246">
        <v>152</v>
      </c>
      <c r="X95" s="246">
        <v>313</v>
      </c>
      <c r="Y95" s="246"/>
      <c r="Z95" s="246"/>
      <c r="AA95" s="246">
        <f t="shared" si="7"/>
        <v>646</v>
      </c>
      <c r="AB95" s="103">
        <f t="shared" si="8"/>
        <v>1.5962441314553991E-2</v>
      </c>
      <c r="AD95" s="74">
        <v>260</v>
      </c>
      <c r="AE95" s="103">
        <f t="shared" si="9"/>
        <v>6.4626780343516191E-3</v>
      </c>
      <c r="AF95" s="74">
        <f t="shared" si="10"/>
        <v>386</v>
      </c>
      <c r="AG95" s="74">
        <v>236</v>
      </c>
      <c r="AH95" s="103">
        <f t="shared" si="11"/>
        <v>5.9168630597202024E-3</v>
      </c>
      <c r="AI95" s="266">
        <f t="shared" si="12"/>
        <v>410</v>
      </c>
    </row>
    <row r="96" spans="8:35" x14ac:dyDescent="0.2">
      <c r="H96" s="10" t="s">
        <v>165</v>
      </c>
      <c r="I96" s="24" t="s">
        <v>1004</v>
      </c>
      <c r="J96" s="24" t="s">
        <v>1004</v>
      </c>
      <c r="K96" s="24"/>
      <c r="L96" s="24">
        <v>901200</v>
      </c>
      <c r="M96" s="24">
        <v>991715</v>
      </c>
      <c r="N96" s="24" t="s">
        <v>1131</v>
      </c>
      <c r="O96" s="82">
        <v>27</v>
      </c>
      <c r="P96" s="247"/>
      <c r="Q96" s="247"/>
      <c r="R96" s="247"/>
      <c r="S96" s="247"/>
      <c r="T96" s="247">
        <v>67</v>
      </c>
      <c r="U96" s="247"/>
      <c r="V96" s="247">
        <v>5</v>
      </c>
      <c r="W96" s="247">
        <v>80</v>
      </c>
      <c r="X96" s="247">
        <v>2</v>
      </c>
      <c r="Y96" s="247"/>
      <c r="Z96" s="247"/>
      <c r="AA96" s="247">
        <f t="shared" si="7"/>
        <v>181</v>
      </c>
      <c r="AB96" s="104">
        <f t="shared" si="8"/>
        <v>4.4724487274524338E-3</v>
      </c>
      <c r="AD96" s="83">
        <v>25</v>
      </c>
      <c r="AE96" s="104">
        <f t="shared" si="9"/>
        <v>6.2141134945688649E-4</v>
      </c>
      <c r="AF96" s="83">
        <f t="shared" si="10"/>
        <v>156</v>
      </c>
      <c r="AG96" s="83">
        <v>69</v>
      </c>
      <c r="AH96" s="104">
        <f t="shared" si="11"/>
        <v>1.7299303013588727E-3</v>
      </c>
      <c r="AI96" s="267">
        <f t="shared" si="12"/>
        <v>112</v>
      </c>
    </row>
    <row r="97" spans="8:35" x14ac:dyDescent="0.2">
      <c r="H97" s="10" t="s">
        <v>166</v>
      </c>
      <c r="I97" s="24" t="s">
        <v>1004</v>
      </c>
      <c r="J97" s="24" t="s">
        <v>1004</v>
      </c>
      <c r="K97" s="24"/>
      <c r="L97" s="24">
        <v>901600</v>
      </c>
      <c r="M97" s="24">
        <v>991767</v>
      </c>
      <c r="N97" s="24" t="s">
        <v>1132</v>
      </c>
      <c r="O97" s="82"/>
      <c r="P97" s="247"/>
      <c r="Q97" s="247"/>
      <c r="R97" s="247"/>
      <c r="S97" s="247">
        <v>55</v>
      </c>
      <c r="T97" s="247">
        <v>27</v>
      </c>
      <c r="U97" s="247"/>
      <c r="V97" s="247"/>
      <c r="W97" s="247">
        <v>72</v>
      </c>
      <c r="X97" s="247">
        <v>311</v>
      </c>
      <c r="Y97" s="247"/>
      <c r="Z97" s="247"/>
      <c r="AA97" s="247">
        <f t="shared" si="7"/>
        <v>465</v>
      </c>
      <c r="AB97" s="104">
        <f t="shared" si="8"/>
        <v>1.1489992587101558E-2</v>
      </c>
      <c r="AD97" s="83">
        <v>235</v>
      </c>
      <c r="AE97" s="104">
        <f t="shared" si="9"/>
        <v>5.8412666848947333E-3</v>
      </c>
      <c r="AF97" s="83">
        <f t="shared" si="10"/>
        <v>230</v>
      </c>
      <c r="AG97" s="83">
        <v>167</v>
      </c>
      <c r="AH97" s="104">
        <f t="shared" si="11"/>
        <v>4.1869327583613294E-3</v>
      </c>
      <c r="AI97" s="267">
        <f t="shared" si="12"/>
        <v>298</v>
      </c>
    </row>
    <row r="98" spans="8:35" x14ac:dyDescent="0.2">
      <c r="H98" s="10" t="s">
        <v>167</v>
      </c>
      <c r="I98" s="26" t="s">
        <v>1007</v>
      </c>
      <c r="J98" s="26" t="s">
        <v>1004</v>
      </c>
      <c r="K98" s="65"/>
      <c r="L98" s="23">
        <v>901800</v>
      </c>
      <c r="M98" s="24"/>
      <c r="N98" s="23" t="s">
        <v>1063</v>
      </c>
      <c r="O98" s="73"/>
      <c r="P98" s="246"/>
      <c r="Q98" s="246"/>
      <c r="R98" s="246"/>
      <c r="S98" s="246"/>
      <c r="T98" s="246"/>
      <c r="U98" s="246"/>
      <c r="V98" s="246"/>
      <c r="W98" s="246"/>
      <c r="X98" s="246"/>
      <c r="Y98" s="246"/>
      <c r="Z98" s="246"/>
      <c r="AA98" s="246">
        <f t="shared" si="7"/>
        <v>0</v>
      </c>
      <c r="AB98" s="103" t="str">
        <f t="shared" si="8"/>
        <v/>
      </c>
      <c r="AD98" s="74"/>
      <c r="AE98" s="103" t="str">
        <f t="shared" si="9"/>
        <v/>
      </c>
      <c r="AF98" s="74">
        <f t="shared" si="10"/>
        <v>0</v>
      </c>
      <c r="AG98" s="74"/>
      <c r="AH98" s="103" t="str">
        <f t="shared" si="11"/>
        <v/>
      </c>
      <c r="AI98" s="266">
        <f t="shared" si="12"/>
        <v>0</v>
      </c>
    </row>
    <row r="99" spans="8:35" x14ac:dyDescent="0.2">
      <c r="H99" s="10" t="s">
        <v>168</v>
      </c>
      <c r="I99" s="26" t="s">
        <v>1007</v>
      </c>
      <c r="J99" s="26" t="s">
        <v>78</v>
      </c>
      <c r="K99" s="65"/>
      <c r="L99" s="23"/>
      <c r="M99" s="24"/>
      <c r="N99" s="23" t="s">
        <v>1140</v>
      </c>
      <c r="O99" s="73">
        <v>21</v>
      </c>
      <c r="P99" s="246"/>
      <c r="Q99" s="246"/>
      <c r="R99" s="246"/>
      <c r="S99" s="246"/>
      <c r="T99" s="246"/>
      <c r="U99" s="246"/>
      <c r="V99" s="246"/>
      <c r="W99" s="246"/>
      <c r="X99" s="246"/>
      <c r="Y99" s="246"/>
      <c r="Z99" s="246"/>
      <c r="AA99" s="246">
        <f t="shared" si="7"/>
        <v>21</v>
      </c>
      <c r="AB99" s="103">
        <f t="shared" si="8"/>
        <v>5.1890289103039293E-4</v>
      </c>
      <c r="AD99" s="74">
        <v>201</v>
      </c>
      <c r="AE99" s="103">
        <f t="shared" si="9"/>
        <v>4.9961472496333672E-3</v>
      </c>
      <c r="AF99" s="74">
        <f t="shared" si="10"/>
        <v>-180</v>
      </c>
      <c r="AG99" s="74"/>
      <c r="AH99" s="103" t="str">
        <f t="shared" si="11"/>
        <v/>
      </c>
      <c r="AI99" s="266">
        <f t="shared" si="12"/>
        <v>21</v>
      </c>
    </row>
    <row r="100" spans="8:35" x14ac:dyDescent="0.2">
      <c r="H100" s="10" t="s">
        <v>169</v>
      </c>
      <c r="I100" s="24" t="s">
        <v>1004</v>
      </c>
      <c r="J100" s="24" t="s">
        <v>1004</v>
      </c>
      <c r="K100" s="24"/>
      <c r="L100" s="24">
        <v>901300</v>
      </c>
      <c r="M100" s="24">
        <v>991010</v>
      </c>
      <c r="N100" s="24" t="s">
        <v>1141</v>
      </c>
      <c r="O100" s="82">
        <v>21</v>
      </c>
      <c r="P100" s="247"/>
      <c r="Q100" s="247"/>
      <c r="R100" s="247"/>
      <c r="S100" s="247"/>
      <c r="T100" s="247"/>
      <c r="U100" s="247"/>
      <c r="V100" s="247"/>
      <c r="W100" s="247"/>
      <c r="X100" s="247"/>
      <c r="Y100" s="247"/>
      <c r="Z100" s="247"/>
      <c r="AA100" s="247">
        <f t="shared" si="7"/>
        <v>21</v>
      </c>
      <c r="AB100" s="104">
        <f t="shared" si="8"/>
        <v>5.1890289103039293E-4</v>
      </c>
      <c r="AD100" s="83">
        <v>201</v>
      </c>
      <c r="AE100" s="104">
        <f t="shared" si="9"/>
        <v>4.9961472496333672E-3</v>
      </c>
      <c r="AF100" s="83">
        <f t="shared" si="10"/>
        <v>-180</v>
      </c>
      <c r="AG100" s="83"/>
      <c r="AH100" s="104" t="str">
        <f t="shared" si="11"/>
        <v/>
      </c>
      <c r="AI100" s="267">
        <f t="shared" si="12"/>
        <v>21</v>
      </c>
    </row>
    <row r="101" spans="8:35" x14ac:dyDescent="0.2">
      <c r="H101" s="10" t="s">
        <v>170</v>
      </c>
      <c r="I101" s="24" t="s">
        <v>1004</v>
      </c>
      <c r="J101" s="24" t="s">
        <v>1004</v>
      </c>
      <c r="K101" s="24"/>
      <c r="L101" s="24">
        <v>901330</v>
      </c>
      <c r="M101" s="24">
        <v>991752</v>
      </c>
      <c r="N101" s="24" t="s">
        <v>1134</v>
      </c>
      <c r="O101" s="82"/>
      <c r="P101" s="247"/>
      <c r="Q101" s="247"/>
      <c r="R101" s="247"/>
      <c r="S101" s="247"/>
      <c r="T101" s="247"/>
      <c r="U101" s="247"/>
      <c r="V101" s="247"/>
      <c r="W101" s="247"/>
      <c r="X101" s="247"/>
      <c r="Y101" s="247"/>
      <c r="Z101" s="247"/>
      <c r="AA101" s="247">
        <f t="shared" si="7"/>
        <v>0</v>
      </c>
      <c r="AB101" s="104" t="str">
        <f t="shared" si="8"/>
        <v/>
      </c>
      <c r="AD101" s="83"/>
      <c r="AE101" s="104" t="str">
        <f t="shared" si="9"/>
        <v/>
      </c>
      <c r="AF101" s="83">
        <f t="shared" si="10"/>
        <v>0</v>
      </c>
      <c r="AG101" s="83"/>
      <c r="AH101" s="104" t="str">
        <f t="shared" si="11"/>
        <v/>
      </c>
      <c r="AI101" s="267">
        <f t="shared" si="12"/>
        <v>0</v>
      </c>
    </row>
    <row r="102" spans="8:35" x14ac:dyDescent="0.2">
      <c r="H102" s="10" t="s">
        <v>171</v>
      </c>
      <c r="I102" s="26" t="s">
        <v>1007</v>
      </c>
      <c r="J102" s="26" t="s">
        <v>1004</v>
      </c>
      <c r="K102" s="65"/>
      <c r="L102" s="23">
        <v>901400</v>
      </c>
      <c r="M102" s="24"/>
      <c r="N102" s="23" t="s">
        <v>1065</v>
      </c>
      <c r="O102" s="79"/>
      <c r="P102" s="248"/>
      <c r="Q102" s="248"/>
      <c r="R102" s="248">
        <v>35</v>
      </c>
      <c r="S102" s="248"/>
      <c r="T102" s="248"/>
      <c r="U102" s="248"/>
      <c r="V102" s="248">
        <v>8</v>
      </c>
      <c r="W102" s="248"/>
      <c r="X102" s="248"/>
      <c r="Y102" s="248">
        <v>38</v>
      </c>
      <c r="Z102" s="248"/>
      <c r="AA102" s="248">
        <f t="shared" si="7"/>
        <v>81</v>
      </c>
      <c r="AB102" s="105">
        <f t="shared" si="8"/>
        <v>2.0014825796886584E-3</v>
      </c>
      <c r="AD102" s="80">
        <v>475</v>
      </c>
      <c r="AE102" s="105">
        <f t="shared" si="9"/>
        <v>1.1806815639680843E-2</v>
      </c>
      <c r="AF102" s="80">
        <f t="shared" si="10"/>
        <v>-394</v>
      </c>
      <c r="AG102" s="80">
        <v>297</v>
      </c>
      <c r="AH102" s="105">
        <f t="shared" si="11"/>
        <v>7.4462217319360173E-3</v>
      </c>
      <c r="AI102" s="268">
        <f t="shared" si="12"/>
        <v>-216</v>
      </c>
    </row>
    <row r="103" spans="8:35" x14ac:dyDescent="0.2">
      <c r="H103" s="10" t="s">
        <v>160</v>
      </c>
      <c r="I103" s="26" t="s">
        <v>1005</v>
      </c>
      <c r="J103" s="26" t="s">
        <v>78</v>
      </c>
      <c r="K103" s="65"/>
      <c r="L103" s="23">
        <v>901000</v>
      </c>
      <c r="M103" s="24"/>
      <c r="N103" s="23" t="s">
        <v>1142</v>
      </c>
      <c r="O103" s="137">
        <v>570</v>
      </c>
      <c r="P103" s="249">
        <v>802</v>
      </c>
      <c r="Q103" s="249">
        <v>350</v>
      </c>
      <c r="R103" s="249">
        <v>133</v>
      </c>
      <c r="S103" s="249">
        <v>346</v>
      </c>
      <c r="T103" s="249">
        <v>487</v>
      </c>
      <c r="U103" s="249">
        <v>154</v>
      </c>
      <c r="V103" s="249">
        <v>102</v>
      </c>
      <c r="W103" s="249">
        <v>528</v>
      </c>
      <c r="X103" s="249">
        <v>445</v>
      </c>
      <c r="Y103" s="249">
        <v>355</v>
      </c>
      <c r="Z103" s="249">
        <v>330</v>
      </c>
      <c r="AA103" s="249">
        <f t="shared" si="7"/>
        <v>4602</v>
      </c>
      <c r="AB103" s="140">
        <f t="shared" si="8"/>
        <v>0.11371386212008895</v>
      </c>
      <c r="AD103" s="139">
        <v>4786</v>
      </c>
      <c r="AE103" s="140">
        <f t="shared" si="9"/>
        <v>0.11896298874002635</v>
      </c>
      <c r="AF103" s="139">
        <f t="shared" si="10"/>
        <v>-184</v>
      </c>
      <c r="AG103" s="139">
        <v>4156</v>
      </c>
      <c r="AH103" s="140">
        <f t="shared" si="11"/>
        <v>0.10419696133981848</v>
      </c>
      <c r="AI103" s="269">
        <f t="shared" si="12"/>
        <v>446</v>
      </c>
    </row>
    <row r="104" spans="8:35" x14ac:dyDescent="0.2">
      <c r="H104" s="10" t="s">
        <v>172</v>
      </c>
      <c r="I104" s="24" t="s">
        <v>1004</v>
      </c>
      <c r="J104" s="24" t="s">
        <v>1004</v>
      </c>
      <c r="K104" s="24"/>
      <c r="L104" s="24">
        <v>901700</v>
      </c>
      <c r="M104" s="24">
        <v>991753</v>
      </c>
      <c r="N104" s="24" t="s">
        <v>1135</v>
      </c>
      <c r="O104" s="130"/>
      <c r="P104" s="253"/>
      <c r="Q104" s="253"/>
      <c r="R104" s="253"/>
      <c r="S104" s="253"/>
      <c r="T104" s="253"/>
      <c r="U104" s="253"/>
      <c r="V104" s="253"/>
      <c r="W104" s="253"/>
      <c r="X104" s="253"/>
      <c r="Y104" s="253"/>
      <c r="Z104" s="253"/>
      <c r="AA104" s="253">
        <f t="shared" si="7"/>
        <v>0</v>
      </c>
      <c r="AB104" s="131" t="str">
        <f t="shared" si="8"/>
        <v/>
      </c>
      <c r="AD104" s="132"/>
      <c r="AE104" s="131" t="str">
        <f t="shared" si="9"/>
        <v/>
      </c>
      <c r="AF104" s="132">
        <f t="shared" si="10"/>
        <v>0</v>
      </c>
      <c r="AG104" s="132"/>
      <c r="AH104" s="131" t="str">
        <f t="shared" si="11"/>
        <v/>
      </c>
      <c r="AI104" s="273">
        <f t="shared" si="12"/>
        <v>0</v>
      </c>
    </row>
    <row r="105" spans="8:35" x14ac:dyDescent="0.2">
      <c r="H105" s="10" t="s">
        <v>257</v>
      </c>
      <c r="I105" s="26" t="s">
        <v>1005</v>
      </c>
      <c r="J105" s="26" t="s">
        <v>78</v>
      </c>
      <c r="K105" s="65"/>
      <c r="L105" s="23"/>
      <c r="M105" s="24"/>
      <c r="N105" s="23" t="s">
        <v>1009</v>
      </c>
      <c r="O105" s="137">
        <v>3654</v>
      </c>
      <c r="P105" s="249">
        <v>3557</v>
      </c>
      <c r="Q105" s="249">
        <v>3793</v>
      </c>
      <c r="R105" s="249">
        <v>3692</v>
      </c>
      <c r="S105" s="249">
        <v>3471</v>
      </c>
      <c r="T105" s="249">
        <v>3102</v>
      </c>
      <c r="U105" s="249">
        <v>3016</v>
      </c>
      <c r="V105" s="249">
        <v>3030</v>
      </c>
      <c r="W105" s="249">
        <v>2625</v>
      </c>
      <c r="X105" s="249">
        <v>3173</v>
      </c>
      <c r="Y105" s="249">
        <v>3516</v>
      </c>
      <c r="Z105" s="249">
        <v>3594</v>
      </c>
      <c r="AA105" s="249">
        <f t="shared" si="7"/>
        <v>40223</v>
      </c>
      <c r="AB105" s="140">
        <f t="shared" si="8"/>
        <v>0.99389671361502352</v>
      </c>
      <c r="AD105" s="139">
        <v>40231</v>
      </c>
      <c r="AE105" s="140">
        <f t="shared" si="9"/>
        <v>1</v>
      </c>
      <c r="AF105" s="139">
        <f t="shared" si="10"/>
        <v>-8</v>
      </c>
      <c r="AG105" s="139">
        <v>39696</v>
      </c>
      <c r="AH105" s="140">
        <f t="shared" si="11"/>
        <v>0.99523642380785238</v>
      </c>
      <c r="AI105" s="269">
        <f t="shared" si="12"/>
        <v>527</v>
      </c>
    </row>
    <row r="106" spans="8:35" x14ac:dyDescent="0.2">
      <c r="H106" s="10" t="s">
        <v>176</v>
      </c>
      <c r="I106" s="24" t="s">
        <v>1004</v>
      </c>
      <c r="J106" s="24" t="s">
        <v>1004</v>
      </c>
      <c r="K106" s="24"/>
      <c r="L106" s="24">
        <v>903100</v>
      </c>
      <c r="M106" s="24">
        <v>991022</v>
      </c>
      <c r="N106" s="24" t="s">
        <v>1143</v>
      </c>
      <c r="O106" s="130">
        <v>40</v>
      </c>
      <c r="P106" s="253">
        <v>36</v>
      </c>
      <c r="Q106" s="253">
        <v>38</v>
      </c>
      <c r="R106" s="253">
        <v>28</v>
      </c>
      <c r="S106" s="253">
        <v>2</v>
      </c>
      <c r="T106" s="253">
        <v>3</v>
      </c>
      <c r="U106" s="253">
        <v>18</v>
      </c>
      <c r="V106" s="253">
        <v>3</v>
      </c>
      <c r="W106" s="253">
        <v>7</v>
      </c>
      <c r="X106" s="253">
        <v>13</v>
      </c>
      <c r="Y106" s="253">
        <v>18</v>
      </c>
      <c r="Z106" s="253">
        <v>41</v>
      </c>
      <c r="AA106" s="253">
        <f t="shared" si="7"/>
        <v>247</v>
      </c>
      <c r="AB106" s="131">
        <f t="shared" si="8"/>
        <v>6.1032863849765258E-3</v>
      </c>
      <c r="AD106" s="132"/>
      <c r="AE106" s="131" t="str">
        <f t="shared" si="9"/>
        <v/>
      </c>
      <c r="AF106" s="132">
        <f t="shared" si="10"/>
        <v>247</v>
      </c>
      <c r="AG106" s="132">
        <v>190</v>
      </c>
      <c r="AH106" s="131">
        <f t="shared" si="11"/>
        <v>4.763576192147621E-3</v>
      </c>
      <c r="AI106" s="273">
        <f t="shared" si="12"/>
        <v>57</v>
      </c>
    </row>
    <row r="107" spans="8:35" x14ac:dyDescent="0.2">
      <c r="H107" s="10" t="s">
        <v>174</v>
      </c>
      <c r="I107" s="26" t="s">
        <v>1005</v>
      </c>
      <c r="J107" s="26" t="s">
        <v>78</v>
      </c>
      <c r="K107" s="65"/>
      <c r="L107" s="23">
        <v>900200</v>
      </c>
      <c r="M107" s="24"/>
      <c r="N107" s="23" t="s">
        <v>1047</v>
      </c>
      <c r="O107" s="137">
        <v>3694</v>
      </c>
      <c r="P107" s="249">
        <v>3593</v>
      </c>
      <c r="Q107" s="249">
        <v>3831</v>
      </c>
      <c r="R107" s="249">
        <v>3720</v>
      </c>
      <c r="S107" s="249">
        <v>3473</v>
      </c>
      <c r="T107" s="249">
        <v>3105</v>
      </c>
      <c r="U107" s="249">
        <v>3034</v>
      </c>
      <c r="V107" s="249">
        <v>3033</v>
      </c>
      <c r="W107" s="249">
        <v>2632</v>
      </c>
      <c r="X107" s="249">
        <v>3186</v>
      </c>
      <c r="Y107" s="249">
        <v>3534</v>
      </c>
      <c r="Z107" s="249">
        <v>3635</v>
      </c>
      <c r="AA107" s="249">
        <f t="shared" si="7"/>
        <v>40470</v>
      </c>
      <c r="AB107" s="140">
        <f t="shared" si="8"/>
        <v>1</v>
      </c>
      <c r="AD107" s="139">
        <v>40231</v>
      </c>
      <c r="AE107" s="140">
        <f t="shared" si="9"/>
        <v>1</v>
      </c>
      <c r="AF107" s="139">
        <f t="shared" si="10"/>
        <v>239</v>
      </c>
      <c r="AG107" s="139">
        <v>39886</v>
      </c>
      <c r="AH107" s="140">
        <f t="shared" si="11"/>
        <v>1</v>
      </c>
      <c r="AI107" s="269">
        <f t="shared" si="12"/>
        <v>584</v>
      </c>
    </row>
    <row r="108" spans="8:35" x14ac:dyDescent="0.2">
      <c r="H108" s="10" t="s">
        <v>175</v>
      </c>
      <c r="I108" s="24" t="s">
        <v>1006</v>
      </c>
      <c r="J108" s="24" t="s">
        <v>78</v>
      </c>
      <c r="K108" s="24"/>
      <c r="L108" s="24"/>
      <c r="M108" s="24"/>
      <c r="N108" s="24" t="s">
        <v>175</v>
      </c>
      <c r="O108" s="76"/>
      <c r="P108" s="250"/>
      <c r="Q108" s="250"/>
      <c r="R108" s="250"/>
      <c r="S108" s="250"/>
      <c r="T108" s="250"/>
      <c r="U108" s="250"/>
      <c r="V108" s="250"/>
      <c r="W108" s="250"/>
      <c r="X108" s="250"/>
      <c r="Y108" s="250"/>
      <c r="Z108" s="250"/>
      <c r="AA108" s="250">
        <f t="shared" si="7"/>
        <v>0</v>
      </c>
      <c r="AB108" s="106" t="str">
        <f t="shared" si="8"/>
        <v/>
      </c>
      <c r="AD108" s="77"/>
      <c r="AE108" s="106" t="str">
        <f t="shared" si="9"/>
        <v/>
      </c>
      <c r="AF108" s="77">
        <f t="shared" si="10"/>
        <v>0</v>
      </c>
      <c r="AG108" s="77"/>
      <c r="AH108" s="106" t="str">
        <f t="shared" si="11"/>
        <v/>
      </c>
      <c r="AI108" s="270">
        <f t="shared" si="12"/>
        <v>0</v>
      </c>
    </row>
    <row r="109" spans="8:35" x14ac:dyDescent="0.2">
      <c r="H109" s="10" t="s">
        <v>211</v>
      </c>
      <c r="I109" s="24" t="s">
        <v>1004</v>
      </c>
      <c r="J109" s="24" t="s">
        <v>1004</v>
      </c>
      <c r="K109" s="24"/>
      <c r="L109" s="24">
        <v>904100</v>
      </c>
      <c r="M109" s="24">
        <v>991001</v>
      </c>
      <c r="N109" s="24" t="s">
        <v>1008</v>
      </c>
      <c r="O109" s="82">
        <v>4092</v>
      </c>
      <c r="P109" s="247">
        <v>3828</v>
      </c>
      <c r="Q109" s="247">
        <v>4092</v>
      </c>
      <c r="R109" s="247">
        <v>3960</v>
      </c>
      <c r="S109" s="247">
        <v>4092</v>
      </c>
      <c r="T109" s="247">
        <v>3960</v>
      </c>
      <c r="U109" s="247">
        <v>4092</v>
      </c>
      <c r="V109" s="247">
        <v>4092</v>
      </c>
      <c r="W109" s="247">
        <v>3960</v>
      </c>
      <c r="X109" s="247">
        <v>4092</v>
      </c>
      <c r="Y109" s="247">
        <v>3960</v>
      </c>
      <c r="Z109" s="247">
        <v>4092</v>
      </c>
      <c r="AA109" s="247">
        <f t="shared" si="7"/>
        <v>48312</v>
      </c>
      <c r="AB109" s="104">
        <f t="shared" si="8"/>
        <v>1.1937731653076353</v>
      </c>
      <c r="AD109" s="83">
        <v>48312</v>
      </c>
      <c r="AE109" s="104">
        <f t="shared" si="9"/>
        <v>1.2008650045984439</v>
      </c>
      <c r="AF109" s="83">
        <f t="shared" si="10"/>
        <v>0</v>
      </c>
      <c r="AG109" s="83">
        <v>48180</v>
      </c>
      <c r="AH109" s="104">
        <f t="shared" si="11"/>
        <v>1.2079426365140651</v>
      </c>
      <c r="AI109" s="267">
        <f t="shared" si="12"/>
        <v>132</v>
      </c>
    </row>
    <row r="110" spans="8:35" x14ac:dyDescent="0.2">
      <c r="H110" s="10" t="s">
        <v>212</v>
      </c>
      <c r="I110" s="24" t="s">
        <v>1004</v>
      </c>
      <c r="J110" s="24" t="s">
        <v>1004</v>
      </c>
      <c r="K110" s="24"/>
      <c r="L110" s="24">
        <v>905100</v>
      </c>
      <c r="M110" s="24">
        <v>991765</v>
      </c>
      <c r="N110" s="24" t="s">
        <v>1144</v>
      </c>
      <c r="O110" s="82"/>
      <c r="P110" s="247"/>
      <c r="Q110" s="247"/>
      <c r="R110" s="247"/>
      <c r="S110" s="247"/>
      <c r="T110" s="247"/>
      <c r="U110" s="247"/>
      <c r="V110" s="247"/>
      <c r="W110" s="247"/>
      <c r="X110" s="247"/>
      <c r="Y110" s="247"/>
      <c r="Z110" s="247"/>
      <c r="AA110" s="247">
        <f t="shared" si="7"/>
        <v>0</v>
      </c>
      <c r="AB110" s="104" t="str">
        <f t="shared" si="8"/>
        <v/>
      </c>
      <c r="AD110" s="83"/>
      <c r="AE110" s="104" t="str">
        <f t="shared" si="9"/>
        <v/>
      </c>
      <c r="AF110" s="83">
        <f t="shared" si="10"/>
        <v>0</v>
      </c>
      <c r="AG110" s="83"/>
      <c r="AH110" s="104" t="str">
        <f t="shared" si="11"/>
        <v/>
      </c>
      <c r="AI110" s="267">
        <f t="shared" si="12"/>
        <v>0</v>
      </c>
    </row>
    <row r="111" spans="8:35" x14ac:dyDescent="0.2">
      <c r="H111" s="10" t="s">
        <v>213</v>
      </c>
      <c r="I111" s="24" t="s">
        <v>1004</v>
      </c>
      <c r="J111" s="24" t="s">
        <v>1004</v>
      </c>
      <c r="K111" s="24"/>
      <c r="L111" s="24">
        <v>905200</v>
      </c>
      <c r="M111" s="24">
        <v>991766</v>
      </c>
      <c r="N111" s="24" t="s">
        <v>1145</v>
      </c>
      <c r="O111" s="82">
        <v>83</v>
      </c>
      <c r="P111" s="247">
        <v>35</v>
      </c>
      <c r="Q111" s="247">
        <v>32</v>
      </c>
      <c r="R111" s="247">
        <v>51</v>
      </c>
      <c r="S111" s="247">
        <v>108</v>
      </c>
      <c r="T111" s="247">
        <v>137</v>
      </c>
      <c r="U111" s="247">
        <v>185</v>
      </c>
      <c r="V111" s="247">
        <v>57</v>
      </c>
      <c r="W111" s="247">
        <v>115</v>
      </c>
      <c r="X111" s="247">
        <v>104</v>
      </c>
      <c r="Y111" s="247">
        <v>39</v>
      </c>
      <c r="Z111" s="247">
        <v>57</v>
      </c>
      <c r="AA111" s="247">
        <f t="shared" si="7"/>
        <v>1003</v>
      </c>
      <c r="AB111" s="104">
        <f t="shared" si="8"/>
        <v>2.478379046207067E-2</v>
      </c>
      <c r="AD111" s="83"/>
      <c r="AE111" s="104" t="str">
        <f t="shared" si="9"/>
        <v/>
      </c>
      <c r="AF111" s="83">
        <f t="shared" si="10"/>
        <v>1003</v>
      </c>
      <c r="AG111" s="83">
        <v>1107</v>
      </c>
      <c r="AH111" s="104">
        <f t="shared" si="11"/>
        <v>2.7754099182670612E-2</v>
      </c>
      <c r="AI111" s="267">
        <f t="shared" si="12"/>
        <v>-104</v>
      </c>
    </row>
    <row r="112" spans="8:35" x14ac:dyDescent="0.2">
      <c r="H112" s="10" t="s">
        <v>214</v>
      </c>
      <c r="I112" s="24" t="s">
        <v>1004</v>
      </c>
      <c r="J112" s="24" t="s">
        <v>1004</v>
      </c>
      <c r="K112" s="24"/>
      <c r="L112" s="24">
        <v>905300</v>
      </c>
      <c r="M112" s="24">
        <v>991009</v>
      </c>
      <c r="N112" s="24" t="s">
        <v>1146</v>
      </c>
      <c r="O112" s="82"/>
      <c r="P112" s="247"/>
      <c r="Q112" s="247"/>
      <c r="R112" s="247"/>
      <c r="S112" s="247"/>
      <c r="T112" s="247"/>
      <c r="U112" s="247"/>
      <c r="V112" s="247"/>
      <c r="W112" s="247"/>
      <c r="X112" s="247"/>
      <c r="Y112" s="247"/>
      <c r="Z112" s="247"/>
      <c r="AA112" s="247">
        <f t="shared" si="7"/>
        <v>0</v>
      </c>
      <c r="AB112" s="104" t="str">
        <f t="shared" si="8"/>
        <v/>
      </c>
      <c r="AD112" s="83"/>
      <c r="AE112" s="104" t="str">
        <f t="shared" si="9"/>
        <v/>
      </c>
      <c r="AF112" s="83">
        <f t="shared" si="10"/>
        <v>0</v>
      </c>
      <c r="AG112" s="83"/>
      <c r="AH112" s="104" t="str">
        <f t="shared" si="11"/>
        <v/>
      </c>
      <c r="AI112" s="267">
        <f t="shared" si="12"/>
        <v>0</v>
      </c>
    </row>
    <row r="113" spans="7:35" x14ac:dyDescent="0.2">
      <c r="H113" s="10" t="s">
        <v>215</v>
      </c>
      <c r="I113" s="24" t="s">
        <v>1004</v>
      </c>
      <c r="J113" s="24" t="s">
        <v>1004</v>
      </c>
      <c r="K113" s="24"/>
      <c r="L113" s="24">
        <v>906100</v>
      </c>
      <c r="M113" s="24">
        <v>991008</v>
      </c>
      <c r="N113" s="24" t="s">
        <v>1147</v>
      </c>
      <c r="O113" s="82">
        <v>1454</v>
      </c>
      <c r="P113" s="247">
        <v>1351</v>
      </c>
      <c r="Q113" s="247">
        <v>1525</v>
      </c>
      <c r="R113" s="247">
        <v>1507</v>
      </c>
      <c r="S113" s="247">
        <v>1490</v>
      </c>
      <c r="T113" s="247">
        <v>1363</v>
      </c>
      <c r="U113" s="247">
        <v>1391</v>
      </c>
      <c r="V113" s="247">
        <v>1350</v>
      </c>
      <c r="W113" s="247">
        <v>1098</v>
      </c>
      <c r="X113" s="247">
        <v>1435</v>
      </c>
      <c r="Y113" s="247">
        <v>3534</v>
      </c>
      <c r="Z113" s="247">
        <v>1623</v>
      </c>
      <c r="AA113" s="247">
        <f t="shared" si="7"/>
        <v>19121</v>
      </c>
      <c r="AB113" s="104">
        <f t="shared" si="8"/>
        <v>0.47247343711391154</v>
      </c>
      <c r="AD113" s="83"/>
      <c r="AE113" s="104" t="str">
        <f t="shared" si="9"/>
        <v/>
      </c>
      <c r="AF113" s="83">
        <f t="shared" si="10"/>
        <v>19121</v>
      </c>
      <c r="AG113" s="83">
        <v>15105</v>
      </c>
      <c r="AH113" s="104">
        <f t="shared" si="11"/>
        <v>0.37870430727573584</v>
      </c>
      <c r="AI113" s="267">
        <f t="shared" si="12"/>
        <v>4016</v>
      </c>
    </row>
    <row r="114" spans="7:35" x14ac:dyDescent="0.2">
      <c r="H114" s="10" t="s">
        <v>216</v>
      </c>
      <c r="I114" s="24" t="s">
        <v>1004</v>
      </c>
      <c r="J114" s="24" t="s">
        <v>1004</v>
      </c>
      <c r="K114" s="24"/>
      <c r="L114" s="24">
        <v>907100</v>
      </c>
      <c r="M114" s="24">
        <v>991007</v>
      </c>
      <c r="N114" s="24" t="s">
        <v>1148</v>
      </c>
      <c r="O114" s="82">
        <v>1452</v>
      </c>
      <c r="P114" s="247">
        <v>1354</v>
      </c>
      <c r="Q114" s="247">
        <v>1547</v>
      </c>
      <c r="R114" s="247">
        <v>1485</v>
      </c>
      <c r="S114" s="247">
        <v>1502</v>
      </c>
      <c r="T114" s="247">
        <v>1389</v>
      </c>
      <c r="U114" s="247">
        <v>1387</v>
      </c>
      <c r="V114" s="247">
        <v>1341</v>
      </c>
      <c r="W114" s="247">
        <v>1112</v>
      </c>
      <c r="X114" s="247">
        <v>1410</v>
      </c>
      <c r="Y114" s="247">
        <v>3524</v>
      </c>
      <c r="Z114" s="247">
        <v>3635</v>
      </c>
      <c r="AA114" s="247">
        <f t="shared" si="7"/>
        <v>21138</v>
      </c>
      <c r="AB114" s="104">
        <f t="shared" si="8"/>
        <v>0.52231282431430692</v>
      </c>
      <c r="AD114" s="83"/>
      <c r="AE114" s="104" t="str">
        <f t="shared" si="9"/>
        <v/>
      </c>
      <c r="AF114" s="83">
        <f t="shared" si="10"/>
        <v>21138</v>
      </c>
      <c r="AG114" s="83">
        <v>16094</v>
      </c>
      <c r="AH114" s="104">
        <f t="shared" si="11"/>
        <v>0.40349997492854633</v>
      </c>
      <c r="AI114" s="267">
        <f t="shared" si="12"/>
        <v>5044</v>
      </c>
    </row>
    <row r="115" spans="7:35" x14ac:dyDescent="0.2">
      <c r="H115" s="10" t="s">
        <v>217</v>
      </c>
      <c r="I115" s="24" t="s">
        <v>1004</v>
      </c>
      <c r="J115" s="24" t="s">
        <v>1004</v>
      </c>
      <c r="K115" s="24"/>
      <c r="L115" s="24">
        <v>907200</v>
      </c>
      <c r="M115" s="24">
        <v>991700</v>
      </c>
      <c r="N115" s="24" t="s">
        <v>1149</v>
      </c>
      <c r="O115" s="82">
        <v>1006</v>
      </c>
      <c r="P115" s="247">
        <v>1085</v>
      </c>
      <c r="Q115" s="247">
        <v>1267</v>
      </c>
      <c r="R115" s="247">
        <v>1070</v>
      </c>
      <c r="S115" s="247">
        <v>782</v>
      </c>
      <c r="T115" s="247">
        <v>907</v>
      </c>
      <c r="U115" s="247">
        <v>718</v>
      </c>
      <c r="V115" s="247">
        <v>599</v>
      </c>
      <c r="W115" s="247">
        <v>725</v>
      </c>
      <c r="X115" s="247">
        <v>975</v>
      </c>
      <c r="Y115" s="247">
        <v>704</v>
      </c>
      <c r="Z115" s="247">
        <v>-99</v>
      </c>
      <c r="AA115" s="247">
        <f t="shared" si="7"/>
        <v>9739</v>
      </c>
      <c r="AB115" s="104">
        <f t="shared" si="8"/>
        <v>0.24064739313071412</v>
      </c>
      <c r="AD115" s="83">
        <v>9656</v>
      </c>
      <c r="AE115" s="104">
        <f t="shared" si="9"/>
        <v>0.24001391961422783</v>
      </c>
      <c r="AF115" s="83">
        <f t="shared" si="10"/>
        <v>83</v>
      </c>
      <c r="AG115" s="83">
        <v>11168</v>
      </c>
      <c r="AH115" s="104">
        <f t="shared" si="11"/>
        <v>0.27999799428370858</v>
      </c>
      <c r="AI115" s="267">
        <f t="shared" si="12"/>
        <v>-1429</v>
      </c>
    </row>
    <row r="116" spans="7:35" x14ac:dyDescent="0.2">
      <c r="H116" s="10" t="s">
        <v>218</v>
      </c>
      <c r="I116" s="24" t="s">
        <v>1004</v>
      </c>
      <c r="J116" s="24" t="s">
        <v>1004</v>
      </c>
      <c r="K116" s="24"/>
      <c r="L116" s="24">
        <v>907300</v>
      </c>
      <c r="M116" s="24">
        <v>991059</v>
      </c>
      <c r="N116" s="24" t="s">
        <v>1150</v>
      </c>
      <c r="O116" s="99">
        <v>5879</v>
      </c>
      <c r="P116" s="254">
        <v>5708</v>
      </c>
      <c r="Q116" s="254">
        <v>6784</v>
      </c>
      <c r="R116" s="254">
        <v>6760</v>
      </c>
      <c r="S116" s="254">
        <v>6155</v>
      </c>
      <c r="T116" s="254">
        <v>5541</v>
      </c>
      <c r="U116" s="254">
        <v>6252</v>
      </c>
      <c r="V116" s="254">
        <v>6277</v>
      </c>
      <c r="W116" s="254">
        <v>4513</v>
      </c>
      <c r="X116" s="254">
        <v>5395</v>
      </c>
      <c r="Y116" s="254">
        <v>6094</v>
      </c>
      <c r="Z116" s="254">
        <v>6578</v>
      </c>
      <c r="AA116" s="254">
        <f t="shared" si="7"/>
        <v>71936</v>
      </c>
      <c r="AB116" s="102" t="str">
        <f t="shared" si="8"/>
        <v>1.78</v>
      </c>
      <c r="AD116" s="100"/>
      <c r="AE116" s="102" t="str">
        <f t="shared" si="9"/>
        <v>0.00</v>
      </c>
      <c r="AF116" s="100">
        <f t="shared" si="10"/>
        <v>71936</v>
      </c>
      <c r="AG116" s="100">
        <v>69921</v>
      </c>
      <c r="AH116" s="102" t="str">
        <f t="shared" si="11"/>
        <v>1.75</v>
      </c>
      <c r="AI116" s="274">
        <f t="shared" si="12"/>
        <v>2015</v>
      </c>
    </row>
    <row r="117" spans="7:35" x14ac:dyDescent="0.2">
      <c r="I117" s="1"/>
      <c r="J117" s="1"/>
      <c r="N117" s="24"/>
      <c r="O117" s="50"/>
      <c r="AB117" s="51"/>
      <c r="AD117" s="50"/>
      <c r="AF117" s="51"/>
      <c r="AG117" s="50"/>
      <c r="AI117" s="51"/>
    </row>
    <row r="118" spans="7:35" x14ac:dyDescent="0.2">
      <c r="H118" s="1" t="s">
        <v>494</v>
      </c>
      <c r="I118" s="11" t="s">
        <v>1006</v>
      </c>
      <c r="J118" s="11" t="s">
        <v>78</v>
      </c>
      <c r="N118" s="37" t="s">
        <v>1151</v>
      </c>
      <c r="O118" s="181" t="s">
        <v>743</v>
      </c>
      <c r="P118" s="181" t="s">
        <v>743</v>
      </c>
      <c r="Q118" s="181" t="s">
        <v>743</v>
      </c>
      <c r="R118" s="181" t="s">
        <v>743</v>
      </c>
      <c r="S118" s="181" t="s">
        <v>743</v>
      </c>
      <c r="T118" s="181" t="s">
        <v>743</v>
      </c>
      <c r="U118" s="181" t="s">
        <v>743</v>
      </c>
      <c r="V118" s="181" t="s">
        <v>743</v>
      </c>
      <c r="W118" s="181" t="s">
        <v>743</v>
      </c>
      <c r="X118" s="181" t="s">
        <v>743</v>
      </c>
      <c r="Y118" s="181" t="s">
        <v>743</v>
      </c>
      <c r="Z118" s="181" t="s">
        <v>743</v>
      </c>
      <c r="AA118" s="181" t="s">
        <v>743</v>
      </c>
      <c r="AB118" s="181" t="s">
        <v>744</v>
      </c>
      <c r="AD118" s="181" t="s">
        <v>743</v>
      </c>
      <c r="AE118" s="181" t="s">
        <v>744</v>
      </c>
      <c r="AF118" s="181"/>
      <c r="AG118" s="181" t="s">
        <v>743</v>
      </c>
      <c r="AH118" s="181" t="s">
        <v>744</v>
      </c>
      <c r="AI118" s="181"/>
    </row>
    <row r="119" spans="7:35" x14ac:dyDescent="0.2">
      <c r="G119" s="65" t="str">
        <f t="shared" ref="G119:G151" si="13">REPLACE(H119,1,3,"OCC")</f>
        <v>OCC_RETAIL</v>
      </c>
      <c r="H119" s="10" t="s">
        <v>190</v>
      </c>
      <c r="I119" s="26" t="s">
        <v>1007</v>
      </c>
      <c r="J119" s="26" t="s">
        <v>78</v>
      </c>
      <c r="L119" s="23"/>
      <c r="M119" s="24"/>
      <c r="N119" s="23" t="s">
        <v>1053</v>
      </c>
      <c r="O119" s="90">
        <v>290.387304964539</v>
      </c>
      <c r="P119" s="255">
        <v>378.104709302326</v>
      </c>
      <c r="Q119" s="255">
        <v>314.94900672143399</v>
      </c>
      <c r="R119" s="255">
        <v>259.20643625192002</v>
      </c>
      <c r="S119" s="255">
        <v>208.368490196078</v>
      </c>
      <c r="T119" s="255">
        <v>178.620774410774</v>
      </c>
      <c r="U119" s="255">
        <v>180.43571759259299</v>
      </c>
      <c r="V119" s="255">
        <v>155.985105263158</v>
      </c>
      <c r="W119" s="255">
        <v>145.981422594142</v>
      </c>
      <c r="X119" s="255">
        <v>183.27064487632501</v>
      </c>
      <c r="Y119" s="255">
        <v>182.900037341299</v>
      </c>
      <c r="Z119" s="255">
        <v>289.19348346235</v>
      </c>
      <c r="AA119" s="255">
        <f t="shared" ref="AA119:AA150" si="14">IFERROR(AA34/AA72,0)</f>
        <v>230.43444422890397</v>
      </c>
      <c r="AB119" s="176">
        <v>0.32010680576254302</v>
      </c>
      <c r="AD119" s="90">
        <v>253.237656617071</v>
      </c>
      <c r="AE119" s="176">
        <v>0.31718827620466999</v>
      </c>
      <c r="AF119" s="91">
        <f t="shared" ref="AF119:AF152" si="15">IF(AND($AA119="",AD119=""),"",$AA119-AD119)</f>
        <v>-22.803212388167026</v>
      </c>
      <c r="AG119" s="90">
        <v>249.07346575342501</v>
      </c>
      <c r="AH119" s="176">
        <v>0.33333333333333298</v>
      </c>
      <c r="AI119" s="275">
        <f t="shared" ref="AI119:AI152" si="16">IF(AND($AA119="",AG119=""),"",$AA119-AG119)</f>
        <v>-18.639021524521041</v>
      </c>
    </row>
    <row r="120" spans="7:35" x14ac:dyDescent="0.2">
      <c r="G120" s="72" t="str">
        <f t="shared" si="13"/>
        <v>OCC_ROOM</v>
      </c>
      <c r="H120" s="10" t="s">
        <v>191</v>
      </c>
      <c r="I120" s="24" t="s">
        <v>1004</v>
      </c>
      <c r="J120" s="24" t="s">
        <v>78</v>
      </c>
      <c r="L120" s="24"/>
      <c r="M120" s="24"/>
      <c r="N120" s="24" t="s">
        <v>1119</v>
      </c>
      <c r="O120" s="97">
        <v>309.76333333333298</v>
      </c>
      <c r="P120" s="256">
        <v>447.40696202531598</v>
      </c>
      <c r="Q120" s="256">
        <v>394.06497267759602</v>
      </c>
      <c r="R120" s="256">
        <v>323.68434782608699</v>
      </c>
      <c r="S120" s="256">
        <v>297.94407142857102</v>
      </c>
      <c r="T120" s="256">
        <v>230.66654676259</v>
      </c>
      <c r="U120" s="256">
        <v>223.08068322981401</v>
      </c>
      <c r="V120" s="256">
        <v>212.38075949367101</v>
      </c>
      <c r="W120" s="256">
        <v>161.232857142857</v>
      </c>
      <c r="X120" s="256">
        <v>218.824625</v>
      </c>
      <c r="Y120" s="256">
        <v>251.94197183098601</v>
      </c>
      <c r="Z120" s="256">
        <v>422.39884615384602</v>
      </c>
      <c r="AA120" s="256">
        <f t="shared" si="14"/>
        <v>309.29909276944073</v>
      </c>
      <c r="AB120" s="180">
        <v>3.0344427885411501E-2</v>
      </c>
      <c r="AD120" s="97">
        <v>339.69748903945799</v>
      </c>
      <c r="AE120" s="180">
        <v>5.1933267097201502E-2</v>
      </c>
      <c r="AF120" s="98">
        <f t="shared" si="15"/>
        <v>-30.398396270017258</v>
      </c>
      <c r="AG120" s="97">
        <v>356.00118398637102</v>
      </c>
      <c r="AH120" s="180">
        <v>4.8733914487339103E-2</v>
      </c>
      <c r="AI120" s="276">
        <f t="shared" si="16"/>
        <v>-46.702091216930285</v>
      </c>
    </row>
    <row r="121" spans="7:35" x14ac:dyDescent="0.2">
      <c r="G121" s="72" t="str">
        <f t="shared" si="13"/>
        <v>OCC_RWEB</v>
      </c>
      <c r="H121" s="10" t="s">
        <v>192</v>
      </c>
      <c r="I121" s="24" t="s">
        <v>1004</v>
      </c>
      <c r="J121" s="24" t="s">
        <v>78</v>
      </c>
      <c r="L121" s="24"/>
      <c r="M121" s="24"/>
      <c r="N121" s="24" t="s">
        <v>1120</v>
      </c>
      <c r="O121" s="97">
        <v>287.76639291465398</v>
      </c>
      <c r="P121" s="256">
        <v>357.44479245282997</v>
      </c>
      <c r="Q121" s="256">
        <v>302.42459342560602</v>
      </c>
      <c r="R121" s="256">
        <v>256.84498407643298</v>
      </c>
      <c r="S121" s="256">
        <v>199.34648920863299</v>
      </c>
      <c r="T121" s="256">
        <v>171.72433746425199</v>
      </c>
      <c r="U121" s="256">
        <v>174.386519823789</v>
      </c>
      <c r="V121" s="256">
        <v>152.89332408050001</v>
      </c>
      <c r="W121" s="256">
        <v>144.51224770642199</v>
      </c>
      <c r="X121" s="256">
        <v>180.566920152091</v>
      </c>
      <c r="Y121" s="256">
        <v>179.03412460567799</v>
      </c>
      <c r="Z121" s="256">
        <v>281.457058823529</v>
      </c>
      <c r="AA121" s="256">
        <f t="shared" si="14"/>
        <v>222.17559897135513</v>
      </c>
      <c r="AB121" s="180">
        <v>0.28976237787713199</v>
      </c>
      <c r="AD121" s="97">
        <v>236.310015606711</v>
      </c>
      <c r="AE121" s="180">
        <v>0.26525500910746802</v>
      </c>
      <c r="AF121" s="98">
        <f t="shared" si="15"/>
        <v>-14.134416635355876</v>
      </c>
      <c r="AG121" s="97">
        <v>230.763497666278</v>
      </c>
      <c r="AH121" s="180">
        <v>0.28459941884599399</v>
      </c>
      <c r="AI121" s="276">
        <f t="shared" si="16"/>
        <v>-8.5878986949228704</v>
      </c>
    </row>
    <row r="122" spans="7:35" x14ac:dyDescent="0.2">
      <c r="G122" s="65" t="str">
        <f t="shared" si="13"/>
        <v>OCC_DISCNT</v>
      </c>
      <c r="H122" s="10" t="s">
        <v>193</v>
      </c>
      <c r="I122" s="26" t="s">
        <v>1007</v>
      </c>
      <c r="J122" s="26" t="s">
        <v>78</v>
      </c>
      <c r="L122" s="23"/>
      <c r="M122" s="24"/>
      <c r="N122" s="23" t="s">
        <v>1054</v>
      </c>
      <c r="O122" s="90">
        <v>275.23879241517</v>
      </c>
      <c r="P122" s="255">
        <v>363.879207920792</v>
      </c>
      <c r="Q122" s="255">
        <v>307.61403427818101</v>
      </c>
      <c r="R122" s="255">
        <v>263.628222910217</v>
      </c>
      <c r="S122" s="255">
        <v>188.77102137767201</v>
      </c>
      <c r="T122" s="255">
        <v>160.70494391717</v>
      </c>
      <c r="U122" s="255">
        <v>165.90196078431401</v>
      </c>
      <c r="V122" s="255">
        <v>158.65855670103099</v>
      </c>
      <c r="W122" s="255">
        <v>140.58811361200401</v>
      </c>
      <c r="X122" s="255">
        <v>188.757347931873</v>
      </c>
      <c r="Y122" s="255">
        <v>200.085941011236</v>
      </c>
      <c r="Z122" s="255">
        <v>265.21147477360898</v>
      </c>
      <c r="AA122" s="255">
        <f t="shared" si="14"/>
        <v>226.49215129248131</v>
      </c>
      <c r="AB122" s="176">
        <v>0.31549097532704101</v>
      </c>
      <c r="AD122" s="90">
        <v>243.06035777541601</v>
      </c>
      <c r="AE122" s="176">
        <v>0.292163437655241</v>
      </c>
      <c r="AF122" s="91">
        <f t="shared" si="15"/>
        <v>-16.568206482934698</v>
      </c>
      <c r="AG122" s="90">
        <v>245.38235294117601</v>
      </c>
      <c r="AH122" s="176">
        <v>0.28192195931921998</v>
      </c>
      <c r="AI122" s="275">
        <f t="shared" si="16"/>
        <v>-18.890201648694699</v>
      </c>
    </row>
    <row r="123" spans="7:35" x14ac:dyDescent="0.2">
      <c r="G123" s="72" t="str">
        <f t="shared" si="13"/>
        <v>OCC_PACK</v>
      </c>
      <c r="H123" s="10" t="s">
        <v>194</v>
      </c>
      <c r="I123" s="24" t="s">
        <v>1004</v>
      </c>
      <c r="J123" s="24" t="s">
        <v>78</v>
      </c>
      <c r="L123" s="24"/>
      <c r="M123" s="24"/>
      <c r="N123" s="24" t="s">
        <v>1121</v>
      </c>
      <c r="O123" s="97">
        <v>392.40777777777799</v>
      </c>
      <c r="P123" s="256">
        <v>547.34259259259295</v>
      </c>
      <c r="Q123" s="256">
        <v>426.96499999999997</v>
      </c>
      <c r="R123" s="256">
        <v>374.31799999999998</v>
      </c>
      <c r="S123" s="256">
        <v>309.89304347826101</v>
      </c>
      <c r="T123" s="256">
        <v>269.89800000000002</v>
      </c>
      <c r="U123" s="256">
        <v>271.76</v>
      </c>
      <c r="V123" s="256">
        <v>248.643928571429</v>
      </c>
      <c r="W123" s="256">
        <v>170.95249999999999</v>
      </c>
      <c r="X123" s="256">
        <v>245.04096774193499</v>
      </c>
      <c r="Y123" s="256">
        <v>361.48685185185201</v>
      </c>
      <c r="Z123" s="256">
        <v>402.94370370370399</v>
      </c>
      <c r="AA123" s="256">
        <f t="shared" si="14"/>
        <v>334.46526490066225</v>
      </c>
      <c r="AB123" s="180">
        <v>6.2510349395595299E-3</v>
      </c>
      <c r="AD123" s="97">
        <v>330.57148837209297</v>
      </c>
      <c r="AE123" s="180">
        <v>8.9004802119556203E-3</v>
      </c>
      <c r="AF123" s="98">
        <f t="shared" si="15"/>
        <v>3.8937765285692763</v>
      </c>
      <c r="AG123" s="97">
        <v>356.11338541666697</v>
      </c>
      <c r="AH123" s="180">
        <v>7.9701120797011204E-3</v>
      </c>
      <c r="AI123" s="276">
        <f t="shared" si="16"/>
        <v>-21.648120516004724</v>
      </c>
    </row>
    <row r="124" spans="7:35" x14ac:dyDescent="0.2">
      <c r="G124" s="72" t="str">
        <f t="shared" si="13"/>
        <v>OCC_OTA</v>
      </c>
      <c r="H124" s="10" t="s">
        <v>195</v>
      </c>
      <c r="I124" s="24" t="s">
        <v>1004</v>
      </c>
      <c r="J124" s="24" t="s">
        <v>78</v>
      </c>
      <c r="L124" s="24"/>
      <c r="M124" s="24"/>
      <c r="N124" s="24" t="s">
        <v>1122</v>
      </c>
      <c r="O124" s="97">
        <v>233.55705882352899</v>
      </c>
      <c r="P124" s="256">
        <v>321.45418918918898</v>
      </c>
      <c r="Q124" s="256">
        <v>255.51236641221399</v>
      </c>
      <c r="R124" s="256">
        <v>191.17803571428601</v>
      </c>
      <c r="S124" s="256">
        <v>195.303243243243</v>
      </c>
      <c r="T124" s="256">
        <v>158.72999999999999</v>
      </c>
      <c r="U124" s="256">
        <v>135.70222222222199</v>
      </c>
      <c r="V124" s="256">
        <v>141.582073170732</v>
      </c>
      <c r="W124" s="256">
        <v>135.5471</v>
      </c>
      <c r="X124" s="256">
        <v>176.94333333333299</v>
      </c>
      <c r="Y124" s="256">
        <v>185.88534482758601</v>
      </c>
      <c r="Z124" s="256">
        <v>275.12442857142901</v>
      </c>
      <c r="AA124" s="256">
        <f t="shared" si="14"/>
        <v>203.32669651741296</v>
      </c>
      <c r="AB124" s="180">
        <v>2.0802285146547399E-2</v>
      </c>
      <c r="AD124" s="97">
        <v>193.17771551724101</v>
      </c>
      <c r="AE124" s="180">
        <v>2.4010597781089601E-2</v>
      </c>
      <c r="AF124" s="98">
        <f t="shared" si="15"/>
        <v>10.148981000171943</v>
      </c>
      <c r="AG124" s="97">
        <v>215.710627218935</v>
      </c>
      <c r="AH124" s="180">
        <v>1.7538397675383999E-2</v>
      </c>
      <c r="AI124" s="276">
        <f t="shared" si="16"/>
        <v>-12.383930701522047</v>
      </c>
    </row>
    <row r="125" spans="7:35" x14ac:dyDescent="0.2">
      <c r="G125" s="72" t="str">
        <f t="shared" si="13"/>
        <v>OCC_BMPRO</v>
      </c>
      <c r="H125" s="10" t="s">
        <v>196</v>
      </c>
      <c r="I125" s="24" t="s">
        <v>1004</v>
      </c>
      <c r="J125" s="24" t="s">
        <v>78</v>
      </c>
      <c r="L125" s="24"/>
      <c r="M125" s="24"/>
      <c r="N125" s="24" t="s">
        <v>1123</v>
      </c>
      <c r="O125" s="97">
        <v>179.77183606557401</v>
      </c>
      <c r="P125" s="256">
        <v>269.56751655629103</v>
      </c>
      <c r="Q125" s="256">
        <v>242.970385542169</v>
      </c>
      <c r="R125" s="256">
        <v>192.77641833810901</v>
      </c>
      <c r="S125" s="256">
        <v>101.921609195402</v>
      </c>
      <c r="T125" s="256">
        <v>85.698842794759798</v>
      </c>
      <c r="U125" s="256">
        <v>93.2956209150327</v>
      </c>
      <c r="V125" s="256">
        <v>71.456330275229405</v>
      </c>
      <c r="W125" s="256">
        <v>68.565687732341999</v>
      </c>
      <c r="X125" s="256">
        <v>98.339273255813893</v>
      </c>
      <c r="Y125" s="256">
        <v>121.150985626283</v>
      </c>
      <c r="Z125" s="256">
        <v>130.72496402877701</v>
      </c>
      <c r="AA125" s="256">
        <f t="shared" si="14"/>
        <v>135.58921589460263</v>
      </c>
      <c r="AB125" s="180">
        <v>9.7408511342937598E-2</v>
      </c>
      <c r="AD125" s="97">
        <v>148.35775436483999</v>
      </c>
      <c r="AE125" s="180">
        <v>6.8761384335154802E-2</v>
      </c>
      <c r="AF125" s="98">
        <f t="shared" si="15"/>
        <v>-12.76853847023736</v>
      </c>
      <c r="AG125" s="97">
        <v>155.300783349721</v>
      </c>
      <c r="AH125" s="180">
        <v>6.3325031133250304E-2</v>
      </c>
      <c r="AI125" s="276">
        <f t="shared" si="16"/>
        <v>-19.71156745511837</v>
      </c>
    </row>
    <row r="126" spans="7:35" x14ac:dyDescent="0.2">
      <c r="G126" s="72" t="str">
        <f t="shared" si="13"/>
        <v>OCC_ADVPR</v>
      </c>
      <c r="H126" s="10" t="s">
        <v>197</v>
      </c>
      <c r="I126" s="24" t="s">
        <v>1004</v>
      </c>
      <c r="J126" s="24" t="s">
        <v>78</v>
      </c>
      <c r="L126" s="24"/>
      <c r="M126" s="24"/>
      <c r="N126" s="24" t="s">
        <v>1124</v>
      </c>
      <c r="O126" s="97">
        <v>348.81869565217397</v>
      </c>
      <c r="P126" s="256">
        <v>487.15</v>
      </c>
      <c r="Q126" s="256">
        <v>241.16</v>
      </c>
      <c r="R126" s="256">
        <v>281.61</v>
      </c>
      <c r="S126" s="256"/>
      <c r="T126" s="256"/>
      <c r="U126" s="256"/>
      <c r="V126" s="256"/>
      <c r="W126" s="256"/>
      <c r="X126" s="256"/>
      <c r="Y126" s="256">
        <v>152.18</v>
      </c>
      <c r="Z126" s="256">
        <v>242.625</v>
      </c>
      <c r="AA126" s="256">
        <f t="shared" si="14"/>
        <v>326.11973684210523</v>
      </c>
      <c r="AB126" s="180">
        <v>7.8655406524259005E-4</v>
      </c>
      <c r="AD126" s="97">
        <v>349</v>
      </c>
      <c r="AE126" s="180">
        <v>4.1397582381188898E-5</v>
      </c>
      <c r="AF126" s="98">
        <f t="shared" si="15"/>
        <v>-22.880263157894774</v>
      </c>
      <c r="AG126" s="97">
        <v>235.83271971496401</v>
      </c>
      <c r="AH126" s="180">
        <v>1.7476131174761302E-2</v>
      </c>
      <c r="AI126" s="276">
        <f t="shared" si="16"/>
        <v>90.287017127141212</v>
      </c>
    </row>
    <row r="127" spans="7:35" x14ac:dyDescent="0.2">
      <c r="G127" s="72" t="str">
        <f t="shared" si="13"/>
        <v>OCC_LDISCNT</v>
      </c>
      <c r="H127" s="10" t="s">
        <v>198</v>
      </c>
      <c r="I127" s="24" t="s">
        <v>1004</v>
      </c>
      <c r="J127" s="24" t="s">
        <v>78</v>
      </c>
      <c r="L127" s="24"/>
      <c r="M127" s="24"/>
      <c r="N127" s="24" t="s">
        <v>1125</v>
      </c>
      <c r="O127" s="97">
        <v>330.58282196969702</v>
      </c>
      <c r="P127" s="256">
        <v>401.05958806818199</v>
      </c>
      <c r="Q127" s="256">
        <v>341.42085684430498</v>
      </c>
      <c r="R127" s="256">
        <v>291.39409290096398</v>
      </c>
      <c r="S127" s="256">
        <v>235.98073871408999</v>
      </c>
      <c r="T127" s="256">
        <v>212.24707882534801</v>
      </c>
      <c r="U127" s="256">
        <v>213.21100430416101</v>
      </c>
      <c r="V127" s="256">
        <v>196.34192572214599</v>
      </c>
      <c r="W127" s="256">
        <v>176.04994444444401</v>
      </c>
      <c r="X127" s="256">
        <v>225.88441140024801</v>
      </c>
      <c r="Y127" s="256">
        <v>237.52922046284999</v>
      </c>
      <c r="Z127" s="256">
        <v>344.23167227833898</v>
      </c>
      <c r="AA127" s="256">
        <f t="shared" si="14"/>
        <v>271.60984985311717</v>
      </c>
      <c r="AB127" s="180">
        <v>0.19024258983275399</v>
      </c>
      <c r="AD127" s="97">
        <v>279.42860558634902</v>
      </c>
      <c r="AE127" s="180">
        <v>0.19044957774466001</v>
      </c>
      <c r="AF127" s="98">
        <f t="shared" si="15"/>
        <v>-7.8187557332318534</v>
      </c>
      <c r="AG127" s="97">
        <v>276.75353267935202</v>
      </c>
      <c r="AH127" s="180">
        <v>0.17561228725612299</v>
      </c>
      <c r="AI127" s="276">
        <f t="shared" si="16"/>
        <v>-5.1436828262348513</v>
      </c>
    </row>
    <row r="128" spans="7:35" x14ac:dyDescent="0.2">
      <c r="G128" s="72" t="str">
        <f t="shared" si="13"/>
        <v>OCC_PAPR</v>
      </c>
      <c r="H128" s="10" t="s">
        <v>199</v>
      </c>
      <c r="I128" s="24" t="s">
        <v>1004</v>
      </c>
      <c r="J128" s="24" t="s">
        <v>78</v>
      </c>
      <c r="L128" s="24"/>
      <c r="M128" s="24"/>
      <c r="N128" s="24" t="s">
        <v>1126</v>
      </c>
      <c r="O128" s="97"/>
      <c r="P128" s="256"/>
      <c r="Q128" s="256"/>
      <c r="R128" s="256"/>
      <c r="S128" s="256"/>
      <c r="T128" s="256"/>
      <c r="U128" s="256"/>
      <c r="V128" s="256"/>
      <c r="W128" s="256"/>
      <c r="X128" s="256"/>
      <c r="Y128" s="256"/>
      <c r="Z128" s="256"/>
      <c r="AA128" s="256">
        <f t="shared" si="14"/>
        <v>0</v>
      </c>
      <c r="AB128" s="180">
        <v>0</v>
      </c>
      <c r="AD128" s="97"/>
      <c r="AE128" s="180">
        <v>0</v>
      </c>
      <c r="AF128" s="98">
        <f t="shared" si="15"/>
        <v>0</v>
      </c>
      <c r="AG128" s="97"/>
      <c r="AH128" s="180">
        <v>0</v>
      </c>
      <c r="AI128" s="276">
        <f t="shared" si="16"/>
        <v>0</v>
      </c>
    </row>
    <row r="129" spans="7:35" x14ac:dyDescent="0.2">
      <c r="G129" s="65" t="str">
        <f t="shared" si="13"/>
        <v>OCC_NEGOT</v>
      </c>
      <c r="H129" s="10" t="s">
        <v>200</v>
      </c>
      <c r="I129" s="26" t="s">
        <v>1007</v>
      </c>
      <c r="J129" s="26" t="s">
        <v>78</v>
      </c>
      <c r="L129" s="23"/>
      <c r="M129" s="24"/>
      <c r="N129" s="23" t="s">
        <v>1055</v>
      </c>
      <c r="O129" s="90">
        <v>316.42127071823199</v>
      </c>
      <c r="P129" s="255">
        <v>357.95818181818203</v>
      </c>
      <c r="Q129" s="255">
        <v>380.06206349206298</v>
      </c>
      <c r="R129" s="255">
        <v>280.34666666666698</v>
      </c>
      <c r="S129" s="255">
        <v>288.55456790123498</v>
      </c>
      <c r="T129" s="255">
        <v>220.02958333333299</v>
      </c>
      <c r="U129" s="255">
        <v>194.911944444444</v>
      </c>
      <c r="V129" s="255">
        <v>161.86793103448301</v>
      </c>
      <c r="W129" s="255">
        <v>169.90857142857101</v>
      </c>
      <c r="X129" s="255">
        <v>247.059586206897</v>
      </c>
      <c r="Y129" s="255">
        <v>279.46758823529399</v>
      </c>
      <c r="Z129" s="255">
        <v>351.480520833333</v>
      </c>
      <c r="AA129" s="255">
        <f t="shared" si="14"/>
        <v>303.4901788170564</v>
      </c>
      <c r="AB129" s="176">
        <v>3.00960423911244E-2</v>
      </c>
      <c r="AD129" s="90">
        <v>269.66726748377801</v>
      </c>
      <c r="AE129" s="176">
        <v>2.8709223381354499E-2</v>
      </c>
      <c r="AF129" s="91">
        <f t="shared" si="15"/>
        <v>33.822911333278398</v>
      </c>
      <c r="AG129" s="90">
        <v>286.40184663536797</v>
      </c>
      <c r="AH129" s="176">
        <v>2.6525529265255299E-2</v>
      </c>
      <c r="AI129" s="275">
        <f t="shared" si="16"/>
        <v>17.088332181688429</v>
      </c>
    </row>
    <row r="130" spans="7:35" x14ac:dyDescent="0.2">
      <c r="G130" s="72" t="str">
        <f t="shared" si="13"/>
        <v>OCC_CONS</v>
      </c>
      <c r="H130" s="10" t="s">
        <v>201</v>
      </c>
      <c r="I130" s="24" t="s">
        <v>1004</v>
      </c>
      <c r="J130" s="24" t="s">
        <v>78</v>
      </c>
      <c r="L130" s="24"/>
      <c r="M130" s="24"/>
      <c r="N130" s="24" t="s">
        <v>1127</v>
      </c>
      <c r="O130" s="97">
        <v>379.59782608695701</v>
      </c>
      <c r="P130" s="256">
        <v>466.94285714285701</v>
      </c>
      <c r="Q130" s="256">
        <v>434.86785714285702</v>
      </c>
      <c r="R130" s="256">
        <v>302.59916666666697</v>
      </c>
      <c r="S130" s="256">
        <v>190.345</v>
      </c>
      <c r="T130" s="256"/>
      <c r="U130" s="256">
        <v>181.93</v>
      </c>
      <c r="V130" s="256">
        <v>123</v>
      </c>
      <c r="W130" s="256">
        <v>223.26666666666699</v>
      </c>
      <c r="X130" s="256">
        <v>227.74875</v>
      </c>
      <c r="Y130" s="256">
        <v>362.97916666666703</v>
      </c>
      <c r="Z130" s="256">
        <v>243.85499999999999</v>
      </c>
      <c r="AA130" s="256">
        <f t="shared" si="14"/>
        <v>351.19679012345682</v>
      </c>
      <c r="AB130" s="180">
        <v>3.3532041728762999E-3</v>
      </c>
      <c r="AD130" s="97">
        <v>316.69255319148903</v>
      </c>
      <c r="AE130" s="180">
        <v>9.7284318595793999E-3</v>
      </c>
      <c r="AF130" s="98">
        <f t="shared" si="15"/>
        <v>34.504236931967796</v>
      </c>
      <c r="AG130" s="97">
        <v>306.06771117166198</v>
      </c>
      <c r="AH130" s="180">
        <v>7.6172685761726902E-3</v>
      </c>
      <c r="AI130" s="276">
        <f t="shared" si="16"/>
        <v>45.129078951794838</v>
      </c>
    </row>
    <row r="131" spans="7:35" x14ac:dyDescent="0.2">
      <c r="G131" s="72" t="str">
        <f t="shared" si="13"/>
        <v>OCC_NNEG</v>
      </c>
      <c r="H131" s="10" t="s">
        <v>202</v>
      </c>
      <c r="I131" s="24" t="s">
        <v>1004</v>
      </c>
      <c r="J131" s="24" t="s">
        <v>78</v>
      </c>
      <c r="L131" s="24"/>
      <c r="M131" s="24"/>
      <c r="N131" s="24" t="s">
        <v>1128</v>
      </c>
      <c r="O131" s="97">
        <v>347.866184210526</v>
      </c>
      <c r="P131" s="256">
        <v>431.18880000000001</v>
      </c>
      <c r="Q131" s="256">
        <v>403.69781818181798</v>
      </c>
      <c r="R131" s="256">
        <v>281.68265306122498</v>
      </c>
      <c r="S131" s="256">
        <v>227.84125</v>
      </c>
      <c r="T131" s="256">
        <v>228.315151515152</v>
      </c>
      <c r="U131" s="256">
        <v>185.26875000000001</v>
      </c>
      <c r="V131" s="256">
        <v>171.01875000000001</v>
      </c>
      <c r="W131" s="256">
        <v>153.92625000000001</v>
      </c>
      <c r="X131" s="256">
        <v>287.66347222222203</v>
      </c>
      <c r="Y131" s="256">
        <v>295.57422535211299</v>
      </c>
      <c r="Z131" s="256">
        <v>283.52866666666699</v>
      </c>
      <c r="AA131" s="256">
        <f t="shared" si="14"/>
        <v>306.53058823529415</v>
      </c>
      <c r="AB131" s="180">
        <v>1.0204504056963101E-2</v>
      </c>
      <c r="AD131" s="97">
        <v>248.124767225326</v>
      </c>
      <c r="AE131" s="180">
        <v>1.11152508693492E-2</v>
      </c>
      <c r="AF131" s="98">
        <f t="shared" si="15"/>
        <v>58.40582100996815</v>
      </c>
      <c r="AG131" s="97">
        <v>274.96296564195302</v>
      </c>
      <c r="AH131" s="180">
        <v>1.14777916147779E-2</v>
      </c>
      <c r="AI131" s="276">
        <f t="shared" si="16"/>
        <v>31.567622593341127</v>
      </c>
    </row>
    <row r="132" spans="7:35" x14ac:dyDescent="0.2">
      <c r="G132" s="72" t="str">
        <f t="shared" si="13"/>
        <v>OCC_LNEG</v>
      </c>
      <c r="H132" s="10" t="s">
        <v>203</v>
      </c>
      <c r="I132" s="24" t="s">
        <v>1004</v>
      </c>
      <c r="J132" s="24" t="s">
        <v>78</v>
      </c>
      <c r="L132" s="24"/>
      <c r="M132" s="24"/>
      <c r="N132" s="24" t="s">
        <v>1129</v>
      </c>
      <c r="O132" s="97">
        <v>301.80958174904902</v>
      </c>
      <c r="P132" s="256">
        <v>310.34038216560498</v>
      </c>
      <c r="Q132" s="256">
        <v>343.79456140350902</v>
      </c>
      <c r="R132" s="256">
        <v>265.89043478260902</v>
      </c>
      <c r="S132" s="256">
        <v>323.45943396226397</v>
      </c>
      <c r="T132" s="256">
        <v>201.80133333333299</v>
      </c>
      <c r="U132" s="256">
        <v>209.52533333333301</v>
      </c>
      <c r="V132" s="256">
        <v>155.624545454545</v>
      </c>
      <c r="W132" s="256">
        <v>147.458</v>
      </c>
      <c r="X132" s="256">
        <v>201.191052631579</v>
      </c>
      <c r="Y132" s="256">
        <v>213.59476190476201</v>
      </c>
      <c r="Z132" s="256">
        <v>373.68093333333297</v>
      </c>
      <c r="AA132" s="256">
        <f t="shared" si="14"/>
        <v>291.94150187734664</v>
      </c>
      <c r="AB132" s="180">
        <v>1.6538334161285001E-2</v>
      </c>
      <c r="AD132" s="97">
        <v>241.947368421053</v>
      </c>
      <c r="AE132" s="180">
        <v>7.8655406524259005E-3</v>
      </c>
      <c r="AF132" s="98">
        <f t="shared" si="15"/>
        <v>49.994133456293639</v>
      </c>
      <c r="AG132" s="97">
        <v>283.91114525139699</v>
      </c>
      <c r="AH132" s="180">
        <v>7.4304690743046903E-3</v>
      </c>
      <c r="AI132" s="276">
        <f t="shared" si="16"/>
        <v>8.0303566259496506</v>
      </c>
    </row>
    <row r="133" spans="7:35" x14ac:dyDescent="0.2">
      <c r="G133" s="65" t="str">
        <f t="shared" si="13"/>
        <v>OCC_QUALF</v>
      </c>
      <c r="H133" s="10" t="s">
        <v>204</v>
      </c>
      <c r="I133" s="26" t="s">
        <v>1007</v>
      </c>
      <c r="J133" s="26" t="s">
        <v>78</v>
      </c>
      <c r="L133" s="23"/>
      <c r="M133" s="24"/>
      <c r="N133" s="23" t="s">
        <v>1056</v>
      </c>
      <c r="O133" s="90">
        <v>187.73527131782899</v>
      </c>
      <c r="P133" s="255">
        <v>225.49860139860101</v>
      </c>
      <c r="Q133" s="255">
        <v>258.76862068965499</v>
      </c>
      <c r="R133" s="255">
        <v>214.97796407185601</v>
      </c>
      <c r="S133" s="255">
        <v>174.61944444444401</v>
      </c>
      <c r="T133" s="255">
        <v>141.36010416666701</v>
      </c>
      <c r="U133" s="255">
        <v>129.396985294118</v>
      </c>
      <c r="V133" s="255">
        <v>142.43225806451599</v>
      </c>
      <c r="W133" s="255">
        <v>149.998295454545</v>
      </c>
      <c r="X133" s="255">
        <v>167.99952380952399</v>
      </c>
      <c r="Y133" s="255">
        <v>156.29833333333301</v>
      </c>
      <c r="Z133" s="255">
        <v>165.31960784313699</v>
      </c>
      <c r="AA133" s="255">
        <f t="shared" si="14"/>
        <v>182.12194362017806</v>
      </c>
      <c r="AB133" s="176">
        <v>2.7901970524921299E-2</v>
      </c>
      <c r="AD133" s="90">
        <v>176.87549158547401</v>
      </c>
      <c r="AE133" s="176">
        <v>2.3368935254181201E-2</v>
      </c>
      <c r="AF133" s="91">
        <f t="shared" si="15"/>
        <v>5.2464520347040491</v>
      </c>
      <c r="AG133" s="90">
        <v>169.52925501432699</v>
      </c>
      <c r="AH133" s="176">
        <v>2.17310087173101E-2</v>
      </c>
      <c r="AI133" s="275">
        <f t="shared" si="16"/>
        <v>12.592688605851066</v>
      </c>
    </row>
    <row r="134" spans="7:35" x14ac:dyDescent="0.2">
      <c r="G134" s="72" t="str">
        <f t="shared" si="13"/>
        <v>OCC_QUDI</v>
      </c>
      <c r="H134" s="10" t="s">
        <v>205</v>
      </c>
      <c r="I134" s="24" t="s">
        <v>1004</v>
      </c>
      <c r="J134" s="24" t="s">
        <v>78</v>
      </c>
      <c r="L134" s="24"/>
      <c r="M134" s="24"/>
      <c r="N134" s="24" t="s">
        <v>1056</v>
      </c>
      <c r="O134" s="97">
        <v>178.74072164948501</v>
      </c>
      <c r="P134" s="256">
        <v>228.16929824561399</v>
      </c>
      <c r="Q134" s="256">
        <v>274.31261682243002</v>
      </c>
      <c r="R134" s="256">
        <v>217.65958041958001</v>
      </c>
      <c r="S134" s="256">
        <v>170.98829787234001</v>
      </c>
      <c r="T134" s="256">
        <v>141.22240506329101</v>
      </c>
      <c r="U134" s="256">
        <v>126.696339285714</v>
      </c>
      <c r="V134" s="256">
        <v>142.45681818181799</v>
      </c>
      <c r="W134" s="256">
        <v>152.82846153846199</v>
      </c>
      <c r="X134" s="256">
        <v>171.378735632184</v>
      </c>
      <c r="Y134" s="256">
        <v>156.36851851851901</v>
      </c>
      <c r="Z134" s="256">
        <v>164.87722772277201</v>
      </c>
      <c r="AA134" s="256">
        <f t="shared" si="14"/>
        <v>181.89775200713649</v>
      </c>
      <c r="AB134" s="180">
        <v>2.3203344924656401E-2</v>
      </c>
      <c r="AD134" s="97">
        <v>175.05461458333301</v>
      </c>
      <c r="AE134" s="180">
        <v>1.9870839542970701E-2</v>
      </c>
      <c r="AF134" s="98">
        <f t="shared" si="15"/>
        <v>6.8431374238034834</v>
      </c>
      <c r="AG134" s="97">
        <v>167.63172768878701</v>
      </c>
      <c r="AH134" s="180">
        <v>1.8140307181403099E-2</v>
      </c>
      <c r="AI134" s="276">
        <f t="shared" si="16"/>
        <v>14.26602431834948</v>
      </c>
    </row>
    <row r="135" spans="7:35" x14ac:dyDescent="0.2">
      <c r="G135" s="72" t="str">
        <f t="shared" si="13"/>
        <v>OCC_TGOV</v>
      </c>
      <c r="H135" s="10" t="s">
        <v>206</v>
      </c>
      <c r="I135" s="24" t="s">
        <v>1004</v>
      </c>
      <c r="J135" s="24" t="s">
        <v>78</v>
      </c>
      <c r="L135" s="24"/>
      <c r="M135" s="24"/>
      <c r="N135" s="24" t="s">
        <v>1063</v>
      </c>
      <c r="O135" s="97">
        <v>215</v>
      </c>
      <c r="P135" s="256">
        <v>215</v>
      </c>
      <c r="Q135" s="256">
        <v>215</v>
      </c>
      <c r="R135" s="256">
        <v>199</v>
      </c>
      <c r="S135" s="256">
        <v>199</v>
      </c>
      <c r="T135" s="256">
        <v>142</v>
      </c>
      <c r="U135" s="256">
        <v>142</v>
      </c>
      <c r="V135" s="256">
        <v>142</v>
      </c>
      <c r="W135" s="256">
        <v>142</v>
      </c>
      <c r="X135" s="256">
        <v>151.666666666667</v>
      </c>
      <c r="Y135" s="256">
        <v>155.666666666667</v>
      </c>
      <c r="Z135" s="256">
        <v>210</v>
      </c>
      <c r="AA135" s="256">
        <f t="shared" si="14"/>
        <v>183.22907488986783</v>
      </c>
      <c r="AB135" s="180">
        <v>4.6986256002649399E-3</v>
      </c>
      <c r="AD135" s="97">
        <v>187.218934911243</v>
      </c>
      <c r="AE135" s="180">
        <v>3.49809571121047E-3</v>
      </c>
      <c r="AF135" s="98">
        <f t="shared" si="15"/>
        <v>-3.9898600213751649</v>
      </c>
      <c r="AG135" s="97">
        <v>179.11560693641599</v>
      </c>
      <c r="AH135" s="180">
        <v>3.5907015359070201E-3</v>
      </c>
      <c r="AI135" s="276">
        <f t="shared" si="16"/>
        <v>4.1134679534518455</v>
      </c>
    </row>
    <row r="136" spans="7:35" x14ac:dyDescent="0.2">
      <c r="G136" s="65" t="str">
        <f t="shared" si="13"/>
        <v>OCC_WHOL</v>
      </c>
      <c r="H136" s="10" t="s">
        <v>207</v>
      </c>
      <c r="I136" s="26" t="s">
        <v>1007</v>
      </c>
      <c r="J136" s="26" t="s">
        <v>78</v>
      </c>
      <c r="L136" s="23"/>
      <c r="M136" s="24"/>
      <c r="N136" s="23" t="s">
        <v>1057</v>
      </c>
      <c r="O136" s="95">
        <v>271.565966850829</v>
      </c>
      <c r="P136" s="257">
        <v>310.72317180616699</v>
      </c>
      <c r="Q136" s="257">
        <v>289.36734177215197</v>
      </c>
      <c r="R136" s="257">
        <v>234.104143222506</v>
      </c>
      <c r="S136" s="257">
        <v>237.976345177665</v>
      </c>
      <c r="T136" s="257">
        <v>190.462338709677</v>
      </c>
      <c r="U136" s="257">
        <v>175.90941176470599</v>
      </c>
      <c r="V136" s="257">
        <v>164.36934426229499</v>
      </c>
      <c r="W136" s="257">
        <v>156.327882352941</v>
      </c>
      <c r="X136" s="257">
        <v>201.297610619469</v>
      </c>
      <c r="Y136" s="257">
        <v>186.519855072464</v>
      </c>
      <c r="Z136" s="257">
        <v>303.39151515151502</v>
      </c>
      <c r="AA136" s="257">
        <f t="shared" si="14"/>
        <v>239.56313920454548</v>
      </c>
      <c r="AB136" s="179">
        <v>4.3715846994535498E-2</v>
      </c>
      <c r="AD136" s="95">
        <v>194.271085959885</v>
      </c>
      <c r="AE136" s="179">
        <v>7.2238781255174703E-2</v>
      </c>
      <c r="AF136" s="96">
        <f t="shared" si="15"/>
        <v>45.29205324466048</v>
      </c>
      <c r="AG136" s="95">
        <v>173.202536394177</v>
      </c>
      <c r="AH136" s="179">
        <v>7.4138646741386496E-2</v>
      </c>
      <c r="AI136" s="277">
        <f t="shared" si="16"/>
        <v>66.360602810368476</v>
      </c>
    </row>
    <row r="137" spans="7:35" x14ac:dyDescent="0.2">
      <c r="G137" s="65" t="str">
        <f t="shared" si="13"/>
        <v>OCC_INDT</v>
      </c>
      <c r="H137" s="10" t="s">
        <v>177</v>
      </c>
      <c r="I137" s="26" t="s">
        <v>1005</v>
      </c>
      <c r="J137" s="26" t="s">
        <v>78</v>
      </c>
      <c r="L137" s="23"/>
      <c r="M137" s="24"/>
      <c r="N137" s="23" t="s">
        <v>1152</v>
      </c>
      <c r="O137" s="141">
        <v>283.122944228275</v>
      </c>
      <c r="P137" s="258">
        <v>357.12529945553501</v>
      </c>
      <c r="Q137" s="258">
        <v>309.38616322974099</v>
      </c>
      <c r="R137" s="258">
        <v>256.87876369766798</v>
      </c>
      <c r="S137" s="258">
        <v>203.809696</v>
      </c>
      <c r="T137" s="258">
        <v>170.63396940726599</v>
      </c>
      <c r="U137" s="258">
        <v>171.529605171209</v>
      </c>
      <c r="V137" s="258">
        <v>157.02505122950799</v>
      </c>
      <c r="W137" s="258">
        <v>144.569132093467</v>
      </c>
      <c r="X137" s="258">
        <v>189.3</v>
      </c>
      <c r="Y137" s="258">
        <v>195.236194242328</v>
      </c>
      <c r="Z137" s="258">
        <v>276.22590992647099</v>
      </c>
      <c r="AA137" s="258">
        <f t="shared" si="14"/>
        <v>230.44256197187056</v>
      </c>
      <c r="AB137" s="178">
        <v>0.737311641000166</v>
      </c>
      <c r="AD137" s="141">
        <v>241.58944336295701</v>
      </c>
      <c r="AE137" s="178">
        <v>0.73366865375062096</v>
      </c>
      <c r="AF137" s="142">
        <f t="shared" si="15"/>
        <v>-11.146881391086453</v>
      </c>
      <c r="AG137" s="141">
        <v>239.03619893078201</v>
      </c>
      <c r="AH137" s="178">
        <v>0.73765047737650502</v>
      </c>
      <c r="AI137" s="278">
        <f t="shared" si="16"/>
        <v>-8.5936369589114463</v>
      </c>
    </row>
    <row r="138" spans="7:35" x14ac:dyDescent="0.2">
      <c r="G138" s="72" t="str">
        <f t="shared" si="13"/>
        <v>OCCNKROW</v>
      </c>
      <c r="H138" s="10" t="s">
        <v>175</v>
      </c>
      <c r="I138" s="24" t="s">
        <v>1006</v>
      </c>
      <c r="J138" s="24" t="s">
        <v>78</v>
      </c>
      <c r="L138" s="24"/>
      <c r="M138" s="24"/>
      <c r="N138" s="24" t="s">
        <v>175</v>
      </c>
      <c r="O138" s="93"/>
      <c r="P138" s="259"/>
      <c r="Q138" s="259"/>
      <c r="R138" s="259"/>
      <c r="S138" s="259"/>
      <c r="T138" s="259"/>
      <c r="U138" s="259"/>
      <c r="V138" s="259"/>
      <c r="W138" s="259"/>
      <c r="X138" s="259"/>
      <c r="Y138" s="259"/>
      <c r="Z138" s="259"/>
      <c r="AA138" s="259">
        <f t="shared" si="14"/>
        <v>0</v>
      </c>
      <c r="AB138" s="177"/>
      <c r="AD138" s="93"/>
      <c r="AE138" s="177"/>
      <c r="AF138" s="94">
        <f t="shared" si="15"/>
        <v>0</v>
      </c>
      <c r="AG138" s="93"/>
      <c r="AH138" s="177"/>
      <c r="AI138" s="279">
        <f t="shared" si="16"/>
        <v>0</v>
      </c>
    </row>
    <row r="139" spans="7:35" x14ac:dyDescent="0.2">
      <c r="G139" s="65" t="str">
        <f t="shared" si="13"/>
        <v>OCC_CORPT</v>
      </c>
      <c r="H139" s="10" t="s">
        <v>179</v>
      </c>
      <c r="I139" s="26" t="s">
        <v>1007</v>
      </c>
      <c r="J139" s="26" t="s">
        <v>78</v>
      </c>
      <c r="L139" s="23"/>
      <c r="M139" s="24"/>
      <c r="N139" s="23" t="s">
        <v>1061</v>
      </c>
      <c r="O139" s="90">
        <v>293.47318007662801</v>
      </c>
      <c r="P139" s="255">
        <v>322.13466334164599</v>
      </c>
      <c r="Q139" s="255">
        <v>310.56857142857098</v>
      </c>
      <c r="R139" s="255">
        <v>262.58163265306098</v>
      </c>
      <c r="S139" s="255">
        <v>424.25429553264598</v>
      </c>
      <c r="T139" s="255">
        <v>162.72483460559801</v>
      </c>
      <c r="U139" s="255">
        <v>284.81168831168799</v>
      </c>
      <c r="V139" s="255">
        <v>160.69123595505599</v>
      </c>
      <c r="W139" s="255">
        <v>214.10372340425499</v>
      </c>
      <c r="X139" s="255">
        <v>172.666666666667</v>
      </c>
      <c r="Y139" s="255">
        <v>203.52365930599399</v>
      </c>
      <c r="Z139" s="255">
        <v>278.99696969696998</v>
      </c>
      <c r="AA139" s="255">
        <f t="shared" si="14"/>
        <v>272.81509600415148</v>
      </c>
      <c r="AB139" s="176">
        <v>7.9773141248551102E-2</v>
      </c>
      <c r="AD139" s="90">
        <v>283.47142857142899</v>
      </c>
      <c r="AE139" s="176">
        <v>7.9690346083788693E-2</v>
      </c>
      <c r="AF139" s="91">
        <f t="shared" si="15"/>
        <v>-10.656332567277502</v>
      </c>
      <c r="AG139" s="90">
        <v>298.80562241236498</v>
      </c>
      <c r="AH139" s="176">
        <v>7.5197177251971795E-2</v>
      </c>
      <c r="AI139" s="275">
        <f t="shared" si="16"/>
        <v>-25.990526408213498</v>
      </c>
    </row>
    <row r="140" spans="7:35" x14ac:dyDescent="0.2">
      <c r="G140" s="72" t="str">
        <f t="shared" si="13"/>
        <v>OCC_CORP</v>
      </c>
      <c r="H140" s="10" t="s">
        <v>180</v>
      </c>
      <c r="I140" s="24" t="s">
        <v>1004</v>
      </c>
      <c r="J140" s="24" t="s">
        <v>78</v>
      </c>
      <c r="L140" s="24"/>
      <c r="M140" s="24"/>
      <c r="N140" s="24" t="s">
        <v>1061</v>
      </c>
      <c r="O140" s="97">
        <v>279.30997876857703</v>
      </c>
      <c r="P140" s="256">
        <v>291.54383116883099</v>
      </c>
      <c r="Q140" s="256">
        <v>278.02793296089402</v>
      </c>
      <c r="R140" s="256">
        <v>206.29545454545499</v>
      </c>
      <c r="S140" s="256">
        <v>424.25429553264598</v>
      </c>
      <c r="T140" s="256">
        <v>162.149611111111</v>
      </c>
      <c r="U140" s="256">
        <v>284.81168831168799</v>
      </c>
      <c r="V140" s="256">
        <v>150.42857142857099</v>
      </c>
      <c r="W140" s="256">
        <v>218.027777777778</v>
      </c>
      <c r="X140" s="256">
        <v>172.666666666667</v>
      </c>
      <c r="Y140" s="256">
        <v>199.137142857143</v>
      </c>
      <c r="Z140" s="256">
        <v>278.99696969696998</v>
      </c>
      <c r="AA140" s="256">
        <f t="shared" si="14"/>
        <v>263.50688366097324</v>
      </c>
      <c r="AB140" s="180">
        <v>6.4228349064414603E-2</v>
      </c>
      <c r="AD140" s="97">
        <v>275.57798165137598</v>
      </c>
      <c r="AE140" s="180">
        <v>5.6404205994369898E-2</v>
      </c>
      <c r="AF140" s="98">
        <f t="shared" si="15"/>
        <v>-12.071097990402734</v>
      </c>
      <c r="AG140" s="97">
        <v>296.57040890957398</v>
      </c>
      <c r="AH140" s="180">
        <v>6.2432544624325403E-2</v>
      </c>
      <c r="AI140" s="276">
        <f t="shared" si="16"/>
        <v>-33.06352524860074</v>
      </c>
    </row>
    <row r="141" spans="7:35" x14ac:dyDescent="0.2">
      <c r="G141" s="72" t="str">
        <f t="shared" si="13"/>
        <v>OCC_ENTR</v>
      </c>
      <c r="H141" s="10" t="s">
        <v>181</v>
      </c>
      <c r="I141" s="24" t="s">
        <v>1004</v>
      </c>
      <c r="J141" s="24" t="s">
        <v>78</v>
      </c>
      <c r="L141" s="24"/>
      <c r="M141" s="24"/>
      <c r="N141" s="24" t="s">
        <v>1130</v>
      </c>
      <c r="O141" s="97">
        <v>424.274509803922</v>
      </c>
      <c r="P141" s="256">
        <v>423.44623655914</v>
      </c>
      <c r="Q141" s="256">
        <v>344.63157894736798</v>
      </c>
      <c r="R141" s="256">
        <v>308.444444444444</v>
      </c>
      <c r="S141" s="256"/>
      <c r="T141" s="256">
        <v>169</v>
      </c>
      <c r="U141" s="256"/>
      <c r="V141" s="256">
        <v>185.55846153846201</v>
      </c>
      <c r="W141" s="256">
        <v>201.261363636364</v>
      </c>
      <c r="X141" s="256"/>
      <c r="Y141" s="256">
        <v>208.92957746478899</v>
      </c>
      <c r="Z141" s="256"/>
      <c r="AA141" s="256">
        <f t="shared" si="14"/>
        <v>311.27499334221039</v>
      </c>
      <c r="AB141" s="180">
        <v>1.5544792184136401E-2</v>
      </c>
      <c r="AD141" s="97">
        <v>302.59111111111099</v>
      </c>
      <c r="AE141" s="180">
        <v>2.3286140089418799E-2</v>
      </c>
      <c r="AF141" s="98">
        <f t="shared" si="15"/>
        <v>8.6838822310994033</v>
      </c>
      <c r="AG141" s="97">
        <v>309.73817886178898</v>
      </c>
      <c r="AH141" s="180">
        <v>1.2764632627646299E-2</v>
      </c>
      <c r="AI141" s="276">
        <f t="shared" si="16"/>
        <v>1.5368144804214126</v>
      </c>
    </row>
    <row r="142" spans="7:35" x14ac:dyDescent="0.2">
      <c r="G142" s="65" t="str">
        <f t="shared" si="13"/>
        <v>OCC_ASSCN</v>
      </c>
      <c r="H142" s="10" t="s">
        <v>182</v>
      </c>
      <c r="I142" s="26" t="s">
        <v>1007</v>
      </c>
      <c r="J142" s="26" t="s">
        <v>78</v>
      </c>
      <c r="L142" s="23"/>
      <c r="M142" s="24"/>
      <c r="N142" s="23" t="s">
        <v>1062</v>
      </c>
      <c r="O142" s="90">
        <v>315.67962962963003</v>
      </c>
      <c r="P142" s="255"/>
      <c r="Q142" s="255"/>
      <c r="R142" s="255"/>
      <c r="S142" s="255">
        <v>209.000181818182</v>
      </c>
      <c r="T142" s="255">
        <v>175.81585106383</v>
      </c>
      <c r="U142" s="255"/>
      <c r="V142" s="255">
        <v>145</v>
      </c>
      <c r="W142" s="255">
        <v>205.72368421052599</v>
      </c>
      <c r="X142" s="255">
        <v>198.93929712460101</v>
      </c>
      <c r="Y142" s="255"/>
      <c r="Z142" s="255"/>
      <c r="AA142" s="255">
        <f t="shared" si="14"/>
        <v>203.03780185758512</v>
      </c>
      <c r="AB142" s="176">
        <v>1.3371419109124E-2</v>
      </c>
      <c r="AD142" s="90">
        <v>164.38461538461499</v>
      </c>
      <c r="AE142" s="176">
        <v>5.3816857095545598E-3</v>
      </c>
      <c r="AF142" s="91">
        <f t="shared" si="15"/>
        <v>38.653186472970134</v>
      </c>
      <c r="AG142" s="90">
        <v>161.44470338983001</v>
      </c>
      <c r="AH142" s="176">
        <v>4.8982980489829797E-3</v>
      </c>
      <c r="AI142" s="275">
        <f t="shared" si="16"/>
        <v>41.593098467755112</v>
      </c>
    </row>
    <row r="143" spans="7:35" x14ac:dyDescent="0.2">
      <c r="G143" s="72" t="str">
        <f t="shared" si="13"/>
        <v>OCC_ASSC</v>
      </c>
      <c r="H143" s="10" t="s">
        <v>183</v>
      </c>
      <c r="I143" s="24" t="s">
        <v>1004</v>
      </c>
      <c r="J143" s="24" t="s">
        <v>78</v>
      </c>
      <c r="L143" s="24"/>
      <c r="M143" s="24"/>
      <c r="N143" s="24" t="s">
        <v>1131</v>
      </c>
      <c r="O143" s="97">
        <v>315.67962962963003</v>
      </c>
      <c r="P143" s="256"/>
      <c r="Q143" s="256"/>
      <c r="R143" s="256"/>
      <c r="S143" s="256"/>
      <c r="T143" s="256">
        <v>193.64223880597001</v>
      </c>
      <c r="U143" s="256"/>
      <c r="V143" s="256">
        <v>145</v>
      </c>
      <c r="W143" s="256">
        <v>202.77500000000001</v>
      </c>
      <c r="X143" s="256">
        <v>99.5</v>
      </c>
      <c r="Y143" s="256"/>
      <c r="Z143" s="256"/>
      <c r="AA143" s="256">
        <f t="shared" si="14"/>
        <v>215.45723756906079</v>
      </c>
      <c r="AB143" s="180">
        <v>3.7464812054976001E-3</v>
      </c>
      <c r="AD143" s="97">
        <v>199</v>
      </c>
      <c r="AE143" s="180">
        <v>5.1746977976486195E-4</v>
      </c>
      <c r="AF143" s="98">
        <f t="shared" si="15"/>
        <v>16.457237569060794</v>
      </c>
      <c r="AG143" s="97">
        <v>187.999275362319</v>
      </c>
      <c r="AH143" s="180">
        <v>1.4321295143213E-3</v>
      </c>
      <c r="AI143" s="276">
        <f t="shared" si="16"/>
        <v>27.457962206741797</v>
      </c>
    </row>
    <row r="144" spans="7:35" x14ac:dyDescent="0.2">
      <c r="G144" s="72" t="str">
        <f t="shared" si="13"/>
        <v>OCC_CONV</v>
      </c>
      <c r="H144" s="10" t="s">
        <v>184</v>
      </c>
      <c r="I144" s="24" t="s">
        <v>1004</v>
      </c>
      <c r="J144" s="24" t="s">
        <v>78</v>
      </c>
      <c r="L144" s="24"/>
      <c r="M144" s="24"/>
      <c r="N144" s="24" t="s">
        <v>1132</v>
      </c>
      <c r="O144" s="97"/>
      <c r="P144" s="256"/>
      <c r="Q144" s="256"/>
      <c r="R144" s="256"/>
      <c r="S144" s="256">
        <v>209</v>
      </c>
      <c r="T144" s="256">
        <v>131.58000000000001</v>
      </c>
      <c r="U144" s="256"/>
      <c r="V144" s="256"/>
      <c r="W144" s="256">
        <v>209</v>
      </c>
      <c r="X144" s="256">
        <v>199.578778135048</v>
      </c>
      <c r="Y144" s="256"/>
      <c r="Z144" s="256"/>
      <c r="AA144" s="256">
        <f t="shared" si="14"/>
        <v>198.20356989247313</v>
      </c>
      <c r="AB144" s="180">
        <v>9.6249379036264307E-3</v>
      </c>
      <c r="AD144" s="97">
        <v>160.70212765957399</v>
      </c>
      <c r="AE144" s="180">
        <v>4.8642159297897E-3</v>
      </c>
      <c r="AF144" s="98">
        <f t="shared" si="15"/>
        <v>37.501442232899137</v>
      </c>
      <c r="AG144" s="97">
        <v>150.473053892216</v>
      </c>
      <c r="AH144" s="180">
        <v>3.4661685346616899E-3</v>
      </c>
      <c r="AI144" s="276">
        <f t="shared" si="16"/>
        <v>47.730516000257126</v>
      </c>
    </row>
    <row r="145" spans="7:35" x14ac:dyDescent="0.2">
      <c r="G145" s="65" t="str">
        <f t="shared" si="13"/>
        <v>OCC_GGOV</v>
      </c>
      <c r="H145" s="10" t="s">
        <v>185</v>
      </c>
      <c r="I145" s="26" t="s">
        <v>1007</v>
      </c>
      <c r="J145" s="26" t="s">
        <v>78</v>
      </c>
      <c r="L145" s="23"/>
      <c r="M145" s="24"/>
      <c r="N145" s="23" t="s">
        <v>1063</v>
      </c>
      <c r="O145" s="90"/>
      <c r="P145" s="255"/>
      <c r="Q145" s="255"/>
      <c r="R145" s="255"/>
      <c r="S145" s="255"/>
      <c r="T145" s="255"/>
      <c r="U145" s="255"/>
      <c r="V145" s="255"/>
      <c r="W145" s="255"/>
      <c r="X145" s="255"/>
      <c r="Y145" s="255"/>
      <c r="Z145" s="255"/>
      <c r="AA145" s="255">
        <f t="shared" si="14"/>
        <v>0</v>
      </c>
      <c r="AB145" s="176">
        <v>0</v>
      </c>
      <c r="AD145" s="90"/>
      <c r="AE145" s="176">
        <v>0</v>
      </c>
      <c r="AF145" s="91">
        <f t="shared" si="15"/>
        <v>0</v>
      </c>
      <c r="AG145" s="90"/>
      <c r="AH145" s="176">
        <v>0</v>
      </c>
      <c r="AI145" s="275">
        <f t="shared" si="16"/>
        <v>0</v>
      </c>
    </row>
    <row r="146" spans="7:35" x14ac:dyDescent="0.2">
      <c r="G146" s="65" t="str">
        <f t="shared" si="13"/>
        <v>OCC_TOURW</v>
      </c>
      <c r="H146" s="10" t="s">
        <v>186</v>
      </c>
      <c r="I146" s="26" t="s">
        <v>1007</v>
      </c>
      <c r="J146" s="26" t="s">
        <v>78</v>
      </c>
      <c r="L146" s="23"/>
      <c r="M146" s="24"/>
      <c r="N146" s="23" t="s">
        <v>1064</v>
      </c>
      <c r="O146" s="90">
        <v>296.61904761904799</v>
      </c>
      <c r="P146" s="255"/>
      <c r="Q146" s="255"/>
      <c r="R146" s="255"/>
      <c r="S146" s="255"/>
      <c r="T146" s="255"/>
      <c r="U146" s="255"/>
      <c r="V146" s="255"/>
      <c r="W146" s="255"/>
      <c r="X146" s="255"/>
      <c r="Y146" s="255"/>
      <c r="Z146" s="255"/>
      <c r="AA146" s="255">
        <f t="shared" si="14"/>
        <v>296.61904761904759</v>
      </c>
      <c r="AB146" s="176">
        <v>4.3467461500248402E-4</v>
      </c>
      <c r="AD146" s="90">
        <v>217.00995024875601</v>
      </c>
      <c r="AE146" s="176">
        <v>4.1604570293094899E-3</v>
      </c>
      <c r="AF146" s="91">
        <f t="shared" si="15"/>
        <v>79.609097370291579</v>
      </c>
      <c r="AG146" s="90"/>
      <c r="AH146" s="176">
        <v>0</v>
      </c>
      <c r="AI146" s="275">
        <f t="shared" si="16"/>
        <v>296.61904761904759</v>
      </c>
    </row>
    <row r="147" spans="7:35" x14ac:dyDescent="0.2">
      <c r="G147" s="72" t="str">
        <f t="shared" si="13"/>
        <v>OCC_WHTT</v>
      </c>
      <c r="H147" s="10" t="s">
        <v>187</v>
      </c>
      <c r="I147" s="24" t="s">
        <v>1004</v>
      </c>
      <c r="J147" s="24" t="s">
        <v>78</v>
      </c>
      <c r="L147" s="24"/>
      <c r="M147" s="24"/>
      <c r="N147" s="24" t="s">
        <v>1133</v>
      </c>
      <c r="O147" s="97">
        <v>296.61904761904799</v>
      </c>
      <c r="P147" s="256"/>
      <c r="Q147" s="256"/>
      <c r="R147" s="256"/>
      <c r="S147" s="256"/>
      <c r="T147" s="256"/>
      <c r="U147" s="256"/>
      <c r="V147" s="256"/>
      <c r="W147" s="256"/>
      <c r="X147" s="256"/>
      <c r="Y147" s="256"/>
      <c r="Z147" s="256"/>
      <c r="AA147" s="256">
        <f t="shared" si="14"/>
        <v>296.61904761904759</v>
      </c>
      <c r="AB147" s="180">
        <v>4.3467461500248402E-4</v>
      </c>
      <c r="AD147" s="97">
        <v>217.00995024875601</v>
      </c>
      <c r="AE147" s="180">
        <v>4.1604570293094899E-3</v>
      </c>
      <c r="AF147" s="98">
        <f t="shared" si="15"/>
        <v>79.609097370291579</v>
      </c>
      <c r="AG147" s="97"/>
      <c r="AH147" s="180">
        <v>0</v>
      </c>
      <c r="AI147" s="276">
        <f t="shared" si="16"/>
        <v>296.61904761904759</v>
      </c>
    </row>
    <row r="148" spans="7:35" x14ac:dyDescent="0.2">
      <c r="G148" s="72" t="str">
        <f t="shared" si="13"/>
        <v>OCC_MICE</v>
      </c>
      <c r="H148" s="10" t="s">
        <v>188</v>
      </c>
      <c r="I148" s="24" t="s">
        <v>1004</v>
      </c>
      <c r="J148" s="24" t="s">
        <v>78</v>
      </c>
      <c r="L148" s="24"/>
      <c r="M148" s="24"/>
      <c r="N148" s="24" t="s">
        <v>1134</v>
      </c>
      <c r="O148" s="97"/>
      <c r="P148" s="256"/>
      <c r="Q148" s="256"/>
      <c r="R148" s="256"/>
      <c r="S148" s="256"/>
      <c r="T148" s="256"/>
      <c r="U148" s="256"/>
      <c r="V148" s="256"/>
      <c r="W148" s="256"/>
      <c r="X148" s="256"/>
      <c r="Y148" s="256"/>
      <c r="Z148" s="256"/>
      <c r="AA148" s="256">
        <f t="shared" si="14"/>
        <v>0</v>
      </c>
      <c r="AB148" s="180">
        <v>0</v>
      </c>
      <c r="AD148" s="97"/>
      <c r="AE148" s="180">
        <v>0</v>
      </c>
      <c r="AF148" s="98">
        <f t="shared" si="15"/>
        <v>0</v>
      </c>
      <c r="AG148" s="97"/>
      <c r="AH148" s="180">
        <v>0</v>
      </c>
      <c r="AI148" s="276">
        <f t="shared" si="16"/>
        <v>0</v>
      </c>
    </row>
    <row r="149" spans="7:35" x14ac:dyDescent="0.2">
      <c r="G149" s="65" t="str">
        <f t="shared" si="13"/>
        <v>OCC_SMERF</v>
      </c>
      <c r="H149" s="10" t="s">
        <v>189</v>
      </c>
      <c r="I149" s="26" t="s">
        <v>1007</v>
      </c>
      <c r="J149" s="26" t="s">
        <v>78</v>
      </c>
      <c r="L149" s="23"/>
      <c r="M149" s="24"/>
      <c r="N149" s="23" t="s">
        <v>1065</v>
      </c>
      <c r="O149" s="95"/>
      <c r="P149" s="257"/>
      <c r="Q149" s="257"/>
      <c r="R149" s="257">
        <v>309.28571428571399</v>
      </c>
      <c r="S149" s="257"/>
      <c r="T149" s="257"/>
      <c r="U149" s="257"/>
      <c r="V149" s="257">
        <v>199</v>
      </c>
      <c r="W149" s="257"/>
      <c r="X149" s="257"/>
      <c r="Y149" s="257">
        <v>214.26315789473699</v>
      </c>
      <c r="Z149" s="257"/>
      <c r="AA149" s="257">
        <f t="shared" si="14"/>
        <v>253.81481481481481</v>
      </c>
      <c r="AB149" s="179">
        <v>1.67660208643815E-3</v>
      </c>
      <c r="AD149" s="95">
        <v>287.42105263157902</v>
      </c>
      <c r="AE149" s="179">
        <v>9.8319258155323708E-3</v>
      </c>
      <c r="AF149" s="96">
        <f t="shared" si="15"/>
        <v>-33.606237816764207</v>
      </c>
      <c r="AG149" s="95">
        <v>258.258148148148</v>
      </c>
      <c r="AH149" s="179">
        <v>6.1643835616438398E-3</v>
      </c>
      <c r="AI149" s="277">
        <f t="shared" si="16"/>
        <v>-4.4433333333331859</v>
      </c>
    </row>
    <row r="150" spans="7:35" x14ac:dyDescent="0.2">
      <c r="G150" s="65" t="str">
        <f t="shared" si="13"/>
        <v>OCC_GROP</v>
      </c>
      <c r="H150" s="10" t="s">
        <v>178</v>
      </c>
      <c r="I150" s="26" t="s">
        <v>1005</v>
      </c>
      <c r="J150" s="26" t="s">
        <v>78</v>
      </c>
      <c r="L150" s="23"/>
      <c r="M150" s="24"/>
      <c r="N150" s="23" t="s">
        <v>1153</v>
      </c>
      <c r="O150" s="141">
        <v>294.64096491228099</v>
      </c>
      <c r="P150" s="258">
        <v>322.48289276807998</v>
      </c>
      <c r="Q150" s="258">
        <v>310.56862857142897</v>
      </c>
      <c r="R150" s="258">
        <v>274.87255639097702</v>
      </c>
      <c r="S150" s="258">
        <v>390.037601156069</v>
      </c>
      <c r="T150" s="258">
        <v>165.251642710472</v>
      </c>
      <c r="U150" s="258">
        <v>285.29883116883099</v>
      </c>
      <c r="V150" s="258">
        <v>162.92666666666699</v>
      </c>
      <c r="W150" s="258">
        <v>211.69128787878799</v>
      </c>
      <c r="X150" s="258">
        <v>191.14606741572999</v>
      </c>
      <c r="Y150" s="258">
        <v>204.67323943662001</v>
      </c>
      <c r="Z150" s="258">
        <v>278.99696969696998</v>
      </c>
      <c r="AA150" s="258">
        <f t="shared" si="14"/>
        <v>262.79439374185142</v>
      </c>
      <c r="AB150" s="178">
        <v>9.5255837059115694E-2</v>
      </c>
      <c r="AD150" s="141">
        <v>274.60279983284602</v>
      </c>
      <c r="AE150" s="178">
        <v>9.9064414638185105E-2</v>
      </c>
      <c r="AF150" s="142">
        <f t="shared" si="15"/>
        <v>-11.808406090994595</v>
      </c>
      <c r="AG150" s="141">
        <v>288.10788979788299</v>
      </c>
      <c r="AH150" s="178">
        <v>8.6259858862598598E-2</v>
      </c>
      <c r="AI150" s="278">
        <f t="shared" si="16"/>
        <v>-25.313496056031568</v>
      </c>
    </row>
    <row r="151" spans="7:35" x14ac:dyDescent="0.2">
      <c r="G151" s="72" t="str">
        <f t="shared" si="13"/>
        <v>OCC_CONT</v>
      </c>
      <c r="H151" s="10" t="s">
        <v>210</v>
      </c>
      <c r="I151" s="24" t="s">
        <v>1004</v>
      </c>
      <c r="J151" s="24" t="s">
        <v>78</v>
      </c>
      <c r="L151" s="24"/>
      <c r="M151" s="24"/>
      <c r="N151" s="24" t="s">
        <v>1135</v>
      </c>
      <c r="O151" s="186"/>
      <c r="P151" s="260"/>
      <c r="Q151" s="260"/>
      <c r="R151" s="260"/>
      <c r="S151" s="260"/>
      <c r="T151" s="260"/>
      <c r="U151" s="260"/>
      <c r="V151" s="260"/>
      <c r="W151" s="260"/>
      <c r="X151" s="260"/>
      <c r="Y151" s="260"/>
      <c r="Z151" s="260"/>
      <c r="AA151" s="260"/>
      <c r="AB151" s="187">
        <v>0</v>
      </c>
      <c r="AD151" s="186"/>
      <c r="AE151" s="187">
        <v>0</v>
      </c>
      <c r="AF151" s="188" t="str">
        <f t="shared" si="15"/>
        <v/>
      </c>
      <c r="AG151" s="186"/>
      <c r="AH151" s="187">
        <v>0</v>
      </c>
      <c r="AI151" s="280" t="str">
        <f t="shared" si="16"/>
        <v/>
      </c>
    </row>
    <row r="152" spans="7:35" x14ac:dyDescent="0.2">
      <c r="G152" s="65" t="s">
        <v>495</v>
      </c>
      <c r="H152" s="10" t="s">
        <v>208</v>
      </c>
      <c r="I152" s="26" t="s">
        <v>1005</v>
      </c>
      <c r="J152" s="26" t="s">
        <v>78</v>
      </c>
      <c r="L152" s="23"/>
      <c r="M152" s="24"/>
      <c r="N152" s="23" t="s">
        <v>496</v>
      </c>
      <c r="O152" s="183">
        <v>287.56397372742202</v>
      </c>
      <c r="P152" s="183">
        <v>351.08144784931102</v>
      </c>
      <c r="Q152" s="183">
        <v>312.21692327972602</v>
      </c>
      <c r="R152" s="183">
        <v>258.44728331527602</v>
      </c>
      <c r="S152" s="183">
        <v>223.86148372227001</v>
      </c>
      <c r="T152" s="183">
        <v>171.17366215344899</v>
      </c>
      <c r="U152" s="183">
        <v>179.42682692307699</v>
      </c>
      <c r="V152" s="183">
        <v>158.69500330033</v>
      </c>
      <c r="W152" s="183">
        <v>160.402182857143</v>
      </c>
      <c r="X152" s="183">
        <v>192.31699653324901</v>
      </c>
      <c r="Y152" s="183">
        <v>197.741527303754</v>
      </c>
      <c r="Z152" s="183">
        <v>278.76676126878101</v>
      </c>
      <c r="AA152" s="183">
        <v>236.09395669144499</v>
      </c>
      <c r="AB152" s="184">
        <v>0.832567478059281</v>
      </c>
      <c r="AD152" s="183">
        <v>248.20590639059401</v>
      </c>
      <c r="AE152" s="184">
        <v>0.83273306838880601</v>
      </c>
      <c r="AF152" s="185">
        <f t="shared" si="15"/>
        <v>-12.111949699149022</v>
      </c>
      <c r="AG152" s="183">
        <v>247.07762318621499</v>
      </c>
      <c r="AH152" s="184">
        <v>0.82391033623910304</v>
      </c>
      <c r="AI152" s="185">
        <f t="shared" si="16"/>
        <v>-10.983666494770006</v>
      </c>
    </row>
    <row r="154" spans="7:35" x14ac:dyDescent="0.2">
      <c r="I154" s="1"/>
      <c r="J154" s="1"/>
      <c r="N154" s="24" t="str">
        <f>N152&amp;" - Check"</f>
        <v>Total ADR/ OCC% - Check</v>
      </c>
      <c r="O154" s="107">
        <f t="shared" ref="O154:AA154" si="17">IFERROR(O69/O105,0)</f>
        <v>287.56397372742202</v>
      </c>
      <c r="P154" s="107">
        <f t="shared" si="17"/>
        <v>351.08144784931119</v>
      </c>
      <c r="Q154" s="107">
        <f t="shared" si="17"/>
        <v>312.21692327972585</v>
      </c>
      <c r="R154" s="107">
        <f t="shared" si="17"/>
        <v>258.44728331527625</v>
      </c>
      <c r="S154" s="107">
        <f t="shared" si="17"/>
        <v>223.86148372227024</v>
      </c>
      <c r="T154" s="107">
        <f t="shared" si="17"/>
        <v>171.17366215344938</v>
      </c>
      <c r="U154" s="107">
        <f t="shared" si="17"/>
        <v>179.42682692307693</v>
      </c>
      <c r="V154" s="107">
        <f t="shared" si="17"/>
        <v>158.69500330033003</v>
      </c>
      <c r="W154" s="107">
        <f t="shared" si="17"/>
        <v>160.40218285714286</v>
      </c>
      <c r="X154" s="107">
        <f t="shared" si="17"/>
        <v>192.31699653324927</v>
      </c>
      <c r="Y154" s="107">
        <f t="shared" si="17"/>
        <v>197.74152730375425</v>
      </c>
      <c r="Z154" s="107">
        <f t="shared" si="17"/>
        <v>278.76676126878129</v>
      </c>
      <c r="AA154" s="107">
        <f t="shared" si="17"/>
        <v>236.09395669144521</v>
      </c>
      <c r="AB154" s="182">
        <f>IFERROR(AA105/AA109,0)</f>
        <v>0.83256747805928133</v>
      </c>
      <c r="AD154" s="107">
        <f>IFERROR(AD69/AD105,0)</f>
        <v>248.20590639059432</v>
      </c>
      <c r="AE154" s="182">
        <f>IFERROR(AD105/AD109,0)</f>
        <v>0.83273306838880612</v>
      </c>
      <c r="AF154" s="19"/>
      <c r="AG154" s="107">
        <f>IFERROR(AG69/AG105,0)</f>
        <v>247.07762318621525</v>
      </c>
      <c r="AH154" s="182">
        <f>IFERROR(AG105/AG109,0)</f>
        <v>0.82391033623910337</v>
      </c>
      <c r="AI154" s="19"/>
    </row>
  </sheetData>
  <mergeCells count="2">
    <mergeCell ref="AD31:AE31"/>
    <mergeCell ref="AG31:AH31"/>
  </mergeCells>
  <conditionalFormatting sqref="AF34:AF69 AI34:AI69 AF72:AF116 AI72:AI116">
    <cfRule type="expression" dxfId="179" priority="3">
      <formula>AF$32="Variance"</formula>
    </cfRule>
  </conditionalFormatting>
  <conditionalFormatting sqref="AF119:AF152">
    <cfRule type="expression" dxfId="178" priority="2">
      <formula>AF$32="Variance"</formula>
    </cfRule>
  </conditionalFormatting>
  <conditionalFormatting sqref="AI119:AI152">
    <cfRule type="expression" dxfId="177" priority="1">
      <formula>AI$32="Variance"</formula>
    </cfRule>
  </conditionalFormatting>
  <pageMargins left="0.25" right="0.25" top="0.5" bottom="0.5" header="0.3" footer="0.3"/>
  <pageSetup scale="50" fitToHeight="0" orientation="landscape" r:id="rId1"/>
  <headerFooter>
    <oddFooter>&amp;L&amp;F&amp;C&amp;P of &amp;N&amp;R&amp;D</oddFooter>
  </headerFooter>
  <rowBreaks count="2" manualBreakCount="2">
    <brk id="70" min="13" max="30" man="1"/>
    <brk id="117" min="13" max="30" man="1"/>
  </rowBreaks>
  <customProperties>
    <customPr name="EpmWorksheetKeyString_GUID" r:id="rId2"/>
  </customProperties>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5" tint="0.39997558519241921"/>
    <pageSetUpPr fitToPage="1"/>
  </sheetPr>
  <dimension ref="A1:AO113"/>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41.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c r="G4" s="212" t="e">
        <f ca="1">_xll.EVPRO($B$1,$B$4,"GROUP")</f>
        <v>#NAME?</v>
      </c>
    </row>
    <row r="5" spans="1:35" hidden="1" outlineLevel="1" x14ac:dyDescent="0.2">
      <c r="A5" s="8" t="s">
        <v>51</v>
      </c>
      <c r="B5" s="12" t="s">
        <v>59</v>
      </c>
      <c r="C5" s="1" t="e">
        <f ca="1">_xll.EVDES(B5,$B$1)</f>
        <v>#NAME?</v>
      </c>
    </row>
    <row r="6" spans="1:35" hidden="1" outlineLevel="1" x14ac:dyDescent="0.2">
      <c r="A6" s="8" t="s">
        <v>52</v>
      </c>
      <c r="B6" s="12" t="s">
        <v>237</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_xll.EVRNG(H34:H45)</f>
        <v>#NAME?</v>
      </c>
      <c r="G19" s="16" t="str">
        <f>$B$6</f>
        <v>D_RESV_CON</v>
      </c>
      <c r="H19" s="16">
        <v>700000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tr">
        <f>$B$6</f>
        <v>D_RESV_CON</v>
      </c>
      <c r="H20" s="16" t="s">
        <v>236</v>
      </c>
      <c r="I20" s="17"/>
      <c r="J20" s="17"/>
      <c r="K20" s="16"/>
      <c r="L20" s="16"/>
      <c r="M20" s="16"/>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G21" s="16" t="s">
        <v>254</v>
      </c>
      <c r="H21" s="16">
        <v>990100</v>
      </c>
      <c r="I21" s="16" t="e">
        <f ca="1">IF($G$4="ACTUAL","CURRENT",$B$4)</f>
        <v>#NAME?</v>
      </c>
      <c r="J21" s="17"/>
      <c r="K21" s="16"/>
      <c r="L21" s="16"/>
      <c r="M21" s="16"/>
      <c r="N21" s="16" t="e">
        <f ca="1">_xll.EVDES(H21)</f>
        <v>#NAME?</v>
      </c>
      <c r="O21" s="18" t="e">
        <f ca="1">_xll.EVGTS($B$1,1,$B$3,$B$5,$B$7,$B$9,O$16,$I$21,O$18,$G$21,$H$21)</f>
        <v>#NAME?</v>
      </c>
      <c r="P21" s="18" t="e">
        <f ca="1">_xll.EVGTS($B$1,1,$B$3,$B$5,$B$7,$B$9,P$16,$I$21,P$18,$G$21,$H$21)</f>
        <v>#NAME?</v>
      </c>
      <c r="Q21" s="18" t="e">
        <f ca="1">_xll.EVGTS($B$1,1,$B$3,$B$5,$B$7,$B$9,Q$16,$I$21,Q$18,$G$21,$H$21)</f>
        <v>#NAME?</v>
      </c>
      <c r="R21" s="18" t="e">
        <f ca="1">_xll.EVGTS($B$1,1,$B$3,$B$5,$B$7,$B$9,R$16,$I$21,R$18,$G$21,$H$21)</f>
        <v>#NAME?</v>
      </c>
      <c r="S21" s="18" t="e">
        <f ca="1">_xll.EVGTS($B$1,1,$B$3,$B$5,$B$7,$B$9,S$16,$I$21,S$18,$G$21,$H$21)</f>
        <v>#NAME?</v>
      </c>
      <c r="T21" s="18" t="e">
        <f ca="1">_xll.EVGTS($B$1,1,$B$3,$B$5,$B$7,$B$9,T$16,$I$21,T$18,$G$21,$H$21)</f>
        <v>#NAME?</v>
      </c>
      <c r="U21" s="18" t="e">
        <f ca="1">_xll.EVGTS($B$1,1,$B$3,$B$5,$B$7,$B$9,U$16,$I$21,U$18,$G$21,$H$21)</f>
        <v>#NAME?</v>
      </c>
      <c r="V21" s="18" t="e">
        <f ca="1">_xll.EVGTS($B$1,1,$B$3,$B$5,$B$7,$B$9,V$16,$I$21,V$18,$G$21,$H$21)</f>
        <v>#NAME?</v>
      </c>
      <c r="W21" s="18" t="e">
        <f ca="1">_xll.EVGTS($B$1,1,$B$3,$B$5,$B$7,$B$9,W$16,$I$21,W$18,$G$21,$H$21)</f>
        <v>#NAME?</v>
      </c>
      <c r="X21" s="18" t="e">
        <f ca="1">_xll.EVGTS($B$1,1,$B$3,$B$5,$B$7,$B$9,X$16,$I$21,X$18,$G$21,$H$21)</f>
        <v>#NAME?</v>
      </c>
      <c r="Y21" s="18" t="e">
        <f ca="1">_xll.EVGTS($B$1,1,$B$3,$B$5,$B$7,$B$9,Y$16,$I$21,Y$18,$G$21,$H$21)</f>
        <v>#NAME?</v>
      </c>
      <c r="Z21" s="18" t="e">
        <f ca="1">_xll.EVGTS($B$1,1,$B$3,$B$5,$B$7,$B$9,Z$16,$I$21,Z$18,$G$21,$H$21)</f>
        <v>#NAME?</v>
      </c>
      <c r="AA21" s="18" t="e">
        <f ca="1">SUM(O21:Z21)</f>
        <v>#NAME?</v>
      </c>
      <c r="AB21" s="16"/>
      <c r="AC21" s="16"/>
      <c r="AD21" s="427" t="e">
        <f ca="1">_xll.EVGTS($B$1,1,$B$3,$B$5,$B$7,$B$9,AD$16,$AE$21,"PERIODIC",$G$21,$H$21)</f>
        <v>#NAME?</v>
      </c>
      <c r="AE21" s="16" t="s">
        <v>255</v>
      </c>
      <c r="AF21" s="16"/>
      <c r="AG21" s="427" t="e">
        <f ca="1">_xll.EVGTS($B$1,1,$B$3,$B$5,$B$7,$B$9,AG$16,$AH$21,"PERIODIC",$G$21,$H$21)</f>
        <v>#NAME?</v>
      </c>
      <c r="AH21" s="16" t="s">
        <v>255</v>
      </c>
      <c r="AI21" s="16"/>
    </row>
    <row r="22" spans="1:40" hidden="1" outlineLevel="1" x14ac:dyDescent="0.2">
      <c r="A22" s="6" t="s">
        <v>7</v>
      </c>
      <c r="B22" s="7" t="e">
        <f ca="1">_xll.EVRNG(A36:F41)</f>
        <v>#NAME?</v>
      </c>
      <c r="G22" s="16" t="s">
        <v>749</v>
      </c>
      <c r="H22" s="16">
        <v>900200</v>
      </c>
      <c r="I22" s="17"/>
      <c r="J22" s="17"/>
      <c r="K22" s="16"/>
      <c r="L22" s="17"/>
      <c r="M22" s="17"/>
      <c r="N22" s="16" t="e">
        <f ca="1">_xll.EVDES(H22)</f>
        <v>#NAME?</v>
      </c>
      <c r="O22" s="18" t="e">
        <f ca="1">_xll.EVGTS($B$1,1,$B$3,$B$5,$B$7,$B$9,O$16,O$17,O$18,$G$22,$H$22)</f>
        <v>#NAME?</v>
      </c>
      <c r="P22" s="18" t="e">
        <f ca="1">_xll.EVGTS($B$1,1,$B$3,$B$5,$B$7,$B$9,P$16,P$17,P$18,$G$22,$H$22)</f>
        <v>#NAME?</v>
      </c>
      <c r="Q22" s="18" t="e">
        <f ca="1">_xll.EVGTS($B$1,1,$B$3,$B$5,$B$7,$B$9,Q$16,Q$17,Q$18,$G$22,$H$22)</f>
        <v>#NAME?</v>
      </c>
      <c r="R22" s="18" t="e">
        <f ca="1">_xll.EVGTS($B$1,1,$B$3,$B$5,$B$7,$B$9,R$16,R$17,R$18,$G$22,$H$22)</f>
        <v>#NAME?</v>
      </c>
      <c r="S22" s="18" t="e">
        <f ca="1">_xll.EVGTS($B$1,1,$B$3,$B$5,$B$7,$B$9,S$16,S$17,S$18,$G$22,$H$22)</f>
        <v>#NAME?</v>
      </c>
      <c r="T22" s="18" t="e">
        <f ca="1">_xll.EVGTS($B$1,1,$B$3,$B$5,$B$7,$B$9,T$16,T$17,T$18,$G$22,$H$22)</f>
        <v>#NAME?</v>
      </c>
      <c r="U22" s="18" t="e">
        <f ca="1">_xll.EVGTS($B$1,1,$B$3,$B$5,$B$7,$B$9,U$16,U$17,U$18,$G$22,$H$22)</f>
        <v>#NAME?</v>
      </c>
      <c r="V22" s="18" t="e">
        <f ca="1">_xll.EVGTS($B$1,1,$B$3,$B$5,$B$7,$B$9,V$16,V$17,V$18,$G$22,$H$22)</f>
        <v>#NAME?</v>
      </c>
      <c r="W22" s="18" t="e">
        <f ca="1">_xll.EVGTS($B$1,1,$B$3,$B$5,$B$7,$B$9,W$16,W$17,W$18,$G$22,$H$22)</f>
        <v>#NAME?</v>
      </c>
      <c r="X22" s="18" t="e">
        <f ca="1">_xll.EVGTS($B$1,1,$B$3,$B$5,$B$7,$B$9,X$16,X$17,X$18,$G$22,$H$22)</f>
        <v>#NAME?</v>
      </c>
      <c r="Y22" s="18" t="e">
        <f ca="1">_xll.EVGTS($B$1,1,$B$3,$B$5,$B$7,$B$9,Y$16,Y$17,Y$18,$G$22,$H$22)</f>
        <v>#NAME?</v>
      </c>
      <c r="Z22" s="18" t="e">
        <f ca="1">_xll.EVGTS($B$1,1,$B$3,$B$5,$B$7,$B$9,Z$16,Z$17,Z$18,$G$22,$H$22)</f>
        <v>#NAME?</v>
      </c>
      <c r="AA22" s="18" t="e">
        <f ca="1">SUM(O22:Z22)</f>
        <v>#NAME?</v>
      </c>
      <c r="AB22" s="16"/>
      <c r="AC22" s="16"/>
      <c r="AD22" s="18" t="e">
        <f ca="1">_xll.EVGTS($B$1,1,$B$3,$B$5,$B$7,$B$9,AD$16,AD$17,AD$18,$G$22,$H$22)</f>
        <v>#NAME?</v>
      </c>
      <c r="AE22" s="16"/>
      <c r="AF22" s="16"/>
      <c r="AG22" s="18" t="e">
        <f ca="1">_xll.EVGTS($B$1,1,$B$3,$B$5,$B$7,$B$9,AG$16,AG$17,AG$18,$G$22,$H$22)</f>
        <v>#NAME?</v>
      </c>
      <c r="AH22" s="16"/>
      <c r="AI22" s="16"/>
    </row>
    <row r="23" spans="1:40" hidden="1" outlineLevel="1" x14ac:dyDescent="0.2">
      <c r="A23" s="6" t="s">
        <v>47</v>
      </c>
      <c r="B23" s="7" t="e">
        <f ca="1">_xll.EVRNG($A$87:$B$108)</f>
        <v>#NAME?</v>
      </c>
      <c r="K23" s="53"/>
      <c r="L23" s="53"/>
      <c r="M23" s="53"/>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IF(_xll.EVDES(B6,$B$1)="#NODATA","",_xll.EVDES(B6,$B$1)&amp;" Department")</f>
        <v>#NAME?</v>
      </c>
    </row>
    <row r="28" spans="1:40" ht="16" x14ac:dyDescent="0.2">
      <c r="A28" s="6" t="s">
        <v>12</v>
      </c>
      <c r="B28" s="7" t="s">
        <v>22</v>
      </c>
      <c r="N28" s="67" t="e">
        <f ca="1">"For the Period ended"&amp;" "&amp;IF(_xll.EVDES($B$10,$B$1)="#NODATA","",_xll.EVDES($B$10,$B$1))</f>
        <v>#NAME?</v>
      </c>
    </row>
    <row r="29" spans="1:40" ht="15" customHeight="1" x14ac:dyDescent="0.2">
      <c r="A29" s="6" t="s">
        <v>13</v>
      </c>
      <c r="B29" s="7" t="s">
        <v>256</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748</v>
      </c>
      <c r="AK30" s="209"/>
      <c r="AL30" s="209"/>
      <c r="AM30" s="210"/>
      <c r="AN30" s="209"/>
    </row>
    <row r="31" spans="1:40" x14ac:dyDescent="0.2">
      <c r="A31" s="6" t="s">
        <v>15</v>
      </c>
      <c r="B31" s="7"/>
      <c r="G31" s="13"/>
      <c r="K31" s="11"/>
      <c r="L31" s="11"/>
      <c r="M31" s="1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11"/>
      <c r="AM31" s="238" t="e">
        <f ca="1">_xll.EVPRO($B$1,AG$16,"YEAR")</f>
        <v>#NAME?</v>
      </c>
      <c r="AN31" s="211"/>
    </row>
    <row r="32" spans="1:40" s="232" customFormat="1" ht="30" customHeight="1" x14ac:dyDescent="0.2">
      <c r="A32" s="230" t="s">
        <v>16</v>
      </c>
      <c r="B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s">
        <v>747</v>
      </c>
      <c r="AM32" s="237" t="e">
        <f ca="1">AG32</f>
        <v>#NAME?</v>
      </c>
      <c r="AN32" s="237" t="s">
        <v>747</v>
      </c>
    </row>
    <row r="33" spans="1:40" x14ac:dyDescent="0.2">
      <c r="A33" s="6" t="s">
        <v>17</v>
      </c>
      <c r="B33" s="7"/>
      <c r="G33" s="13"/>
      <c r="H33" s="1" t="s">
        <v>239</v>
      </c>
      <c r="I33" s="11" t="e">
        <f ca="1">_xll.EVPRO($B$1,$H33,"STYLE")</f>
        <v>#NAME?</v>
      </c>
      <c r="J33" s="11" t="e">
        <f ca="1">_xll.EVPRO($B$1,$H33,"CALC")</f>
        <v>#NAME?</v>
      </c>
      <c r="L33" s="175" t="s">
        <v>364</v>
      </c>
      <c r="M33" s="175" t="s">
        <v>782</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0" x14ac:dyDescent="0.2">
      <c r="G34" s="13"/>
      <c r="H34" s="10" t="s">
        <v>220</v>
      </c>
      <c r="I34" s="25" t="e">
        <f ca="1">_xll.EVPRO($B$1,$H34,"STYLE")</f>
        <v>#NAME?</v>
      </c>
      <c r="J34" s="25" t="e">
        <f ca="1">_xll.EVPRO($B$1,$H34,"CALC")</f>
        <v>#NAME?</v>
      </c>
      <c r="K34" s="64" t="e">
        <f ca="1">IF(AND(I34&gt;="T5"),"&gt;","")</f>
        <v>#NAME?</v>
      </c>
      <c r="L34" s="24" t="e">
        <f ca="1">_xll.EVPRO($B$1,H34,"JDEID")</f>
        <v>#NAME?</v>
      </c>
      <c r="M34" s="24" t="e">
        <f ca="1">IF(AND(I34="N",J34="N"),_xll.EVPRO($B$1,H34,"PSFTID"),"")</f>
        <v>#NAME?</v>
      </c>
      <c r="N34" s="24" t="e">
        <f ca="1">IF(_xll.EVDES(H34,$B$1)="#NODATA","",_xll.EVDES(H34,$B$1))</f>
        <v>#NAME?</v>
      </c>
      <c r="O34" s="19"/>
      <c r="P34" s="19"/>
      <c r="Q34" s="19"/>
      <c r="R34" s="19"/>
      <c r="S34" s="19"/>
      <c r="T34" s="19"/>
      <c r="U34" s="19"/>
      <c r="V34" s="19"/>
      <c r="W34" s="19"/>
      <c r="X34" s="19"/>
      <c r="Y34" s="19"/>
      <c r="Z34" s="19"/>
      <c r="AA34" s="283" t="e">
        <f t="shared" ref="AA34:AA45" ca="1" si="0">IF($I34="B1","",SUM(O34:Z34))</f>
        <v>#NAME?</v>
      </c>
      <c r="AB34" s="15" t="e">
        <f t="shared" ref="AB34:AB45" ca="1" si="1">IF(AA34=0,"",IFERROR(AA34/AA$19,""))</f>
        <v>#NAME?</v>
      </c>
      <c r="AD34" s="19"/>
      <c r="AE34" s="15" t="str">
        <f t="shared" ref="AE34:AE45" si="2">IF(AD34=0,"",IFERROR(AD34/AD$19,""))</f>
        <v/>
      </c>
      <c r="AF34" s="47" t="e">
        <f t="shared" ref="AF34:AF45" ca="1" si="3">IF(AND($AA34="",AD34=""),"",$AA34-AD34)</f>
        <v>#NAME?</v>
      </c>
      <c r="AG34" s="19"/>
      <c r="AH34" s="15" t="str">
        <f>IF(AG34=0,"",IFERROR(AG34/AG$19,""))</f>
        <v/>
      </c>
      <c r="AI34" s="47" t="e">
        <f ca="1">IF(AND($AA34="",AG34=""),"",$AA34-AG34)</f>
        <v>#NAME?</v>
      </c>
      <c r="AJ34" s="322">
        <f ca="1">IFERROR(AA34/AA$22,0)</f>
        <v>0</v>
      </c>
      <c r="AK34" s="323">
        <f ca="1">IFERROR(AD34/AD$22,0)</f>
        <v>0</v>
      </c>
      <c r="AL34" s="125">
        <f ca="1">AJ34-AK34</f>
        <v>0</v>
      </c>
      <c r="AM34" s="324">
        <f ca="1">IFERROR(AG34/AG$22,0)</f>
        <v>0</v>
      </c>
      <c r="AN34" s="125">
        <f ca="1">AJ34-AM34</f>
        <v>0</v>
      </c>
    </row>
    <row r="35" spans="1:40" x14ac:dyDescent="0.2">
      <c r="A35" s="20" t="s">
        <v>92</v>
      </c>
      <c r="B35" s="21" t="s">
        <v>93</v>
      </c>
      <c r="C35" s="21" t="s">
        <v>94</v>
      </c>
      <c r="D35" s="21" t="s">
        <v>95</v>
      </c>
      <c r="E35" s="21" t="s">
        <v>96</v>
      </c>
      <c r="F35" s="22" t="s">
        <v>97</v>
      </c>
      <c r="G35" s="13"/>
      <c r="H35" s="10" t="s">
        <v>221</v>
      </c>
      <c r="I35" s="25" t="e">
        <f ca="1">_xll.EVPRO($B$1,$H35,"STYLE")</f>
        <v>#NAME?</v>
      </c>
      <c r="J35" s="25" t="e">
        <f ca="1">_xll.EVPRO($B$1,$H35,"CALC")</f>
        <v>#NAME?</v>
      </c>
      <c r="K35" s="64" t="e">
        <f t="shared" ref="K35:K45" ca="1" si="4">IF(AND(I35&gt;="T5"),"&gt;","")</f>
        <v>#NAME?</v>
      </c>
      <c r="L35" s="24" t="e">
        <f ca="1">_xll.EVPRO($B$1,H35,"JDEID")</f>
        <v>#NAME?</v>
      </c>
      <c r="M35" s="24" t="e">
        <f ca="1">IF(AND(I35="N",J35="N"),_xll.EVPRO($B$1,H35,"PSFTID"),"")</f>
        <v>#NAME?</v>
      </c>
      <c r="N35" s="24" t="e">
        <f ca="1">IF(_xll.EVDES(H35,$B$1)="#NODATA","",_xll.EVDES(H35,$B$1))</f>
        <v>#NAME?</v>
      </c>
      <c r="O35" s="19"/>
      <c r="P35" s="19"/>
      <c r="Q35" s="19"/>
      <c r="R35" s="19"/>
      <c r="S35" s="19"/>
      <c r="T35" s="19"/>
      <c r="U35" s="19"/>
      <c r="V35" s="19"/>
      <c r="W35" s="19"/>
      <c r="X35" s="19"/>
      <c r="Y35" s="19"/>
      <c r="Z35" s="19"/>
      <c r="AA35" s="283" t="e">
        <f t="shared" ca="1" si="0"/>
        <v>#NAME?</v>
      </c>
      <c r="AB35" s="15" t="e">
        <f t="shared" ca="1" si="1"/>
        <v>#NAME?</v>
      </c>
      <c r="AD35" s="19"/>
      <c r="AE35" s="15" t="str">
        <f t="shared" si="2"/>
        <v/>
      </c>
      <c r="AF35" s="47" t="e">
        <f t="shared" ca="1" si="3"/>
        <v>#NAME?</v>
      </c>
      <c r="AG35" s="19"/>
      <c r="AH35" s="15" t="str">
        <f t="shared" ref="AH35:AH45" si="5">IF(AG35=0,"",IFERROR(AG35/AG$19,""))</f>
        <v/>
      </c>
      <c r="AI35" s="47" t="e">
        <f t="shared" ref="AI35:AI45" ca="1" si="6">IF(AND($AA35="",AG35=""),"",$AA35-AG35)</f>
        <v>#NAME?</v>
      </c>
      <c r="AJ35" s="322">
        <f t="shared" ref="AJ35:AJ45" ca="1" si="7">IFERROR(AA35/AA$22,0)</f>
        <v>0</v>
      </c>
      <c r="AK35" s="323">
        <f t="shared" ref="AK35:AK45" ca="1" si="8">IFERROR(AD35/AD$22,0)</f>
        <v>0</v>
      </c>
      <c r="AL35" s="125">
        <f t="shared" ref="AL35:AL45" ca="1" si="9">AJ35-AK35</f>
        <v>0</v>
      </c>
      <c r="AM35" s="324">
        <f t="shared" ref="AM35:AM45" ca="1" si="10">IFERROR(AG35/AG$22,0)</f>
        <v>0</v>
      </c>
      <c r="AN35" s="125">
        <f t="shared" ref="AN35:AN45" ca="1" si="11">AJ35-AM35</f>
        <v>0</v>
      </c>
    </row>
    <row r="36" spans="1:40" x14ac:dyDescent="0.2">
      <c r="G36" s="13"/>
      <c r="H36" s="10" t="s">
        <v>222</v>
      </c>
      <c r="I36" s="25" t="e">
        <f ca="1">_xll.EVPRO($B$1,$H36,"STYLE")</f>
        <v>#NAME?</v>
      </c>
      <c r="J36" s="25" t="e">
        <f ca="1">_xll.EVPRO($B$1,$H36,"CALC")</f>
        <v>#NAME?</v>
      </c>
      <c r="K36" s="64" t="e">
        <f t="shared" ca="1" si="4"/>
        <v>#NAME?</v>
      </c>
      <c r="L36" s="24" t="e">
        <f ca="1">_xll.EVPRO($B$1,H36,"JDEID")</f>
        <v>#NAME?</v>
      </c>
      <c r="M36" s="24" t="e">
        <f ca="1">IF(AND(I36="N",J36="N"),_xll.EVPRO($B$1,H36,"PSFTID"),"")</f>
        <v>#NAME?</v>
      </c>
      <c r="N36" s="24" t="e">
        <f ca="1">IF(_xll.EVDES(H36,$B$1)="#NODATA","",_xll.EVDES(H36,$B$1))</f>
        <v>#NAME?</v>
      </c>
      <c r="O36" s="19"/>
      <c r="P36" s="19"/>
      <c r="Q36" s="19"/>
      <c r="R36" s="19"/>
      <c r="S36" s="19"/>
      <c r="T36" s="19"/>
      <c r="U36" s="19"/>
      <c r="V36" s="19"/>
      <c r="W36" s="19"/>
      <c r="X36" s="19"/>
      <c r="Y36" s="19"/>
      <c r="Z36" s="19"/>
      <c r="AA36" s="283" t="e">
        <f t="shared" ca="1" si="0"/>
        <v>#NAME?</v>
      </c>
      <c r="AB36" s="15" t="e">
        <f t="shared" ca="1" si="1"/>
        <v>#NAME?</v>
      </c>
      <c r="AD36" s="19"/>
      <c r="AE36" s="15" t="str">
        <f t="shared" si="2"/>
        <v/>
      </c>
      <c r="AF36" s="47" t="e">
        <f t="shared" ca="1" si="3"/>
        <v>#NAME?</v>
      </c>
      <c r="AG36" s="19"/>
      <c r="AH36" s="15" t="str">
        <f t="shared" si="5"/>
        <v/>
      </c>
      <c r="AI36" s="47" t="e">
        <f t="shared" ca="1" si="6"/>
        <v>#NAME?</v>
      </c>
      <c r="AJ36" s="322">
        <f t="shared" ca="1" si="7"/>
        <v>0</v>
      </c>
      <c r="AK36" s="323">
        <f t="shared" ca="1" si="8"/>
        <v>0</v>
      </c>
      <c r="AL36" s="125">
        <f t="shared" ca="1" si="9"/>
        <v>0</v>
      </c>
      <c r="AM36" s="324">
        <f t="shared" ca="1" si="10"/>
        <v>0</v>
      </c>
      <c r="AN36" s="125">
        <f t="shared" ca="1" si="11"/>
        <v>0</v>
      </c>
    </row>
    <row r="37" spans="1:40" x14ac:dyDescent="0.2">
      <c r="A37" s="1" t="s">
        <v>105</v>
      </c>
      <c r="C37" s="24" t="s">
        <v>101</v>
      </c>
      <c r="D37" s="1" t="s">
        <v>106</v>
      </c>
      <c r="F37" s="1" t="s">
        <v>98</v>
      </c>
      <c r="G37" s="13"/>
      <c r="H37" s="10" t="s">
        <v>223</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19"/>
      <c r="P37" s="19"/>
      <c r="Q37" s="19"/>
      <c r="R37" s="19"/>
      <c r="S37" s="19"/>
      <c r="T37" s="19"/>
      <c r="U37" s="19"/>
      <c r="V37" s="19"/>
      <c r="W37" s="19"/>
      <c r="X37" s="19"/>
      <c r="Y37" s="19"/>
      <c r="Z37" s="19"/>
      <c r="AA37" s="283" t="e">
        <f t="shared" ca="1" si="0"/>
        <v>#NAME?</v>
      </c>
      <c r="AB37" s="15" t="e">
        <f t="shared" ca="1" si="1"/>
        <v>#NAME?</v>
      </c>
      <c r="AD37" s="19"/>
      <c r="AE37" s="15" t="str">
        <f t="shared" si="2"/>
        <v/>
      </c>
      <c r="AF37" s="47" t="e">
        <f t="shared" ca="1" si="3"/>
        <v>#NAME?</v>
      </c>
      <c r="AG37" s="19"/>
      <c r="AH37" s="15" t="str">
        <f t="shared" si="5"/>
        <v/>
      </c>
      <c r="AI37" s="47" t="e">
        <f t="shared" ca="1" si="6"/>
        <v>#NAME?</v>
      </c>
      <c r="AJ37" s="322">
        <f t="shared" ca="1" si="7"/>
        <v>0</v>
      </c>
      <c r="AK37" s="323">
        <f t="shared" ca="1" si="8"/>
        <v>0</v>
      </c>
      <c r="AL37" s="125">
        <f t="shared" ca="1" si="9"/>
        <v>0</v>
      </c>
      <c r="AM37" s="324">
        <f t="shared" ca="1" si="10"/>
        <v>0</v>
      </c>
      <c r="AN37" s="125">
        <f t="shared" ca="1" si="11"/>
        <v>0</v>
      </c>
    </row>
    <row r="38" spans="1:40" x14ac:dyDescent="0.2">
      <c r="A38" s="1" t="s">
        <v>104</v>
      </c>
      <c r="C38" s="24" t="s">
        <v>101</v>
      </c>
      <c r="D38" s="1" t="s">
        <v>106</v>
      </c>
      <c r="F38" s="1" t="s">
        <v>98</v>
      </c>
      <c r="G38" s="13"/>
      <c r="H38" s="10" t="s">
        <v>224</v>
      </c>
      <c r="I38" s="25" t="e">
        <f ca="1">_xll.EVPRO($B$1,$H38,"STYLE")</f>
        <v>#NAME?</v>
      </c>
      <c r="J38" s="25" t="e">
        <f ca="1">_xll.EVPRO($B$1,$H38,"CALC")</f>
        <v>#NAME?</v>
      </c>
      <c r="K38" s="64" t="e">
        <f t="shared" ca="1" si="4"/>
        <v>#NAME?</v>
      </c>
      <c r="L38" s="24" t="e">
        <f ca="1">_xll.EVPRO($B$1,H38,"JDEID")</f>
        <v>#NAME?</v>
      </c>
      <c r="M38" s="24" t="e">
        <f ca="1">IF(AND(I38="N",J38="N"),_xll.EVPRO($B$1,H38,"PSFTID"),"")</f>
        <v>#NAME?</v>
      </c>
      <c r="N38" s="24" t="e">
        <f ca="1">IF(_xll.EVDES(H38,$B$1)="#NODATA","",_xll.EVDES(H38,$B$1))</f>
        <v>#NAME?</v>
      </c>
      <c r="O38" s="19">
        <v>108</v>
      </c>
      <c r="P38" s="19">
        <v>230.4</v>
      </c>
      <c r="Q38" s="19">
        <v>396.8</v>
      </c>
      <c r="R38" s="19">
        <v>518.4</v>
      </c>
      <c r="S38" s="19">
        <v>134.4</v>
      </c>
      <c r="T38" s="19">
        <v>275.2</v>
      </c>
      <c r="U38" s="19">
        <v>275.2</v>
      </c>
      <c r="V38" s="19">
        <v>275.5</v>
      </c>
      <c r="W38" s="19">
        <v>96</v>
      </c>
      <c r="X38" s="19">
        <v>172.8</v>
      </c>
      <c r="Y38" s="19">
        <v>172.8</v>
      </c>
      <c r="Z38" s="19">
        <v>219.2</v>
      </c>
      <c r="AA38" s="283" t="e">
        <f t="shared" ca="1" si="0"/>
        <v>#NAME?</v>
      </c>
      <c r="AB38" s="15" t="e">
        <f t="shared" ca="1" si="1"/>
        <v>#NAME?</v>
      </c>
      <c r="AD38" s="19">
        <v>2956.8</v>
      </c>
      <c r="AE38" s="15" t="str">
        <f t="shared" ca="1" si="2"/>
        <v/>
      </c>
      <c r="AF38" s="47" t="e">
        <f t="shared" ca="1" si="3"/>
        <v>#NAME?</v>
      </c>
      <c r="AG38" s="19">
        <v>2779.8</v>
      </c>
      <c r="AH38" s="15" t="str">
        <f t="shared" ca="1" si="5"/>
        <v/>
      </c>
      <c r="AI38" s="47" t="e">
        <f t="shared" ca="1" si="6"/>
        <v>#NAME?</v>
      </c>
      <c r="AJ38" s="322">
        <f t="shared" ca="1" si="7"/>
        <v>0</v>
      </c>
      <c r="AK38" s="323">
        <f t="shared" ca="1" si="8"/>
        <v>0</v>
      </c>
      <c r="AL38" s="125">
        <f t="shared" ca="1" si="9"/>
        <v>0</v>
      </c>
      <c r="AM38" s="324">
        <f t="shared" ca="1" si="10"/>
        <v>0</v>
      </c>
      <c r="AN38" s="125">
        <f t="shared" ca="1" si="11"/>
        <v>0</v>
      </c>
    </row>
    <row r="39" spans="1:40" x14ac:dyDescent="0.2">
      <c r="A39" s="1" t="s">
        <v>102</v>
      </c>
      <c r="C39" s="23" t="s">
        <v>101</v>
      </c>
      <c r="D39" s="1" t="s">
        <v>106</v>
      </c>
      <c r="F39" s="1" t="s">
        <v>98</v>
      </c>
      <c r="G39" s="13"/>
      <c r="H39" s="10" t="s">
        <v>225</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19"/>
      <c r="P39" s="19"/>
      <c r="Q39" s="19"/>
      <c r="R39" s="19"/>
      <c r="S39" s="19"/>
      <c r="T39" s="19"/>
      <c r="U39" s="19"/>
      <c r="V39" s="19"/>
      <c r="W39" s="19"/>
      <c r="X39" s="19"/>
      <c r="Y39" s="19"/>
      <c r="Z39" s="19"/>
      <c r="AA39" s="283" t="e">
        <f t="shared" ca="1" si="0"/>
        <v>#NAME?</v>
      </c>
      <c r="AB39" s="15" t="e">
        <f t="shared" ca="1" si="1"/>
        <v>#NAME?</v>
      </c>
      <c r="AD39" s="19"/>
      <c r="AE39" s="15" t="str">
        <f t="shared" si="2"/>
        <v/>
      </c>
      <c r="AF39" s="47" t="e">
        <f t="shared" ca="1" si="3"/>
        <v>#NAME?</v>
      </c>
      <c r="AG39" s="19"/>
      <c r="AH39" s="15" t="str">
        <f t="shared" si="5"/>
        <v/>
      </c>
      <c r="AI39" s="47" t="e">
        <f t="shared" ca="1" si="6"/>
        <v>#NAME?</v>
      </c>
      <c r="AJ39" s="322">
        <f t="shared" ca="1" si="7"/>
        <v>0</v>
      </c>
      <c r="AK39" s="323">
        <f t="shared" ca="1" si="8"/>
        <v>0</v>
      </c>
      <c r="AL39" s="125">
        <f t="shared" ca="1" si="9"/>
        <v>0</v>
      </c>
      <c r="AM39" s="324">
        <f t="shared" ca="1" si="10"/>
        <v>0</v>
      </c>
      <c r="AN39" s="125">
        <f t="shared" ca="1" si="11"/>
        <v>0</v>
      </c>
    </row>
    <row r="40" spans="1:40" x14ac:dyDescent="0.2">
      <c r="A40" s="1" t="s">
        <v>102</v>
      </c>
      <c r="C40" s="27" t="s">
        <v>101</v>
      </c>
      <c r="D40" s="1" t="s">
        <v>107</v>
      </c>
      <c r="F40" s="1" t="s">
        <v>99</v>
      </c>
      <c r="G40" s="13"/>
      <c r="H40" s="10" t="s">
        <v>226</v>
      </c>
      <c r="I40" s="25" t="e">
        <f ca="1">_xll.EVPRO($B$1,$H40,"STYLE")</f>
        <v>#NAME?</v>
      </c>
      <c r="J40" s="25" t="e">
        <f ca="1">_xll.EVPRO($B$1,$H40,"CALC")</f>
        <v>#NAME?</v>
      </c>
      <c r="K40" s="64" t="e">
        <f t="shared" ca="1" si="4"/>
        <v>#NAME?</v>
      </c>
      <c r="L40" s="24" t="e">
        <f ca="1">_xll.EVPRO($B$1,H40,"JDEID")</f>
        <v>#NAME?</v>
      </c>
      <c r="M40" s="24" t="e">
        <f ca="1">IF(AND(I40="N",J40="N"),_xll.EVPRO($B$1,H40,"PSFTID"),"")</f>
        <v>#NAME?</v>
      </c>
      <c r="N40" s="24" t="e">
        <f ca="1">IF(_xll.EVDES(H40,$B$1)="#NODATA","",_xll.EVDES(H40,$B$1))</f>
        <v>#NAME?</v>
      </c>
      <c r="O40" s="28"/>
      <c r="P40" s="28"/>
      <c r="Q40" s="28"/>
      <c r="R40" s="28"/>
      <c r="S40" s="28"/>
      <c r="T40" s="28"/>
      <c r="U40" s="28"/>
      <c r="V40" s="28"/>
      <c r="W40" s="28"/>
      <c r="X40" s="28"/>
      <c r="Y40" s="28"/>
      <c r="Z40" s="28"/>
      <c r="AA40" s="296" t="e">
        <f t="shared" ca="1" si="0"/>
        <v>#NAME?</v>
      </c>
      <c r="AB40" s="29" t="e">
        <f t="shared" ca="1" si="1"/>
        <v>#NAME?</v>
      </c>
      <c r="AD40" s="28"/>
      <c r="AE40" s="29" t="str">
        <f t="shared" si="2"/>
        <v/>
      </c>
      <c r="AF40" s="48" t="e">
        <f t="shared" ca="1" si="3"/>
        <v>#NAME?</v>
      </c>
      <c r="AG40" s="28"/>
      <c r="AH40" s="29" t="str">
        <f t="shared" si="5"/>
        <v/>
      </c>
      <c r="AI40" s="48" t="e">
        <f t="shared" ca="1" si="6"/>
        <v>#NAME?</v>
      </c>
      <c r="AJ40" s="329">
        <f t="shared" ca="1" si="7"/>
        <v>0</v>
      </c>
      <c r="AK40" s="330">
        <f t="shared" ca="1" si="8"/>
        <v>0</v>
      </c>
      <c r="AL40" s="126">
        <f t="shared" ca="1" si="9"/>
        <v>0</v>
      </c>
      <c r="AM40" s="331">
        <f t="shared" ca="1" si="10"/>
        <v>0</v>
      </c>
      <c r="AN40" s="126">
        <f t="shared" ca="1" si="11"/>
        <v>0</v>
      </c>
    </row>
    <row r="41" spans="1:40" x14ac:dyDescent="0.2">
      <c r="A41" s="1" t="s">
        <v>244</v>
      </c>
      <c r="C41" s="27" t="s">
        <v>101</v>
      </c>
      <c r="D41" s="1" t="s">
        <v>107</v>
      </c>
      <c r="F41" s="1" t="s">
        <v>99</v>
      </c>
      <c r="G41" s="13"/>
      <c r="H41" s="10" t="s">
        <v>227</v>
      </c>
      <c r="I41" s="447" t="e">
        <f ca="1">_xll.EVPRO($B$1,$H41,"STYLE")</f>
        <v>#NAME?</v>
      </c>
      <c r="J41" s="447" t="e">
        <f ca="1">_xll.EVPRO($B$1,$H41,"CALC")</f>
        <v>#NAME?</v>
      </c>
      <c r="K41" s="448" t="e">
        <f t="shared" ca="1" si="4"/>
        <v>#NAME?</v>
      </c>
      <c r="L41" s="151" t="e">
        <f ca="1">_xll.EVPRO($B$1,H41,"JDEID")</f>
        <v>#NAME?</v>
      </c>
      <c r="M41" s="151" t="e">
        <f ca="1">IF(AND(I41="N",J41="N"),_xll.EVPRO($B$1,H41,"PSFTID"),"")</f>
        <v>#NAME?</v>
      </c>
      <c r="N41" s="151" t="e">
        <f ca="1">IF(_xll.EVDES(H41,$B$1)="#NODATA","",_xll.EVDES(H41,$B$1))</f>
        <v>#NAME?</v>
      </c>
      <c r="O41" s="120">
        <v>108</v>
      </c>
      <c r="P41" s="120">
        <v>230.4</v>
      </c>
      <c r="Q41" s="120">
        <v>396.8</v>
      </c>
      <c r="R41" s="120">
        <v>518.4</v>
      </c>
      <c r="S41" s="120">
        <v>134.4</v>
      </c>
      <c r="T41" s="120">
        <v>275.2</v>
      </c>
      <c r="U41" s="120">
        <v>275.2</v>
      </c>
      <c r="V41" s="120">
        <v>275.5</v>
      </c>
      <c r="W41" s="120">
        <v>96</v>
      </c>
      <c r="X41" s="120">
        <v>172.8</v>
      </c>
      <c r="Y41" s="120">
        <v>172.8</v>
      </c>
      <c r="Z41" s="120">
        <v>219.2</v>
      </c>
      <c r="AA41" s="120" t="e">
        <f t="shared" ca="1" si="0"/>
        <v>#NAME?</v>
      </c>
      <c r="AB41" s="121" t="e">
        <f t="shared" ca="1" si="1"/>
        <v>#NAME?</v>
      </c>
      <c r="AC41" s="123"/>
      <c r="AD41" s="120">
        <v>2956.8</v>
      </c>
      <c r="AE41" s="121" t="str">
        <f t="shared" ca="1" si="2"/>
        <v/>
      </c>
      <c r="AF41" s="122" t="e">
        <f t="shared" ca="1" si="3"/>
        <v>#NAME?</v>
      </c>
      <c r="AG41" s="120">
        <v>2779.8</v>
      </c>
      <c r="AH41" s="121" t="str">
        <f t="shared" ca="1" si="5"/>
        <v/>
      </c>
      <c r="AI41" s="122" t="e">
        <f t="shared" ca="1" si="6"/>
        <v>#NAME?</v>
      </c>
      <c r="AJ41" s="332">
        <f t="shared" ca="1" si="7"/>
        <v>0</v>
      </c>
      <c r="AK41" s="333">
        <f t="shared" ca="1" si="8"/>
        <v>0</v>
      </c>
      <c r="AL41" s="334">
        <f t="shared" ca="1" si="9"/>
        <v>0</v>
      </c>
      <c r="AM41" s="335">
        <f t="shared" ca="1" si="10"/>
        <v>0</v>
      </c>
      <c r="AN41" s="334">
        <f t="shared" ca="1" si="11"/>
        <v>0</v>
      </c>
    </row>
    <row r="42" spans="1:40" x14ac:dyDescent="0.2">
      <c r="G42" s="13"/>
      <c r="H42" s="133" t="s">
        <v>228</v>
      </c>
      <c r="I42" s="25" t="e">
        <f ca="1">_xll.EVPRO($B$1,$H42,"STYLE")</f>
        <v>#NAME?</v>
      </c>
      <c r="J42" s="25" t="e">
        <f ca="1">_xll.EVPRO($B$1,$H42,"CALC")</f>
        <v>#NAME?</v>
      </c>
      <c r="K42" s="64" t="e">
        <f t="shared" ca="1" si="4"/>
        <v>#NAME?</v>
      </c>
      <c r="L42" s="24" t="e">
        <f ca="1">_xll.EVPRO($B$1,H42,"JDEID")</f>
        <v>#NAME?</v>
      </c>
      <c r="M42" s="24" t="e">
        <f ca="1">IF(AND(I42="N",J42="N"),_xll.EVPRO($B$1,H42,"PSFTID"),"")</f>
        <v>#NAME?</v>
      </c>
      <c r="N42" s="24" t="e">
        <f ca="1">IF(_xll.EVDES(H42,$B$1)="#NODATA","",_xll.EVDES(H42,$B$1))</f>
        <v>#NAME?</v>
      </c>
      <c r="O42" s="35"/>
      <c r="P42" s="35"/>
      <c r="Q42" s="35"/>
      <c r="R42" s="35"/>
      <c r="S42" s="35"/>
      <c r="T42" s="35"/>
      <c r="U42" s="35"/>
      <c r="V42" s="35"/>
      <c r="W42" s="35"/>
      <c r="X42" s="35"/>
      <c r="Y42" s="35"/>
      <c r="Z42" s="35"/>
      <c r="AA42" s="288" t="e">
        <f t="shared" ca="1" si="0"/>
        <v>#NAME?</v>
      </c>
      <c r="AB42" s="36" t="e">
        <f t="shared" ca="1" si="1"/>
        <v>#NAME?</v>
      </c>
      <c r="AD42" s="35"/>
      <c r="AE42" s="36" t="str">
        <f t="shared" si="2"/>
        <v/>
      </c>
      <c r="AF42" s="118" t="e">
        <f t="shared" ca="1" si="3"/>
        <v>#NAME?</v>
      </c>
      <c r="AG42" s="35"/>
      <c r="AH42" s="36" t="str">
        <f t="shared" si="5"/>
        <v/>
      </c>
      <c r="AI42" s="118" t="e">
        <f t="shared" ca="1" si="6"/>
        <v>#NAME?</v>
      </c>
      <c r="AJ42" s="325">
        <f t="shared" ca="1" si="7"/>
        <v>0</v>
      </c>
      <c r="AK42" s="326">
        <f t="shared" ca="1" si="8"/>
        <v>0</v>
      </c>
      <c r="AL42" s="327">
        <f t="shared" ca="1" si="9"/>
        <v>0</v>
      </c>
      <c r="AM42" s="328">
        <f t="shared" ca="1" si="10"/>
        <v>0</v>
      </c>
      <c r="AN42" s="327">
        <f t="shared" ca="1" si="11"/>
        <v>0</v>
      </c>
    </row>
    <row r="43" spans="1:40" x14ac:dyDescent="0.2">
      <c r="G43" s="13"/>
      <c r="H43" s="133" t="s">
        <v>241</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28"/>
      <c r="P43" s="28"/>
      <c r="Q43" s="28"/>
      <c r="R43" s="28"/>
      <c r="S43" s="28"/>
      <c r="T43" s="28"/>
      <c r="U43" s="28"/>
      <c r="V43" s="28"/>
      <c r="W43" s="28"/>
      <c r="X43" s="28"/>
      <c r="Y43" s="28"/>
      <c r="Z43" s="28"/>
      <c r="AA43" s="296" t="e">
        <f t="shared" ca="1" si="0"/>
        <v>#NAME?</v>
      </c>
      <c r="AB43" s="29" t="e">
        <f t="shared" ca="1" si="1"/>
        <v>#NAME?</v>
      </c>
      <c r="AD43" s="28"/>
      <c r="AE43" s="29" t="str">
        <f t="shared" si="2"/>
        <v/>
      </c>
      <c r="AF43" s="48" t="e">
        <f t="shared" ca="1" si="3"/>
        <v>#NAME?</v>
      </c>
      <c r="AG43" s="28"/>
      <c r="AH43" s="29" t="str">
        <f t="shared" si="5"/>
        <v/>
      </c>
      <c r="AI43" s="48" t="e">
        <f t="shared" ca="1" si="6"/>
        <v>#NAME?</v>
      </c>
      <c r="AJ43" s="329">
        <f t="shared" ca="1" si="7"/>
        <v>0</v>
      </c>
      <c r="AK43" s="330">
        <f t="shared" ca="1" si="8"/>
        <v>0</v>
      </c>
      <c r="AL43" s="126">
        <f t="shared" ca="1" si="9"/>
        <v>0</v>
      </c>
      <c r="AM43" s="331">
        <f t="shared" ca="1" si="10"/>
        <v>0</v>
      </c>
      <c r="AN43" s="126">
        <f t="shared" ca="1" si="11"/>
        <v>0</v>
      </c>
    </row>
    <row r="44" spans="1:40" x14ac:dyDescent="0.2">
      <c r="A44" s="4" t="e">
        <f ca="1">_xll.EVDRE($B$1,A47:B54)</f>
        <v>#NAME?</v>
      </c>
      <c r="G44" s="13"/>
      <c r="H44" s="133" t="s">
        <v>229</v>
      </c>
      <c r="I44" s="447" t="e">
        <f ca="1">_xll.EVPRO($B$1,$H44,"STYLE")</f>
        <v>#NAME?</v>
      </c>
      <c r="J44" s="447" t="e">
        <f ca="1">_xll.EVPRO($B$1,$H44,"CALC")</f>
        <v>#NAME?</v>
      </c>
      <c r="K44" s="448" t="e">
        <f t="shared" ca="1" si="4"/>
        <v>#NAME?</v>
      </c>
      <c r="L44" s="151" t="e">
        <f ca="1">_xll.EVPRO($B$1,H44,"JDEID")</f>
        <v>#NAME?</v>
      </c>
      <c r="M44" s="151" t="e">
        <f ca="1">IF(AND(I44="N",J44="N"),_xll.EVPRO($B$1,H44,"PSFTID"),"")</f>
        <v>#NAME?</v>
      </c>
      <c r="N44" s="151" t="e">
        <f ca="1">IF(_xll.EVDES(H44,$B$1)="#NODATA","",_xll.EVDES(H44,$B$1))</f>
        <v>#NAME?</v>
      </c>
      <c r="O44" s="33"/>
      <c r="P44" s="33"/>
      <c r="Q44" s="33"/>
      <c r="R44" s="33"/>
      <c r="S44" s="33"/>
      <c r="T44" s="33"/>
      <c r="U44" s="33"/>
      <c r="V44" s="33"/>
      <c r="W44" s="33"/>
      <c r="X44" s="33"/>
      <c r="Y44" s="33"/>
      <c r="Z44" s="33"/>
      <c r="AA44" s="33" t="e">
        <f t="shared" ca="1" si="0"/>
        <v>#NAME?</v>
      </c>
      <c r="AB44" s="34" t="e">
        <f t="shared" ca="1" si="1"/>
        <v>#NAME?</v>
      </c>
      <c r="AC44" s="32"/>
      <c r="AD44" s="33"/>
      <c r="AE44" s="34" t="str">
        <f t="shared" si="2"/>
        <v/>
      </c>
      <c r="AF44" s="54" t="e">
        <f t="shared" ca="1" si="3"/>
        <v>#NAME?</v>
      </c>
      <c r="AG44" s="33"/>
      <c r="AH44" s="34" t="str">
        <f t="shared" si="5"/>
        <v/>
      </c>
      <c r="AI44" s="54" t="e">
        <f t="shared" ca="1" si="6"/>
        <v>#NAME?</v>
      </c>
      <c r="AJ44" s="344">
        <f t="shared" ca="1" si="7"/>
        <v>0</v>
      </c>
      <c r="AK44" s="345">
        <f t="shared" ca="1" si="8"/>
        <v>0</v>
      </c>
      <c r="AL44" s="346">
        <f t="shared" ca="1" si="9"/>
        <v>0</v>
      </c>
      <c r="AM44" s="347">
        <f t="shared" ca="1" si="10"/>
        <v>0</v>
      </c>
      <c r="AN44" s="346">
        <f t="shared" ca="1" si="11"/>
        <v>0</v>
      </c>
    </row>
    <row r="45" spans="1:40" x14ac:dyDescent="0.2">
      <c r="G45" s="13"/>
      <c r="H45" s="133" t="s">
        <v>77</v>
      </c>
      <c r="I45" s="447" t="e">
        <f ca="1">_xll.EVPRO($B$1,$H45,"STYLE")</f>
        <v>#NAME?</v>
      </c>
      <c r="J45" s="447" t="e">
        <f ca="1">_xll.EVPRO($B$1,$H45,"CALC")</f>
        <v>#NAME?</v>
      </c>
      <c r="K45" s="448" t="e">
        <f t="shared" ca="1" si="4"/>
        <v>#NAME?</v>
      </c>
      <c r="L45" s="151" t="e">
        <f ca="1">_xll.EVPRO($B$1,H45,"JDEID")</f>
        <v>#NAME?</v>
      </c>
      <c r="M45" s="151" t="e">
        <f ca="1">IF(AND(I45="N",J45="N"),_xll.EVPRO($B$1,H45,"PSFTID"),"")</f>
        <v>#NAME?</v>
      </c>
      <c r="N45" s="151" t="e">
        <f ca="1">IF(_xll.EVDES(H45,$B$1)="#NODATA","",_xll.EVDES(H45,$B$1))</f>
        <v>#NAME?</v>
      </c>
      <c r="O45" s="120">
        <v>108</v>
      </c>
      <c r="P45" s="120">
        <v>230.4</v>
      </c>
      <c r="Q45" s="120">
        <v>396.8</v>
      </c>
      <c r="R45" s="120">
        <v>518.4</v>
      </c>
      <c r="S45" s="120">
        <v>134.4</v>
      </c>
      <c r="T45" s="120">
        <v>275.2</v>
      </c>
      <c r="U45" s="120">
        <v>275.2</v>
      </c>
      <c r="V45" s="120">
        <v>275.5</v>
      </c>
      <c r="W45" s="120">
        <v>96</v>
      </c>
      <c r="X45" s="120">
        <v>172.8</v>
      </c>
      <c r="Y45" s="120">
        <v>172.8</v>
      </c>
      <c r="Z45" s="120">
        <v>219.2</v>
      </c>
      <c r="AA45" s="120" t="e">
        <f t="shared" ca="1" si="0"/>
        <v>#NAME?</v>
      </c>
      <c r="AB45" s="121" t="e">
        <f t="shared" ca="1" si="1"/>
        <v>#NAME?</v>
      </c>
      <c r="AC45" s="123"/>
      <c r="AD45" s="120">
        <v>2956.8</v>
      </c>
      <c r="AE45" s="121" t="str">
        <f t="shared" ca="1" si="2"/>
        <v/>
      </c>
      <c r="AF45" s="122" t="e">
        <f t="shared" ca="1" si="3"/>
        <v>#NAME?</v>
      </c>
      <c r="AG45" s="120">
        <v>2779.8</v>
      </c>
      <c r="AH45" s="121" t="str">
        <f t="shared" ca="1" si="5"/>
        <v/>
      </c>
      <c r="AI45" s="122" t="e">
        <f t="shared" ca="1" si="6"/>
        <v>#NAME?</v>
      </c>
      <c r="AJ45" s="332">
        <f t="shared" ca="1" si="7"/>
        <v>0</v>
      </c>
      <c r="AK45" s="333">
        <f t="shared" ca="1" si="8"/>
        <v>0</v>
      </c>
      <c r="AL45" s="334">
        <f t="shared" ca="1" si="9"/>
        <v>0</v>
      </c>
      <c r="AM45" s="335">
        <f t="shared" ca="1" si="10"/>
        <v>0</v>
      </c>
      <c r="AN45" s="334">
        <f t="shared" ca="1" si="11"/>
        <v>0</v>
      </c>
    </row>
    <row r="46" spans="1:40" x14ac:dyDescent="0.2">
      <c r="A46" s="3" t="s">
        <v>0</v>
      </c>
      <c r="B46" s="5" t="s">
        <v>1</v>
      </c>
      <c r="G46" s="13"/>
      <c r="H46" s="10"/>
      <c r="I46" s="26"/>
      <c r="J46" s="26"/>
      <c r="K46" s="65"/>
      <c r="L46" s="65"/>
      <c r="M46" s="65"/>
      <c r="N46" s="23"/>
      <c r="O46" s="113"/>
      <c r="P46" s="113"/>
      <c r="Q46" s="113"/>
      <c r="R46" s="113"/>
      <c r="S46" s="113"/>
      <c r="T46" s="113"/>
      <c r="U46" s="113"/>
      <c r="V46" s="113"/>
      <c r="W46" s="113"/>
      <c r="X46" s="113"/>
      <c r="Y46" s="113"/>
      <c r="Z46" s="113"/>
      <c r="AA46" s="113"/>
      <c r="AB46" s="114"/>
      <c r="AD46" s="113"/>
      <c r="AE46" s="114"/>
      <c r="AF46" s="119"/>
      <c r="AG46" s="113"/>
      <c r="AH46" s="114"/>
      <c r="AI46" s="119"/>
    </row>
    <row r="47" spans="1:40" x14ac:dyDescent="0.2">
      <c r="A47" s="6" t="s">
        <v>2</v>
      </c>
      <c r="B47" s="7" t="e">
        <f ca="1">_xll.EVRNG($B$2:$B$10)</f>
        <v>#NAME?</v>
      </c>
      <c r="G47" s="13"/>
      <c r="H47" s="10"/>
      <c r="I47" s="25"/>
      <c r="J47" s="25"/>
      <c r="N47" s="24" t="s">
        <v>242</v>
      </c>
      <c r="O47" s="28">
        <f>SUMIF($H$34:$H$48,"700000",O34:O48)-SUMIF($H$34:$H$48,"710000",O34:O48)</f>
        <v>10507.59</v>
      </c>
      <c r="P47" s="28">
        <f t="shared" ref="P47:Z47" si="12">SUMIF($H$34:$H$48,"700000",P34:P48)-SUMIF($H$34:$H$48,"710000",P34:P48)</f>
        <v>12274.220000000001</v>
      </c>
      <c r="Q47" s="28">
        <f t="shared" si="12"/>
        <v>12056.130000000001</v>
      </c>
      <c r="R47" s="28">
        <f t="shared" si="12"/>
        <v>9158.99</v>
      </c>
      <c r="S47" s="28">
        <f t="shared" si="12"/>
        <v>8153.1200000000008</v>
      </c>
      <c r="T47" s="28">
        <f t="shared" si="12"/>
        <v>5310.31</v>
      </c>
      <c r="U47" s="28">
        <f t="shared" si="12"/>
        <v>5412.37</v>
      </c>
      <c r="V47" s="28">
        <f t="shared" si="12"/>
        <v>4807.1000000000004</v>
      </c>
      <c r="W47" s="28">
        <f t="shared" si="12"/>
        <v>4210.55</v>
      </c>
      <c r="X47" s="28">
        <f t="shared" si="12"/>
        <v>6102.22</v>
      </c>
      <c r="Y47" s="28">
        <f t="shared" si="12"/>
        <v>6952.69</v>
      </c>
      <c r="Z47" s="28">
        <f t="shared" si="12"/>
        <v>10470.179999999998</v>
      </c>
      <c r="AA47" s="28">
        <f>IF($I47="B1","",SUM(O47:Z47))</f>
        <v>95415.47</v>
      </c>
      <c r="AB47" s="29" t="str">
        <f ca="1">IF(AA47=0,"",IFERROR(AA47/AA$19,""))</f>
        <v/>
      </c>
      <c r="AD47" s="28">
        <f>SUMIF($H$34:$H$48,"700000",AD34:AD48)-SUMIF($H$34:$H$48,"710000",AD34:AD48)</f>
        <v>99855.718200000003</v>
      </c>
      <c r="AE47" s="29" t="str">
        <f ca="1">IF(AD47=0,"",IFERROR(AD47/AD$19,""))</f>
        <v/>
      </c>
      <c r="AF47" s="48">
        <f>IF(AND($AA47="",AD47=""),"",$AA47-AD47)</f>
        <v>-4440.2482000000018</v>
      </c>
      <c r="AG47" s="28">
        <f>SUMIF($H$34:$H$48,"700000",AG34:AG48)-SUMIF($H$34:$H$48,"710000",AG34:AG48)</f>
        <v>100166.42</v>
      </c>
      <c r="AH47" s="29" t="str">
        <f ca="1">IF(AG47=0,"",IFERROR(AG47/AG$19,""))</f>
        <v/>
      </c>
      <c r="AI47" s="48">
        <f>IF(AND($AA47="",AG47=""),"",$AA47-AG47)</f>
        <v>-4750.9499999999971</v>
      </c>
      <c r="AJ47" s="348">
        <f ca="1">IFERROR(AA47/AA$22,0)</f>
        <v>0</v>
      </c>
      <c r="AK47" s="349">
        <f ca="1">IFERROR(AD47/AD$22,0)</f>
        <v>0</v>
      </c>
      <c r="AL47" s="350">
        <f ca="1">AJ47-AK47</f>
        <v>0</v>
      </c>
      <c r="AM47" s="351">
        <f ca="1">IFERROR(AG47/AG$22,0)</f>
        <v>0</v>
      </c>
      <c r="AN47" s="350">
        <f ca="1">AJ47-AM47</f>
        <v>0</v>
      </c>
    </row>
    <row r="48" spans="1:40" x14ac:dyDescent="0.2">
      <c r="A48" s="6" t="s">
        <v>3</v>
      </c>
      <c r="B48" s="7" t="e">
        <f ca="1">_xll.EVRNG($O$16:$AN$18)</f>
        <v>#NAME?</v>
      </c>
      <c r="G48" s="143"/>
      <c r="H48" s="10" t="s">
        <v>79</v>
      </c>
      <c r="I48" s="25" t="e">
        <f ca="1">_xll.EVPRO($B$1,$H48,"STYLE")</f>
        <v>#NAME?</v>
      </c>
      <c r="J48" s="25" t="e">
        <f ca="1">_xll.EVPRO($B$1,$H48,"CALC")</f>
        <v>#NAME?</v>
      </c>
      <c r="N48" s="8" t="s">
        <v>243</v>
      </c>
      <c r="O48" s="115">
        <v>10615.59</v>
      </c>
      <c r="P48" s="115">
        <v>12504.62</v>
      </c>
      <c r="Q48" s="115">
        <v>12452.93</v>
      </c>
      <c r="R48" s="115">
        <v>9677.39</v>
      </c>
      <c r="S48" s="115">
        <v>8287.52</v>
      </c>
      <c r="T48" s="115">
        <v>5585.51</v>
      </c>
      <c r="U48" s="115">
        <v>5687.57</v>
      </c>
      <c r="V48" s="115">
        <v>5082.6000000000004</v>
      </c>
      <c r="W48" s="115">
        <v>4306.55</v>
      </c>
      <c r="X48" s="115">
        <v>6275.02</v>
      </c>
      <c r="Y48" s="115">
        <v>7125.49</v>
      </c>
      <c r="Z48" s="115">
        <v>10689.38</v>
      </c>
      <c r="AA48" s="115" t="e">
        <f ca="1">IF($I48="B1","",SUM(O48:Z48))</f>
        <v>#NAME?</v>
      </c>
      <c r="AB48" s="116" t="e">
        <f ca="1">IF(AA48=0,"",IFERROR(AA48/AA$19,""))</f>
        <v>#NAME?</v>
      </c>
      <c r="AD48" s="115">
        <v>102812.51820000001</v>
      </c>
      <c r="AE48" s="116" t="str">
        <f ca="1">IF(AD48=0,"",IFERROR(AD48/AD$19,""))</f>
        <v/>
      </c>
      <c r="AF48" s="117" t="e">
        <f ca="1">IF(AND($AA48="",AD48=""),"",$AA48-AD48)</f>
        <v>#NAME?</v>
      </c>
      <c r="AG48" s="115">
        <v>102946.22</v>
      </c>
      <c r="AH48" s="116" t="str">
        <f ca="1">IF(AG48=0,"",IFERROR(AG48/AG$19,""))</f>
        <v/>
      </c>
      <c r="AI48" s="117" t="e">
        <f ca="1">IF(AND($AA48="",AG48=""),"",$AA48-AG48)</f>
        <v>#NAME?</v>
      </c>
      <c r="AJ48" s="325">
        <f ca="1">IFERROR(AA48/AA$22,0)</f>
        <v>0</v>
      </c>
      <c r="AK48" s="326">
        <f ca="1">IFERROR(AD48/AD$22,0)</f>
        <v>0</v>
      </c>
      <c r="AL48" s="327">
        <f ca="1">AJ48-AK48</f>
        <v>0</v>
      </c>
      <c r="AM48" s="328">
        <f ca="1">IFERROR(AG48/AG$22,0)</f>
        <v>0</v>
      </c>
      <c r="AN48" s="327">
        <f ca="1">AJ48-AM48</f>
        <v>0</v>
      </c>
    </row>
    <row r="49" spans="1:40" x14ac:dyDescent="0.2">
      <c r="A49" s="6" t="s">
        <v>4</v>
      </c>
      <c r="B49" s="7" t="e">
        <f ca="1">_xll.EVRNG(H47:H51)</f>
        <v>#NAME?</v>
      </c>
      <c r="G49" s="13"/>
      <c r="H49" s="10"/>
      <c r="I49" s="25"/>
      <c r="J49" s="25"/>
      <c r="O49" s="19"/>
      <c r="P49" s="19"/>
      <c r="Q49" s="19"/>
      <c r="R49" s="19"/>
      <c r="S49" s="19"/>
      <c r="T49" s="19"/>
      <c r="U49" s="19"/>
      <c r="V49" s="19"/>
      <c r="W49" s="19"/>
      <c r="X49" s="19"/>
      <c r="Y49" s="19"/>
      <c r="Z49" s="19"/>
      <c r="AA49" s="19"/>
      <c r="AB49" s="15"/>
      <c r="AD49" s="19"/>
      <c r="AE49" s="15"/>
      <c r="AF49" s="47"/>
      <c r="AG49" s="19"/>
      <c r="AH49" s="15"/>
      <c r="AI49" s="47"/>
    </row>
    <row r="50" spans="1:40" x14ac:dyDescent="0.2">
      <c r="A50" s="6" t="s">
        <v>5</v>
      </c>
      <c r="B50" s="7"/>
      <c r="G50" s="13"/>
      <c r="H50" s="10" t="s">
        <v>76</v>
      </c>
      <c r="I50" s="25" t="e">
        <f ca="1">_xll.EVPRO($B$1,$H50,"STYLE")</f>
        <v>#NAME?</v>
      </c>
      <c r="J50" s="25" t="e">
        <f ca="1">_xll.EVPRO($B$1,$H50,"CALC")</f>
        <v>#NAME?</v>
      </c>
      <c r="N50" s="1" t="e">
        <f ca="1">IF(_xll.EVDES(H50,$B$1)="#NODATA","",_xll.EVDES(H50,$B$1))</f>
        <v>#NAME?</v>
      </c>
      <c r="O50" s="28"/>
      <c r="P50" s="28"/>
      <c r="Q50" s="28"/>
      <c r="R50" s="28"/>
      <c r="S50" s="28"/>
      <c r="T50" s="28"/>
      <c r="U50" s="28"/>
      <c r="V50" s="28"/>
      <c r="W50" s="28"/>
      <c r="X50" s="28"/>
      <c r="Y50" s="28"/>
      <c r="Z50" s="28"/>
      <c r="AA50" s="28" t="e">
        <f ca="1">IF($I50="B1","",SUM(O50:Z50))</f>
        <v>#NAME?</v>
      </c>
      <c r="AB50" s="29"/>
      <c r="AD50" s="28">
        <v>27900</v>
      </c>
      <c r="AE50" s="29"/>
      <c r="AF50" s="48" t="e">
        <f ca="1">IF(AND($AA50="",AD50=""),"",$AA50-AD50)</f>
        <v>#NAME?</v>
      </c>
      <c r="AG50" s="28"/>
      <c r="AH50" s="29"/>
      <c r="AI50" s="48" t="e">
        <f ca="1">IF(AND($AA50="",AG50=""),"",$AA50-AG50)</f>
        <v>#NAME?</v>
      </c>
      <c r="AJ50" s="329">
        <f ca="1">IFERROR(AA50/AA$22,0)</f>
        <v>0</v>
      </c>
      <c r="AK50" s="330">
        <f ca="1">IFERROR(AD50/AD$22,0)</f>
        <v>0</v>
      </c>
      <c r="AL50" s="126">
        <f ca="1">AJ50-AK50</f>
        <v>0</v>
      </c>
      <c r="AM50" s="331">
        <f ca="1">IFERROR(AG50/AG$22,0)</f>
        <v>0</v>
      </c>
      <c r="AN50" s="126">
        <f ca="1">AJ50-AM50</f>
        <v>0</v>
      </c>
    </row>
    <row r="51" spans="1:40" ht="16" thickBot="1" x14ac:dyDescent="0.25">
      <c r="A51" s="6" t="s">
        <v>6</v>
      </c>
      <c r="B51" s="7"/>
      <c r="G51" s="13"/>
      <c r="H51" s="10" t="s">
        <v>80</v>
      </c>
      <c r="I51" s="25" t="e">
        <f ca="1">_xll.EVPRO($B$1,$H51,"STYLE")</f>
        <v>#NAME?</v>
      </c>
      <c r="J51" s="25" t="e">
        <f ca="1">_xll.EVPRO($B$1,$H51,"CALC")</f>
        <v>#NAME?</v>
      </c>
      <c r="N51" s="8" t="e">
        <f ca="1">IF(_xll.EVDES(H51,$B$1)="#NODATA","",_xll.EVDES(H51,$B$1))</f>
        <v>#NAME?</v>
      </c>
      <c r="O51" s="58">
        <v>10615.59</v>
      </c>
      <c r="P51" s="58">
        <v>12504.62</v>
      </c>
      <c r="Q51" s="58">
        <v>12452.93</v>
      </c>
      <c r="R51" s="58">
        <v>9677.39</v>
      </c>
      <c r="S51" s="58">
        <v>8287.52</v>
      </c>
      <c r="T51" s="58">
        <v>5585.51</v>
      </c>
      <c r="U51" s="58">
        <v>5687.57</v>
      </c>
      <c r="V51" s="58">
        <v>5082.6000000000004</v>
      </c>
      <c r="W51" s="58">
        <v>4306.55</v>
      </c>
      <c r="X51" s="58">
        <v>6275.02</v>
      </c>
      <c r="Y51" s="58">
        <v>7125.49</v>
      </c>
      <c r="Z51" s="58">
        <v>10689.38</v>
      </c>
      <c r="AA51" s="58" t="e">
        <f ca="1">IF($I51="B1","",SUM(O51:Z51))</f>
        <v>#NAME?</v>
      </c>
      <c r="AB51" s="59"/>
      <c r="AD51" s="58">
        <v>130712.51820000001</v>
      </c>
      <c r="AE51" s="59"/>
      <c r="AF51" s="60" t="e">
        <f ca="1">IF(AND($AA51="",AD51=""),"",$AA51-AD51)</f>
        <v>#NAME?</v>
      </c>
      <c r="AG51" s="58">
        <v>102946.22</v>
      </c>
      <c r="AH51" s="59"/>
      <c r="AI51" s="60" t="e">
        <f ca="1">IF(AND($AA51="",AG51=""),"",$AA51-AG51)</f>
        <v>#NAME?</v>
      </c>
      <c r="AJ51" s="352">
        <f ca="1">IFERROR(AA51/AA$22,0)</f>
        <v>0</v>
      </c>
      <c r="AK51" s="353">
        <f ca="1">IFERROR(AD51/AD$22,0)</f>
        <v>0</v>
      </c>
      <c r="AL51" s="354">
        <f ca="1">AJ51-AK51</f>
        <v>0</v>
      </c>
      <c r="AM51" s="355">
        <f ca="1">IFERROR(AG51/AG$22,0)</f>
        <v>0</v>
      </c>
      <c r="AN51" s="354">
        <f ca="1">AJ51-AM51</f>
        <v>0</v>
      </c>
    </row>
    <row r="52" spans="1:40" ht="16" thickTop="1" x14ac:dyDescent="0.2">
      <c r="A52" s="6" t="s">
        <v>7</v>
      </c>
      <c r="B52" s="7"/>
      <c r="G52" s="13"/>
      <c r="H52" s="13"/>
      <c r="I52" s="13"/>
      <c r="J52" s="13"/>
      <c r="N52" s="24"/>
      <c r="O52" s="50"/>
      <c r="AB52" s="51"/>
      <c r="AD52" s="50"/>
      <c r="AF52" s="51"/>
      <c r="AG52" s="50"/>
      <c r="AI52" s="51"/>
    </row>
    <row r="53" spans="1:40" x14ac:dyDescent="0.2">
      <c r="A53" s="6" t="s">
        <v>47</v>
      </c>
      <c r="B53" s="7" t="e">
        <f ca="1">_xll.EVRNG($A$87:$B$108)</f>
        <v>#NAME?</v>
      </c>
      <c r="G53" s="13"/>
      <c r="H53" s="1" t="s">
        <v>240</v>
      </c>
      <c r="I53" s="11" t="e">
        <f ca="1">_xll.EVPRO($B$1,$H53,"STYLE")</f>
        <v>#NAME?</v>
      </c>
      <c r="J53" s="11" t="e">
        <f ca="1">_xll.EVPRO($B$1,$H53,"CALC")</f>
        <v>#NAME?</v>
      </c>
      <c r="N53" s="37" t="e">
        <f ca="1">IF(_xll.EVDES(H53,$B$1)="#NODATA","",_xll.EVDES(H53,$B$1))</f>
        <v>#NAME?</v>
      </c>
      <c r="O53" s="50"/>
      <c r="AB53" s="51"/>
      <c r="AD53" s="50"/>
      <c r="AF53" s="51"/>
      <c r="AG53" s="50"/>
      <c r="AI53" s="51"/>
    </row>
    <row r="54" spans="1:40" x14ac:dyDescent="0.2">
      <c r="A54" s="6" t="s">
        <v>8</v>
      </c>
      <c r="B54" s="7"/>
      <c r="G54" s="13"/>
      <c r="H54" s="10" t="s">
        <v>230</v>
      </c>
      <c r="I54" s="25" t="e">
        <f ca="1">_xll.EVPRO($B$1,$H54,"STYLE")</f>
        <v>#NAME?</v>
      </c>
      <c r="J54" s="25" t="e">
        <f ca="1">_xll.EVPRO($B$1,$H54,"CALC")</f>
        <v>#NAME?</v>
      </c>
      <c r="K54" s="64" t="e">
        <f ca="1">IF(AND(I54&gt;="T3"),"&gt;","")</f>
        <v>#NAME?</v>
      </c>
      <c r="L54" s="72" t="e">
        <f ca="1">_xll.EVPRO($B$1,H54,"JDEID")</f>
        <v>#NAME?</v>
      </c>
      <c r="M54" s="24" t="e">
        <f ca="1">IF(AND(I54="N",J54="N"),_xll.EVPRO($B$1,H54,"PSFTID"),"")</f>
        <v>#NAME?</v>
      </c>
      <c r="N54" s="24" t="e">
        <f ca="1">IF(_xll.EVDES(H54,$B$1)="#NODATA","",_xll.EVDES(H54,$B$1))</f>
        <v>#NAME?</v>
      </c>
      <c r="O54" s="19"/>
      <c r="P54" s="19"/>
      <c r="Q54" s="19"/>
      <c r="R54" s="19"/>
      <c r="S54" s="19"/>
      <c r="T54" s="19"/>
      <c r="U54" s="19"/>
      <c r="V54" s="19"/>
      <c r="W54" s="19"/>
      <c r="X54" s="19"/>
      <c r="Y54" s="19"/>
      <c r="Z54" s="19"/>
      <c r="AA54" s="19" t="e">
        <f t="shared" ref="AA54:AA61" ca="1" si="13">IF($I54="B1","",SUM(O54:Z54))</f>
        <v>#NAME?</v>
      </c>
      <c r="AB54" s="15" t="e">
        <f t="shared" ref="AB54:AB61" ca="1" si="14">IF(AA54=0,"",IFERROR(AA54/AA$20,""))</f>
        <v>#NAME?</v>
      </c>
      <c r="AD54" s="19"/>
      <c r="AE54" s="15" t="str">
        <f t="shared" ref="AE54:AE61" si="15">IF(AD54=0,"",IFERROR(AD54/AD$20,""))</f>
        <v/>
      </c>
      <c r="AF54" s="47" t="e">
        <f t="shared" ref="AF54:AF61" ca="1" si="16">IF(AND($AA54="",AD54=""),"",$AA54-AD54)</f>
        <v>#NAME?</v>
      </c>
      <c r="AG54" s="19"/>
      <c r="AH54" s="15" t="str">
        <f>IF(AG54=0,"",IFERROR(AG54/AG$20,""))</f>
        <v/>
      </c>
      <c r="AI54" s="47" t="e">
        <f ca="1">IF(AND($AA54="",AG54=""),"",$AA54-AG54)</f>
        <v>#NAME?</v>
      </c>
    </row>
    <row r="55" spans="1:40" x14ac:dyDescent="0.2">
      <c r="G55" s="13"/>
      <c r="H55" s="10" t="s">
        <v>175</v>
      </c>
      <c r="I55" s="447" t="e">
        <f ca="1">_xll.EVPRO($B$1,$H55,"STYLE")</f>
        <v>#NAME?</v>
      </c>
      <c r="J55" s="447" t="e">
        <f ca="1">_xll.EVPRO($B$1,$H55,"CALC")</f>
        <v>#NAME?</v>
      </c>
      <c r="K55" s="448" t="e">
        <f t="shared" ref="K55:K61" ca="1" si="17">IF(AND(I55&gt;="T3"),"&gt;","")</f>
        <v>#NAME?</v>
      </c>
      <c r="L55" s="23" t="e">
        <f ca="1">_xll.EVPRO($B$1,H55,"JDEID")</f>
        <v>#NAME?</v>
      </c>
      <c r="M55" s="151" t="e">
        <f ca="1">IF(AND(I55="N",J55="N"),_xll.EVPRO($B$1,H55,"PSFTID"),"")</f>
        <v>#NAME?</v>
      </c>
      <c r="N55" s="151" t="e">
        <f ca="1">IF(_xll.EVDES(H55,$B$1)="#NODATA","",_xll.EVDES(H55,$B$1))</f>
        <v>#NAME?</v>
      </c>
      <c r="O55" s="19"/>
      <c r="P55" s="19"/>
      <c r="Q55" s="19"/>
      <c r="R55" s="19"/>
      <c r="S55" s="19"/>
      <c r="T55" s="19"/>
      <c r="U55" s="19"/>
      <c r="V55" s="19"/>
      <c r="W55" s="19"/>
      <c r="X55" s="19"/>
      <c r="Y55" s="19"/>
      <c r="Z55" s="19"/>
      <c r="AA55" s="19" t="e">
        <f t="shared" ca="1" si="13"/>
        <v>#NAME?</v>
      </c>
      <c r="AB55" s="15" t="e">
        <f t="shared" ca="1" si="14"/>
        <v>#NAME?</v>
      </c>
      <c r="AD55" s="19"/>
      <c r="AE55" s="15" t="str">
        <f t="shared" si="15"/>
        <v/>
      </c>
      <c r="AF55" s="47" t="e">
        <f t="shared" ca="1" si="16"/>
        <v>#NAME?</v>
      </c>
      <c r="AG55" s="19"/>
      <c r="AH55" s="15" t="str">
        <f t="shared" ref="AH55:AH61" si="18">IF(AG55=0,"",IFERROR(AG55/AG$20,""))</f>
        <v/>
      </c>
      <c r="AI55" s="47" t="e">
        <f t="shared" ref="AI55:AI61" ca="1" si="19">IF(AND($AA55="",AG55=""),"",$AA55-AG55)</f>
        <v>#NAME?</v>
      </c>
    </row>
    <row r="56" spans="1:40" x14ac:dyDescent="0.2">
      <c r="G56" s="13"/>
      <c r="H56" s="10" t="s">
        <v>231</v>
      </c>
      <c r="I56" s="25" t="e">
        <f ca="1">_xll.EVPRO($B$1,$H56,"STYLE")</f>
        <v>#NAME?</v>
      </c>
      <c r="J56" s="25" t="e">
        <f ca="1">_xll.EVPRO($B$1,$H56,"CALC")</f>
        <v>#NAME?</v>
      </c>
      <c r="K56" s="64" t="e">
        <f t="shared" ca="1" si="17"/>
        <v>#NAME?</v>
      </c>
      <c r="L56" s="72" t="e">
        <f ca="1">_xll.EVPRO($B$1,H56,"JDEID")</f>
        <v>#NAME?</v>
      </c>
      <c r="M56" s="24" t="e">
        <f ca="1">IF(AND(I56="N",J56="N"),_xll.EVPRO($B$1,H56,"PSFTID"),"")</f>
        <v>#NAME?</v>
      </c>
      <c r="N56" s="24" t="e">
        <f ca="1">IF(_xll.EVDES(H56,$B$1)="#NODATA","",_xll.EVDES(H56,$B$1))</f>
        <v>#NAME?</v>
      </c>
      <c r="O56" s="19"/>
      <c r="P56" s="19"/>
      <c r="Q56" s="19"/>
      <c r="R56" s="19"/>
      <c r="S56" s="19"/>
      <c r="T56" s="19"/>
      <c r="U56" s="19"/>
      <c r="V56" s="19"/>
      <c r="W56" s="19"/>
      <c r="X56" s="19"/>
      <c r="Y56" s="19"/>
      <c r="Z56" s="19"/>
      <c r="AA56" s="19" t="e">
        <f t="shared" ca="1" si="13"/>
        <v>#NAME?</v>
      </c>
      <c r="AB56" s="15" t="e">
        <f t="shared" ca="1" si="14"/>
        <v>#NAME?</v>
      </c>
      <c r="AD56" s="19"/>
      <c r="AE56" s="15" t="str">
        <f t="shared" si="15"/>
        <v/>
      </c>
      <c r="AF56" s="47" t="e">
        <f t="shared" ca="1" si="16"/>
        <v>#NAME?</v>
      </c>
      <c r="AG56" s="19"/>
      <c r="AH56" s="15" t="str">
        <f t="shared" si="18"/>
        <v/>
      </c>
      <c r="AI56" s="47" t="e">
        <f t="shared" ca="1" si="19"/>
        <v>#NAME?</v>
      </c>
    </row>
    <row r="57" spans="1:40" x14ac:dyDescent="0.2">
      <c r="A57" s="4" t="e">
        <f ca="1">_xll.EVDRE($B$1,A60:B67,A70:B76)</f>
        <v>#NAME?</v>
      </c>
      <c r="G57" s="13"/>
      <c r="H57" s="133" t="s">
        <v>232</v>
      </c>
      <c r="I57" s="25" t="e">
        <f ca="1">_xll.EVPRO($B$1,$H57,"STYLE")</f>
        <v>#NAME?</v>
      </c>
      <c r="J57" s="25" t="e">
        <f ca="1">_xll.EVPRO($B$1,$H57,"CALC")</f>
        <v>#NAME?</v>
      </c>
      <c r="K57" s="64" t="e">
        <f t="shared" ca="1" si="17"/>
        <v>#NAME?</v>
      </c>
      <c r="L57" s="72" t="e">
        <f ca="1">_xll.EVPRO($B$1,H57,"JDEID")</f>
        <v>#NAME?</v>
      </c>
      <c r="M57" s="24" t="e">
        <f ca="1">IF(AND(I57="N",J57="N"),_xll.EVPRO($B$1,H57,"PSFTID"),"")</f>
        <v>#NAME?</v>
      </c>
      <c r="N57" s="24" t="e">
        <f ca="1">IF(_xll.EVDES(H57,$B$1)="#NODATA","",_xll.EVDES(H57,$B$1))</f>
        <v>#NAME?</v>
      </c>
      <c r="O57" s="19"/>
      <c r="P57" s="19"/>
      <c r="Q57" s="19"/>
      <c r="R57" s="19"/>
      <c r="S57" s="19"/>
      <c r="T57" s="19"/>
      <c r="U57" s="19"/>
      <c r="V57" s="19"/>
      <c r="W57" s="19"/>
      <c r="X57" s="19"/>
      <c r="Y57" s="19"/>
      <c r="Z57" s="19"/>
      <c r="AA57" s="19" t="e">
        <f t="shared" ca="1" si="13"/>
        <v>#NAME?</v>
      </c>
      <c r="AB57" s="15" t="e">
        <f t="shared" ca="1" si="14"/>
        <v>#NAME?</v>
      </c>
      <c r="AD57" s="19"/>
      <c r="AE57" s="15" t="str">
        <f t="shared" si="15"/>
        <v/>
      </c>
      <c r="AF57" s="47" t="e">
        <f t="shared" ca="1" si="16"/>
        <v>#NAME?</v>
      </c>
      <c r="AG57" s="19"/>
      <c r="AH57" s="15" t="str">
        <f t="shared" si="18"/>
        <v/>
      </c>
      <c r="AI57" s="47" t="e">
        <f t="shared" ca="1" si="19"/>
        <v>#NAME?</v>
      </c>
    </row>
    <row r="58" spans="1:40" x14ac:dyDescent="0.2">
      <c r="G58" s="13"/>
      <c r="H58" s="133" t="s">
        <v>233</v>
      </c>
      <c r="I58" s="25" t="e">
        <f ca="1">_xll.EVPRO($B$1,$H58,"STYLE")</f>
        <v>#NAME?</v>
      </c>
      <c r="J58" s="25" t="e">
        <f ca="1">_xll.EVPRO($B$1,$H58,"CALC")</f>
        <v>#NAME?</v>
      </c>
      <c r="K58" s="64" t="e">
        <f t="shared" ca="1" si="17"/>
        <v>#NAME?</v>
      </c>
      <c r="L58" s="72" t="e">
        <f ca="1">_xll.EVPRO($B$1,H58,"JDEID")</f>
        <v>#NAME?</v>
      </c>
      <c r="M58" s="24" t="e">
        <f ca="1">IF(AND(I58="N",J58="N"),_xll.EVPRO($B$1,H58,"PSFTID"),"")</f>
        <v>#NAME?</v>
      </c>
      <c r="N58" s="24" t="e">
        <f ca="1">IF(_xll.EVDES(H58,$B$1)="#NODATA","",_xll.EVDES(H58,$B$1))</f>
        <v>#NAME?</v>
      </c>
      <c r="O58" s="19">
        <v>16.88</v>
      </c>
      <c r="P58" s="19">
        <v>36</v>
      </c>
      <c r="Q58" s="19">
        <v>62</v>
      </c>
      <c r="R58" s="19">
        <v>81</v>
      </c>
      <c r="S58" s="19">
        <v>21</v>
      </c>
      <c r="T58" s="19">
        <v>43</v>
      </c>
      <c r="U58" s="19">
        <v>43</v>
      </c>
      <c r="V58" s="19">
        <v>43</v>
      </c>
      <c r="W58" s="19">
        <v>15</v>
      </c>
      <c r="X58" s="19">
        <v>27</v>
      </c>
      <c r="Y58" s="19">
        <v>51</v>
      </c>
      <c r="Z58" s="19">
        <v>-27</v>
      </c>
      <c r="AA58" s="19" t="e">
        <f t="shared" ca="1" si="13"/>
        <v>#NAME?</v>
      </c>
      <c r="AB58" s="15" t="e">
        <f t="shared" ca="1" si="14"/>
        <v>#NAME?</v>
      </c>
      <c r="AD58" s="19">
        <v>462</v>
      </c>
      <c r="AE58" s="15" t="str">
        <f t="shared" ca="1" si="15"/>
        <v/>
      </c>
      <c r="AF58" s="47" t="e">
        <f t="shared" ca="1" si="16"/>
        <v>#NAME?</v>
      </c>
      <c r="AG58" s="19">
        <v>435</v>
      </c>
      <c r="AH58" s="15" t="str">
        <f t="shared" ca="1" si="18"/>
        <v/>
      </c>
      <c r="AI58" s="47" t="e">
        <f t="shared" ca="1" si="19"/>
        <v>#NAME?</v>
      </c>
    </row>
    <row r="59" spans="1:40" x14ac:dyDescent="0.2">
      <c r="A59" s="3" t="s">
        <v>0</v>
      </c>
      <c r="B59" s="5" t="s">
        <v>1</v>
      </c>
      <c r="G59" s="13"/>
      <c r="H59" s="133" t="s">
        <v>234</v>
      </c>
      <c r="I59" s="25" t="e">
        <f ca="1">_xll.EVPRO($B$1,$H59,"STYLE")</f>
        <v>#NAME?</v>
      </c>
      <c r="J59" s="25" t="e">
        <f ca="1">_xll.EVPRO($B$1,$H59,"CALC")</f>
        <v>#NAME?</v>
      </c>
      <c r="K59" s="64" t="e">
        <f t="shared" ca="1" si="17"/>
        <v>#NAME?</v>
      </c>
      <c r="L59" s="72" t="e">
        <f ca="1">_xll.EVPRO($B$1,H59,"JDEID")</f>
        <v>#NAME?</v>
      </c>
      <c r="M59" s="24" t="e">
        <f ca="1">IF(AND(I59="N",J59="N"),_xll.EVPRO($B$1,H59,"PSFTID"),"")</f>
        <v>#NAME?</v>
      </c>
      <c r="N59" s="24" t="e">
        <f ca="1">IF(_xll.EVDES(H59,$B$1)="#NODATA","",_xll.EVDES(H59,$B$1))</f>
        <v>#NAME?</v>
      </c>
      <c r="O59" s="19"/>
      <c r="P59" s="19"/>
      <c r="Q59" s="19"/>
      <c r="R59" s="19"/>
      <c r="S59" s="19"/>
      <c r="T59" s="19"/>
      <c r="U59" s="19"/>
      <c r="V59" s="19"/>
      <c r="W59" s="19"/>
      <c r="X59" s="19"/>
      <c r="Y59" s="19"/>
      <c r="Z59" s="19"/>
      <c r="AA59" s="19" t="e">
        <f t="shared" ca="1" si="13"/>
        <v>#NAME?</v>
      </c>
      <c r="AB59" s="15" t="e">
        <f t="shared" ca="1" si="14"/>
        <v>#NAME?</v>
      </c>
      <c r="AD59" s="19"/>
      <c r="AE59" s="15" t="str">
        <f t="shared" si="15"/>
        <v/>
      </c>
      <c r="AF59" s="47" t="e">
        <f t="shared" ca="1" si="16"/>
        <v>#NAME?</v>
      </c>
      <c r="AG59" s="19"/>
      <c r="AH59" s="15" t="str">
        <f t="shared" si="18"/>
        <v/>
      </c>
      <c r="AI59" s="47" t="e">
        <f t="shared" ca="1" si="19"/>
        <v>#NAME?</v>
      </c>
    </row>
    <row r="60" spans="1:40" x14ac:dyDescent="0.2">
      <c r="A60" s="6" t="s">
        <v>2</v>
      </c>
      <c r="B60" s="7" t="e">
        <f ca="1">_xll.EVRNG($B$2:$B$10)</f>
        <v>#NAME?</v>
      </c>
      <c r="G60" s="13"/>
      <c r="H60" s="133" t="s">
        <v>235</v>
      </c>
      <c r="I60" s="25" t="e">
        <f ca="1">_xll.EVPRO($B$1,$H60,"STYLE")</f>
        <v>#NAME?</v>
      </c>
      <c r="J60" s="25" t="e">
        <f ca="1">_xll.EVPRO($B$1,$H60,"CALC")</f>
        <v>#NAME?</v>
      </c>
      <c r="K60" s="64" t="e">
        <f t="shared" ca="1" si="17"/>
        <v>#NAME?</v>
      </c>
      <c r="L60" s="72" t="e">
        <f ca="1">_xll.EVPRO($B$1,H60,"JDEID")</f>
        <v>#NAME?</v>
      </c>
      <c r="M60" s="24" t="e">
        <f ca="1">IF(AND(I60="N",J60="N"),_xll.EVPRO($B$1,H60,"PSFTID"),"")</f>
        <v>#NAME?</v>
      </c>
      <c r="N60" s="24" t="e">
        <f ca="1">IF(_xll.EVDES(H60,$B$1)="#NODATA","",_xll.EVDES(H60,$B$1))</f>
        <v>#NAME?</v>
      </c>
      <c r="O60" s="28"/>
      <c r="P60" s="28"/>
      <c r="Q60" s="28"/>
      <c r="R60" s="28"/>
      <c r="S60" s="28"/>
      <c r="T60" s="28"/>
      <c r="U60" s="28"/>
      <c r="V60" s="28"/>
      <c r="W60" s="28"/>
      <c r="X60" s="28"/>
      <c r="Y60" s="28"/>
      <c r="Z60" s="28"/>
      <c r="AA60" s="28" t="e">
        <f t="shared" ca="1" si="13"/>
        <v>#NAME?</v>
      </c>
      <c r="AB60" s="29" t="e">
        <f t="shared" ca="1" si="14"/>
        <v>#NAME?</v>
      </c>
      <c r="AD60" s="28"/>
      <c r="AE60" s="29" t="str">
        <f t="shared" si="15"/>
        <v/>
      </c>
      <c r="AF60" s="48" t="e">
        <f t="shared" ca="1" si="16"/>
        <v>#NAME?</v>
      </c>
      <c r="AG60" s="28"/>
      <c r="AH60" s="29" t="str">
        <f t="shared" si="18"/>
        <v/>
      </c>
      <c r="AI60" s="48" t="e">
        <f t="shared" ca="1" si="19"/>
        <v>#NAME?</v>
      </c>
    </row>
    <row r="61" spans="1:40" x14ac:dyDescent="0.2">
      <c r="A61" s="6" t="s">
        <v>3</v>
      </c>
      <c r="B61" s="7" t="e">
        <f ca="1">_xll.EVRNG(O16:AI18)</f>
        <v>#NAME?</v>
      </c>
      <c r="G61" s="13"/>
      <c r="H61" s="133" t="s">
        <v>236</v>
      </c>
      <c r="I61" s="447" t="e">
        <f ca="1">_xll.EVPRO($B$1,$H61,"STYLE")</f>
        <v>#NAME?</v>
      </c>
      <c r="J61" s="447" t="e">
        <f ca="1">_xll.EVPRO($B$1,$H61,"CALC")</f>
        <v>#NAME?</v>
      </c>
      <c r="K61" s="448" t="e">
        <f t="shared" ca="1" si="17"/>
        <v>#NAME?</v>
      </c>
      <c r="L61" s="23" t="e">
        <f ca="1">_xll.EVPRO($B$1,H61,"JDEID")</f>
        <v>#NAME?</v>
      </c>
      <c r="M61" s="151" t="e">
        <f ca="1">IF(AND(I61="N",J61="N"),_xll.EVPRO($B$1,H61,"PSFTID"),"")</f>
        <v>#NAME?</v>
      </c>
      <c r="N61" s="151" t="e">
        <f ca="1">IF(_xll.EVDES(H61,$B$1)="#NODATA","",_xll.EVDES(H61,$B$1))</f>
        <v>#NAME?</v>
      </c>
      <c r="O61" s="120">
        <v>16.88</v>
      </c>
      <c r="P61" s="120">
        <v>36</v>
      </c>
      <c r="Q61" s="120">
        <v>62</v>
      </c>
      <c r="R61" s="120">
        <v>81</v>
      </c>
      <c r="S61" s="120">
        <v>21</v>
      </c>
      <c r="T61" s="120">
        <v>43</v>
      </c>
      <c r="U61" s="120">
        <v>43</v>
      </c>
      <c r="V61" s="120">
        <v>43</v>
      </c>
      <c r="W61" s="120">
        <v>15</v>
      </c>
      <c r="X61" s="120">
        <v>27</v>
      </c>
      <c r="Y61" s="120">
        <v>51</v>
      </c>
      <c r="Z61" s="120">
        <v>-27</v>
      </c>
      <c r="AA61" s="120" t="e">
        <f t="shared" ca="1" si="13"/>
        <v>#NAME?</v>
      </c>
      <c r="AB61" s="121" t="e">
        <f t="shared" ca="1" si="14"/>
        <v>#NAME?</v>
      </c>
      <c r="AC61" s="123"/>
      <c r="AD61" s="120">
        <v>462</v>
      </c>
      <c r="AE61" s="121" t="str">
        <f t="shared" ca="1" si="15"/>
        <v/>
      </c>
      <c r="AF61" s="122" t="e">
        <f t="shared" ca="1" si="16"/>
        <v>#NAME?</v>
      </c>
      <c r="AG61" s="120">
        <v>435</v>
      </c>
      <c r="AH61" s="121" t="str">
        <f t="shared" ca="1" si="18"/>
        <v/>
      </c>
      <c r="AI61" s="122" t="e">
        <f t="shared" ca="1" si="19"/>
        <v>#NAME?</v>
      </c>
    </row>
    <row r="62" spans="1:40" x14ac:dyDescent="0.2">
      <c r="A62" s="6" t="s">
        <v>4</v>
      </c>
      <c r="B62" s="7" t="e">
        <f ca="1">_xll.EVRNG(H54:H61)</f>
        <v>#NAME?</v>
      </c>
      <c r="G62" s="13"/>
      <c r="O62" s="35"/>
      <c r="P62" s="35"/>
      <c r="Q62" s="35"/>
      <c r="R62" s="35"/>
      <c r="S62" s="35"/>
      <c r="T62" s="35"/>
      <c r="U62" s="35"/>
      <c r="V62" s="35"/>
      <c r="W62" s="35"/>
      <c r="X62" s="35"/>
      <c r="Y62" s="35"/>
      <c r="Z62" s="35"/>
      <c r="AA62" s="35"/>
      <c r="AB62" s="36"/>
      <c r="AD62" s="35"/>
      <c r="AE62" s="36"/>
      <c r="AF62" s="118"/>
      <c r="AG62" s="35"/>
      <c r="AH62" s="36"/>
      <c r="AI62" s="118"/>
    </row>
    <row r="63" spans="1:40" x14ac:dyDescent="0.2">
      <c r="A63" s="6" t="s">
        <v>5</v>
      </c>
      <c r="B63" s="7"/>
      <c r="G63" s="13"/>
      <c r="K63" s="24"/>
      <c r="L63" s="24"/>
      <c r="M63" s="24"/>
      <c r="N63" s="24" t="e">
        <f ca="1">N21</f>
        <v>#NAME?</v>
      </c>
      <c r="O63" s="19" t="e">
        <f ca="1">O$21</f>
        <v>#NAME?</v>
      </c>
      <c r="P63" s="19" t="e">
        <f t="shared" ref="P63:AA63" ca="1" si="20">P$21</f>
        <v>#NAME?</v>
      </c>
      <c r="Q63" s="19" t="e">
        <f t="shared" ca="1" si="20"/>
        <v>#NAME?</v>
      </c>
      <c r="R63" s="19" t="e">
        <f t="shared" ca="1" si="20"/>
        <v>#NAME?</v>
      </c>
      <c r="S63" s="19" t="e">
        <f t="shared" ca="1" si="20"/>
        <v>#NAME?</v>
      </c>
      <c r="T63" s="19" t="e">
        <f t="shared" ca="1" si="20"/>
        <v>#NAME?</v>
      </c>
      <c r="U63" s="19" t="e">
        <f t="shared" ca="1" si="20"/>
        <v>#NAME?</v>
      </c>
      <c r="V63" s="19" t="e">
        <f t="shared" ca="1" si="20"/>
        <v>#NAME?</v>
      </c>
      <c r="W63" s="19" t="e">
        <f t="shared" ca="1" si="20"/>
        <v>#NAME?</v>
      </c>
      <c r="X63" s="19" t="e">
        <f t="shared" ca="1" si="20"/>
        <v>#NAME?</v>
      </c>
      <c r="Y63" s="19" t="e">
        <f t="shared" ca="1" si="20"/>
        <v>#NAME?</v>
      </c>
      <c r="Z63" s="19" t="e">
        <f t="shared" ca="1" si="20"/>
        <v>#NAME?</v>
      </c>
      <c r="AA63" s="19" t="e">
        <f t="shared" ca="1" si="20"/>
        <v>#NAME?</v>
      </c>
      <c r="AB63" s="15"/>
      <c r="AD63" s="19" t="e">
        <f ca="1">AD$21</f>
        <v>#NAME?</v>
      </c>
      <c r="AE63" s="15"/>
      <c r="AF63" s="125"/>
      <c r="AG63" s="19" t="e">
        <f ca="1">AG$21</f>
        <v>#NAME?</v>
      </c>
      <c r="AH63" s="15"/>
      <c r="AI63" s="125"/>
    </row>
    <row r="64" spans="1:40" x14ac:dyDescent="0.2">
      <c r="A64" s="6" t="s">
        <v>6</v>
      </c>
      <c r="B64" s="7"/>
      <c r="G64" s="13"/>
      <c r="K64" s="24"/>
      <c r="L64" s="24"/>
      <c r="M64" s="24"/>
      <c r="N64" s="24"/>
      <c r="O64" s="19"/>
      <c r="P64" s="19"/>
      <c r="Q64" s="19"/>
      <c r="R64" s="19"/>
      <c r="S64" s="19"/>
      <c r="T64" s="19"/>
      <c r="U64" s="19"/>
      <c r="V64" s="19"/>
      <c r="W64" s="19"/>
      <c r="X64" s="19"/>
      <c r="Y64" s="19"/>
      <c r="Z64" s="19"/>
      <c r="AA64" s="19"/>
      <c r="AB64" s="15"/>
      <c r="AD64" s="19"/>
      <c r="AE64" s="15"/>
      <c r="AF64" s="47"/>
      <c r="AG64" s="19"/>
      <c r="AH64" s="15"/>
      <c r="AI64" s="47"/>
    </row>
    <row r="65" spans="1:35" x14ac:dyDescent="0.2">
      <c r="A65" s="6" t="s">
        <v>7</v>
      </c>
      <c r="B65" s="7" t="e">
        <f ca="1">_xll.EVRNG(A79:F83)</f>
        <v>#NAME?</v>
      </c>
      <c r="G65" s="13"/>
      <c r="H65" s="10"/>
      <c r="I65" s="25"/>
      <c r="J65" s="25"/>
      <c r="K65" s="64"/>
      <c r="L65" s="64"/>
      <c r="M65" s="64"/>
      <c r="N65" s="24" t="s">
        <v>245</v>
      </c>
      <c r="O65" s="124" t="e">
        <f>SUMIF($H$34:$H$45,"710150",O$34:O$45)/SUMIF($H$54:$H$61,"910200",O$54:O$61)</f>
        <v>#DIV/0!</v>
      </c>
      <c r="P65" s="124" t="e">
        <f t="shared" ref="P65:AA65" si="21">SUMIF($H$34:$H$45,"710150",P$34:P$45)/SUMIF($H$54:$H$61,"910200",P$54:P$61)</f>
        <v>#DIV/0!</v>
      </c>
      <c r="Q65" s="124" t="e">
        <f t="shared" si="21"/>
        <v>#DIV/0!</v>
      </c>
      <c r="R65" s="124" t="e">
        <f t="shared" si="21"/>
        <v>#DIV/0!</v>
      </c>
      <c r="S65" s="124" t="e">
        <f t="shared" si="21"/>
        <v>#DIV/0!</v>
      </c>
      <c r="T65" s="124" t="e">
        <f t="shared" si="21"/>
        <v>#DIV/0!</v>
      </c>
      <c r="U65" s="124" t="e">
        <f t="shared" si="21"/>
        <v>#DIV/0!</v>
      </c>
      <c r="V65" s="124" t="e">
        <f t="shared" si="21"/>
        <v>#DIV/0!</v>
      </c>
      <c r="W65" s="124" t="e">
        <f t="shared" si="21"/>
        <v>#DIV/0!</v>
      </c>
      <c r="X65" s="124" t="e">
        <f t="shared" si="21"/>
        <v>#DIV/0!</v>
      </c>
      <c r="Y65" s="124" t="e">
        <f t="shared" si="21"/>
        <v>#DIV/0!</v>
      </c>
      <c r="Z65" s="124" t="e">
        <f t="shared" si="21"/>
        <v>#DIV/0!</v>
      </c>
      <c r="AA65" s="124" t="e">
        <f t="shared" ca="1" si="21"/>
        <v>#NAME?</v>
      </c>
      <c r="AB65" s="15"/>
      <c r="AD65" s="124" t="e">
        <f>SUMIF($H$34:$H$45,"710150",AD$34:AD$45)/SUMIF($H$54:$H$61,"910200",AD$54:AD$61)</f>
        <v>#DIV/0!</v>
      </c>
      <c r="AE65" s="15"/>
      <c r="AF65" s="125" t="e">
        <f t="shared" ref="AF65:AF74" ca="1" si="22">IF(AND($AA65="",AD65=""),"",$AA65-AD65)</f>
        <v>#NAME?</v>
      </c>
      <c r="AG65" s="124" t="e">
        <f>SUMIF($H$34:$H$45,"710150",AG$34:AG$45)/SUMIF($H$54:$H$61,"910200",AG$54:AG$61)</f>
        <v>#DIV/0!</v>
      </c>
      <c r="AH65" s="15"/>
      <c r="AI65" s="125" t="e">
        <f t="shared" ref="AI65:AI74" ca="1" si="23">IF(AND($AA65="",AG65=""),"",$AA65-AG65)</f>
        <v>#NAME?</v>
      </c>
    </row>
    <row r="66" spans="1:35" x14ac:dyDescent="0.2">
      <c r="A66" s="6" t="s">
        <v>47</v>
      </c>
      <c r="B66" s="7" t="e">
        <f ca="1">_xll.EVRNG($A$87:$B$108)</f>
        <v>#NAME?</v>
      </c>
      <c r="G66" s="13"/>
      <c r="H66" s="10"/>
      <c r="I66" s="25"/>
      <c r="J66" s="25"/>
      <c r="K66" s="64"/>
      <c r="L66" s="64"/>
      <c r="M66" s="64"/>
      <c r="N66" s="24" t="s">
        <v>246</v>
      </c>
      <c r="O66" s="124" t="e">
        <f>(SUMIF($H$34:$H$45,"710140",O$34:O$45)+SUMIF($H$34:$H$45,"710145",O$34:O$45))/(SUMIF($H$54:$H$61,"RESATHOTEL",O$54:O$61)+SUMIF($H$54:$H$61,"910220",O$54:O$61))</f>
        <v>#DIV/0!</v>
      </c>
      <c r="P66" s="124" t="e">
        <f t="shared" ref="P66:AA66" si="24">(SUMIF($H$34:$H$45,"710140",P$34:P$45)+SUMIF($H$34:$H$45,"710145",P$34:P$45))/(SUMIF($H$54:$H$61,"RESATHOTEL",P$54:P$61)+SUMIF($H$54:$H$61,"910220",P$54:P$61))</f>
        <v>#DIV/0!</v>
      </c>
      <c r="Q66" s="124" t="e">
        <f t="shared" si="24"/>
        <v>#DIV/0!</v>
      </c>
      <c r="R66" s="124" t="e">
        <f t="shared" si="24"/>
        <v>#DIV/0!</v>
      </c>
      <c r="S66" s="124" t="e">
        <f t="shared" si="24"/>
        <v>#DIV/0!</v>
      </c>
      <c r="T66" s="124" t="e">
        <f t="shared" si="24"/>
        <v>#DIV/0!</v>
      </c>
      <c r="U66" s="124" t="e">
        <f t="shared" si="24"/>
        <v>#DIV/0!</v>
      </c>
      <c r="V66" s="124" t="e">
        <f t="shared" si="24"/>
        <v>#DIV/0!</v>
      </c>
      <c r="W66" s="124" t="e">
        <f t="shared" si="24"/>
        <v>#DIV/0!</v>
      </c>
      <c r="X66" s="124" t="e">
        <f t="shared" si="24"/>
        <v>#DIV/0!</v>
      </c>
      <c r="Y66" s="124" t="e">
        <f t="shared" si="24"/>
        <v>#DIV/0!</v>
      </c>
      <c r="Z66" s="124" t="e">
        <f t="shared" si="24"/>
        <v>#DIV/0!</v>
      </c>
      <c r="AA66" s="124" t="e">
        <f t="shared" ca="1" si="24"/>
        <v>#NAME?</v>
      </c>
      <c r="AB66" s="15"/>
      <c r="AD66" s="124" t="e">
        <f>(SUMIF($H$34:$H$45,"710140",AD$34:AD$45)+SUMIF($H$34:$H$45,"710145",AD$34:AD$45))/(SUMIF($H$54:$H$61,"RESATHOTEL",AD$54:AD$61)+SUMIF($H$54:$H$61,"910220",AD$54:AD$61))</f>
        <v>#DIV/0!</v>
      </c>
      <c r="AE66" s="15"/>
      <c r="AF66" s="125" t="e">
        <f t="shared" ca="1" si="22"/>
        <v>#NAME?</v>
      </c>
      <c r="AG66" s="124" t="e">
        <f>(SUMIF($H$34:$H$45,"710140",AG$34:AG$45)+SUMIF($H$34:$H$45,"710145",AG$34:AG$45))/(SUMIF($H$54:$H$61,"RESATHOTEL",AG$54:AG$61)+SUMIF($H$54:$H$61,"910220",AG$54:AG$61))</f>
        <v>#DIV/0!</v>
      </c>
      <c r="AH66" s="15"/>
      <c r="AI66" s="125" t="e">
        <f t="shared" ca="1" si="23"/>
        <v>#NAME?</v>
      </c>
    </row>
    <row r="67" spans="1:35" x14ac:dyDescent="0.2">
      <c r="A67" s="6" t="s">
        <v>8</v>
      </c>
      <c r="B67" s="7"/>
      <c r="G67" s="13"/>
      <c r="H67" s="10"/>
      <c r="I67" s="25"/>
      <c r="J67" s="25"/>
      <c r="K67" s="64"/>
      <c r="L67" s="64"/>
      <c r="M67" s="64"/>
      <c r="N67" s="24" t="s">
        <v>247</v>
      </c>
      <c r="O67" s="124" t="e">
        <f ca="1">SUMIF($H$34:$H$45,"710160",O$34:O$45)/O$63</f>
        <v>#NAME?</v>
      </c>
      <c r="P67" s="124" t="e">
        <f t="shared" ref="P67:AA67" ca="1" si="25">SUMIF($H$34:$H$45,"710160",P$34:P$45)/P$63</f>
        <v>#NAME?</v>
      </c>
      <c r="Q67" s="124" t="e">
        <f t="shared" ca="1" si="25"/>
        <v>#NAME?</v>
      </c>
      <c r="R67" s="124" t="e">
        <f t="shared" ca="1" si="25"/>
        <v>#NAME?</v>
      </c>
      <c r="S67" s="124" t="e">
        <f t="shared" ca="1" si="25"/>
        <v>#NAME?</v>
      </c>
      <c r="T67" s="124" t="e">
        <f t="shared" ca="1" si="25"/>
        <v>#NAME?</v>
      </c>
      <c r="U67" s="124" t="e">
        <f t="shared" ca="1" si="25"/>
        <v>#NAME?</v>
      </c>
      <c r="V67" s="124" t="e">
        <f t="shared" ca="1" si="25"/>
        <v>#NAME?</v>
      </c>
      <c r="W67" s="124" t="e">
        <f t="shared" ca="1" si="25"/>
        <v>#NAME?</v>
      </c>
      <c r="X67" s="124" t="e">
        <f t="shared" ca="1" si="25"/>
        <v>#NAME?</v>
      </c>
      <c r="Y67" s="124" t="e">
        <f t="shared" ca="1" si="25"/>
        <v>#NAME?</v>
      </c>
      <c r="Z67" s="124" t="e">
        <f t="shared" ca="1" si="25"/>
        <v>#NAME?</v>
      </c>
      <c r="AA67" s="124" t="e">
        <f t="shared" ca="1" si="25"/>
        <v>#NAME?</v>
      </c>
      <c r="AB67" s="15"/>
      <c r="AD67" s="124" t="e">
        <f ca="1">SUMIF($H$34:$H$45,"710160",AD$34:AD$45)/AD$63</f>
        <v>#NAME?</v>
      </c>
      <c r="AE67" s="15"/>
      <c r="AF67" s="125" t="e">
        <f t="shared" ca="1" si="22"/>
        <v>#NAME?</v>
      </c>
      <c r="AG67" s="124" t="e">
        <f ca="1">SUMIF($H$34:$H$45,"710160",AG$34:AG$45)/AG$63</f>
        <v>#NAME?</v>
      </c>
      <c r="AH67" s="15"/>
      <c r="AI67" s="125" t="e">
        <f t="shared" ca="1" si="23"/>
        <v>#NAME?</v>
      </c>
    </row>
    <row r="68" spans="1:35" x14ac:dyDescent="0.2">
      <c r="G68" s="13"/>
      <c r="H68" s="10"/>
      <c r="I68" s="25"/>
      <c r="J68" s="25"/>
      <c r="K68" s="64"/>
      <c r="L68" s="64"/>
      <c r="M68" s="64"/>
      <c r="N68" s="24" t="s">
        <v>248</v>
      </c>
      <c r="O68" s="124">
        <f>SUMIF($H$34:$H$45,"710170",O$34:O$45)/SUMIF($H$54:$H$61,"910230",O$54:O$61)</f>
        <v>6.3981042654028437</v>
      </c>
      <c r="P68" s="124">
        <f t="shared" ref="P68:AA68" si="26">SUMIF($H$34:$H$45,"710170",P$34:P$45)/SUMIF($H$54:$H$61,"910230",P$54:P$61)</f>
        <v>6.4</v>
      </c>
      <c r="Q68" s="124">
        <f t="shared" si="26"/>
        <v>6.4</v>
      </c>
      <c r="R68" s="124">
        <f t="shared" si="26"/>
        <v>6.3999999999999995</v>
      </c>
      <c r="S68" s="124">
        <f t="shared" si="26"/>
        <v>6.4</v>
      </c>
      <c r="T68" s="124">
        <f t="shared" si="26"/>
        <v>6.3999999999999995</v>
      </c>
      <c r="U68" s="124">
        <f t="shared" si="26"/>
        <v>6.3999999999999995</v>
      </c>
      <c r="V68" s="124">
        <f t="shared" si="26"/>
        <v>6.4069767441860463</v>
      </c>
      <c r="W68" s="124">
        <f t="shared" si="26"/>
        <v>6.4</v>
      </c>
      <c r="X68" s="124">
        <f t="shared" si="26"/>
        <v>6.4</v>
      </c>
      <c r="Y68" s="124">
        <f t="shared" si="26"/>
        <v>3.3882352941176475</v>
      </c>
      <c r="Z68" s="124">
        <f t="shared" si="26"/>
        <v>-8.1185185185185187</v>
      </c>
      <c r="AA68" s="124" t="e">
        <f t="shared" ca="1" si="26"/>
        <v>#NAME?</v>
      </c>
      <c r="AB68" s="15"/>
      <c r="AD68" s="124">
        <f>SUMIF($H$34:$H$45,"710170",AD$34:AD$45)/SUMIF($H$54:$H$61,"910230",AD$54:AD$61)</f>
        <v>6.4</v>
      </c>
      <c r="AE68" s="15"/>
      <c r="AF68" s="125" t="e">
        <f t="shared" ca="1" si="22"/>
        <v>#NAME?</v>
      </c>
      <c r="AG68" s="124">
        <f>SUMIF($H$34:$H$45,"710170",AG$34:AG$45)/SUMIF($H$54:$H$61,"910230",AG$54:AG$61)</f>
        <v>6.3903448275862074</v>
      </c>
      <c r="AH68" s="15"/>
      <c r="AI68" s="125" t="e">
        <f t="shared" ca="1" si="23"/>
        <v>#NAME?</v>
      </c>
    </row>
    <row r="69" spans="1:35" x14ac:dyDescent="0.2">
      <c r="A69" s="3" t="s">
        <v>9</v>
      </c>
      <c r="B69" s="5" t="s">
        <v>10</v>
      </c>
      <c r="G69" s="13"/>
      <c r="H69" s="10"/>
      <c r="I69" s="25"/>
      <c r="J69" s="25"/>
      <c r="K69" s="64"/>
      <c r="L69" s="64"/>
      <c r="M69" s="64"/>
      <c r="N69" s="24" t="s">
        <v>249</v>
      </c>
      <c r="O69" s="124" t="e">
        <f>SUMIF($H$34:$H$45,"710180",O$34:O$45)/SUMIF($H$54:$H$61,"910240",O$54:O$61)</f>
        <v>#DIV/0!</v>
      </c>
      <c r="P69" s="124" t="e">
        <f t="shared" ref="P69:AA69" si="27">SUMIF($H$34:$H$45,"710180",P$34:P$45)/SUMIF($H$54:$H$61,"910240",P$54:P$61)</f>
        <v>#DIV/0!</v>
      </c>
      <c r="Q69" s="124" t="e">
        <f t="shared" si="27"/>
        <v>#DIV/0!</v>
      </c>
      <c r="R69" s="124" t="e">
        <f t="shared" si="27"/>
        <v>#DIV/0!</v>
      </c>
      <c r="S69" s="124" t="e">
        <f t="shared" si="27"/>
        <v>#DIV/0!</v>
      </c>
      <c r="T69" s="124" t="e">
        <f t="shared" si="27"/>
        <v>#DIV/0!</v>
      </c>
      <c r="U69" s="124" t="e">
        <f t="shared" si="27"/>
        <v>#DIV/0!</v>
      </c>
      <c r="V69" s="124" t="e">
        <f t="shared" si="27"/>
        <v>#DIV/0!</v>
      </c>
      <c r="W69" s="124" t="e">
        <f t="shared" si="27"/>
        <v>#DIV/0!</v>
      </c>
      <c r="X69" s="124" t="e">
        <f t="shared" si="27"/>
        <v>#DIV/0!</v>
      </c>
      <c r="Y69" s="124" t="e">
        <f t="shared" si="27"/>
        <v>#DIV/0!</v>
      </c>
      <c r="Z69" s="124" t="e">
        <f t="shared" si="27"/>
        <v>#DIV/0!</v>
      </c>
      <c r="AA69" s="124" t="e">
        <f t="shared" ca="1" si="27"/>
        <v>#NAME?</v>
      </c>
      <c r="AB69" s="15"/>
      <c r="AD69" s="124" t="e">
        <f>SUMIF($H$34:$H$45,"710180",AD$34:AD$45)/SUMIF($H$54:$H$61,"910240",AD$54:AD$61)</f>
        <v>#DIV/0!</v>
      </c>
      <c r="AE69" s="15"/>
      <c r="AF69" s="125" t="e">
        <f t="shared" ca="1" si="22"/>
        <v>#NAME?</v>
      </c>
      <c r="AG69" s="124" t="e">
        <f>SUMIF($H$34:$H$45,"710180",AG$34:AG$45)/SUMIF($H$54:$H$61,"910240",AG$54:AG$61)</f>
        <v>#DIV/0!</v>
      </c>
      <c r="AH69" s="15"/>
      <c r="AI69" s="125" t="e">
        <f t="shared" ca="1" si="23"/>
        <v>#NAME?</v>
      </c>
    </row>
    <row r="70" spans="1:35" x14ac:dyDescent="0.2">
      <c r="A70" s="6" t="s">
        <v>11</v>
      </c>
      <c r="B70" s="7" t="s">
        <v>21</v>
      </c>
      <c r="G70" s="13"/>
      <c r="H70" s="10"/>
      <c r="I70" s="25"/>
      <c r="J70" s="25"/>
      <c r="K70" s="64"/>
      <c r="L70" s="64"/>
      <c r="M70" s="64"/>
      <c r="N70" s="24" t="s">
        <v>250</v>
      </c>
      <c r="O70" s="124" t="e">
        <f>SUMIF($H$34:$H$45,"710190",O$34:O$45)/SUMIF($H$54:$H$61,"910250",O$54:O$61)</f>
        <v>#DIV/0!</v>
      </c>
      <c r="P70" s="124" t="e">
        <f t="shared" ref="P70:AA70" si="28">SUMIF($H$34:$H$45,"710190",P$34:P$45)/SUMIF($H$54:$H$61,"910250",P$54:P$61)</f>
        <v>#DIV/0!</v>
      </c>
      <c r="Q70" s="124" t="e">
        <f t="shared" si="28"/>
        <v>#DIV/0!</v>
      </c>
      <c r="R70" s="124" t="e">
        <f t="shared" si="28"/>
        <v>#DIV/0!</v>
      </c>
      <c r="S70" s="124" t="e">
        <f t="shared" si="28"/>
        <v>#DIV/0!</v>
      </c>
      <c r="T70" s="124" t="e">
        <f t="shared" si="28"/>
        <v>#DIV/0!</v>
      </c>
      <c r="U70" s="124" t="e">
        <f t="shared" si="28"/>
        <v>#DIV/0!</v>
      </c>
      <c r="V70" s="124" t="e">
        <f t="shared" si="28"/>
        <v>#DIV/0!</v>
      </c>
      <c r="W70" s="124" t="e">
        <f t="shared" si="28"/>
        <v>#DIV/0!</v>
      </c>
      <c r="X70" s="124" t="e">
        <f t="shared" si="28"/>
        <v>#DIV/0!</v>
      </c>
      <c r="Y70" s="124" t="e">
        <f t="shared" si="28"/>
        <v>#DIV/0!</v>
      </c>
      <c r="Z70" s="124" t="e">
        <f t="shared" si="28"/>
        <v>#DIV/0!</v>
      </c>
      <c r="AA70" s="124" t="e">
        <f t="shared" ca="1" si="28"/>
        <v>#NAME?</v>
      </c>
      <c r="AB70" s="15"/>
      <c r="AD70" s="124" t="e">
        <f>SUMIF($H$34:$H$45,"710190",AD$34:AD$45)/SUMIF($H$54:$H$61,"910250",AD$54:AD$61)</f>
        <v>#DIV/0!</v>
      </c>
      <c r="AE70" s="15"/>
      <c r="AF70" s="125" t="e">
        <f t="shared" ca="1" si="22"/>
        <v>#NAME?</v>
      </c>
      <c r="AG70" s="124" t="e">
        <f>SUMIF($H$34:$H$45,"710190",AG$34:AG$45)/SUMIF($H$54:$H$61,"910250",AG$54:AG$61)</f>
        <v>#DIV/0!</v>
      </c>
      <c r="AH70" s="15"/>
      <c r="AI70" s="125" t="e">
        <f t="shared" ca="1" si="23"/>
        <v>#NAME?</v>
      </c>
    </row>
    <row r="71" spans="1:35" x14ac:dyDescent="0.2">
      <c r="A71" s="6" t="s">
        <v>12</v>
      </c>
      <c r="B71" s="7" t="s">
        <v>22</v>
      </c>
      <c r="G71" s="13"/>
      <c r="H71" s="10"/>
      <c r="I71" s="25"/>
      <c r="J71" s="25"/>
      <c r="K71" s="64"/>
      <c r="L71" s="64"/>
      <c r="M71" s="64"/>
      <c r="N71" s="24"/>
      <c r="O71" s="19"/>
      <c r="P71" s="19"/>
      <c r="Q71" s="19"/>
      <c r="R71" s="19"/>
      <c r="S71" s="19"/>
      <c r="T71" s="19"/>
      <c r="U71" s="19"/>
      <c r="V71" s="19"/>
      <c r="W71" s="19"/>
      <c r="X71" s="19"/>
      <c r="Y71" s="19"/>
      <c r="Z71" s="19"/>
      <c r="AA71" s="19"/>
      <c r="AB71" s="15"/>
      <c r="AD71" s="19"/>
      <c r="AE71" s="15"/>
      <c r="AF71" s="125" t="str">
        <f t="shared" si="22"/>
        <v/>
      </c>
      <c r="AG71" s="19"/>
      <c r="AH71" s="15"/>
      <c r="AI71" s="125" t="str">
        <f t="shared" si="23"/>
        <v/>
      </c>
    </row>
    <row r="72" spans="1:35" x14ac:dyDescent="0.2">
      <c r="A72" s="6" t="s">
        <v>13</v>
      </c>
      <c r="B72" s="7" t="s">
        <v>238</v>
      </c>
      <c r="G72" s="13"/>
      <c r="H72" s="10"/>
      <c r="I72" s="25"/>
      <c r="J72" s="25"/>
      <c r="K72" s="64"/>
      <c r="L72" s="64"/>
      <c r="M72" s="64"/>
      <c r="N72" s="72" t="s">
        <v>251</v>
      </c>
      <c r="O72" s="124">
        <f>SUMIF($H$34:$H$48,"700000",O$34:O$48)/SUMIF($H$54:$H$61,"TLNETRES",O$54:O$61)</f>
        <v>628.88566350710903</v>
      </c>
      <c r="P72" s="124">
        <f t="shared" ref="P72:AA72" si="29">SUMIF($H$34:$H$48,"700000",P$34:P$48)/SUMIF($H$54:$H$61,"TLNETRES",P$54:P$61)</f>
        <v>347.35055555555556</v>
      </c>
      <c r="Q72" s="124">
        <f t="shared" si="29"/>
        <v>200.85370967741935</v>
      </c>
      <c r="R72" s="124">
        <f t="shared" si="29"/>
        <v>119.47395061728395</v>
      </c>
      <c r="S72" s="124">
        <f t="shared" si="29"/>
        <v>394.64380952380952</v>
      </c>
      <c r="T72" s="124">
        <f t="shared" si="29"/>
        <v>129.89558139534884</v>
      </c>
      <c r="U72" s="124">
        <f t="shared" si="29"/>
        <v>132.26906976744186</v>
      </c>
      <c r="V72" s="124">
        <f t="shared" si="29"/>
        <v>118.2</v>
      </c>
      <c r="W72" s="124">
        <f t="shared" si="29"/>
        <v>287.10333333333335</v>
      </c>
      <c r="X72" s="124">
        <f t="shared" si="29"/>
        <v>232.40814814814817</v>
      </c>
      <c r="Y72" s="124">
        <f t="shared" si="29"/>
        <v>139.71549019607843</v>
      </c>
      <c r="Z72" s="124">
        <f t="shared" si="29"/>
        <v>-395.90296296296293</v>
      </c>
      <c r="AA72" s="124" t="e">
        <f t="shared" ca="1" si="29"/>
        <v>#NAME?</v>
      </c>
      <c r="AB72" s="15"/>
      <c r="AD72" s="124">
        <f>SUMIF($H$34:$H$48,"700000",AD$34:AD$48)/SUMIF($H$54:$H$61,"TLNETRES",AD$54:AD$61)</f>
        <v>222.53791818181818</v>
      </c>
      <c r="AE72" s="15"/>
      <c r="AF72" s="125" t="e">
        <f t="shared" ca="1" si="22"/>
        <v>#NAME?</v>
      </c>
      <c r="AG72" s="124">
        <f>SUMIF($H$34:$H$48,"700000",AG$34:AG$48)/SUMIF($H$54:$H$61,"TLNETRES",AG$54:AG$61)</f>
        <v>236.65797701149427</v>
      </c>
      <c r="AH72" s="15"/>
      <c r="AI72" s="125" t="e">
        <f t="shared" ca="1" si="23"/>
        <v>#NAME?</v>
      </c>
    </row>
    <row r="73" spans="1:35" x14ac:dyDescent="0.2">
      <c r="A73" s="6" t="s">
        <v>14</v>
      </c>
      <c r="B73" s="7"/>
      <c r="G73" s="13"/>
      <c r="H73" s="10"/>
      <c r="I73" s="25"/>
      <c r="J73" s="25"/>
      <c r="K73" s="64"/>
      <c r="L73" s="64"/>
      <c r="M73" s="64"/>
      <c r="N73" s="72" t="s">
        <v>252</v>
      </c>
      <c r="O73" s="124">
        <f>SUMIF($H$34:$H$51,"600000",O$34:O$51)/SUMIF($H$54:$H$61,"TLNETRES",O$54:O$61)</f>
        <v>0</v>
      </c>
      <c r="P73" s="124">
        <f t="shared" ref="P73:AA73" si="30">SUMIF($H$34:$H$51,"600000",P$34:P$51)/SUMIF($H$54:$H$61,"TLNETRES",P$54:P$61)</f>
        <v>0</v>
      </c>
      <c r="Q73" s="124">
        <f t="shared" si="30"/>
        <v>0</v>
      </c>
      <c r="R73" s="124">
        <f t="shared" si="30"/>
        <v>0</v>
      </c>
      <c r="S73" s="124">
        <f t="shared" si="30"/>
        <v>0</v>
      </c>
      <c r="T73" s="124">
        <f t="shared" si="30"/>
        <v>0</v>
      </c>
      <c r="U73" s="124">
        <f t="shared" si="30"/>
        <v>0</v>
      </c>
      <c r="V73" s="124">
        <f t="shared" si="30"/>
        <v>0</v>
      </c>
      <c r="W73" s="124">
        <f t="shared" si="30"/>
        <v>0</v>
      </c>
      <c r="X73" s="124">
        <f t="shared" si="30"/>
        <v>0</v>
      </c>
      <c r="Y73" s="124">
        <f t="shared" si="30"/>
        <v>0</v>
      </c>
      <c r="Z73" s="124">
        <f t="shared" si="30"/>
        <v>0</v>
      </c>
      <c r="AA73" s="124" t="e">
        <f t="shared" ca="1" si="30"/>
        <v>#NAME?</v>
      </c>
      <c r="AB73" s="15"/>
      <c r="AD73" s="124">
        <f>SUMIF($H$34:$H$51,"600000",AD$34:AD$51)/SUMIF($H$54:$H$61,"TLNETRES",AD$54:AD$61)</f>
        <v>60.38961038961039</v>
      </c>
      <c r="AE73" s="15"/>
      <c r="AF73" s="126" t="e">
        <f t="shared" ca="1" si="22"/>
        <v>#NAME?</v>
      </c>
      <c r="AG73" s="124">
        <f>SUMIF($H$34:$H$51,"600000",AG$34:AG$51)/SUMIF($H$54:$H$61,"TLNETRES",AG$54:AG$61)</f>
        <v>0</v>
      </c>
      <c r="AH73" s="15"/>
      <c r="AI73" s="126" t="e">
        <f t="shared" ca="1" si="23"/>
        <v>#NAME?</v>
      </c>
    </row>
    <row r="74" spans="1:35" x14ac:dyDescent="0.2">
      <c r="A74" s="6" t="s">
        <v>15</v>
      </c>
      <c r="B74" s="7"/>
      <c r="G74" s="13"/>
      <c r="H74" s="10"/>
      <c r="I74" s="25"/>
      <c r="J74" s="25"/>
      <c r="K74" s="64"/>
      <c r="L74" s="64"/>
      <c r="M74" s="64"/>
      <c r="N74" s="23" t="s">
        <v>253</v>
      </c>
      <c r="O74" s="127">
        <f>SUMIF($H$34:$H$51,"TOTDEPTEXP",O$34:O$51)/SUMIF($H$54:$H$61,"TLNETRES",O$54:O$61)</f>
        <v>628.88566350710903</v>
      </c>
      <c r="P74" s="127">
        <f t="shared" ref="P74:AA74" si="31">SUMIF($H$34:$H$51,"TOTDEPTEXP",P$34:P$51)/SUMIF($H$54:$H$61,"TLNETRES",P$54:P$61)</f>
        <v>347.35055555555556</v>
      </c>
      <c r="Q74" s="127">
        <f t="shared" si="31"/>
        <v>200.85370967741935</v>
      </c>
      <c r="R74" s="127">
        <f t="shared" si="31"/>
        <v>119.47395061728395</v>
      </c>
      <c r="S74" s="127">
        <f t="shared" si="31"/>
        <v>394.64380952380952</v>
      </c>
      <c r="T74" s="127">
        <f t="shared" si="31"/>
        <v>129.89558139534884</v>
      </c>
      <c r="U74" s="127">
        <f t="shared" si="31"/>
        <v>132.26906976744186</v>
      </c>
      <c r="V74" s="127">
        <f t="shared" si="31"/>
        <v>118.2</v>
      </c>
      <c r="W74" s="127">
        <f t="shared" si="31"/>
        <v>287.10333333333335</v>
      </c>
      <c r="X74" s="127">
        <f t="shared" si="31"/>
        <v>232.40814814814817</v>
      </c>
      <c r="Y74" s="127">
        <f t="shared" si="31"/>
        <v>139.71549019607843</v>
      </c>
      <c r="Z74" s="127">
        <f t="shared" si="31"/>
        <v>-395.90296296296293</v>
      </c>
      <c r="AA74" s="127" t="e">
        <f t="shared" ca="1" si="31"/>
        <v>#NAME?</v>
      </c>
      <c r="AB74" s="128"/>
      <c r="AD74" s="127">
        <f>SUMIF($H$34:$H$51,"TOTDEPTEXP",AD$34:AD$51)/SUMIF($H$54:$H$61,"TLNETRES",AD$54:AD$61)</f>
        <v>282.92752857142858</v>
      </c>
      <c r="AE74" s="128"/>
      <c r="AF74" s="129" t="e">
        <f t="shared" ca="1" si="22"/>
        <v>#NAME?</v>
      </c>
      <c r="AG74" s="127">
        <f>SUMIF($H$34:$H$51,"TOTDEPTEXP",AG$34:AG$51)/SUMIF($H$54:$H$61,"TLNETRES",AG$54:AG$61)</f>
        <v>236.65797701149427</v>
      </c>
      <c r="AH74" s="128"/>
      <c r="AI74" s="129" t="e">
        <f t="shared" ca="1" si="23"/>
        <v>#NAME?</v>
      </c>
    </row>
    <row r="75" spans="1:35" x14ac:dyDescent="0.2">
      <c r="A75" s="6" t="s">
        <v>16</v>
      </c>
      <c r="B75" s="7"/>
      <c r="G75" s="13"/>
      <c r="H75" s="13"/>
      <c r="I75" s="13"/>
      <c r="J75" s="13"/>
      <c r="K75" s="13"/>
      <c r="L75" s="13"/>
      <c r="M75" s="13"/>
      <c r="N75" s="24"/>
      <c r="O75" s="24"/>
      <c r="P75" s="24"/>
      <c r="Q75" s="24"/>
      <c r="R75" s="24"/>
      <c r="S75" s="24"/>
      <c r="T75" s="24"/>
      <c r="U75" s="24"/>
      <c r="V75" s="24"/>
      <c r="W75" s="24"/>
      <c r="X75" s="24"/>
      <c r="Y75" s="24"/>
      <c r="Z75" s="24"/>
      <c r="AA75" s="24"/>
      <c r="AB75" s="24"/>
      <c r="AD75" s="24"/>
      <c r="AE75" s="24"/>
      <c r="AF75" s="24"/>
      <c r="AG75" s="24"/>
      <c r="AH75" s="24"/>
      <c r="AI75" s="24"/>
    </row>
    <row r="76" spans="1:35" x14ac:dyDescent="0.2">
      <c r="A76" s="6" t="s">
        <v>17</v>
      </c>
      <c r="B76" s="7"/>
      <c r="G76" s="13"/>
      <c r="N76" s="24" t="e">
        <f ca="1">N51&amp;" - Check"</f>
        <v>#NAME?</v>
      </c>
      <c r="O76" s="124">
        <f>SUMIF($H$48:$H$51,"700000",O$48:O$51)+SUMIF($H$48:$H$51,"600000",O$48:O$51)-SUMIF($H$48:$H$51,"TOTDEPTEXP",O$48:O$51)</f>
        <v>0</v>
      </c>
      <c r="P76" s="124">
        <f t="shared" ref="P76:AA76" si="32">SUMIF($H$48:$H$51,"700000",P$48:P$51)+SUMIF($H$48:$H$51,"600000",P$48:P$51)-SUMIF($H$48:$H$51,"TOTDEPTEXP",P$48:P$51)</f>
        <v>0</v>
      </c>
      <c r="Q76" s="124">
        <f t="shared" si="32"/>
        <v>0</v>
      </c>
      <c r="R76" s="124">
        <f t="shared" si="32"/>
        <v>0</v>
      </c>
      <c r="S76" s="124">
        <f t="shared" si="32"/>
        <v>0</v>
      </c>
      <c r="T76" s="124">
        <f t="shared" si="32"/>
        <v>0</v>
      </c>
      <c r="U76" s="124">
        <f t="shared" si="32"/>
        <v>0</v>
      </c>
      <c r="V76" s="124">
        <f t="shared" si="32"/>
        <v>0</v>
      </c>
      <c r="W76" s="124">
        <f t="shared" si="32"/>
        <v>0</v>
      </c>
      <c r="X76" s="124">
        <f t="shared" si="32"/>
        <v>0</v>
      </c>
      <c r="Y76" s="124">
        <f t="shared" si="32"/>
        <v>0</v>
      </c>
      <c r="Z76" s="124">
        <f t="shared" si="32"/>
        <v>0</v>
      </c>
      <c r="AA76" s="124" t="e">
        <f t="shared" ca="1" si="32"/>
        <v>#NAME?</v>
      </c>
      <c r="AB76" s="15"/>
      <c r="AD76" s="124">
        <f>SUMIF($H$48:$H$51,"700000",AD$48:AD$51)+SUMIF($H$48:$H$51,"600000",AD$48:AD$51)-SUMIF($H$48:$H$51,"TOTDEPTEXP",AD$48:AD$51)</f>
        <v>0</v>
      </c>
      <c r="AE76" s="15"/>
      <c r="AF76" s="19"/>
      <c r="AG76" s="124">
        <f>SUMIF($H$48:$H$51,"700000",AG$48:AG$51)+SUMIF($H$48:$H$51,"600000",AG$48:AG$51)-SUMIF($H$48:$H$51,"TOTDEPTEXP",AG$48:AG$51)</f>
        <v>0</v>
      </c>
      <c r="AH76" s="15"/>
      <c r="AI76" s="19"/>
    </row>
    <row r="77" spans="1:35" x14ac:dyDescent="0.2">
      <c r="I77" s="1"/>
      <c r="J77" s="1"/>
    </row>
    <row r="78" spans="1:35" x14ac:dyDescent="0.2">
      <c r="A78" s="20" t="s">
        <v>92</v>
      </c>
      <c r="B78" s="21" t="s">
        <v>93</v>
      </c>
      <c r="C78" s="21" t="s">
        <v>94</v>
      </c>
      <c r="D78" s="21" t="s">
        <v>95</v>
      </c>
      <c r="E78" s="21" t="s">
        <v>96</v>
      </c>
      <c r="F78" s="22" t="s">
        <v>97</v>
      </c>
      <c r="I78" s="1"/>
      <c r="J78" s="1"/>
    </row>
    <row r="80" spans="1:35" x14ac:dyDescent="0.2">
      <c r="A80" s="1" t="s">
        <v>108</v>
      </c>
      <c r="C80" s="24" t="s">
        <v>101</v>
      </c>
      <c r="D80" s="1" t="s">
        <v>106</v>
      </c>
      <c r="F80" s="1" t="s">
        <v>98</v>
      </c>
    </row>
    <row r="81" spans="1:10" x14ac:dyDescent="0.2">
      <c r="A81" s="1" t="s">
        <v>100</v>
      </c>
      <c r="C81" s="8" t="s">
        <v>101</v>
      </c>
      <c r="D81" s="1" t="s">
        <v>106</v>
      </c>
      <c r="F81" s="1" t="s">
        <v>98</v>
      </c>
    </row>
    <row r="82" spans="1:10" x14ac:dyDescent="0.2">
      <c r="A82" s="1" t="s">
        <v>109</v>
      </c>
      <c r="C82" s="23" t="s">
        <v>101</v>
      </c>
      <c r="D82" s="1" t="s">
        <v>106</v>
      </c>
      <c r="F82" s="1" t="s">
        <v>98</v>
      </c>
    </row>
    <row r="83" spans="1:10" x14ac:dyDescent="0.2">
      <c r="A83" s="1" t="s">
        <v>109</v>
      </c>
      <c r="C83" s="135" t="s">
        <v>101</v>
      </c>
      <c r="D83" s="1" t="s">
        <v>107</v>
      </c>
      <c r="F83" s="1" t="s">
        <v>99</v>
      </c>
    </row>
    <row r="84" spans="1:10" x14ac:dyDescent="0.2">
      <c r="C84" s="27"/>
    </row>
    <row r="85" spans="1:10" x14ac:dyDescent="0.2">
      <c r="C85" s="23"/>
    </row>
    <row r="86" spans="1:10" x14ac:dyDescent="0.2">
      <c r="A86" s="3" t="s">
        <v>23</v>
      </c>
      <c r="B86" s="5" t="s">
        <v>24</v>
      </c>
    </row>
    <row r="87" spans="1:10" x14ac:dyDescent="0.2">
      <c r="A87" s="6" t="s">
        <v>25</v>
      </c>
      <c r="B87" s="7"/>
    </row>
    <row r="88" spans="1:10" x14ac:dyDescent="0.2">
      <c r="A88" s="6" t="s">
        <v>26</v>
      </c>
      <c r="B88" s="7"/>
      <c r="J88" s="1"/>
    </row>
    <row r="89" spans="1:10" x14ac:dyDescent="0.2">
      <c r="A89" s="6" t="s">
        <v>27</v>
      </c>
      <c r="B89" s="7"/>
      <c r="H89" s="11"/>
      <c r="J89" s="1"/>
    </row>
    <row r="90" spans="1:10" x14ac:dyDescent="0.2">
      <c r="A90" s="6" t="s">
        <v>28</v>
      </c>
      <c r="B90" s="7"/>
      <c r="H90" s="11"/>
      <c r="J90" s="1"/>
    </row>
    <row r="91" spans="1:10" x14ac:dyDescent="0.2">
      <c r="A91" s="6" t="s">
        <v>29</v>
      </c>
      <c r="B91" s="7"/>
      <c r="H91" s="11"/>
      <c r="J91" s="1"/>
    </row>
    <row r="92" spans="1:10" x14ac:dyDescent="0.2">
      <c r="A92" s="6" t="s">
        <v>30</v>
      </c>
      <c r="B92" s="7" t="s">
        <v>78</v>
      </c>
      <c r="H92" s="11"/>
      <c r="J92" s="1"/>
    </row>
    <row r="93" spans="1:10" x14ac:dyDescent="0.2">
      <c r="A93" s="6" t="s">
        <v>31</v>
      </c>
      <c r="B93" s="7" t="s">
        <v>78</v>
      </c>
      <c r="H93" s="11"/>
      <c r="J93" s="1"/>
    </row>
    <row r="94" spans="1:10" x14ac:dyDescent="0.2">
      <c r="A94" s="6" t="s">
        <v>32</v>
      </c>
      <c r="B94" s="7"/>
      <c r="H94" s="11"/>
      <c r="J94" s="1"/>
    </row>
    <row r="95" spans="1:10" x14ac:dyDescent="0.2">
      <c r="A95" s="6" t="s">
        <v>33</v>
      </c>
      <c r="B95" s="7"/>
      <c r="H95" s="11"/>
      <c r="J95" s="1"/>
    </row>
    <row r="96" spans="1:10" x14ac:dyDescent="0.2">
      <c r="A96" s="6" t="s">
        <v>34</v>
      </c>
      <c r="B96" s="7"/>
      <c r="H96" s="11"/>
      <c r="J96" s="1"/>
    </row>
    <row r="97" spans="1:10" x14ac:dyDescent="0.2">
      <c r="A97" s="6" t="s">
        <v>35</v>
      </c>
      <c r="B97" s="7"/>
      <c r="H97" s="11"/>
      <c r="J97" s="1"/>
    </row>
    <row r="98" spans="1:10" x14ac:dyDescent="0.2">
      <c r="A98" s="6" t="s">
        <v>36</v>
      </c>
      <c r="B98" s="7"/>
      <c r="H98" s="11"/>
      <c r="J98" s="1"/>
    </row>
    <row r="99" spans="1:10" x14ac:dyDescent="0.2">
      <c r="A99" s="6" t="s">
        <v>37</v>
      </c>
      <c r="B99" s="7"/>
      <c r="H99" s="11"/>
      <c r="J99" s="1"/>
    </row>
    <row r="100" spans="1:10" x14ac:dyDescent="0.2">
      <c r="A100" s="6" t="s">
        <v>38</v>
      </c>
      <c r="B100" s="7"/>
      <c r="H100" s="11"/>
      <c r="J100" s="1"/>
    </row>
    <row r="101" spans="1:10" x14ac:dyDescent="0.2">
      <c r="A101" s="6" t="s">
        <v>39</v>
      </c>
      <c r="B101" s="7"/>
      <c r="H101" s="11"/>
      <c r="J101" s="1"/>
    </row>
    <row r="102" spans="1:10" x14ac:dyDescent="0.2">
      <c r="A102" s="6" t="s">
        <v>40</v>
      </c>
      <c r="B102" s="7"/>
      <c r="H102" s="11"/>
      <c r="J102" s="1"/>
    </row>
    <row r="103" spans="1:10" x14ac:dyDescent="0.2">
      <c r="A103" s="6" t="s">
        <v>41</v>
      </c>
      <c r="B103" s="7"/>
      <c r="H103" s="11"/>
      <c r="J103" s="1"/>
    </row>
    <row r="104" spans="1:10" x14ac:dyDescent="0.2">
      <c r="A104" s="6" t="s">
        <v>42</v>
      </c>
      <c r="B104" s="7"/>
      <c r="H104" s="11"/>
      <c r="J104" s="1"/>
    </row>
    <row r="105" spans="1:10" x14ac:dyDescent="0.2">
      <c r="A105" s="6" t="s">
        <v>43</v>
      </c>
      <c r="B105" s="7"/>
      <c r="H105" s="11"/>
      <c r="J105" s="1"/>
    </row>
    <row r="106" spans="1:10" x14ac:dyDescent="0.2">
      <c r="A106" s="6" t="s">
        <v>44</v>
      </c>
      <c r="B106" s="7"/>
      <c r="H106" s="11"/>
      <c r="J106" s="1"/>
    </row>
    <row r="107" spans="1:10" x14ac:dyDescent="0.2">
      <c r="A107" s="6" t="s">
        <v>45</v>
      </c>
      <c r="B107" s="7"/>
      <c r="H107" s="11"/>
      <c r="J107" s="1"/>
    </row>
    <row r="108" spans="1:10" x14ac:dyDescent="0.2">
      <c r="A108" s="6" t="s">
        <v>46</v>
      </c>
      <c r="B108" s="7"/>
      <c r="H108" s="11"/>
      <c r="J108" s="1"/>
    </row>
    <row r="109" spans="1:10" x14ac:dyDescent="0.2">
      <c r="H109" s="11"/>
      <c r="J109" s="1"/>
    </row>
    <row r="110" spans="1:10" x14ac:dyDescent="0.2">
      <c r="H110" s="11"/>
      <c r="J110" s="1"/>
    </row>
    <row r="112" spans="1:10" x14ac:dyDescent="0.2">
      <c r="C112" s="23"/>
    </row>
    <row r="113" spans="3:3" x14ac:dyDescent="0.2">
      <c r="C113" s="23"/>
    </row>
  </sheetData>
  <mergeCells count="2">
    <mergeCell ref="AD31:AE31"/>
    <mergeCell ref="AG31:AH31"/>
  </mergeCells>
  <dataValidations disablePrompts="1" count="2">
    <dataValidation type="list" allowBlank="1" sqref="B71 B28" xr:uid="{00000000-0002-0000-0800-000000000000}">
      <formula1>"ACCOUNT,BUSINESSUNIT,CATEGORY,DATASRC,DEPARTMENT,INTCO,MEASURES,RPTCURRENCY,TIME"</formula1>
    </dataValidation>
    <dataValidation type="list" allowBlank="1" sqref="B72 B29" xr:uid="{00000000-0002-0000-0800-000001000000}">
      <formula1>"SELF,ALL,BAS,DEP,BASMEMBERS,MEMBERS,NOEXPAND,GDEP"</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8">
    <tabColor theme="5" tint="0.39997558519241921"/>
    <pageSetUpPr fitToPage="1"/>
  </sheetPr>
  <dimension ref="A1:AO113"/>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41.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s">
        <v>980</v>
      </c>
      <c r="I1" s="1"/>
      <c r="J1" s="1"/>
    </row>
    <row r="2" spans="1:35" hidden="1" outlineLevel="1" x14ac:dyDescent="0.2">
      <c r="A2" s="8" t="s">
        <v>22</v>
      </c>
      <c r="B2" s="12" t="s">
        <v>56</v>
      </c>
      <c r="C2" s="1" t="s">
        <v>981</v>
      </c>
      <c r="I2" s="1"/>
      <c r="J2" s="1"/>
    </row>
    <row r="3" spans="1:35" hidden="1" outlineLevel="1" x14ac:dyDescent="0.2">
      <c r="A3" s="8" t="s">
        <v>50</v>
      </c>
      <c r="B3" s="9" t="s">
        <v>979</v>
      </c>
      <c r="C3" s="1" t="s">
        <v>982</v>
      </c>
      <c r="I3" s="1"/>
      <c r="J3" s="1"/>
    </row>
    <row r="4" spans="1:35" hidden="1" outlineLevel="1" x14ac:dyDescent="0.2">
      <c r="A4" s="8" t="s">
        <v>19</v>
      </c>
      <c r="B4" s="9" t="str">
        <f>SetUp!$D$6</f>
        <v>CURRENT</v>
      </c>
      <c r="C4" s="1" t="s">
        <v>960</v>
      </c>
      <c r="E4" s="46">
        <v>20250100</v>
      </c>
      <c r="F4" s="46">
        <v>20250100</v>
      </c>
      <c r="G4" s="212" t="s">
        <v>824</v>
      </c>
    </row>
    <row r="5" spans="1:35" hidden="1" outlineLevel="1" x14ac:dyDescent="0.2">
      <c r="A5" s="8" t="s">
        <v>51</v>
      </c>
      <c r="B5" s="12" t="s">
        <v>59</v>
      </c>
      <c r="C5" s="1" t="s">
        <v>59</v>
      </c>
    </row>
    <row r="6" spans="1:35" hidden="1" outlineLevel="1" x14ac:dyDescent="0.2">
      <c r="A6" s="8" t="s">
        <v>52</v>
      </c>
      <c r="B6" s="12" t="s">
        <v>237</v>
      </c>
      <c r="C6" s="1" t="s">
        <v>1155</v>
      </c>
      <c r="E6" s="46" t="s">
        <v>1154</v>
      </c>
      <c r="F6" s="1" t="s">
        <v>278</v>
      </c>
    </row>
    <row r="7" spans="1:35" hidden="1" outlineLevel="1" x14ac:dyDescent="0.2">
      <c r="A7" s="8" t="s">
        <v>53</v>
      </c>
      <c r="B7" s="12" t="s">
        <v>61</v>
      </c>
      <c r="C7" s="1" t="s">
        <v>984</v>
      </c>
    </row>
    <row r="8" spans="1:35" hidden="1" outlineLevel="1" x14ac:dyDescent="0.2">
      <c r="A8" s="8" t="s">
        <v>20</v>
      </c>
      <c r="B8" s="12" t="s">
        <v>63</v>
      </c>
      <c r="C8" s="1" t="s">
        <v>985</v>
      </c>
    </row>
    <row r="9" spans="1:35" hidden="1" outlineLevel="1" x14ac:dyDescent="0.2">
      <c r="A9" s="8" t="s">
        <v>54</v>
      </c>
      <c r="B9" s="9" t="str">
        <f>SetUp!$D$10</f>
        <v>LC</v>
      </c>
      <c r="C9" s="1" t="s">
        <v>986</v>
      </c>
    </row>
    <row r="10" spans="1:35" hidden="1" outlineLevel="1" x14ac:dyDescent="0.2">
      <c r="A10" s="8" t="s">
        <v>18</v>
      </c>
      <c r="B10" s="9" t="str">
        <f>SetUp!$D$7</f>
        <v>2024.TOTAL</v>
      </c>
      <c r="C10" s="1" t="s">
        <v>987</v>
      </c>
      <c r="D10" s="212" t="s">
        <v>988</v>
      </c>
    </row>
    <row r="11" spans="1:35" hidden="1" outlineLevel="1" x14ac:dyDescent="0.2">
      <c r="B11" s="8"/>
      <c r="M11" s="46" t="str">
        <f>IF(LEFT(SetUp!$D$6,3)="ALT","Y","N")</f>
        <v>N</v>
      </c>
      <c r="N11" s="1" t="s">
        <v>800</v>
      </c>
      <c r="O11" s="2" t="s">
        <v>682</v>
      </c>
      <c r="P11" s="2" t="s">
        <v>682</v>
      </c>
      <c r="Q11" s="2" t="s">
        <v>682</v>
      </c>
      <c r="R11" s="2" t="s">
        <v>682</v>
      </c>
      <c r="S11" s="2" t="s">
        <v>682</v>
      </c>
      <c r="T11" s="2" t="s">
        <v>682</v>
      </c>
      <c r="U11" s="2" t="s">
        <v>682</v>
      </c>
      <c r="V11" s="2" t="s">
        <v>682</v>
      </c>
      <c r="W11" s="2" t="s">
        <v>682</v>
      </c>
      <c r="X11" s="2" t="s">
        <v>682</v>
      </c>
      <c r="Y11" s="2" t="s">
        <v>682</v>
      </c>
      <c r="Z11" s="2" t="s">
        <v>682</v>
      </c>
    </row>
    <row r="12" spans="1:35" hidden="1" outlineLevel="1" x14ac:dyDescent="0.2">
      <c r="A12" s="1" t="s">
        <v>115</v>
      </c>
      <c r="B12" s="46">
        <v>2024</v>
      </c>
      <c r="M12" s="11"/>
      <c r="N12" s="1" t="s">
        <v>597</v>
      </c>
      <c r="O12" s="213" t="s">
        <v>78</v>
      </c>
      <c r="P12" s="213" t="s">
        <v>78</v>
      </c>
      <c r="Q12" s="213" t="s">
        <v>78</v>
      </c>
      <c r="R12" s="213" t="s">
        <v>78</v>
      </c>
      <c r="S12" s="213" t="s">
        <v>78</v>
      </c>
      <c r="T12" s="213" t="s">
        <v>78</v>
      </c>
      <c r="U12" s="213" t="s">
        <v>78</v>
      </c>
      <c r="V12" s="213" t="s">
        <v>78</v>
      </c>
      <c r="W12" s="213" t="s">
        <v>78</v>
      </c>
      <c r="X12" s="213" t="s">
        <v>78</v>
      </c>
      <c r="Y12" s="213" t="s">
        <v>78</v>
      </c>
      <c r="Z12" s="213" t="s">
        <v>78</v>
      </c>
      <c r="AA12" s="213"/>
      <c r="AD12" s="213"/>
      <c r="AG12" s="213"/>
    </row>
    <row r="13" spans="1:35" hidden="1" outlineLevel="1" x14ac:dyDescent="0.2">
      <c r="A13" s="1" t="s">
        <v>602</v>
      </c>
      <c r="B13" s="46">
        <v>2024</v>
      </c>
      <c r="M13" s="11"/>
      <c r="N13" s="1" t="s">
        <v>598</v>
      </c>
      <c r="O13" s="53">
        <v>20240100</v>
      </c>
      <c r="P13" s="53">
        <v>20240200</v>
      </c>
      <c r="Q13" s="53">
        <v>20240300</v>
      </c>
      <c r="R13" s="53">
        <v>20240400</v>
      </c>
      <c r="S13" s="53">
        <v>20240500</v>
      </c>
      <c r="T13" s="53">
        <v>20240600</v>
      </c>
      <c r="U13" s="53">
        <v>20240700</v>
      </c>
      <c r="V13" s="53">
        <v>20240800</v>
      </c>
      <c r="W13" s="53">
        <v>20240900</v>
      </c>
      <c r="X13" s="53">
        <v>20241000</v>
      </c>
      <c r="Y13" s="53">
        <v>20241100</v>
      </c>
      <c r="Z13" s="53">
        <v>20241200</v>
      </c>
      <c r="AA13" s="53">
        <v>10000193</v>
      </c>
      <c r="AD13" s="53">
        <v>10000193</v>
      </c>
      <c r="AG13" s="53">
        <v>10000183</v>
      </c>
    </row>
    <row r="14" spans="1:35" hidden="1" outlineLevel="1" x14ac:dyDescent="0.2">
      <c r="A14" s="4" t="s">
        <v>989</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s">
        <v>990</v>
      </c>
      <c r="P16" s="2" t="s">
        <v>991</v>
      </c>
      <c r="Q16" s="2" t="s">
        <v>992</v>
      </c>
      <c r="R16" s="2" t="s">
        <v>993</v>
      </c>
      <c r="S16" s="2" t="s">
        <v>994</v>
      </c>
      <c r="T16" s="2" t="s">
        <v>995</v>
      </c>
      <c r="U16" s="2" t="s">
        <v>996</v>
      </c>
      <c r="V16" s="2" t="s">
        <v>997</v>
      </c>
      <c r="W16" s="2" t="s">
        <v>998</v>
      </c>
      <c r="X16" s="2" t="s">
        <v>999</v>
      </c>
      <c r="Y16" s="2" t="s">
        <v>1000</v>
      </c>
      <c r="Z16" s="2" t="str">
        <f>IF(SetUp!$O$1=TRUE,SetUp!$Q$6,IF($D$10="FY",LEFT($B$10,6)&amp;"."&amp;Z15,$B$12&amp;"."&amp;Z14))</f>
        <v>2024.DEC</v>
      </c>
      <c r="AA16" s="2" t="str">
        <f>IF($D$10="FY",LEFT($B$10,6)&amp;"."&amp;AA15,$B$12&amp;"."&amp;AA14)</f>
        <v>2024.TOTAL</v>
      </c>
      <c r="AB16" s="10"/>
      <c r="AC16" s="10"/>
      <c r="AD16" s="2" t="str">
        <f>IF(SetUp!$O$1=TRUE,SetUp!$Q$6,SetUp!$G$7)</f>
        <v>2024.TOTAL</v>
      </c>
      <c r="AE16" s="10"/>
      <c r="AF16" s="10"/>
      <c r="AG16" s="2" t="s">
        <v>955</v>
      </c>
      <c r="AH16" s="10"/>
      <c r="AI16" s="10"/>
    </row>
    <row r="17" spans="1:40" hidden="1" outlineLevel="1" x14ac:dyDescent="0.2">
      <c r="A17" s="6" t="s">
        <v>2</v>
      </c>
      <c r="B17" s="14" t="s">
        <v>1156</v>
      </c>
      <c r="M17" s="11"/>
      <c r="N17" s="1" t="s">
        <v>19</v>
      </c>
      <c r="O17" s="2" t="s">
        <v>682</v>
      </c>
      <c r="P17" s="2" t="s">
        <v>682</v>
      </c>
      <c r="Q17" s="2" t="s">
        <v>682</v>
      </c>
      <c r="R17" s="2" t="s">
        <v>682</v>
      </c>
      <c r="S17" s="2" t="s">
        <v>682</v>
      </c>
      <c r="T17" s="2" t="s">
        <v>682</v>
      </c>
      <c r="U17" s="2" t="s">
        <v>682</v>
      </c>
      <c r="V17" s="2" t="s">
        <v>682</v>
      </c>
      <c r="W17" s="2" t="s">
        <v>682</v>
      </c>
      <c r="X17" s="2" t="s">
        <v>682</v>
      </c>
      <c r="Y17" s="2" t="s">
        <v>682</v>
      </c>
      <c r="Z17" s="2" t="s">
        <v>682</v>
      </c>
      <c r="AA17" s="2"/>
      <c r="AB17" s="10"/>
      <c r="AC17" s="10"/>
      <c r="AD17" s="2" t="str">
        <f>SetUp!$G$6</f>
        <v>BUDGET</v>
      </c>
      <c r="AE17" s="10"/>
      <c r="AF17" s="10"/>
      <c r="AG17" s="2" t="str">
        <f>SetUp!$J$6</f>
        <v>ACTUAL_CON</v>
      </c>
      <c r="AH17" s="10"/>
      <c r="AI17" s="10"/>
    </row>
    <row r="18" spans="1:40" hidden="1" outlineLevel="1" x14ac:dyDescent="0.2">
      <c r="A18" s="6" t="s">
        <v>3</v>
      </c>
      <c r="B18" s="14" t="s">
        <v>1157</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str">
        <f>IF(SetUp!$O$1=TRUE,"TRAILING12",IF(AD17="CURRENT","ROLLINGFORECAST","PERIODIC"))</f>
        <v>PERIODIC</v>
      </c>
      <c r="AE18" s="10"/>
      <c r="AF18" s="10"/>
      <c r="AG18" s="2" t="str">
        <f>IF(SetUp!$O$1=TRUE,"TRAILING12",IF(AG17="CURRENT","ROLLINGFORECAST","PERIODIC"))</f>
        <v>PERIODIC</v>
      </c>
      <c r="AH18" s="10"/>
      <c r="AI18" s="10"/>
    </row>
    <row r="19" spans="1:40" hidden="1" outlineLevel="1" x14ac:dyDescent="0.2">
      <c r="A19" s="6" t="s">
        <v>4</v>
      </c>
      <c r="B19" s="14" t="s">
        <v>1158</v>
      </c>
      <c r="G19" s="16" t="str">
        <f>$B$6</f>
        <v>D_RESV_CON</v>
      </c>
      <c r="H19" s="16">
        <v>700000</v>
      </c>
      <c r="I19" s="17"/>
      <c r="J19" s="17"/>
      <c r="K19" s="16"/>
      <c r="L19" s="16"/>
      <c r="M19" s="16"/>
      <c r="N19" s="16" t="s">
        <v>1111</v>
      </c>
      <c r="O19" s="18">
        <v>10615.59</v>
      </c>
      <c r="P19" s="18">
        <v>12504.62</v>
      </c>
      <c r="Q19" s="18">
        <v>12452.93</v>
      </c>
      <c r="R19" s="18">
        <v>9677.39</v>
      </c>
      <c r="S19" s="18">
        <v>8287.52</v>
      </c>
      <c r="T19" s="18">
        <v>5585.51</v>
      </c>
      <c r="U19" s="18">
        <v>5687.57</v>
      </c>
      <c r="V19" s="18">
        <v>5082.6000000000004</v>
      </c>
      <c r="W19" s="18">
        <v>4306.55</v>
      </c>
      <c r="X19" s="18">
        <v>6275.02</v>
      </c>
      <c r="Y19" s="18">
        <v>7125.49</v>
      </c>
      <c r="Z19" s="18">
        <v>10689.38</v>
      </c>
      <c r="AA19" s="18">
        <f>SUM(O19:Z19)</f>
        <v>98290.170000000027</v>
      </c>
      <c r="AB19" s="16"/>
      <c r="AC19" s="16"/>
      <c r="AD19" s="18">
        <v>102812.51820000001</v>
      </c>
      <c r="AE19" s="16"/>
      <c r="AF19" s="16"/>
      <c r="AG19" s="18">
        <v>102946.22</v>
      </c>
      <c r="AH19" s="16"/>
      <c r="AI19" s="16"/>
    </row>
    <row r="20" spans="1:40" hidden="1" outlineLevel="1" x14ac:dyDescent="0.2">
      <c r="A20" s="6" t="s">
        <v>5</v>
      </c>
      <c r="B20" s="7"/>
      <c r="G20" s="16" t="str">
        <f>$B$6</f>
        <v>D_RESV_CON</v>
      </c>
      <c r="H20" s="16" t="s">
        <v>236</v>
      </c>
      <c r="I20" s="17"/>
      <c r="J20" s="17"/>
      <c r="K20" s="16"/>
      <c r="L20" s="16"/>
      <c r="M20" s="16"/>
      <c r="N20" s="16" t="s">
        <v>1159</v>
      </c>
      <c r="O20" s="18">
        <v>16.88</v>
      </c>
      <c r="P20" s="18">
        <v>36</v>
      </c>
      <c r="Q20" s="18">
        <v>62</v>
      </c>
      <c r="R20" s="18">
        <v>81</v>
      </c>
      <c r="S20" s="18">
        <v>21</v>
      </c>
      <c r="T20" s="18">
        <v>43</v>
      </c>
      <c r="U20" s="18">
        <v>43</v>
      </c>
      <c r="V20" s="18">
        <v>43</v>
      </c>
      <c r="W20" s="18">
        <v>15</v>
      </c>
      <c r="X20" s="18">
        <v>27</v>
      </c>
      <c r="Y20" s="18">
        <v>51</v>
      </c>
      <c r="Z20" s="18">
        <v>-27</v>
      </c>
      <c r="AA20" s="18">
        <f>SUM(O20:Z20)</f>
        <v>411.88</v>
      </c>
      <c r="AB20" s="16"/>
      <c r="AC20" s="16"/>
      <c r="AD20" s="18">
        <v>462</v>
      </c>
      <c r="AE20" s="16"/>
      <c r="AF20" s="16"/>
      <c r="AG20" s="18">
        <v>435</v>
      </c>
      <c r="AH20" s="16"/>
      <c r="AI20" s="16"/>
    </row>
    <row r="21" spans="1:40" hidden="1" outlineLevel="1" x14ac:dyDescent="0.2">
      <c r="A21" s="6" t="s">
        <v>6</v>
      </c>
      <c r="B21" s="7"/>
      <c r="G21" s="16" t="s">
        <v>254</v>
      </c>
      <c r="H21" s="16">
        <v>990100</v>
      </c>
      <c r="I21" s="16" t="str">
        <f>IF($G$4="ACTUAL","CURRENT",$B$4)</f>
        <v>CURRENT</v>
      </c>
      <c r="J21" s="17"/>
      <c r="K21" s="16"/>
      <c r="L21" s="16"/>
      <c r="M21" s="16"/>
      <c r="N21" s="16" t="s">
        <v>1160</v>
      </c>
      <c r="O21" s="18">
        <v>132</v>
      </c>
      <c r="P21" s="18">
        <v>132</v>
      </c>
      <c r="Q21" s="18">
        <v>132</v>
      </c>
      <c r="R21" s="18">
        <v>132</v>
      </c>
      <c r="S21" s="18">
        <v>132</v>
      </c>
      <c r="T21" s="18">
        <v>132</v>
      </c>
      <c r="U21" s="18">
        <v>132</v>
      </c>
      <c r="V21" s="18">
        <v>132</v>
      </c>
      <c r="W21" s="18">
        <v>132</v>
      </c>
      <c r="X21" s="18">
        <v>132</v>
      </c>
      <c r="Y21" s="18">
        <v>132</v>
      </c>
      <c r="Z21" s="18">
        <v>132</v>
      </c>
      <c r="AA21" s="18">
        <f>SUM(O21:Z21)</f>
        <v>1584</v>
      </c>
      <c r="AB21" s="16"/>
      <c r="AC21" s="16"/>
      <c r="AD21" s="427">
        <v>1584</v>
      </c>
      <c r="AE21" s="16" t="s">
        <v>255</v>
      </c>
      <c r="AF21" s="16"/>
      <c r="AG21" s="427">
        <v>1584</v>
      </c>
      <c r="AH21" s="16" t="s">
        <v>255</v>
      </c>
      <c r="AI21" s="16"/>
    </row>
    <row r="22" spans="1:40" hidden="1" outlineLevel="1" x14ac:dyDescent="0.2">
      <c r="A22" s="6" t="s">
        <v>7</v>
      </c>
      <c r="B22" s="14" t="s">
        <v>1161</v>
      </c>
      <c r="G22" s="16" t="s">
        <v>749</v>
      </c>
      <c r="H22" s="16">
        <v>900200</v>
      </c>
      <c r="I22" s="17"/>
      <c r="J22" s="17"/>
      <c r="K22" s="16"/>
      <c r="L22" s="17"/>
      <c r="M22" s="17"/>
      <c r="N22" s="16" t="s">
        <v>1047</v>
      </c>
      <c r="O22" s="18">
        <v>3694</v>
      </c>
      <c r="P22" s="18">
        <v>3593</v>
      </c>
      <c r="Q22" s="18">
        <v>3831</v>
      </c>
      <c r="R22" s="18">
        <v>3720</v>
      </c>
      <c r="S22" s="18">
        <v>3473</v>
      </c>
      <c r="T22" s="18">
        <v>3105</v>
      </c>
      <c r="U22" s="18">
        <v>3034</v>
      </c>
      <c r="V22" s="18">
        <v>3033</v>
      </c>
      <c r="W22" s="18">
        <v>2632</v>
      </c>
      <c r="X22" s="18">
        <v>3186</v>
      </c>
      <c r="Y22" s="18">
        <v>3534</v>
      </c>
      <c r="Z22" s="18">
        <v>3635</v>
      </c>
      <c r="AA22" s="18">
        <f>SUM(O22:Z22)</f>
        <v>40470</v>
      </c>
      <c r="AB22" s="16"/>
      <c r="AC22" s="16"/>
      <c r="AD22" s="18">
        <v>40231</v>
      </c>
      <c r="AE22" s="16"/>
      <c r="AF22" s="16"/>
      <c r="AG22" s="18">
        <v>39886</v>
      </c>
      <c r="AH22" s="16"/>
      <c r="AI22" s="16"/>
    </row>
    <row r="23" spans="1:40" hidden="1" outlineLevel="1" x14ac:dyDescent="0.2">
      <c r="A23" s="6" t="s">
        <v>47</v>
      </c>
      <c r="B23" s="14" t="s">
        <v>1162</v>
      </c>
      <c r="K23" s="53"/>
      <c r="L23" s="53"/>
      <c r="M23" s="53"/>
    </row>
    <row r="24" spans="1:40" hidden="1" outlineLevel="1" x14ac:dyDescent="0.2">
      <c r="A24" s="6" t="s">
        <v>8</v>
      </c>
      <c r="B24" s="7"/>
    </row>
    <row r="25" spans="1:40" collapsed="1" x14ac:dyDescent="0.2"/>
    <row r="26" spans="1:40" ht="23" x14ac:dyDescent="0.25">
      <c r="A26" s="3" t="s">
        <v>9</v>
      </c>
      <c r="B26" s="5" t="s">
        <v>10</v>
      </c>
      <c r="N26" s="61" t="s">
        <v>982</v>
      </c>
    </row>
    <row r="27" spans="1:40" ht="18" x14ac:dyDescent="0.2">
      <c r="A27" s="6" t="s">
        <v>11</v>
      </c>
      <c r="B27" s="7" t="s">
        <v>21</v>
      </c>
      <c r="N27" s="66" t="s">
        <v>1163</v>
      </c>
    </row>
    <row r="28" spans="1:40" ht="16" x14ac:dyDescent="0.2">
      <c r="A28" s="6" t="s">
        <v>12</v>
      </c>
      <c r="B28" s="7" t="s">
        <v>22</v>
      </c>
      <c r="N28" s="67" t="s">
        <v>1002</v>
      </c>
    </row>
    <row r="29" spans="1:40" ht="15" customHeight="1" x14ac:dyDescent="0.2">
      <c r="A29" s="6" t="s">
        <v>13</v>
      </c>
      <c r="B29" s="7" t="s">
        <v>256</v>
      </c>
      <c r="N29" s="67" t="s">
        <v>986</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748</v>
      </c>
      <c r="AK30" s="209"/>
      <c r="AL30" s="209"/>
      <c r="AM30" s="210"/>
      <c r="AN30" s="209"/>
    </row>
    <row r="31" spans="1:40" x14ac:dyDescent="0.2">
      <c r="A31" s="6" t="s">
        <v>15</v>
      </c>
      <c r="B31" s="7"/>
      <c r="G31" s="13"/>
      <c r="K31" s="11"/>
      <c r="L31" s="11"/>
      <c r="M31" s="11"/>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tr">
        <f>AA14</f>
        <v>TOTAL</v>
      </c>
      <c r="AB31" s="207"/>
      <c r="AD31" s="540" t="s">
        <v>987</v>
      </c>
      <c r="AE31" s="541"/>
      <c r="AF31" s="211" t="s">
        <v>631</v>
      </c>
      <c r="AG31" s="540" t="s">
        <v>1003</v>
      </c>
      <c r="AH31" s="541"/>
      <c r="AI31" s="211" t="s">
        <v>631</v>
      </c>
      <c r="AJ31" s="211">
        <v>2024</v>
      </c>
      <c r="AK31" s="238">
        <v>2024</v>
      </c>
      <c r="AL31" s="211"/>
      <c r="AM31" s="238">
        <v>2023</v>
      </c>
      <c r="AN31" s="211"/>
    </row>
    <row r="32" spans="1:40" s="232" customFormat="1" ht="30" customHeight="1" x14ac:dyDescent="0.2">
      <c r="A32" s="230" t="s">
        <v>16</v>
      </c>
      <c r="B32" s="231"/>
      <c r="G32" s="317"/>
      <c r="H32" s="233"/>
      <c r="I32" s="234"/>
      <c r="J32" s="234"/>
      <c r="K32" s="235" t="s">
        <v>117</v>
      </c>
      <c r="L32" s="235"/>
      <c r="M32" s="235"/>
      <c r="N32" s="236" t="s">
        <v>120</v>
      </c>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c r="AD32" s="237" t="s">
        <v>959</v>
      </c>
      <c r="AE32" s="238" t="s">
        <v>58</v>
      </c>
      <c r="AF32" s="237" t="s">
        <v>57</v>
      </c>
      <c r="AG32" s="237" t="s">
        <v>957</v>
      </c>
      <c r="AH32" s="238" t="s">
        <v>58</v>
      </c>
      <c r="AI32" s="237" t="s">
        <v>57</v>
      </c>
      <c r="AJ32" s="237" t="str">
        <f>Z32</f>
        <v>Actual</v>
      </c>
      <c r="AK32" s="238" t="str">
        <f>AD32</f>
        <v>Budget</v>
      </c>
      <c r="AL32" s="237" t="s">
        <v>747</v>
      </c>
      <c r="AM32" s="237" t="str">
        <f>AG32</f>
        <v>Actual</v>
      </c>
      <c r="AN32" s="237" t="s">
        <v>747</v>
      </c>
    </row>
    <row r="33" spans="1:40" x14ac:dyDescent="0.2">
      <c r="A33" s="6" t="s">
        <v>17</v>
      </c>
      <c r="B33" s="7"/>
      <c r="G33" s="13"/>
      <c r="H33" s="1" t="s">
        <v>239</v>
      </c>
      <c r="I33" s="11" t="s">
        <v>1006</v>
      </c>
      <c r="J33" s="11" t="s">
        <v>78</v>
      </c>
      <c r="L33" s="175" t="s">
        <v>364</v>
      </c>
      <c r="M33" s="175" t="s">
        <v>782</v>
      </c>
      <c r="N33" s="37" t="s">
        <v>1164</v>
      </c>
      <c r="O33" s="38"/>
      <c r="P33" s="42"/>
      <c r="Q33" s="42"/>
      <c r="R33" s="42"/>
      <c r="S33" s="42"/>
      <c r="T33" s="42"/>
      <c r="U33" s="42"/>
      <c r="V33" s="42"/>
      <c r="W33" s="42"/>
      <c r="X33" s="42"/>
      <c r="Y33" s="42"/>
      <c r="Z33" s="42"/>
      <c r="AA33" s="42"/>
      <c r="AB33" s="39"/>
      <c r="AD33" s="38"/>
      <c r="AE33" s="42"/>
      <c r="AF33" s="39"/>
      <c r="AG33" s="38"/>
      <c r="AH33" s="42"/>
      <c r="AI33" s="39"/>
    </row>
    <row r="34" spans="1:40" x14ac:dyDescent="0.2">
      <c r="G34" s="13"/>
      <c r="H34" s="10" t="s">
        <v>220</v>
      </c>
      <c r="I34" s="25" t="s">
        <v>1004</v>
      </c>
      <c r="J34" s="25" t="s">
        <v>1004</v>
      </c>
      <c r="K34" s="64" t="str">
        <f t="shared" ref="K34:K45" si="0">IF(AND(I34&gt;="T5"),"&gt;","")</f>
        <v/>
      </c>
      <c r="L34" s="24">
        <v>710150</v>
      </c>
      <c r="M34" s="24">
        <v>590165</v>
      </c>
      <c r="N34" s="24" t="s">
        <v>1165</v>
      </c>
      <c r="O34" s="19"/>
      <c r="P34" s="19"/>
      <c r="Q34" s="19"/>
      <c r="R34" s="19"/>
      <c r="S34" s="19"/>
      <c r="T34" s="19"/>
      <c r="U34" s="19"/>
      <c r="V34" s="19"/>
      <c r="W34" s="19"/>
      <c r="X34" s="19"/>
      <c r="Y34" s="19"/>
      <c r="Z34" s="19"/>
      <c r="AA34" s="283">
        <f t="shared" ref="AA34:AA45" si="1">IF($I34="B1","",SUM(O34:Z34))</f>
        <v>0</v>
      </c>
      <c r="AB34" s="15" t="str">
        <f t="shared" ref="AB34:AB45" si="2">IF(AA34=0,"",IFERROR(AA34/AA$19,""))</f>
        <v/>
      </c>
      <c r="AD34" s="19"/>
      <c r="AE34" s="15" t="str">
        <f t="shared" ref="AE34:AE45" si="3">IF(AD34=0,"",IFERROR(AD34/AD$19,""))</f>
        <v/>
      </c>
      <c r="AF34" s="47">
        <f t="shared" ref="AF34:AF45" si="4">IF(AND($AA34="",AD34=""),"",$AA34-AD34)</f>
        <v>0</v>
      </c>
      <c r="AG34" s="19"/>
      <c r="AH34" s="15" t="str">
        <f t="shared" ref="AH34:AH45" si="5">IF(AG34=0,"",IFERROR(AG34/AG$19,""))</f>
        <v/>
      </c>
      <c r="AI34" s="47">
        <f t="shared" ref="AI34:AI45" si="6">IF(AND($AA34="",AG34=""),"",$AA34-AG34)</f>
        <v>0</v>
      </c>
      <c r="AJ34" s="322">
        <f t="shared" ref="AJ34:AJ45" si="7">IFERROR(AA34/AA$22,0)</f>
        <v>0</v>
      </c>
      <c r="AK34" s="323">
        <f t="shared" ref="AK34:AK45" si="8">IFERROR(AD34/AD$22,0)</f>
        <v>0</v>
      </c>
      <c r="AL34" s="125">
        <f t="shared" ref="AL34:AL45" si="9">AJ34-AK34</f>
        <v>0</v>
      </c>
      <c r="AM34" s="324">
        <f t="shared" ref="AM34:AM45" si="10">IFERROR(AG34/AG$22,0)</f>
        <v>0</v>
      </c>
      <c r="AN34" s="125">
        <f t="shared" ref="AN34:AN45" si="11">AJ34-AM34</f>
        <v>0</v>
      </c>
    </row>
    <row r="35" spans="1:40" x14ac:dyDescent="0.2">
      <c r="A35" s="20" t="s">
        <v>92</v>
      </c>
      <c r="B35" s="21" t="s">
        <v>93</v>
      </c>
      <c r="C35" s="21" t="s">
        <v>94</v>
      </c>
      <c r="D35" s="21" t="s">
        <v>95</v>
      </c>
      <c r="E35" s="21" t="s">
        <v>96</v>
      </c>
      <c r="F35" s="22" t="s">
        <v>97</v>
      </c>
      <c r="G35" s="13"/>
      <c r="H35" s="10" t="s">
        <v>221</v>
      </c>
      <c r="I35" s="25" t="s">
        <v>1004</v>
      </c>
      <c r="J35" s="25" t="s">
        <v>1004</v>
      </c>
      <c r="K35" s="64" t="str">
        <f t="shared" si="0"/>
        <v/>
      </c>
      <c r="L35" s="24">
        <v>710140</v>
      </c>
      <c r="M35" s="24">
        <v>590171</v>
      </c>
      <c r="N35" s="24" t="s">
        <v>1166</v>
      </c>
      <c r="O35" s="19"/>
      <c r="P35" s="19"/>
      <c r="Q35" s="19"/>
      <c r="R35" s="19"/>
      <c r="S35" s="19"/>
      <c r="T35" s="19"/>
      <c r="U35" s="19"/>
      <c r="V35" s="19"/>
      <c r="W35" s="19"/>
      <c r="X35" s="19"/>
      <c r="Y35" s="19"/>
      <c r="Z35" s="19"/>
      <c r="AA35" s="283">
        <f t="shared" si="1"/>
        <v>0</v>
      </c>
      <c r="AB35" s="15" t="str">
        <f t="shared" si="2"/>
        <v/>
      </c>
      <c r="AD35" s="19"/>
      <c r="AE35" s="15" t="str">
        <f t="shared" si="3"/>
        <v/>
      </c>
      <c r="AF35" s="47">
        <f t="shared" si="4"/>
        <v>0</v>
      </c>
      <c r="AG35" s="19"/>
      <c r="AH35" s="15" t="str">
        <f t="shared" si="5"/>
        <v/>
      </c>
      <c r="AI35" s="47">
        <f t="shared" si="6"/>
        <v>0</v>
      </c>
      <c r="AJ35" s="322">
        <f t="shared" si="7"/>
        <v>0</v>
      </c>
      <c r="AK35" s="323">
        <f t="shared" si="8"/>
        <v>0</v>
      </c>
      <c r="AL35" s="125">
        <f t="shared" si="9"/>
        <v>0</v>
      </c>
      <c r="AM35" s="324">
        <f t="shared" si="10"/>
        <v>0</v>
      </c>
      <c r="AN35" s="125">
        <f t="shared" si="11"/>
        <v>0</v>
      </c>
    </row>
    <row r="36" spans="1:40" x14ac:dyDescent="0.2">
      <c r="G36" s="13"/>
      <c r="H36" s="10" t="s">
        <v>222</v>
      </c>
      <c r="I36" s="25" t="s">
        <v>1004</v>
      </c>
      <c r="J36" s="25" t="s">
        <v>1004</v>
      </c>
      <c r="K36" s="64" t="str">
        <f t="shared" si="0"/>
        <v/>
      </c>
      <c r="L36" s="24">
        <v>710145</v>
      </c>
      <c r="M36" s="24">
        <v>590520</v>
      </c>
      <c r="N36" s="24" t="s">
        <v>1167</v>
      </c>
      <c r="O36" s="19"/>
      <c r="P36" s="19"/>
      <c r="Q36" s="19"/>
      <c r="R36" s="19"/>
      <c r="S36" s="19"/>
      <c r="T36" s="19"/>
      <c r="U36" s="19"/>
      <c r="V36" s="19"/>
      <c r="W36" s="19"/>
      <c r="X36" s="19"/>
      <c r="Y36" s="19"/>
      <c r="Z36" s="19"/>
      <c r="AA36" s="283">
        <f t="shared" si="1"/>
        <v>0</v>
      </c>
      <c r="AB36" s="15" t="str">
        <f t="shared" si="2"/>
        <v/>
      </c>
      <c r="AD36" s="19"/>
      <c r="AE36" s="15" t="str">
        <f t="shared" si="3"/>
        <v/>
      </c>
      <c r="AF36" s="47">
        <f t="shared" si="4"/>
        <v>0</v>
      </c>
      <c r="AG36" s="19"/>
      <c r="AH36" s="15" t="str">
        <f t="shared" si="5"/>
        <v/>
      </c>
      <c r="AI36" s="47">
        <f t="shared" si="6"/>
        <v>0</v>
      </c>
      <c r="AJ36" s="322">
        <f t="shared" si="7"/>
        <v>0</v>
      </c>
      <c r="AK36" s="323">
        <f t="shared" si="8"/>
        <v>0</v>
      </c>
      <c r="AL36" s="125">
        <f t="shared" si="9"/>
        <v>0</v>
      </c>
      <c r="AM36" s="324">
        <f t="shared" si="10"/>
        <v>0</v>
      </c>
      <c r="AN36" s="125">
        <f t="shared" si="11"/>
        <v>0</v>
      </c>
    </row>
    <row r="37" spans="1:40" x14ac:dyDescent="0.2">
      <c r="A37" s="1" t="s">
        <v>105</v>
      </c>
      <c r="C37" s="24" t="s">
        <v>101</v>
      </c>
      <c r="D37" s="1" t="s">
        <v>106</v>
      </c>
      <c r="F37" s="1" t="s">
        <v>98</v>
      </c>
      <c r="G37" s="13"/>
      <c r="H37" s="10" t="s">
        <v>223</v>
      </c>
      <c r="I37" s="25" t="s">
        <v>1004</v>
      </c>
      <c r="J37" s="25" t="s">
        <v>1004</v>
      </c>
      <c r="K37" s="64" t="str">
        <f t="shared" si="0"/>
        <v/>
      </c>
      <c r="L37" s="24">
        <v>710160</v>
      </c>
      <c r="M37" s="24">
        <v>590525</v>
      </c>
      <c r="N37" s="24" t="s">
        <v>1168</v>
      </c>
      <c r="O37" s="19"/>
      <c r="P37" s="19"/>
      <c r="Q37" s="19"/>
      <c r="R37" s="19"/>
      <c r="S37" s="19"/>
      <c r="T37" s="19"/>
      <c r="U37" s="19"/>
      <c r="V37" s="19"/>
      <c r="W37" s="19"/>
      <c r="X37" s="19"/>
      <c r="Y37" s="19"/>
      <c r="Z37" s="19"/>
      <c r="AA37" s="283">
        <f t="shared" si="1"/>
        <v>0</v>
      </c>
      <c r="AB37" s="15" t="str">
        <f t="shared" si="2"/>
        <v/>
      </c>
      <c r="AD37" s="19"/>
      <c r="AE37" s="15" t="str">
        <f t="shared" si="3"/>
        <v/>
      </c>
      <c r="AF37" s="47">
        <f t="shared" si="4"/>
        <v>0</v>
      </c>
      <c r="AG37" s="19"/>
      <c r="AH37" s="15" t="str">
        <f t="shared" si="5"/>
        <v/>
      </c>
      <c r="AI37" s="47">
        <f t="shared" si="6"/>
        <v>0</v>
      </c>
      <c r="AJ37" s="322">
        <f t="shared" si="7"/>
        <v>0</v>
      </c>
      <c r="AK37" s="323">
        <f t="shared" si="8"/>
        <v>0</v>
      </c>
      <c r="AL37" s="125">
        <f t="shared" si="9"/>
        <v>0</v>
      </c>
      <c r="AM37" s="324">
        <f t="shared" si="10"/>
        <v>0</v>
      </c>
      <c r="AN37" s="125">
        <f t="shared" si="11"/>
        <v>0</v>
      </c>
    </row>
    <row r="38" spans="1:40" x14ac:dyDescent="0.2">
      <c r="A38" s="1" t="s">
        <v>104</v>
      </c>
      <c r="C38" s="24" t="s">
        <v>101</v>
      </c>
      <c r="D38" s="1" t="s">
        <v>106</v>
      </c>
      <c r="F38" s="1" t="s">
        <v>98</v>
      </c>
      <c r="G38" s="13"/>
      <c r="H38" s="10" t="s">
        <v>224</v>
      </c>
      <c r="I38" s="25" t="s">
        <v>1004</v>
      </c>
      <c r="J38" s="25" t="s">
        <v>1004</v>
      </c>
      <c r="K38" s="64" t="str">
        <f t="shared" si="0"/>
        <v/>
      </c>
      <c r="L38" s="24">
        <v>710170</v>
      </c>
      <c r="M38" s="24">
        <v>590530</v>
      </c>
      <c r="N38" s="24" t="s">
        <v>1169</v>
      </c>
      <c r="O38" s="19">
        <v>108</v>
      </c>
      <c r="P38" s="19">
        <v>230.4</v>
      </c>
      <c r="Q38" s="19">
        <v>396.8</v>
      </c>
      <c r="R38" s="19">
        <v>518.4</v>
      </c>
      <c r="S38" s="19">
        <v>134.4</v>
      </c>
      <c r="T38" s="19">
        <v>275.2</v>
      </c>
      <c r="U38" s="19">
        <v>275.2</v>
      </c>
      <c r="V38" s="19">
        <v>275.5</v>
      </c>
      <c r="W38" s="19">
        <v>96</v>
      </c>
      <c r="X38" s="19">
        <v>172.8</v>
      </c>
      <c r="Y38" s="19">
        <v>172.8</v>
      </c>
      <c r="Z38" s="19">
        <v>219.2</v>
      </c>
      <c r="AA38" s="283">
        <f t="shared" si="1"/>
        <v>2874.7000000000003</v>
      </c>
      <c r="AB38" s="15">
        <f t="shared" si="2"/>
        <v>2.9247075267038396E-2</v>
      </c>
      <c r="AD38" s="19">
        <v>2956.8</v>
      </c>
      <c r="AE38" s="15">
        <f t="shared" si="3"/>
        <v>2.8759143845189857E-2</v>
      </c>
      <c r="AF38" s="47">
        <f t="shared" si="4"/>
        <v>-82.099999999999909</v>
      </c>
      <c r="AG38" s="19">
        <v>2779.8</v>
      </c>
      <c r="AH38" s="15">
        <f t="shared" si="5"/>
        <v>2.7002448462896452E-2</v>
      </c>
      <c r="AI38" s="47">
        <f t="shared" si="6"/>
        <v>94.900000000000091</v>
      </c>
      <c r="AJ38" s="322">
        <f t="shared" si="7"/>
        <v>7.103286384976526E-2</v>
      </c>
      <c r="AK38" s="323">
        <f t="shared" si="8"/>
        <v>7.3495563122964888E-2</v>
      </c>
      <c r="AL38" s="125">
        <f t="shared" si="9"/>
        <v>-2.4626992731996283E-3</v>
      </c>
      <c r="AM38" s="324">
        <f t="shared" si="10"/>
        <v>6.9693626836483988E-2</v>
      </c>
      <c r="AN38" s="125">
        <f t="shared" si="11"/>
        <v>1.339237013281272E-3</v>
      </c>
    </row>
    <row r="39" spans="1:40" x14ac:dyDescent="0.2">
      <c r="A39" s="1" t="s">
        <v>102</v>
      </c>
      <c r="C39" s="23" t="s">
        <v>101</v>
      </c>
      <c r="D39" s="1" t="s">
        <v>106</v>
      </c>
      <c r="F39" s="1" t="s">
        <v>98</v>
      </c>
      <c r="G39" s="13"/>
      <c r="H39" s="10" t="s">
        <v>225</v>
      </c>
      <c r="I39" s="25" t="s">
        <v>1004</v>
      </c>
      <c r="J39" s="25" t="s">
        <v>1004</v>
      </c>
      <c r="K39" s="64" t="str">
        <f t="shared" si="0"/>
        <v/>
      </c>
      <c r="L39" s="24">
        <v>710180</v>
      </c>
      <c r="M39" s="24">
        <v>590535</v>
      </c>
      <c r="N39" s="24" t="s">
        <v>1170</v>
      </c>
      <c r="O39" s="19"/>
      <c r="P39" s="19"/>
      <c r="Q39" s="19"/>
      <c r="R39" s="19"/>
      <c r="S39" s="19"/>
      <c r="T39" s="19"/>
      <c r="U39" s="19"/>
      <c r="V39" s="19"/>
      <c r="W39" s="19"/>
      <c r="X39" s="19"/>
      <c r="Y39" s="19"/>
      <c r="Z39" s="19"/>
      <c r="AA39" s="283">
        <f t="shared" si="1"/>
        <v>0</v>
      </c>
      <c r="AB39" s="15" t="str">
        <f t="shared" si="2"/>
        <v/>
      </c>
      <c r="AD39" s="19"/>
      <c r="AE39" s="15" t="str">
        <f t="shared" si="3"/>
        <v/>
      </c>
      <c r="AF39" s="47">
        <f t="shared" si="4"/>
        <v>0</v>
      </c>
      <c r="AG39" s="19"/>
      <c r="AH39" s="15" t="str">
        <f t="shared" si="5"/>
        <v/>
      </c>
      <c r="AI39" s="47">
        <f t="shared" si="6"/>
        <v>0</v>
      </c>
      <c r="AJ39" s="322">
        <f t="shared" si="7"/>
        <v>0</v>
      </c>
      <c r="AK39" s="323">
        <f t="shared" si="8"/>
        <v>0</v>
      </c>
      <c r="AL39" s="125">
        <f t="shared" si="9"/>
        <v>0</v>
      </c>
      <c r="AM39" s="324">
        <f t="shared" si="10"/>
        <v>0</v>
      </c>
      <c r="AN39" s="125">
        <f t="shared" si="11"/>
        <v>0</v>
      </c>
    </row>
    <row r="40" spans="1:40" x14ac:dyDescent="0.2">
      <c r="A40" s="1" t="s">
        <v>102</v>
      </c>
      <c r="C40" s="27" t="s">
        <v>101</v>
      </c>
      <c r="D40" s="1" t="s">
        <v>107</v>
      </c>
      <c r="F40" s="1" t="s">
        <v>99</v>
      </c>
      <c r="G40" s="13"/>
      <c r="H40" s="10" t="s">
        <v>226</v>
      </c>
      <c r="I40" s="25" t="s">
        <v>1052</v>
      </c>
      <c r="J40" s="25" t="s">
        <v>78</v>
      </c>
      <c r="K40" s="64" t="str">
        <f t="shared" si="0"/>
        <v>&gt;</v>
      </c>
      <c r="L40" s="24">
        <v>710190</v>
      </c>
      <c r="M40" s="24"/>
      <c r="N40" s="24" t="s">
        <v>1171</v>
      </c>
      <c r="O40" s="28"/>
      <c r="P40" s="28"/>
      <c r="Q40" s="28"/>
      <c r="R40" s="28"/>
      <c r="S40" s="28"/>
      <c r="T40" s="28"/>
      <c r="U40" s="28"/>
      <c r="V40" s="28"/>
      <c r="W40" s="28"/>
      <c r="X40" s="28"/>
      <c r="Y40" s="28"/>
      <c r="Z40" s="28"/>
      <c r="AA40" s="296">
        <f t="shared" si="1"/>
        <v>0</v>
      </c>
      <c r="AB40" s="29" t="str">
        <f t="shared" si="2"/>
        <v/>
      </c>
      <c r="AD40" s="28"/>
      <c r="AE40" s="29" t="str">
        <f t="shared" si="3"/>
        <v/>
      </c>
      <c r="AF40" s="48">
        <f t="shared" si="4"/>
        <v>0</v>
      </c>
      <c r="AG40" s="28"/>
      <c r="AH40" s="29" t="str">
        <f t="shared" si="5"/>
        <v/>
      </c>
      <c r="AI40" s="48">
        <f t="shared" si="6"/>
        <v>0</v>
      </c>
      <c r="AJ40" s="329">
        <f t="shared" si="7"/>
        <v>0</v>
      </c>
      <c r="AK40" s="330">
        <f t="shared" si="8"/>
        <v>0</v>
      </c>
      <c r="AL40" s="126">
        <f t="shared" si="9"/>
        <v>0</v>
      </c>
      <c r="AM40" s="331">
        <f t="shared" si="10"/>
        <v>0</v>
      </c>
      <c r="AN40" s="126">
        <f t="shared" si="11"/>
        <v>0</v>
      </c>
    </row>
    <row r="41" spans="1:40" x14ac:dyDescent="0.2">
      <c r="A41" s="1" t="s">
        <v>244</v>
      </c>
      <c r="C41" s="27" t="s">
        <v>101</v>
      </c>
      <c r="D41" s="1" t="s">
        <v>107</v>
      </c>
      <c r="F41" s="1" t="s">
        <v>99</v>
      </c>
      <c r="G41" s="13"/>
      <c r="H41" s="10" t="s">
        <v>227</v>
      </c>
      <c r="I41" s="447" t="s">
        <v>1058</v>
      </c>
      <c r="J41" s="447" t="s">
        <v>78</v>
      </c>
      <c r="K41" s="448" t="str">
        <f t="shared" si="0"/>
        <v/>
      </c>
      <c r="L41" s="151"/>
      <c r="M41" s="151"/>
      <c r="N41" s="151" t="s">
        <v>1172</v>
      </c>
      <c r="O41" s="120">
        <v>108</v>
      </c>
      <c r="P41" s="120">
        <v>230.4</v>
      </c>
      <c r="Q41" s="120">
        <v>396.8</v>
      </c>
      <c r="R41" s="120">
        <v>518.4</v>
      </c>
      <c r="S41" s="120">
        <v>134.4</v>
      </c>
      <c r="T41" s="120">
        <v>275.2</v>
      </c>
      <c r="U41" s="120">
        <v>275.2</v>
      </c>
      <c r="V41" s="120">
        <v>275.5</v>
      </c>
      <c r="W41" s="120">
        <v>96</v>
      </c>
      <c r="X41" s="120">
        <v>172.8</v>
      </c>
      <c r="Y41" s="120">
        <v>172.8</v>
      </c>
      <c r="Z41" s="120">
        <v>219.2</v>
      </c>
      <c r="AA41" s="120">
        <f t="shared" si="1"/>
        <v>2874.7000000000003</v>
      </c>
      <c r="AB41" s="121">
        <f t="shared" si="2"/>
        <v>2.9247075267038396E-2</v>
      </c>
      <c r="AC41" s="123"/>
      <c r="AD41" s="120">
        <v>2956.8</v>
      </c>
      <c r="AE41" s="121">
        <f t="shared" si="3"/>
        <v>2.8759143845189857E-2</v>
      </c>
      <c r="AF41" s="122">
        <f t="shared" si="4"/>
        <v>-82.099999999999909</v>
      </c>
      <c r="AG41" s="120">
        <v>2779.8</v>
      </c>
      <c r="AH41" s="121">
        <f t="shared" si="5"/>
        <v>2.7002448462896452E-2</v>
      </c>
      <c r="AI41" s="122">
        <f t="shared" si="6"/>
        <v>94.900000000000091</v>
      </c>
      <c r="AJ41" s="332">
        <f t="shared" si="7"/>
        <v>7.103286384976526E-2</v>
      </c>
      <c r="AK41" s="333">
        <f t="shared" si="8"/>
        <v>7.3495563122964888E-2</v>
      </c>
      <c r="AL41" s="334">
        <f t="shared" si="9"/>
        <v>-2.4626992731996283E-3</v>
      </c>
      <c r="AM41" s="335">
        <f t="shared" si="10"/>
        <v>6.9693626836483988E-2</v>
      </c>
      <c r="AN41" s="334">
        <f t="shared" si="11"/>
        <v>1.339237013281272E-3</v>
      </c>
    </row>
    <row r="42" spans="1:40" x14ac:dyDescent="0.2">
      <c r="G42" s="13"/>
      <c r="H42" s="133" t="s">
        <v>228</v>
      </c>
      <c r="I42" s="25" t="s">
        <v>1052</v>
      </c>
      <c r="J42" s="25" t="s">
        <v>78</v>
      </c>
      <c r="K42" s="64" t="str">
        <f t="shared" si="0"/>
        <v>&gt;</v>
      </c>
      <c r="L42" s="24"/>
      <c r="M42" s="24"/>
      <c r="N42" s="24" t="s">
        <v>1173</v>
      </c>
      <c r="O42" s="35"/>
      <c r="P42" s="35"/>
      <c r="Q42" s="35"/>
      <c r="R42" s="35"/>
      <c r="S42" s="35"/>
      <c r="T42" s="35"/>
      <c r="U42" s="35"/>
      <c r="V42" s="35"/>
      <c r="W42" s="35"/>
      <c r="X42" s="35"/>
      <c r="Y42" s="35"/>
      <c r="Z42" s="35"/>
      <c r="AA42" s="288">
        <f t="shared" si="1"/>
        <v>0</v>
      </c>
      <c r="AB42" s="36" t="str">
        <f t="shared" si="2"/>
        <v/>
      </c>
      <c r="AD42" s="35"/>
      <c r="AE42" s="36" t="str">
        <f t="shared" si="3"/>
        <v/>
      </c>
      <c r="AF42" s="118">
        <f t="shared" si="4"/>
        <v>0</v>
      </c>
      <c r="AG42" s="35"/>
      <c r="AH42" s="36" t="str">
        <f t="shared" si="5"/>
        <v/>
      </c>
      <c r="AI42" s="118">
        <f t="shared" si="6"/>
        <v>0</v>
      </c>
      <c r="AJ42" s="325">
        <f t="shared" si="7"/>
        <v>0</v>
      </c>
      <c r="AK42" s="326">
        <f t="shared" si="8"/>
        <v>0</v>
      </c>
      <c r="AL42" s="327">
        <f t="shared" si="9"/>
        <v>0</v>
      </c>
      <c r="AM42" s="328">
        <f t="shared" si="10"/>
        <v>0</v>
      </c>
      <c r="AN42" s="327">
        <f t="shared" si="11"/>
        <v>0</v>
      </c>
    </row>
    <row r="43" spans="1:40" x14ac:dyDescent="0.2">
      <c r="G43" s="13"/>
      <c r="H43" s="133" t="s">
        <v>241</v>
      </c>
      <c r="I43" s="25" t="s">
        <v>1052</v>
      </c>
      <c r="J43" s="25" t="s">
        <v>78</v>
      </c>
      <c r="K43" s="64" t="str">
        <f t="shared" si="0"/>
        <v>&gt;</v>
      </c>
      <c r="L43" s="24"/>
      <c r="M43" s="24"/>
      <c r="N43" s="24" t="s">
        <v>1174</v>
      </c>
      <c r="O43" s="28"/>
      <c r="P43" s="28"/>
      <c r="Q43" s="28"/>
      <c r="R43" s="28"/>
      <c r="S43" s="28"/>
      <c r="T43" s="28"/>
      <c r="U43" s="28"/>
      <c r="V43" s="28"/>
      <c r="W43" s="28"/>
      <c r="X43" s="28"/>
      <c r="Y43" s="28"/>
      <c r="Z43" s="28"/>
      <c r="AA43" s="296">
        <f t="shared" si="1"/>
        <v>0</v>
      </c>
      <c r="AB43" s="29" t="str">
        <f t="shared" si="2"/>
        <v/>
      </c>
      <c r="AD43" s="28"/>
      <c r="AE43" s="29" t="str">
        <f t="shared" si="3"/>
        <v/>
      </c>
      <c r="AF43" s="48">
        <f t="shared" si="4"/>
        <v>0</v>
      </c>
      <c r="AG43" s="28"/>
      <c r="AH43" s="29" t="str">
        <f t="shared" si="5"/>
        <v/>
      </c>
      <c r="AI43" s="48">
        <f t="shared" si="6"/>
        <v>0</v>
      </c>
      <c r="AJ43" s="329">
        <f t="shared" si="7"/>
        <v>0</v>
      </c>
      <c r="AK43" s="330">
        <f t="shared" si="8"/>
        <v>0</v>
      </c>
      <c r="AL43" s="126">
        <f t="shared" si="9"/>
        <v>0</v>
      </c>
      <c r="AM43" s="331">
        <f t="shared" si="10"/>
        <v>0</v>
      </c>
      <c r="AN43" s="126">
        <f t="shared" si="11"/>
        <v>0</v>
      </c>
    </row>
    <row r="44" spans="1:40" x14ac:dyDescent="0.2">
      <c r="A44" s="4" t="s">
        <v>989</v>
      </c>
      <c r="G44" s="13"/>
      <c r="H44" s="133" t="s">
        <v>229</v>
      </c>
      <c r="I44" s="447" t="s">
        <v>1058</v>
      </c>
      <c r="J44" s="447" t="s">
        <v>78</v>
      </c>
      <c r="K44" s="448" t="str">
        <f t="shared" si="0"/>
        <v/>
      </c>
      <c r="L44" s="151"/>
      <c r="M44" s="151"/>
      <c r="N44" s="151" t="s">
        <v>1175</v>
      </c>
      <c r="O44" s="33"/>
      <c r="P44" s="33"/>
      <c r="Q44" s="33"/>
      <c r="R44" s="33"/>
      <c r="S44" s="33"/>
      <c r="T44" s="33"/>
      <c r="U44" s="33"/>
      <c r="V44" s="33"/>
      <c r="W44" s="33"/>
      <c r="X44" s="33"/>
      <c r="Y44" s="33"/>
      <c r="Z44" s="33"/>
      <c r="AA44" s="33">
        <f t="shared" si="1"/>
        <v>0</v>
      </c>
      <c r="AB44" s="34" t="str">
        <f t="shared" si="2"/>
        <v/>
      </c>
      <c r="AC44" s="32"/>
      <c r="AD44" s="33"/>
      <c r="AE44" s="34" t="str">
        <f t="shared" si="3"/>
        <v/>
      </c>
      <c r="AF44" s="54">
        <f t="shared" si="4"/>
        <v>0</v>
      </c>
      <c r="AG44" s="33"/>
      <c r="AH44" s="34" t="str">
        <f t="shared" si="5"/>
        <v/>
      </c>
      <c r="AI44" s="54">
        <f t="shared" si="6"/>
        <v>0</v>
      </c>
      <c r="AJ44" s="344">
        <f t="shared" si="7"/>
        <v>0</v>
      </c>
      <c r="AK44" s="345">
        <f t="shared" si="8"/>
        <v>0</v>
      </c>
      <c r="AL44" s="346">
        <f t="shared" si="9"/>
        <v>0</v>
      </c>
      <c r="AM44" s="347">
        <f t="shared" si="10"/>
        <v>0</v>
      </c>
      <c r="AN44" s="346">
        <f t="shared" si="11"/>
        <v>0</v>
      </c>
    </row>
    <row r="45" spans="1:40" x14ac:dyDescent="0.2">
      <c r="G45" s="13"/>
      <c r="H45" s="133" t="s">
        <v>77</v>
      </c>
      <c r="I45" s="447" t="s">
        <v>1058</v>
      </c>
      <c r="J45" s="447" t="s">
        <v>78</v>
      </c>
      <c r="K45" s="448" t="str">
        <f t="shared" si="0"/>
        <v/>
      </c>
      <c r="L45" s="151">
        <v>710000</v>
      </c>
      <c r="M45" s="151"/>
      <c r="N45" s="151" t="s">
        <v>1110</v>
      </c>
      <c r="O45" s="120">
        <v>108</v>
      </c>
      <c r="P45" s="120">
        <v>230.4</v>
      </c>
      <c r="Q45" s="120">
        <v>396.8</v>
      </c>
      <c r="R45" s="120">
        <v>518.4</v>
      </c>
      <c r="S45" s="120">
        <v>134.4</v>
      </c>
      <c r="T45" s="120">
        <v>275.2</v>
      </c>
      <c r="U45" s="120">
        <v>275.2</v>
      </c>
      <c r="V45" s="120">
        <v>275.5</v>
      </c>
      <c r="W45" s="120">
        <v>96</v>
      </c>
      <c r="X45" s="120">
        <v>172.8</v>
      </c>
      <c r="Y45" s="120">
        <v>172.8</v>
      </c>
      <c r="Z45" s="120">
        <v>219.2</v>
      </c>
      <c r="AA45" s="120">
        <f t="shared" si="1"/>
        <v>2874.7000000000003</v>
      </c>
      <c r="AB45" s="121">
        <f t="shared" si="2"/>
        <v>2.9247075267038396E-2</v>
      </c>
      <c r="AC45" s="123"/>
      <c r="AD45" s="120">
        <v>2956.8</v>
      </c>
      <c r="AE45" s="121">
        <f t="shared" si="3"/>
        <v>2.8759143845189857E-2</v>
      </c>
      <c r="AF45" s="122">
        <f t="shared" si="4"/>
        <v>-82.099999999999909</v>
      </c>
      <c r="AG45" s="120">
        <v>2779.8</v>
      </c>
      <c r="AH45" s="121">
        <f t="shared" si="5"/>
        <v>2.7002448462896452E-2</v>
      </c>
      <c r="AI45" s="122">
        <f t="shared" si="6"/>
        <v>94.900000000000091</v>
      </c>
      <c r="AJ45" s="332">
        <f t="shared" si="7"/>
        <v>7.103286384976526E-2</v>
      </c>
      <c r="AK45" s="333">
        <f t="shared" si="8"/>
        <v>7.3495563122964888E-2</v>
      </c>
      <c r="AL45" s="334">
        <f t="shared" si="9"/>
        <v>-2.4626992731996283E-3</v>
      </c>
      <c r="AM45" s="335">
        <f t="shared" si="10"/>
        <v>6.9693626836483988E-2</v>
      </c>
      <c r="AN45" s="334">
        <f t="shared" si="11"/>
        <v>1.339237013281272E-3</v>
      </c>
    </row>
    <row r="46" spans="1:40" x14ac:dyDescent="0.2">
      <c r="A46" s="3" t="s">
        <v>0</v>
      </c>
      <c r="B46" s="5" t="s">
        <v>1</v>
      </c>
      <c r="G46" s="13"/>
      <c r="H46" s="10"/>
      <c r="I46" s="26"/>
      <c r="J46" s="26"/>
      <c r="K46" s="65"/>
      <c r="L46" s="65"/>
      <c r="M46" s="65"/>
      <c r="N46" s="23"/>
      <c r="O46" s="113"/>
      <c r="P46" s="113"/>
      <c r="Q46" s="113"/>
      <c r="R46" s="113"/>
      <c r="S46" s="113"/>
      <c r="T46" s="113"/>
      <c r="U46" s="113"/>
      <c r="V46" s="113"/>
      <c r="W46" s="113"/>
      <c r="X46" s="113"/>
      <c r="Y46" s="113"/>
      <c r="Z46" s="113"/>
      <c r="AA46" s="113"/>
      <c r="AB46" s="114"/>
      <c r="AD46" s="113"/>
      <c r="AE46" s="114"/>
      <c r="AF46" s="119"/>
      <c r="AG46" s="113"/>
      <c r="AH46" s="114"/>
      <c r="AI46" s="119"/>
    </row>
    <row r="47" spans="1:40" x14ac:dyDescent="0.2">
      <c r="A47" s="6" t="s">
        <v>2</v>
      </c>
      <c r="B47" s="14" t="s">
        <v>1156</v>
      </c>
      <c r="G47" s="13"/>
      <c r="H47" s="10"/>
      <c r="I47" s="25"/>
      <c r="J47" s="25"/>
      <c r="N47" s="24" t="s">
        <v>242</v>
      </c>
      <c r="O47" s="28">
        <f t="shared" ref="O47:Z47" si="12">SUMIF($H$34:$H$48,"700000",O34:O48)-SUMIF($H$34:$H$48,"710000",O34:O48)</f>
        <v>10507.59</v>
      </c>
      <c r="P47" s="28">
        <f t="shared" si="12"/>
        <v>12274.220000000001</v>
      </c>
      <c r="Q47" s="28">
        <f t="shared" si="12"/>
        <v>12056.130000000001</v>
      </c>
      <c r="R47" s="28">
        <f t="shared" si="12"/>
        <v>9158.99</v>
      </c>
      <c r="S47" s="28">
        <f t="shared" si="12"/>
        <v>8153.1200000000008</v>
      </c>
      <c r="T47" s="28">
        <f t="shared" si="12"/>
        <v>5310.31</v>
      </c>
      <c r="U47" s="28">
        <f t="shared" si="12"/>
        <v>5412.37</v>
      </c>
      <c r="V47" s="28">
        <f t="shared" si="12"/>
        <v>4807.1000000000004</v>
      </c>
      <c r="W47" s="28">
        <f t="shared" si="12"/>
        <v>4210.55</v>
      </c>
      <c r="X47" s="28">
        <f t="shared" si="12"/>
        <v>6102.22</v>
      </c>
      <c r="Y47" s="28">
        <f t="shared" si="12"/>
        <v>6952.69</v>
      </c>
      <c r="Z47" s="28">
        <f t="shared" si="12"/>
        <v>10470.179999999998</v>
      </c>
      <c r="AA47" s="28">
        <f>IF($I47="B1","",SUM(O47:Z47))</f>
        <v>95415.47</v>
      </c>
      <c r="AB47" s="29">
        <f>IF(AA47=0,"",IFERROR(AA47/AA$19,""))</f>
        <v>0.97075292473296138</v>
      </c>
      <c r="AD47" s="28">
        <f>SUMIF($H$34:$H$48,"700000",AD34:AD48)-SUMIF($H$34:$H$48,"710000",AD34:AD48)</f>
        <v>99855.718200000003</v>
      </c>
      <c r="AE47" s="29">
        <f>IF(AD47=0,"",IFERROR(AD47/AD$19,""))</f>
        <v>0.97124085615481015</v>
      </c>
      <c r="AF47" s="48">
        <f>IF(AND($AA47="",AD47=""),"",$AA47-AD47)</f>
        <v>-4440.2482000000018</v>
      </c>
      <c r="AG47" s="28">
        <f>SUMIF($H$34:$H$48,"700000",AG34:AG48)-SUMIF($H$34:$H$48,"710000",AG34:AG48)</f>
        <v>100166.42</v>
      </c>
      <c r="AH47" s="29">
        <f>IF(AG47=0,"",IFERROR(AG47/AG$19,""))</f>
        <v>0.97299755153710354</v>
      </c>
      <c r="AI47" s="48">
        <f>IF(AND($AA47="",AG47=""),"",$AA47-AG47)</f>
        <v>-4750.9499999999971</v>
      </c>
      <c r="AJ47" s="348">
        <f>IFERROR(AA47/AA$22,0)</f>
        <v>2.3576839634297011</v>
      </c>
      <c r="AK47" s="349">
        <f>IFERROR(AD47/AD$22,0)</f>
        <v>2.4820590639059432</v>
      </c>
      <c r="AL47" s="350">
        <f>AJ47-AK47</f>
        <v>-0.12437510047624212</v>
      </c>
      <c r="AM47" s="351">
        <f>IFERROR(AG47/AG$22,0)</f>
        <v>2.51131775560347</v>
      </c>
      <c r="AN47" s="350">
        <f>AJ47-AM47</f>
        <v>-0.15363379217376893</v>
      </c>
    </row>
    <row r="48" spans="1:40" x14ac:dyDescent="0.2">
      <c r="A48" s="6" t="s">
        <v>3</v>
      </c>
      <c r="B48" s="14" t="s">
        <v>1157</v>
      </c>
      <c r="G48" s="143"/>
      <c r="H48" s="10" t="s">
        <v>79</v>
      </c>
      <c r="I48" s="25" t="s">
        <v>1007</v>
      </c>
      <c r="J48" s="25" t="s">
        <v>78</v>
      </c>
      <c r="N48" s="8" t="s">
        <v>243</v>
      </c>
      <c r="O48" s="115">
        <v>10615.59</v>
      </c>
      <c r="P48" s="115">
        <v>12504.62</v>
      </c>
      <c r="Q48" s="115">
        <v>12452.93</v>
      </c>
      <c r="R48" s="115">
        <v>9677.39</v>
      </c>
      <c r="S48" s="115">
        <v>8287.52</v>
      </c>
      <c r="T48" s="115">
        <v>5585.51</v>
      </c>
      <c r="U48" s="115">
        <v>5687.57</v>
      </c>
      <c r="V48" s="115">
        <v>5082.6000000000004</v>
      </c>
      <c r="W48" s="115">
        <v>4306.55</v>
      </c>
      <c r="X48" s="115">
        <v>6275.02</v>
      </c>
      <c r="Y48" s="115">
        <v>7125.49</v>
      </c>
      <c r="Z48" s="115">
        <v>10689.38</v>
      </c>
      <c r="AA48" s="115">
        <f>IF($I48="B1","",SUM(O48:Z48))</f>
        <v>98290.170000000027</v>
      </c>
      <c r="AB48" s="116">
        <f>IF(AA48=0,"",IFERROR(AA48/AA$19,""))</f>
        <v>1</v>
      </c>
      <c r="AD48" s="115">
        <v>102812.51820000001</v>
      </c>
      <c r="AE48" s="116">
        <f>IF(AD48=0,"",IFERROR(AD48/AD$19,""))</f>
        <v>1</v>
      </c>
      <c r="AF48" s="117">
        <f>IF(AND($AA48="",AD48=""),"",$AA48-AD48)</f>
        <v>-4522.3481999999785</v>
      </c>
      <c r="AG48" s="115">
        <v>102946.22</v>
      </c>
      <c r="AH48" s="116">
        <f>IF(AG48=0,"",IFERROR(AG48/AG$19,""))</f>
        <v>1</v>
      </c>
      <c r="AI48" s="117">
        <f>IF(AND($AA48="",AG48=""),"",$AA48-AG48)</f>
        <v>-4656.0499999999738</v>
      </c>
      <c r="AJ48" s="325">
        <f>IFERROR(AA48/AA$22,0)</f>
        <v>2.4287168272794668</v>
      </c>
      <c r="AK48" s="326">
        <f>IFERROR(AD48/AD$22,0)</f>
        <v>2.5555546270289082</v>
      </c>
      <c r="AL48" s="327">
        <f>AJ48-AK48</f>
        <v>-0.12683779974944143</v>
      </c>
      <c r="AM48" s="328">
        <f>IFERROR(AG48/AG$22,0)</f>
        <v>2.5810113824399541</v>
      </c>
      <c r="AN48" s="327">
        <f>AJ48-AM48</f>
        <v>-0.15229455516048729</v>
      </c>
    </row>
    <row r="49" spans="1:40" x14ac:dyDescent="0.2">
      <c r="A49" s="6" t="s">
        <v>4</v>
      </c>
      <c r="B49" s="14" t="s">
        <v>1176</v>
      </c>
      <c r="G49" s="13"/>
      <c r="H49" s="10"/>
      <c r="I49" s="25"/>
      <c r="J49" s="25"/>
      <c r="O49" s="19"/>
      <c r="P49" s="19"/>
      <c r="Q49" s="19"/>
      <c r="R49" s="19"/>
      <c r="S49" s="19"/>
      <c r="T49" s="19"/>
      <c r="U49" s="19"/>
      <c r="V49" s="19"/>
      <c r="W49" s="19"/>
      <c r="X49" s="19"/>
      <c r="Y49" s="19"/>
      <c r="Z49" s="19"/>
      <c r="AA49" s="19"/>
      <c r="AB49" s="15"/>
      <c r="AD49" s="19"/>
      <c r="AE49" s="15"/>
      <c r="AF49" s="47"/>
      <c r="AG49" s="19"/>
      <c r="AH49" s="15"/>
      <c r="AI49" s="47"/>
    </row>
    <row r="50" spans="1:40" x14ac:dyDescent="0.2">
      <c r="A50" s="6" t="s">
        <v>5</v>
      </c>
      <c r="B50" s="7"/>
      <c r="G50" s="13"/>
      <c r="H50" s="10" t="s">
        <v>76</v>
      </c>
      <c r="I50" s="25" t="s">
        <v>1040</v>
      </c>
      <c r="J50" s="25" t="s">
        <v>78</v>
      </c>
      <c r="N50" s="1" t="s">
        <v>1085</v>
      </c>
      <c r="O50" s="28"/>
      <c r="P50" s="28"/>
      <c r="Q50" s="28"/>
      <c r="R50" s="28"/>
      <c r="S50" s="28"/>
      <c r="T50" s="28"/>
      <c r="U50" s="28"/>
      <c r="V50" s="28"/>
      <c r="W50" s="28"/>
      <c r="X50" s="28"/>
      <c r="Y50" s="28"/>
      <c r="Z50" s="28"/>
      <c r="AA50" s="28">
        <f>IF($I50="B1","",SUM(O50:Z50))</f>
        <v>0</v>
      </c>
      <c r="AB50" s="29"/>
      <c r="AD50" s="28">
        <v>27900</v>
      </c>
      <c r="AE50" s="29"/>
      <c r="AF50" s="48">
        <f>IF(AND($AA50="",AD50=""),"",$AA50-AD50)</f>
        <v>-27900</v>
      </c>
      <c r="AG50" s="28"/>
      <c r="AH50" s="29"/>
      <c r="AI50" s="48">
        <f>IF(AND($AA50="",AG50=""),"",$AA50-AG50)</f>
        <v>0</v>
      </c>
      <c r="AJ50" s="329">
        <f>IFERROR(AA50/AA$22,0)</f>
        <v>0</v>
      </c>
      <c r="AK50" s="330">
        <f>IFERROR(AD50/AD$22,0)</f>
        <v>0.69349506599388533</v>
      </c>
      <c r="AL50" s="126">
        <f>AJ50-AK50</f>
        <v>-0.69349506599388533</v>
      </c>
      <c r="AM50" s="331">
        <f>IFERROR(AG50/AG$22,0)</f>
        <v>0</v>
      </c>
      <c r="AN50" s="126">
        <f>AJ50-AM50</f>
        <v>0</v>
      </c>
    </row>
    <row r="51" spans="1:40" ht="16" thickBot="1" x14ac:dyDescent="0.25">
      <c r="A51" s="6" t="s">
        <v>6</v>
      </c>
      <c r="B51" s="7"/>
      <c r="G51" s="13"/>
      <c r="H51" s="10" t="s">
        <v>80</v>
      </c>
      <c r="I51" s="25" t="s">
        <v>1007</v>
      </c>
      <c r="J51" s="25" t="s">
        <v>78</v>
      </c>
      <c r="N51" s="8" t="s">
        <v>1112</v>
      </c>
      <c r="O51" s="58">
        <v>10615.59</v>
      </c>
      <c r="P51" s="58">
        <v>12504.62</v>
      </c>
      <c r="Q51" s="58">
        <v>12452.93</v>
      </c>
      <c r="R51" s="58">
        <v>9677.39</v>
      </c>
      <c r="S51" s="58">
        <v>8287.52</v>
      </c>
      <c r="T51" s="58">
        <v>5585.51</v>
      </c>
      <c r="U51" s="58">
        <v>5687.57</v>
      </c>
      <c r="V51" s="58">
        <v>5082.6000000000004</v>
      </c>
      <c r="W51" s="58">
        <v>4306.55</v>
      </c>
      <c r="X51" s="58">
        <v>6275.02</v>
      </c>
      <c r="Y51" s="58">
        <v>7125.49</v>
      </c>
      <c r="Z51" s="58">
        <v>10689.38</v>
      </c>
      <c r="AA51" s="58">
        <f>IF($I51="B1","",SUM(O51:Z51))</f>
        <v>98290.170000000027</v>
      </c>
      <c r="AB51" s="59"/>
      <c r="AD51" s="58">
        <v>130712.51820000001</v>
      </c>
      <c r="AE51" s="59"/>
      <c r="AF51" s="60">
        <f>IF(AND($AA51="",AD51=""),"",$AA51-AD51)</f>
        <v>-32422.348199999979</v>
      </c>
      <c r="AG51" s="58">
        <v>102946.22</v>
      </c>
      <c r="AH51" s="59"/>
      <c r="AI51" s="60">
        <f>IF(AND($AA51="",AG51=""),"",$AA51-AG51)</f>
        <v>-4656.0499999999738</v>
      </c>
      <c r="AJ51" s="352">
        <f>IFERROR(AA51/AA$22,0)</f>
        <v>2.4287168272794668</v>
      </c>
      <c r="AK51" s="353">
        <f>IFERROR(AD51/AD$22,0)</f>
        <v>3.2490496930227937</v>
      </c>
      <c r="AL51" s="354">
        <f>AJ51-AK51</f>
        <v>-0.82033286574332687</v>
      </c>
      <c r="AM51" s="355">
        <f>IFERROR(AG51/AG$22,0)</f>
        <v>2.5810113824399541</v>
      </c>
      <c r="AN51" s="354">
        <f>AJ51-AM51</f>
        <v>-0.15229455516048729</v>
      </c>
    </row>
    <row r="52" spans="1:40" ht="16" thickTop="1" x14ac:dyDescent="0.2">
      <c r="A52" s="6" t="s">
        <v>7</v>
      </c>
      <c r="B52" s="7"/>
      <c r="G52" s="13"/>
      <c r="H52" s="13"/>
      <c r="I52" s="13"/>
      <c r="J52" s="13"/>
      <c r="N52" s="24"/>
      <c r="O52" s="50"/>
      <c r="AB52" s="51"/>
      <c r="AD52" s="50"/>
      <c r="AF52" s="51"/>
      <c r="AG52" s="50"/>
      <c r="AI52" s="51"/>
    </row>
    <row r="53" spans="1:40" x14ac:dyDescent="0.2">
      <c r="A53" s="6" t="s">
        <v>47</v>
      </c>
      <c r="B53" s="14" t="s">
        <v>1162</v>
      </c>
      <c r="G53" s="13"/>
      <c r="H53" s="1" t="s">
        <v>240</v>
      </c>
      <c r="I53" s="11" t="s">
        <v>1006</v>
      </c>
      <c r="J53" s="11" t="s">
        <v>78</v>
      </c>
      <c r="N53" s="37" t="s">
        <v>1177</v>
      </c>
      <c r="O53" s="50"/>
      <c r="AB53" s="51"/>
      <c r="AD53" s="50"/>
      <c r="AF53" s="51"/>
      <c r="AG53" s="50"/>
      <c r="AI53" s="51"/>
    </row>
    <row r="54" spans="1:40" x14ac:dyDescent="0.2">
      <c r="A54" s="6" t="s">
        <v>8</v>
      </c>
      <c r="B54" s="7"/>
      <c r="G54" s="13"/>
      <c r="H54" s="10" t="s">
        <v>230</v>
      </c>
      <c r="I54" s="25" t="s">
        <v>1004</v>
      </c>
      <c r="J54" s="25" t="s">
        <v>1004</v>
      </c>
      <c r="K54" s="64" t="str">
        <f t="shared" ref="K54:K61" si="13">IF(AND(I54&gt;="T3"),"&gt;","")</f>
        <v/>
      </c>
      <c r="L54" s="72">
        <v>910200</v>
      </c>
      <c r="M54" s="24">
        <v>994300</v>
      </c>
      <c r="N54" s="24" t="s">
        <v>1178</v>
      </c>
      <c r="O54" s="19"/>
      <c r="P54" s="19"/>
      <c r="Q54" s="19"/>
      <c r="R54" s="19"/>
      <c r="S54" s="19"/>
      <c r="T54" s="19"/>
      <c r="U54" s="19"/>
      <c r="V54" s="19"/>
      <c r="W54" s="19"/>
      <c r="X54" s="19"/>
      <c r="Y54" s="19"/>
      <c r="Z54" s="19"/>
      <c r="AA54" s="19">
        <f t="shared" ref="AA54:AA61" si="14">IF($I54="B1","",SUM(O54:Z54))</f>
        <v>0</v>
      </c>
      <c r="AB54" s="15" t="str">
        <f t="shared" ref="AB54:AB61" si="15">IF(AA54=0,"",IFERROR(AA54/AA$20,""))</f>
        <v/>
      </c>
      <c r="AD54" s="19"/>
      <c r="AE54" s="15" t="str">
        <f t="shared" ref="AE54:AE61" si="16">IF(AD54=0,"",IFERROR(AD54/AD$20,""))</f>
        <v/>
      </c>
      <c r="AF54" s="47">
        <f t="shared" ref="AF54:AF61" si="17">IF(AND($AA54="",AD54=""),"",$AA54-AD54)</f>
        <v>0</v>
      </c>
      <c r="AG54" s="19"/>
      <c r="AH54" s="15" t="str">
        <f t="shared" ref="AH54:AH61" si="18">IF(AG54=0,"",IFERROR(AG54/AG$20,""))</f>
        <v/>
      </c>
      <c r="AI54" s="47">
        <f t="shared" ref="AI54:AI61" si="19">IF(AND($AA54="",AG54=""),"",$AA54-AG54)</f>
        <v>0</v>
      </c>
    </row>
    <row r="55" spans="1:40" x14ac:dyDescent="0.2">
      <c r="G55" s="13"/>
      <c r="H55" s="10" t="s">
        <v>175</v>
      </c>
      <c r="I55" s="447" t="s">
        <v>1006</v>
      </c>
      <c r="J55" s="447" t="s">
        <v>78</v>
      </c>
      <c r="K55" s="448" t="str">
        <f t="shared" si="13"/>
        <v/>
      </c>
      <c r="L55" s="23"/>
      <c r="M55" s="151"/>
      <c r="N55" s="151" t="s">
        <v>175</v>
      </c>
      <c r="O55" s="19"/>
      <c r="P55" s="19"/>
      <c r="Q55" s="19"/>
      <c r="R55" s="19"/>
      <c r="S55" s="19"/>
      <c r="T55" s="19"/>
      <c r="U55" s="19"/>
      <c r="V55" s="19"/>
      <c r="W55" s="19"/>
      <c r="X55" s="19"/>
      <c r="Y55" s="19"/>
      <c r="Z55" s="19"/>
      <c r="AA55" s="19" t="str">
        <f t="shared" si="14"/>
        <v/>
      </c>
      <c r="AB55" s="15" t="str">
        <f t="shared" si="15"/>
        <v/>
      </c>
      <c r="AD55" s="19"/>
      <c r="AE55" s="15" t="str">
        <f t="shared" si="16"/>
        <v/>
      </c>
      <c r="AF55" s="47" t="str">
        <f t="shared" si="17"/>
        <v/>
      </c>
      <c r="AG55" s="19"/>
      <c r="AH55" s="15" t="str">
        <f t="shared" si="18"/>
        <v/>
      </c>
      <c r="AI55" s="47" t="str">
        <f t="shared" si="19"/>
        <v/>
      </c>
    </row>
    <row r="56" spans="1:40" x14ac:dyDescent="0.2">
      <c r="G56" s="13"/>
      <c r="H56" s="10" t="s">
        <v>231</v>
      </c>
      <c r="I56" s="25" t="s">
        <v>1007</v>
      </c>
      <c r="J56" s="25" t="s">
        <v>78</v>
      </c>
      <c r="K56" s="64" t="str">
        <f t="shared" si="13"/>
        <v>&gt;</v>
      </c>
      <c r="L56" s="72"/>
      <c r="M56" s="24"/>
      <c r="N56" s="24" t="s">
        <v>1179</v>
      </c>
      <c r="O56" s="19"/>
      <c r="P56" s="19"/>
      <c r="Q56" s="19"/>
      <c r="R56" s="19"/>
      <c r="S56" s="19"/>
      <c r="T56" s="19"/>
      <c r="U56" s="19"/>
      <c r="V56" s="19"/>
      <c r="W56" s="19"/>
      <c r="X56" s="19"/>
      <c r="Y56" s="19"/>
      <c r="Z56" s="19"/>
      <c r="AA56" s="19">
        <f t="shared" si="14"/>
        <v>0</v>
      </c>
      <c r="AB56" s="15" t="str">
        <f t="shared" si="15"/>
        <v/>
      </c>
      <c r="AD56" s="19"/>
      <c r="AE56" s="15" t="str">
        <f t="shared" si="16"/>
        <v/>
      </c>
      <c r="AF56" s="47">
        <f t="shared" si="17"/>
        <v>0</v>
      </c>
      <c r="AG56" s="19"/>
      <c r="AH56" s="15" t="str">
        <f t="shared" si="18"/>
        <v/>
      </c>
      <c r="AI56" s="47">
        <f t="shared" si="19"/>
        <v>0</v>
      </c>
    </row>
    <row r="57" spans="1:40" x14ac:dyDescent="0.2">
      <c r="A57" s="4" t="s">
        <v>989</v>
      </c>
      <c r="G57" s="13"/>
      <c r="H57" s="133" t="s">
        <v>232</v>
      </c>
      <c r="I57" s="25" t="s">
        <v>1004</v>
      </c>
      <c r="J57" s="25" t="s">
        <v>1004</v>
      </c>
      <c r="K57" s="64" t="str">
        <f t="shared" si="13"/>
        <v/>
      </c>
      <c r="L57" s="72">
        <v>910220</v>
      </c>
      <c r="M57" s="24">
        <v>994330</v>
      </c>
      <c r="N57" s="24" t="s">
        <v>1180</v>
      </c>
      <c r="O57" s="19"/>
      <c r="P57" s="19"/>
      <c r="Q57" s="19"/>
      <c r="R57" s="19"/>
      <c r="S57" s="19"/>
      <c r="T57" s="19"/>
      <c r="U57" s="19"/>
      <c r="V57" s="19"/>
      <c r="W57" s="19"/>
      <c r="X57" s="19"/>
      <c r="Y57" s="19"/>
      <c r="Z57" s="19"/>
      <c r="AA57" s="19">
        <f t="shared" si="14"/>
        <v>0</v>
      </c>
      <c r="AB57" s="15" t="str">
        <f t="shared" si="15"/>
        <v/>
      </c>
      <c r="AD57" s="19"/>
      <c r="AE57" s="15" t="str">
        <f t="shared" si="16"/>
        <v/>
      </c>
      <c r="AF57" s="47">
        <f t="shared" si="17"/>
        <v>0</v>
      </c>
      <c r="AG57" s="19"/>
      <c r="AH57" s="15" t="str">
        <f t="shared" si="18"/>
        <v/>
      </c>
      <c r="AI57" s="47">
        <f t="shared" si="19"/>
        <v>0</v>
      </c>
    </row>
    <row r="58" spans="1:40" x14ac:dyDescent="0.2">
      <c r="G58" s="13"/>
      <c r="H58" s="133" t="s">
        <v>233</v>
      </c>
      <c r="I58" s="25" t="s">
        <v>1004</v>
      </c>
      <c r="J58" s="25" t="s">
        <v>1004</v>
      </c>
      <c r="K58" s="64" t="str">
        <f t="shared" si="13"/>
        <v/>
      </c>
      <c r="L58" s="72">
        <v>910230</v>
      </c>
      <c r="M58" s="24">
        <v>994340</v>
      </c>
      <c r="N58" s="24" t="s">
        <v>1181</v>
      </c>
      <c r="O58" s="19">
        <v>16.88</v>
      </c>
      <c r="P58" s="19">
        <v>36</v>
      </c>
      <c r="Q58" s="19">
        <v>62</v>
      </c>
      <c r="R58" s="19">
        <v>81</v>
      </c>
      <c r="S58" s="19">
        <v>21</v>
      </c>
      <c r="T58" s="19">
        <v>43</v>
      </c>
      <c r="U58" s="19">
        <v>43</v>
      </c>
      <c r="V58" s="19">
        <v>43</v>
      </c>
      <c r="W58" s="19">
        <v>15</v>
      </c>
      <c r="X58" s="19">
        <v>27</v>
      </c>
      <c r="Y58" s="19">
        <v>51</v>
      </c>
      <c r="Z58" s="19">
        <v>-27</v>
      </c>
      <c r="AA58" s="19">
        <f t="shared" si="14"/>
        <v>411.88</v>
      </c>
      <c r="AB58" s="15">
        <f t="shared" si="15"/>
        <v>1</v>
      </c>
      <c r="AD58" s="19">
        <v>462</v>
      </c>
      <c r="AE58" s="15">
        <f t="shared" si="16"/>
        <v>1</v>
      </c>
      <c r="AF58" s="47">
        <f t="shared" si="17"/>
        <v>-50.120000000000005</v>
      </c>
      <c r="AG58" s="19">
        <v>435</v>
      </c>
      <c r="AH58" s="15">
        <f t="shared" si="18"/>
        <v>1</v>
      </c>
      <c r="AI58" s="47">
        <f t="shared" si="19"/>
        <v>-23.120000000000005</v>
      </c>
    </row>
    <row r="59" spans="1:40" x14ac:dyDescent="0.2">
      <c r="A59" s="3" t="s">
        <v>0</v>
      </c>
      <c r="B59" s="5" t="s">
        <v>1</v>
      </c>
      <c r="G59" s="13"/>
      <c r="H59" s="133" t="s">
        <v>234</v>
      </c>
      <c r="I59" s="25" t="s">
        <v>1004</v>
      </c>
      <c r="J59" s="25" t="s">
        <v>1004</v>
      </c>
      <c r="K59" s="64" t="str">
        <f t="shared" si="13"/>
        <v/>
      </c>
      <c r="L59" s="72">
        <v>910240</v>
      </c>
      <c r="M59" s="24">
        <v>994350</v>
      </c>
      <c r="N59" s="24" t="s">
        <v>1182</v>
      </c>
      <c r="O59" s="19"/>
      <c r="P59" s="19"/>
      <c r="Q59" s="19"/>
      <c r="R59" s="19"/>
      <c r="S59" s="19"/>
      <c r="T59" s="19"/>
      <c r="U59" s="19"/>
      <c r="V59" s="19"/>
      <c r="W59" s="19"/>
      <c r="X59" s="19"/>
      <c r="Y59" s="19"/>
      <c r="Z59" s="19"/>
      <c r="AA59" s="19">
        <f t="shared" si="14"/>
        <v>0</v>
      </c>
      <c r="AB59" s="15" t="str">
        <f t="shared" si="15"/>
        <v/>
      </c>
      <c r="AD59" s="19"/>
      <c r="AE59" s="15" t="str">
        <f t="shared" si="16"/>
        <v/>
      </c>
      <c r="AF59" s="47">
        <f t="shared" si="17"/>
        <v>0</v>
      </c>
      <c r="AG59" s="19"/>
      <c r="AH59" s="15" t="str">
        <f t="shared" si="18"/>
        <v/>
      </c>
      <c r="AI59" s="47">
        <f t="shared" si="19"/>
        <v>0</v>
      </c>
    </row>
    <row r="60" spans="1:40" x14ac:dyDescent="0.2">
      <c r="A60" s="6" t="s">
        <v>2</v>
      </c>
      <c r="B60" s="14" t="s">
        <v>1156</v>
      </c>
      <c r="G60" s="13"/>
      <c r="H60" s="133" t="s">
        <v>235</v>
      </c>
      <c r="I60" s="25" t="s">
        <v>1007</v>
      </c>
      <c r="J60" s="25" t="s">
        <v>78</v>
      </c>
      <c r="K60" s="64" t="str">
        <f t="shared" si="13"/>
        <v>&gt;</v>
      </c>
      <c r="L60" s="72">
        <v>910250</v>
      </c>
      <c r="M60" s="24"/>
      <c r="N60" s="24" t="s">
        <v>1183</v>
      </c>
      <c r="O60" s="28"/>
      <c r="P60" s="28"/>
      <c r="Q60" s="28"/>
      <c r="R60" s="28"/>
      <c r="S60" s="28"/>
      <c r="T60" s="28"/>
      <c r="U60" s="28"/>
      <c r="V60" s="28"/>
      <c r="W60" s="28"/>
      <c r="X60" s="28"/>
      <c r="Y60" s="28"/>
      <c r="Z60" s="28"/>
      <c r="AA60" s="28">
        <f t="shared" si="14"/>
        <v>0</v>
      </c>
      <c r="AB60" s="29" t="str">
        <f t="shared" si="15"/>
        <v/>
      </c>
      <c r="AD60" s="28"/>
      <c r="AE60" s="29" t="str">
        <f t="shared" si="16"/>
        <v/>
      </c>
      <c r="AF60" s="48">
        <f t="shared" si="17"/>
        <v>0</v>
      </c>
      <c r="AG60" s="28"/>
      <c r="AH60" s="29" t="str">
        <f t="shared" si="18"/>
        <v/>
      </c>
      <c r="AI60" s="48">
        <f t="shared" si="19"/>
        <v>0</v>
      </c>
    </row>
    <row r="61" spans="1:40" x14ac:dyDescent="0.2">
      <c r="A61" s="6" t="s">
        <v>3</v>
      </c>
      <c r="B61" s="14" t="s">
        <v>1184</v>
      </c>
      <c r="G61" s="13"/>
      <c r="H61" s="133" t="s">
        <v>236</v>
      </c>
      <c r="I61" s="447" t="s">
        <v>1005</v>
      </c>
      <c r="J61" s="447" t="s">
        <v>78</v>
      </c>
      <c r="K61" s="448" t="str">
        <f t="shared" si="13"/>
        <v/>
      </c>
      <c r="L61" s="23"/>
      <c r="M61" s="151"/>
      <c r="N61" s="151" t="s">
        <v>1159</v>
      </c>
      <c r="O61" s="120">
        <v>16.88</v>
      </c>
      <c r="P61" s="120">
        <v>36</v>
      </c>
      <c r="Q61" s="120">
        <v>62</v>
      </c>
      <c r="R61" s="120">
        <v>81</v>
      </c>
      <c r="S61" s="120">
        <v>21</v>
      </c>
      <c r="T61" s="120">
        <v>43</v>
      </c>
      <c r="U61" s="120">
        <v>43</v>
      </c>
      <c r="V61" s="120">
        <v>43</v>
      </c>
      <c r="W61" s="120">
        <v>15</v>
      </c>
      <c r="X61" s="120">
        <v>27</v>
      </c>
      <c r="Y61" s="120">
        <v>51</v>
      </c>
      <c r="Z61" s="120">
        <v>-27</v>
      </c>
      <c r="AA61" s="120">
        <f t="shared" si="14"/>
        <v>411.88</v>
      </c>
      <c r="AB61" s="121">
        <f t="shared" si="15"/>
        <v>1</v>
      </c>
      <c r="AC61" s="123"/>
      <c r="AD61" s="120">
        <v>462</v>
      </c>
      <c r="AE61" s="121">
        <f t="shared" si="16"/>
        <v>1</v>
      </c>
      <c r="AF61" s="122">
        <f t="shared" si="17"/>
        <v>-50.120000000000005</v>
      </c>
      <c r="AG61" s="120">
        <v>435</v>
      </c>
      <c r="AH61" s="121">
        <f t="shared" si="18"/>
        <v>1</v>
      </c>
      <c r="AI61" s="122">
        <f t="shared" si="19"/>
        <v>-23.120000000000005</v>
      </c>
    </row>
    <row r="62" spans="1:40" x14ac:dyDescent="0.2">
      <c r="A62" s="6" t="s">
        <v>4</v>
      </c>
      <c r="B62" s="14" t="s">
        <v>1185</v>
      </c>
      <c r="G62" s="13"/>
      <c r="O62" s="35"/>
      <c r="P62" s="35"/>
      <c r="Q62" s="35"/>
      <c r="R62" s="35"/>
      <c r="S62" s="35"/>
      <c r="T62" s="35"/>
      <c r="U62" s="35"/>
      <c r="V62" s="35"/>
      <c r="W62" s="35"/>
      <c r="X62" s="35"/>
      <c r="Y62" s="35"/>
      <c r="Z62" s="35"/>
      <c r="AA62" s="35"/>
      <c r="AB62" s="36"/>
      <c r="AD62" s="35"/>
      <c r="AE62" s="36"/>
      <c r="AF62" s="118"/>
      <c r="AG62" s="35"/>
      <c r="AH62" s="36"/>
      <c r="AI62" s="118"/>
    </row>
    <row r="63" spans="1:40" x14ac:dyDescent="0.2">
      <c r="A63" s="6" t="s">
        <v>5</v>
      </c>
      <c r="B63" s="7"/>
      <c r="G63" s="13"/>
      <c r="K63" s="24"/>
      <c r="L63" s="24"/>
      <c r="M63" s="24"/>
      <c r="N63" s="24" t="str">
        <f>N21</f>
        <v>Number of Rooms on Property</v>
      </c>
      <c r="O63" s="19">
        <f t="shared" ref="O63:AA63" si="20">O$21</f>
        <v>132</v>
      </c>
      <c r="P63" s="19">
        <f t="shared" si="20"/>
        <v>132</v>
      </c>
      <c r="Q63" s="19">
        <f t="shared" si="20"/>
        <v>132</v>
      </c>
      <c r="R63" s="19">
        <f t="shared" si="20"/>
        <v>132</v>
      </c>
      <c r="S63" s="19">
        <f t="shared" si="20"/>
        <v>132</v>
      </c>
      <c r="T63" s="19">
        <f t="shared" si="20"/>
        <v>132</v>
      </c>
      <c r="U63" s="19">
        <f t="shared" si="20"/>
        <v>132</v>
      </c>
      <c r="V63" s="19">
        <f t="shared" si="20"/>
        <v>132</v>
      </c>
      <c r="W63" s="19">
        <f t="shared" si="20"/>
        <v>132</v>
      </c>
      <c r="X63" s="19">
        <f t="shared" si="20"/>
        <v>132</v>
      </c>
      <c r="Y63" s="19">
        <f t="shared" si="20"/>
        <v>132</v>
      </c>
      <c r="Z63" s="19">
        <f t="shared" si="20"/>
        <v>132</v>
      </c>
      <c r="AA63" s="19">
        <f t="shared" si="20"/>
        <v>1584</v>
      </c>
      <c r="AB63" s="15"/>
      <c r="AD63" s="19">
        <f>AD$21</f>
        <v>1584</v>
      </c>
      <c r="AE63" s="15"/>
      <c r="AF63" s="125"/>
      <c r="AG63" s="19">
        <f>AG$21</f>
        <v>1584</v>
      </c>
      <c r="AH63" s="15"/>
      <c r="AI63" s="125"/>
    </row>
    <row r="64" spans="1:40" x14ac:dyDescent="0.2">
      <c r="A64" s="6" t="s">
        <v>6</v>
      </c>
      <c r="B64" s="7"/>
      <c r="G64" s="13"/>
      <c r="K64" s="24"/>
      <c r="L64" s="24"/>
      <c r="M64" s="24"/>
      <c r="N64" s="24"/>
      <c r="O64" s="19"/>
      <c r="P64" s="19"/>
      <c r="Q64" s="19"/>
      <c r="R64" s="19"/>
      <c r="S64" s="19"/>
      <c r="T64" s="19"/>
      <c r="U64" s="19"/>
      <c r="V64" s="19"/>
      <c r="W64" s="19"/>
      <c r="X64" s="19"/>
      <c r="Y64" s="19"/>
      <c r="Z64" s="19"/>
      <c r="AA64" s="19"/>
      <c r="AB64" s="15"/>
      <c r="AD64" s="19"/>
      <c r="AE64" s="15"/>
      <c r="AF64" s="47"/>
      <c r="AG64" s="19"/>
      <c r="AH64" s="15"/>
      <c r="AI64" s="47"/>
    </row>
    <row r="65" spans="1:35" x14ac:dyDescent="0.2">
      <c r="A65" s="6" t="s">
        <v>7</v>
      </c>
      <c r="B65" s="14" t="s">
        <v>1186</v>
      </c>
      <c r="G65" s="13"/>
      <c r="H65" s="10"/>
      <c r="I65" s="25"/>
      <c r="J65" s="25"/>
      <c r="K65" s="64"/>
      <c r="L65" s="64"/>
      <c r="M65" s="64"/>
      <c r="N65" s="24" t="s">
        <v>245</v>
      </c>
      <c r="O65" s="124" t="e">
        <f t="shared" ref="O65:AA65" si="21">SUMIF($H$34:$H$45,"710150",O$34:O$45)/SUMIF($H$54:$H$61,"910200",O$54:O$61)</f>
        <v>#DIV/0!</v>
      </c>
      <c r="P65" s="124" t="e">
        <f t="shared" si="21"/>
        <v>#DIV/0!</v>
      </c>
      <c r="Q65" s="124" t="e">
        <f t="shared" si="21"/>
        <v>#DIV/0!</v>
      </c>
      <c r="R65" s="124" t="e">
        <f t="shared" si="21"/>
        <v>#DIV/0!</v>
      </c>
      <c r="S65" s="124" t="e">
        <f t="shared" si="21"/>
        <v>#DIV/0!</v>
      </c>
      <c r="T65" s="124" t="e">
        <f t="shared" si="21"/>
        <v>#DIV/0!</v>
      </c>
      <c r="U65" s="124" t="e">
        <f t="shared" si="21"/>
        <v>#DIV/0!</v>
      </c>
      <c r="V65" s="124" t="e">
        <f t="shared" si="21"/>
        <v>#DIV/0!</v>
      </c>
      <c r="W65" s="124" t="e">
        <f t="shared" si="21"/>
        <v>#DIV/0!</v>
      </c>
      <c r="X65" s="124" t="e">
        <f t="shared" si="21"/>
        <v>#DIV/0!</v>
      </c>
      <c r="Y65" s="124" t="e">
        <f t="shared" si="21"/>
        <v>#DIV/0!</v>
      </c>
      <c r="Z65" s="124" t="e">
        <f t="shared" si="21"/>
        <v>#DIV/0!</v>
      </c>
      <c r="AA65" s="124" t="e">
        <f t="shared" si="21"/>
        <v>#DIV/0!</v>
      </c>
      <c r="AB65" s="15"/>
      <c r="AD65" s="124" t="e">
        <f>SUMIF($H$34:$H$45,"710150",AD$34:AD$45)/SUMIF($H$54:$H$61,"910200",AD$54:AD$61)</f>
        <v>#DIV/0!</v>
      </c>
      <c r="AE65" s="15"/>
      <c r="AF65" s="125" t="e">
        <f t="shared" ref="AF65:AF74" si="22">IF(AND($AA65="",AD65=""),"",$AA65-AD65)</f>
        <v>#DIV/0!</v>
      </c>
      <c r="AG65" s="124" t="e">
        <f>SUMIF($H$34:$H$45,"710150",AG$34:AG$45)/SUMIF($H$54:$H$61,"910200",AG$54:AG$61)</f>
        <v>#DIV/0!</v>
      </c>
      <c r="AH65" s="15"/>
      <c r="AI65" s="125" t="e">
        <f t="shared" ref="AI65:AI74" si="23">IF(AND($AA65="",AG65=""),"",$AA65-AG65)</f>
        <v>#DIV/0!</v>
      </c>
    </row>
    <row r="66" spans="1:35" x14ac:dyDescent="0.2">
      <c r="A66" s="6" t="s">
        <v>47</v>
      </c>
      <c r="B66" s="14" t="s">
        <v>1162</v>
      </c>
      <c r="G66" s="13"/>
      <c r="H66" s="10"/>
      <c r="I66" s="25"/>
      <c r="J66" s="25"/>
      <c r="K66" s="64"/>
      <c r="L66" s="64"/>
      <c r="M66" s="64"/>
      <c r="N66" s="24" t="s">
        <v>246</v>
      </c>
      <c r="O66" s="124" t="e">
        <f t="shared" ref="O66:AA66" si="24">(SUMIF($H$34:$H$45,"710140",O$34:O$45)+SUMIF($H$34:$H$45,"710145",O$34:O$45))/(SUMIF($H$54:$H$61,"RESATHOTEL",O$54:O$61)+SUMIF($H$54:$H$61,"910220",O$54:O$61))</f>
        <v>#DIV/0!</v>
      </c>
      <c r="P66" s="124" t="e">
        <f t="shared" si="24"/>
        <v>#DIV/0!</v>
      </c>
      <c r="Q66" s="124" t="e">
        <f t="shared" si="24"/>
        <v>#DIV/0!</v>
      </c>
      <c r="R66" s="124" t="e">
        <f t="shared" si="24"/>
        <v>#DIV/0!</v>
      </c>
      <c r="S66" s="124" t="e">
        <f t="shared" si="24"/>
        <v>#DIV/0!</v>
      </c>
      <c r="T66" s="124" t="e">
        <f t="shared" si="24"/>
        <v>#DIV/0!</v>
      </c>
      <c r="U66" s="124" t="e">
        <f t="shared" si="24"/>
        <v>#DIV/0!</v>
      </c>
      <c r="V66" s="124" t="e">
        <f t="shared" si="24"/>
        <v>#DIV/0!</v>
      </c>
      <c r="W66" s="124" t="e">
        <f t="shared" si="24"/>
        <v>#DIV/0!</v>
      </c>
      <c r="X66" s="124" t="e">
        <f t="shared" si="24"/>
        <v>#DIV/0!</v>
      </c>
      <c r="Y66" s="124" t="e">
        <f t="shared" si="24"/>
        <v>#DIV/0!</v>
      </c>
      <c r="Z66" s="124" t="e">
        <f t="shared" si="24"/>
        <v>#DIV/0!</v>
      </c>
      <c r="AA66" s="124" t="e">
        <f t="shared" si="24"/>
        <v>#DIV/0!</v>
      </c>
      <c r="AB66" s="15"/>
      <c r="AD66" s="124" t="e">
        <f>(SUMIF($H$34:$H$45,"710140",AD$34:AD$45)+SUMIF($H$34:$H$45,"710145",AD$34:AD$45))/(SUMIF($H$54:$H$61,"RESATHOTEL",AD$54:AD$61)+SUMIF($H$54:$H$61,"910220",AD$54:AD$61))</f>
        <v>#DIV/0!</v>
      </c>
      <c r="AE66" s="15"/>
      <c r="AF66" s="125" t="e">
        <f t="shared" si="22"/>
        <v>#DIV/0!</v>
      </c>
      <c r="AG66" s="124" t="e">
        <f>(SUMIF($H$34:$H$45,"710140",AG$34:AG$45)+SUMIF($H$34:$H$45,"710145",AG$34:AG$45))/(SUMIF($H$54:$H$61,"RESATHOTEL",AG$54:AG$61)+SUMIF($H$54:$H$61,"910220",AG$54:AG$61))</f>
        <v>#DIV/0!</v>
      </c>
      <c r="AH66" s="15"/>
      <c r="AI66" s="125" t="e">
        <f t="shared" si="23"/>
        <v>#DIV/0!</v>
      </c>
    </row>
    <row r="67" spans="1:35" x14ac:dyDescent="0.2">
      <c r="A67" s="6" t="s">
        <v>8</v>
      </c>
      <c r="B67" s="7"/>
      <c r="G67" s="13"/>
      <c r="H67" s="10"/>
      <c r="I67" s="25"/>
      <c r="J67" s="25"/>
      <c r="K67" s="64"/>
      <c r="L67" s="64"/>
      <c r="M67" s="64"/>
      <c r="N67" s="24" t="s">
        <v>247</v>
      </c>
      <c r="O67" s="124">
        <f t="shared" ref="O67:AA67" si="25">SUMIF($H$34:$H$45,"710160",O$34:O$45)/O$63</f>
        <v>0</v>
      </c>
      <c r="P67" s="124">
        <f t="shared" si="25"/>
        <v>0</v>
      </c>
      <c r="Q67" s="124">
        <f t="shared" si="25"/>
        <v>0</v>
      </c>
      <c r="R67" s="124">
        <f t="shared" si="25"/>
        <v>0</v>
      </c>
      <c r="S67" s="124">
        <f t="shared" si="25"/>
        <v>0</v>
      </c>
      <c r="T67" s="124">
        <f t="shared" si="25"/>
        <v>0</v>
      </c>
      <c r="U67" s="124">
        <f t="shared" si="25"/>
        <v>0</v>
      </c>
      <c r="V67" s="124">
        <f t="shared" si="25"/>
        <v>0</v>
      </c>
      <c r="W67" s="124">
        <f t="shared" si="25"/>
        <v>0</v>
      </c>
      <c r="X67" s="124">
        <f t="shared" si="25"/>
        <v>0</v>
      </c>
      <c r="Y67" s="124">
        <f t="shared" si="25"/>
        <v>0</v>
      </c>
      <c r="Z67" s="124">
        <f t="shared" si="25"/>
        <v>0</v>
      </c>
      <c r="AA67" s="124">
        <f t="shared" si="25"/>
        <v>0</v>
      </c>
      <c r="AB67" s="15"/>
      <c r="AD67" s="124">
        <f>SUMIF($H$34:$H$45,"710160",AD$34:AD$45)/AD$63</f>
        <v>0</v>
      </c>
      <c r="AE67" s="15"/>
      <c r="AF67" s="125">
        <f t="shared" si="22"/>
        <v>0</v>
      </c>
      <c r="AG67" s="124">
        <f>SUMIF($H$34:$H$45,"710160",AG$34:AG$45)/AG$63</f>
        <v>0</v>
      </c>
      <c r="AH67" s="15"/>
      <c r="AI67" s="125">
        <f t="shared" si="23"/>
        <v>0</v>
      </c>
    </row>
    <row r="68" spans="1:35" x14ac:dyDescent="0.2">
      <c r="G68" s="13"/>
      <c r="H68" s="10"/>
      <c r="I68" s="25"/>
      <c r="J68" s="25"/>
      <c r="K68" s="64"/>
      <c r="L68" s="64"/>
      <c r="M68" s="64"/>
      <c r="N68" s="24" t="s">
        <v>248</v>
      </c>
      <c r="O68" s="124">
        <f t="shared" ref="O68:AA68" si="26">SUMIF($H$34:$H$45,"710170",O$34:O$45)/SUMIF($H$54:$H$61,"910230",O$54:O$61)</f>
        <v>6.3981042654028437</v>
      </c>
      <c r="P68" s="124">
        <f t="shared" si="26"/>
        <v>6.4</v>
      </c>
      <c r="Q68" s="124">
        <f t="shared" si="26"/>
        <v>6.4</v>
      </c>
      <c r="R68" s="124">
        <f t="shared" si="26"/>
        <v>6.3999999999999995</v>
      </c>
      <c r="S68" s="124">
        <f t="shared" si="26"/>
        <v>6.4</v>
      </c>
      <c r="T68" s="124">
        <f t="shared" si="26"/>
        <v>6.3999999999999995</v>
      </c>
      <c r="U68" s="124">
        <f t="shared" si="26"/>
        <v>6.3999999999999995</v>
      </c>
      <c r="V68" s="124">
        <f t="shared" si="26"/>
        <v>6.4069767441860463</v>
      </c>
      <c r="W68" s="124">
        <f t="shared" si="26"/>
        <v>6.4</v>
      </c>
      <c r="X68" s="124">
        <f t="shared" si="26"/>
        <v>6.4</v>
      </c>
      <c r="Y68" s="124">
        <f t="shared" si="26"/>
        <v>3.3882352941176475</v>
      </c>
      <c r="Z68" s="124">
        <f t="shared" si="26"/>
        <v>-8.1185185185185187</v>
      </c>
      <c r="AA68" s="124">
        <f t="shared" si="26"/>
        <v>6.9794600369039532</v>
      </c>
      <c r="AB68" s="15"/>
      <c r="AD68" s="124">
        <f>SUMIF($H$34:$H$45,"710170",AD$34:AD$45)/SUMIF($H$54:$H$61,"910230",AD$54:AD$61)</f>
        <v>6.4</v>
      </c>
      <c r="AE68" s="15"/>
      <c r="AF68" s="125">
        <f t="shared" si="22"/>
        <v>0.57946003690395287</v>
      </c>
      <c r="AG68" s="124">
        <f>SUMIF($H$34:$H$45,"710170",AG$34:AG$45)/SUMIF($H$54:$H$61,"910230",AG$54:AG$61)</f>
        <v>6.3903448275862074</v>
      </c>
      <c r="AH68" s="15"/>
      <c r="AI68" s="125">
        <f t="shared" si="23"/>
        <v>0.58911520931774586</v>
      </c>
    </row>
    <row r="69" spans="1:35" x14ac:dyDescent="0.2">
      <c r="A69" s="3" t="s">
        <v>9</v>
      </c>
      <c r="B69" s="5" t="s">
        <v>10</v>
      </c>
      <c r="G69" s="13"/>
      <c r="H69" s="10"/>
      <c r="I69" s="25"/>
      <c r="J69" s="25"/>
      <c r="K69" s="64"/>
      <c r="L69" s="64"/>
      <c r="M69" s="64"/>
      <c r="N69" s="24" t="s">
        <v>249</v>
      </c>
      <c r="O69" s="124" t="e">
        <f t="shared" ref="O69:AA69" si="27">SUMIF($H$34:$H$45,"710180",O$34:O$45)/SUMIF($H$54:$H$61,"910240",O$54:O$61)</f>
        <v>#DIV/0!</v>
      </c>
      <c r="P69" s="124" t="e">
        <f t="shared" si="27"/>
        <v>#DIV/0!</v>
      </c>
      <c r="Q69" s="124" t="e">
        <f t="shared" si="27"/>
        <v>#DIV/0!</v>
      </c>
      <c r="R69" s="124" t="e">
        <f t="shared" si="27"/>
        <v>#DIV/0!</v>
      </c>
      <c r="S69" s="124" t="e">
        <f t="shared" si="27"/>
        <v>#DIV/0!</v>
      </c>
      <c r="T69" s="124" t="e">
        <f t="shared" si="27"/>
        <v>#DIV/0!</v>
      </c>
      <c r="U69" s="124" t="e">
        <f t="shared" si="27"/>
        <v>#DIV/0!</v>
      </c>
      <c r="V69" s="124" t="e">
        <f t="shared" si="27"/>
        <v>#DIV/0!</v>
      </c>
      <c r="W69" s="124" t="e">
        <f t="shared" si="27"/>
        <v>#DIV/0!</v>
      </c>
      <c r="X69" s="124" t="e">
        <f t="shared" si="27"/>
        <v>#DIV/0!</v>
      </c>
      <c r="Y69" s="124" t="e">
        <f t="shared" si="27"/>
        <v>#DIV/0!</v>
      </c>
      <c r="Z69" s="124" t="e">
        <f t="shared" si="27"/>
        <v>#DIV/0!</v>
      </c>
      <c r="AA69" s="124" t="e">
        <f t="shared" si="27"/>
        <v>#DIV/0!</v>
      </c>
      <c r="AB69" s="15"/>
      <c r="AD69" s="124" t="e">
        <f>SUMIF($H$34:$H$45,"710180",AD$34:AD$45)/SUMIF($H$54:$H$61,"910240",AD$54:AD$61)</f>
        <v>#DIV/0!</v>
      </c>
      <c r="AE69" s="15"/>
      <c r="AF69" s="125" t="e">
        <f t="shared" si="22"/>
        <v>#DIV/0!</v>
      </c>
      <c r="AG69" s="124" t="e">
        <f>SUMIF($H$34:$H$45,"710180",AG$34:AG$45)/SUMIF($H$54:$H$61,"910240",AG$54:AG$61)</f>
        <v>#DIV/0!</v>
      </c>
      <c r="AH69" s="15"/>
      <c r="AI69" s="125" t="e">
        <f t="shared" si="23"/>
        <v>#DIV/0!</v>
      </c>
    </row>
    <row r="70" spans="1:35" x14ac:dyDescent="0.2">
      <c r="A70" s="6" t="s">
        <v>11</v>
      </c>
      <c r="B70" s="7" t="s">
        <v>21</v>
      </c>
      <c r="G70" s="13"/>
      <c r="H70" s="10"/>
      <c r="I70" s="25"/>
      <c r="J70" s="25"/>
      <c r="K70" s="64"/>
      <c r="L70" s="64"/>
      <c r="M70" s="64"/>
      <c r="N70" s="24" t="s">
        <v>250</v>
      </c>
      <c r="O70" s="124" t="e">
        <f t="shared" ref="O70:AA70" si="28">SUMIF($H$34:$H$45,"710190",O$34:O$45)/SUMIF($H$54:$H$61,"910250",O$54:O$61)</f>
        <v>#DIV/0!</v>
      </c>
      <c r="P70" s="124" t="e">
        <f t="shared" si="28"/>
        <v>#DIV/0!</v>
      </c>
      <c r="Q70" s="124" t="e">
        <f t="shared" si="28"/>
        <v>#DIV/0!</v>
      </c>
      <c r="R70" s="124" t="e">
        <f t="shared" si="28"/>
        <v>#DIV/0!</v>
      </c>
      <c r="S70" s="124" t="e">
        <f t="shared" si="28"/>
        <v>#DIV/0!</v>
      </c>
      <c r="T70" s="124" t="e">
        <f t="shared" si="28"/>
        <v>#DIV/0!</v>
      </c>
      <c r="U70" s="124" t="e">
        <f t="shared" si="28"/>
        <v>#DIV/0!</v>
      </c>
      <c r="V70" s="124" t="e">
        <f t="shared" si="28"/>
        <v>#DIV/0!</v>
      </c>
      <c r="W70" s="124" t="e">
        <f t="shared" si="28"/>
        <v>#DIV/0!</v>
      </c>
      <c r="X70" s="124" t="e">
        <f t="shared" si="28"/>
        <v>#DIV/0!</v>
      </c>
      <c r="Y70" s="124" t="e">
        <f t="shared" si="28"/>
        <v>#DIV/0!</v>
      </c>
      <c r="Z70" s="124" t="e">
        <f t="shared" si="28"/>
        <v>#DIV/0!</v>
      </c>
      <c r="AA70" s="124" t="e">
        <f t="shared" si="28"/>
        <v>#DIV/0!</v>
      </c>
      <c r="AB70" s="15"/>
      <c r="AD70" s="124" t="e">
        <f>SUMIF($H$34:$H$45,"710190",AD$34:AD$45)/SUMIF($H$54:$H$61,"910250",AD$54:AD$61)</f>
        <v>#DIV/0!</v>
      </c>
      <c r="AE70" s="15"/>
      <c r="AF70" s="125" t="e">
        <f t="shared" si="22"/>
        <v>#DIV/0!</v>
      </c>
      <c r="AG70" s="124" t="e">
        <f>SUMIF($H$34:$H$45,"710190",AG$34:AG$45)/SUMIF($H$54:$H$61,"910250",AG$54:AG$61)</f>
        <v>#DIV/0!</v>
      </c>
      <c r="AH70" s="15"/>
      <c r="AI70" s="125" t="e">
        <f t="shared" si="23"/>
        <v>#DIV/0!</v>
      </c>
    </row>
    <row r="71" spans="1:35" x14ac:dyDescent="0.2">
      <c r="A71" s="6" t="s">
        <v>12</v>
      </c>
      <c r="B71" s="7" t="s">
        <v>22</v>
      </c>
      <c r="G71" s="13"/>
      <c r="H71" s="10"/>
      <c r="I71" s="25"/>
      <c r="J71" s="25"/>
      <c r="K71" s="64"/>
      <c r="L71" s="64"/>
      <c r="M71" s="64"/>
      <c r="N71" s="24"/>
      <c r="O71" s="19"/>
      <c r="P71" s="19"/>
      <c r="Q71" s="19"/>
      <c r="R71" s="19"/>
      <c r="S71" s="19"/>
      <c r="T71" s="19"/>
      <c r="U71" s="19"/>
      <c r="V71" s="19"/>
      <c r="W71" s="19"/>
      <c r="X71" s="19"/>
      <c r="Y71" s="19"/>
      <c r="Z71" s="19"/>
      <c r="AA71" s="19"/>
      <c r="AB71" s="15"/>
      <c r="AD71" s="19"/>
      <c r="AE71" s="15"/>
      <c r="AF71" s="125" t="str">
        <f t="shared" si="22"/>
        <v/>
      </c>
      <c r="AG71" s="19"/>
      <c r="AH71" s="15"/>
      <c r="AI71" s="125" t="str">
        <f t="shared" si="23"/>
        <v/>
      </c>
    </row>
    <row r="72" spans="1:35" x14ac:dyDescent="0.2">
      <c r="A72" s="6" t="s">
        <v>13</v>
      </c>
      <c r="B72" s="7" t="s">
        <v>238</v>
      </c>
      <c r="G72" s="13"/>
      <c r="H72" s="10"/>
      <c r="I72" s="25"/>
      <c r="J72" s="25"/>
      <c r="K72" s="64"/>
      <c r="L72" s="64"/>
      <c r="M72" s="64"/>
      <c r="N72" s="72" t="s">
        <v>251</v>
      </c>
      <c r="O72" s="124">
        <f t="shared" ref="O72:AA72" si="29">SUMIF($H$34:$H$48,"700000",O$34:O$48)/SUMIF($H$54:$H$61,"TLNETRES",O$54:O$61)</f>
        <v>628.88566350710903</v>
      </c>
      <c r="P72" s="124">
        <f t="shared" si="29"/>
        <v>347.35055555555556</v>
      </c>
      <c r="Q72" s="124">
        <f t="shared" si="29"/>
        <v>200.85370967741935</v>
      </c>
      <c r="R72" s="124">
        <f t="shared" si="29"/>
        <v>119.47395061728395</v>
      </c>
      <c r="S72" s="124">
        <f t="shared" si="29"/>
        <v>394.64380952380952</v>
      </c>
      <c r="T72" s="124">
        <f t="shared" si="29"/>
        <v>129.89558139534884</v>
      </c>
      <c r="U72" s="124">
        <f t="shared" si="29"/>
        <v>132.26906976744186</v>
      </c>
      <c r="V72" s="124">
        <f t="shared" si="29"/>
        <v>118.2</v>
      </c>
      <c r="W72" s="124">
        <f t="shared" si="29"/>
        <v>287.10333333333335</v>
      </c>
      <c r="X72" s="124">
        <f t="shared" si="29"/>
        <v>232.40814814814817</v>
      </c>
      <c r="Y72" s="124">
        <f t="shared" si="29"/>
        <v>139.71549019607843</v>
      </c>
      <c r="Z72" s="124">
        <f t="shared" si="29"/>
        <v>-395.90296296296293</v>
      </c>
      <c r="AA72" s="124">
        <f t="shared" si="29"/>
        <v>238.63787996503842</v>
      </c>
      <c r="AB72" s="15"/>
      <c r="AD72" s="124">
        <f>SUMIF($H$34:$H$48,"700000",AD$34:AD$48)/SUMIF($H$54:$H$61,"TLNETRES",AD$54:AD$61)</f>
        <v>222.53791818181818</v>
      </c>
      <c r="AE72" s="15"/>
      <c r="AF72" s="125">
        <f t="shared" si="22"/>
        <v>16.099961783220238</v>
      </c>
      <c r="AG72" s="124">
        <f>SUMIF($H$34:$H$48,"700000",AG$34:AG$48)/SUMIF($H$54:$H$61,"TLNETRES",AG$54:AG$61)</f>
        <v>236.65797701149427</v>
      </c>
      <c r="AH72" s="15"/>
      <c r="AI72" s="125">
        <f t="shared" si="23"/>
        <v>1.9799029535441548</v>
      </c>
    </row>
    <row r="73" spans="1:35" x14ac:dyDescent="0.2">
      <c r="A73" s="6" t="s">
        <v>14</v>
      </c>
      <c r="B73" s="7"/>
      <c r="G73" s="13"/>
      <c r="H73" s="10"/>
      <c r="I73" s="25"/>
      <c r="J73" s="25"/>
      <c r="K73" s="64"/>
      <c r="L73" s="64"/>
      <c r="M73" s="64"/>
      <c r="N73" s="72" t="s">
        <v>252</v>
      </c>
      <c r="O73" s="124">
        <f t="shared" ref="O73:AA73" si="30">SUMIF($H$34:$H$51,"600000",O$34:O$51)/SUMIF($H$54:$H$61,"TLNETRES",O$54:O$61)</f>
        <v>0</v>
      </c>
      <c r="P73" s="124">
        <f t="shared" si="30"/>
        <v>0</v>
      </c>
      <c r="Q73" s="124">
        <f t="shared" si="30"/>
        <v>0</v>
      </c>
      <c r="R73" s="124">
        <f t="shared" si="30"/>
        <v>0</v>
      </c>
      <c r="S73" s="124">
        <f t="shared" si="30"/>
        <v>0</v>
      </c>
      <c r="T73" s="124">
        <f t="shared" si="30"/>
        <v>0</v>
      </c>
      <c r="U73" s="124">
        <f t="shared" si="30"/>
        <v>0</v>
      </c>
      <c r="V73" s="124">
        <f t="shared" si="30"/>
        <v>0</v>
      </c>
      <c r="W73" s="124">
        <f t="shared" si="30"/>
        <v>0</v>
      </c>
      <c r="X73" s="124">
        <f t="shared" si="30"/>
        <v>0</v>
      </c>
      <c r="Y73" s="124">
        <f t="shared" si="30"/>
        <v>0</v>
      </c>
      <c r="Z73" s="124">
        <f t="shared" si="30"/>
        <v>0</v>
      </c>
      <c r="AA73" s="124">
        <f t="shared" si="30"/>
        <v>0</v>
      </c>
      <c r="AB73" s="15"/>
      <c r="AD73" s="124">
        <f>SUMIF($H$34:$H$51,"600000",AD$34:AD$51)/SUMIF($H$54:$H$61,"TLNETRES",AD$54:AD$61)</f>
        <v>60.38961038961039</v>
      </c>
      <c r="AE73" s="15"/>
      <c r="AF73" s="126">
        <f t="shared" si="22"/>
        <v>-60.38961038961039</v>
      </c>
      <c r="AG73" s="124">
        <f>SUMIF($H$34:$H$51,"600000",AG$34:AG$51)/SUMIF($H$54:$H$61,"TLNETRES",AG$54:AG$61)</f>
        <v>0</v>
      </c>
      <c r="AH73" s="15"/>
      <c r="AI73" s="126">
        <f t="shared" si="23"/>
        <v>0</v>
      </c>
    </row>
    <row r="74" spans="1:35" x14ac:dyDescent="0.2">
      <c r="A74" s="6" t="s">
        <v>15</v>
      </c>
      <c r="B74" s="7"/>
      <c r="G74" s="13"/>
      <c r="H74" s="10"/>
      <c r="I74" s="25"/>
      <c r="J74" s="25"/>
      <c r="K74" s="64"/>
      <c r="L74" s="64"/>
      <c r="M74" s="64"/>
      <c r="N74" s="23" t="s">
        <v>253</v>
      </c>
      <c r="O74" s="127">
        <f t="shared" ref="O74:AA74" si="31">SUMIF($H$34:$H$51,"TOTDEPTEXP",O$34:O$51)/SUMIF($H$54:$H$61,"TLNETRES",O$54:O$61)</f>
        <v>628.88566350710903</v>
      </c>
      <c r="P74" s="127">
        <f t="shared" si="31"/>
        <v>347.35055555555556</v>
      </c>
      <c r="Q74" s="127">
        <f t="shared" si="31"/>
        <v>200.85370967741935</v>
      </c>
      <c r="R74" s="127">
        <f t="shared" si="31"/>
        <v>119.47395061728395</v>
      </c>
      <c r="S74" s="127">
        <f t="shared" si="31"/>
        <v>394.64380952380952</v>
      </c>
      <c r="T74" s="127">
        <f t="shared" si="31"/>
        <v>129.89558139534884</v>
      </c>
      <c r="U74" s="127">
        <f t="shared" si="31"/>
        <v>132.26906976744186</v>
      </c>
      <c r="V74" s="127">
        <f t="shared" si="31"/>
        <v>118.2</v>
      </c>
      <c r="W74" s="127">
        <f t="shared" si="31"/>
        <v>287.10333333333335</v>
      </c>
      <c r="X74" s="127">
        <f t="shared" si="31"/>
        <v>232.40814814814817</v>
      </c>
      <c r="Y74" s="127">
        <f t="shared" si="31"/>
        <v>139.71549019607843</v>
      </c>
      <c r="Z74" s="127">
        <f t="shared" si="31"/>
        <v>-395.90296296296293</v>
      </c>
      <c r="AA74" s="127">
        <f t="shared" si="31"/>
        <v>238.63787996503842</v>
      </c>
      <c r="AB74" s="128"/>
      <c r="AD74" s="127">
        <f>SUMIF($H$34:$H$51,"TOTDEPTEXP",AD$34:AD$51)/SUMIF($H$54:$H$61,"TLNETRES",AD$54:AD$61)</f>
        <v>282.92752857142858</v>
      </c>
      <c r="AE74" s="128"/>
      <c r="AF74" s="129">
        <f t="shared" si="22"/>
        <v>-44.289648606390159</v>
      </c>
      <c r="AG74" s="127">
        <f>SUMIF($H$34:$H$51,"TOTDEPTEXP",AG$34:AG$51)/SUMIF($H$54:$H$61,"TLNETRES",AG$54:AG$61)</f>
        <v>236.65797701149427</v>
      </c>
      <c r="AH74" s="128"/>
      <c r="AI74" s="129">
        <f t="shared" si="23"/>
        <v>1.9799029535441548</v>
      </c>
    </row>
    <row r="75" spans="1:35" x14ac:dyDescent="0.2">
      <c r="A75" s="6" t="s">
        <v>16</v>
      </c>
      <c r="B75" s="7"/>
      <c r="G75" s="13"/>
      <c r="H75" s="13"/>
      <c r="I75" s="13"/>
      <c r="J75" s="13"/>
      <c r="K75" s="13"/>
      <c r="L75" s="13"/>
      <c r="M75" s="13"/>
      <c r="N75" s="24"/>
      <c r="O75" s="24"/>
      <c r="P75" s="24"/>
      <c r="Q75" s="24"/>
      <c r="R75" s="24"/>
      <c r="S75" s="24"/>
      <c r="T75" s="24"/>
      <c r="U75" s="24"/>
      <c r="V75" s="24"/>
      <c r="W75" s="24"/>
      <c r="X75" s="24"/>
      <c r="Y75" s="24"/>
      <c r="Z75" s="24"/>
      <c r="AA75" s="24"/>
      <c r="AB75" s="24"/>
      <c r="AD75" s="24"/>
      <c r="AE75" s="24"/>
      <c r="AF75" s="24"/>
      <c r="AG75" s="24"/>
      <c r="AH75" s="24"/>
      <c r="AI75" s="24"/>
    </row>
    <row r="76" spans="1:35" x14ac:dyDescent="0.2">
      <c r="A76" s="6" t="s">
        <v>17</v>
      </c>
      <c r="B76" s="7"/>
      <c r="G76" s="13"/>
      <c r="N76" s="24" t="str">
        <f>N51&amp;" - Check"</f>
        <v>Total Expenses - Check</v>
      </c>
      <c r="O76" s="124">
        <f t="shared" ref="O76:AA76" si="32">SUMIF($H$48:$H$51,"700000",O$48:O$51)+SUMIF($H$48:$H$51,"600000",O$48:O$51)-SUMIF($H$48:$H$51,"TOTDEPTEXP",O$48:O$51)</f>
        <v>0</v>
      </c>
      <c r="P76" s="124">
        <f t="shared" si="32"/>
        <v>0</v>
      </c>
      <c r="Q76" s="124">
        <f t="shared" si="32"/>
        <v>0</v>
      </c>
      <c r="R76" s="124">
        <f t="shared" si="32"/>
        <v>0</v>
      </c>
      <c r="S76" s="124">
        <f t="shared" si="32"/>
        <v>0</v>
      </c>
      <c r="T76" s="124">
        <f t="shared" si="32"/>
        <v>0</v>
      </c>
      <c r="U76" s="124">
        <f t="shared" si="32"/>
        <v>0</v>
      </c>
      <c r="V76" s="124">
        <f t="shared" si="32"/>
        <v>0</v>
      </c>
      <c r="W76" s="124">
        <f t="shared" si="32"/>
        <v>0</v>
      </c>
      <c r="X76" s="124">
        <f t="shared" si="32"/>
        <v>0</v>
      </c>
      <c r="Y76" s="124">
        <f t="shared" si="32"/>
        <v>0</v>
      </c>
      <c r="Z76" s="124">
        <f t="shared" si="32"/>
        <v>0</v>
      </c>
      <c r="AA76" s="124">
        <f t="shared" si="32"/>
        <v>0</v>
      </c>
      <c r="AB76" s="15"/>
      <c r="AD76" s="124">
        <f>SUMIF($H$48:$H$51,"700000",AD$48:AD$51)+SUMIF($H$48:$H$51,"600000",AD$48:AD$51)-SUMIF($H$48:$H$51,"TOTDEPTEXP",AD$48:AD$51)</f>
        <v>0</v>
      </c>
      <c r="AE76" s="15"/>
      <c r="AF76" s="19"/>
      <c r="AG76" s="124">
        <f>SUMIF($H$48:$H$51,"700000",AG$48:AG$51)+SUMIF($H$48:$H$51,"600000",AG$48:AG$51)-SUMIF($H$48:$H$51,"TOTDEPTEXP",AG$48:AG$51)</f>
        <v>0</v>
      </c>
      <c r="AH76" s="15"/>
      <c r="AI76" s="19"/>
    </row>
    <row r="77" spans="1:35" x14ac:dyDescent="0.2">
      <c r="I77" s="1"/>
      <c r="J77" s="1"/>
    </row>
    <row r="78" spans="1:35" x14ac:dyDescent="0.2">
      <c r="A78" s="20" t="s">
        <v>92</v>
      </c>
      <c r="B78" s="21" t="s">
        <v>93</v>
      </c>
      <c r="C78" s="21" t="s">
        <v>94</v>
      </c>
      <c r="D78" s="21" t="s">
        <v>95</v>
      </c>
      <c r="E78" s="21" t="s">
        <v>96</v>
      </c>
      <c r="F78" s="22" t="s">
        <v>97</v>
      </c>
      <c r="I78" s="1"/>
      <c r="J78" s="1"/>
    </row>
    <row r="80" spans="1:35" x14ac:dyDescent="0.2">
      <c r="A80" s="1" t="s">
        <v>108</v>
      </c>
      <c r="C80" s="24" t="s">
        <v>101</v>
      </c>
      <c r="D80" s="1" t="s">
        <v>106</v>
      </c>
      <c r="F80" s="1" t="s">
        <v>98</v>
      </c>
    </row>
    <row r="81" spans="1:10" x14ac:dyDescent="0.2">
      <c r="A81" s="1" t="s">
        <v>100</v>
      </c>
      <c r="C81" s="8" t="s">
        <v>101</v>
      </c>
      <c r="D81" s="1" t="s">
        <v>106</v>
      </c>
      <c r="F81" s="1" t="s">
        <v>98</v>
      </c>
    </row>
    <row r="82" spans="1:10" x14ac:dyDescent="0.2">
      <c r="A82" s="1" t="s">
        <v>109</v>
      </c>
      <c r="C82" s="23" t="s">
        <v>101</v>
      </c>
      <c r="D82" s="1" t="s">
        <v>106</v>
      </c>
      <c r="F82" s="1" t="s">
        <v>98</v>
      </c>
    </row>
    <row r="83" spans="1:10" x14ac:dyDescent="0.2">
      <c r="A83" s="1" t="s">
        <v>109</v>
      </c>
      <c r="C83" s="135" t="s">
        <v>101</v>
      </c>
      <c r="D83" s="1" t="s">
        <v>107</v>
      </c>
      <c r="F83" s="1" t="s">
        <v>99</v>
      </c>
    </row>
    <row r="84" spans="1:10" x14ac:dyDescent="0.2">
      <c r="C84" s="27"/>
    </row>
    <row r="85" spans="1:10" x14ac:dyDescent="0.2">
      <c r="C85" s="23"/>
    </row>
    <row r="86" spans="1:10" x14ac:dyDescent="0.2">
      <c r="A86" s="3" t="s">
        <v>23</v>
      </c>
      <c r="B86" s="5" t="s">
        <v>24</v>
      </c>
    </row>
    <row r="87" spans="1:10" x14ac:dyDescent="0.2">
      <c r="A87" s="6" t="s">
        <v>25</v>
      </c>
      <c r="B87" s="7"/>
    </row>
    <row r="88" spans="1:10" x14ac:dyDescent="0.2">
      <c r="A88" s="6" t="s">
        <v>26</v>
      </c>
      <c r="B88" s="7"/>
      <c r="J88" s="1"/>
    </row>
    <row r="89" spans="1:10" x14ac:dyDescent="0.2">
      <c r="A89" s="6" t="s">
        <v>27</v>
      </c>
      <c r="B89" s="7"/>
      <c r="H89" s="11"/>
      <c r="J89" s="1"/>
    </row>
    <row r="90" spans="1:10" x14ac:dyDescent="0.2">
      <c r="A90" s="6" t="s">
        <v>28</v>
      </c>
      <c r="B90" s="7"/>
      <c r="H90" s="11"/>
      <c r="J90" s="1"/>
    </row>
    <row r="91" spans="1:10" x14ac:dyDescent="0.2">
      <c r="A91" s="6" t="s">
        <v>29</v>
      </c>
      <c r="B91" s="7"/>
      <c r="H91" s="11"/>
      <c r="J91" s="1"/>
    </row>
    <row r="92" spans="1:10" x14ac:dyDescent="0.2">
      <c r="A92" s="6" t="s">
        <v>30</v>
      </c>
      <c r="B92" s="7" t="s">
        <v>78</v>
      </c>
      <c r="H92" s="11"/>
      <c r="J92" s="1"/>
    </row>
    <row r="93" spans="1:10" x14ac:dyDescent="0.2">
      <c r="A93" s="6" t="s">
        <v>31</v>
      </c>
      <c r="B93" s="7" t="s">
        <v>78</v>
      </c>
      <c r="H93" s="11"/>
      <c r="J93" s="1"/>
    </row>
    <row r="94" spans="1:10" x14ac:dyDescent="0.2">
      <c r="A94" s="6" t="s">
        <v>32</v>
      </c>
      <c r="B94" s="7"/>
      <c r="H94" s="11"/>
      <c r="J94" s="1"/>
    </row>
    <row r="95" spans="1:10" x14ac:dyDescent="0.2">
      <c r="A95" s="6" t="s">
        <v>33</v>
      </c>
      <c r="B95" s="7"/>
      <c r="H95" s="11"/>
      <c r="J95" s="1"/>
    </row>
    <row r="96" spans="1:10" x14ac:dyDescent="0.2">
      <c r="A96" s="6" t="s">
        <v>34</v>
      </c>
      <c r="B96" s="7"/>
      <c r="H96" s="11"/>
      <c r="J96" s="1"/>
    </row>
    <row r="97" spans="1:10" x14ac:dyDescent="0.2">
      <c r="A97" s="6" t="s">
        <v>35</v>
      </c>
      <c r="B97" s="7"/>
      <c r="H97" s="11"/>
      <c r="J97" s="1"/>
    </row>
    <row r="98" spans="1:10" x14ac:dyDescent="0.2">
      <c r="A98" s="6" t="s">
        <v>36</v>
      </c>
      <c r="B98" s="7"/>
      <c r="H98" s="11"/>
      <c r="J98" s="1"/>
    </row>
    <row r="99" spans="1:10" x14ac:dyDescent="0.2">
      <c r="A99" s="6" t="s">
        <v>37</v>
      </c>
      <c r="B99" s="7"/>
      <c r="H99" s="11"/>
      <c r="J99" s="1"/>
    </row>
    <row r="100" spans="1:10" x14ac:dyDescent="0.2">
      <c r="A100" s="6" t="s">
        <v>38</v>
      </c>
      <c r="B100" s="7"/>
      <c r="H100" s="11"/>
      <c r="J100" s="1"/>
    </row>
    <row r="101" spans="1:10" x14ac:dyDescent="0.2">
      <c r="A101" s="6" t="s">
        <v>39</v>
      </c>
      <c r="B101" s="7"/>
      <c r="H101" s="11"/>
      <c r="J101" s="1"/>
    </row>
    <row r="102" spans="1:10" x14ac:dyDescent="0.2">
      <c r="A102" s="6" t="s">
        <v>40</v>
      </c>
      <c r="B102" s="7"/>
      <c r="H102" s="11"/>
      <c r="J102" s="1"/>
    </row>
    <row r="103" spans="1:10" x14ac:dyDescent="0.2">
      <c r="A103" s="6" t="s">
        <v>41</v>
      </c>
      <c r="B103" s="7"/>
      <c r="H103" s="11"/>
      <c r="J103" s="1"/>
    </row>
    <row r="104" spans="1:10" x14ac:dyDescent="0.2">
      <c r="A104" s="6" t="s">
        <v>42</v>
      </c>
      <c r="B104" s="7"/>
      <c r="H104" s="11"/>
      <c r="J104" s="1"/>
    </row>
    <row r="105" spans="1:10" x14ac:dyDescent="0.2">
      <c r="A105" s="6" t="s">
        <v>43</v>
      </c>
      <c r="B105" s="7"/>
      <c r="H105" s="11"/>
      <c r="J105" s="1"/>
    </row>
    <row r="106" spans="1:10" x14ac:dyDescent="0.2">
      <c r="A106" s="6" t="s">
        <v>44</v>
      </c>
      <c r="B106" s="7"/>
      <c r="H106" s="11"/>
      <c r="J106" s="1"/>
    </row>
    <row r="107" spans="1:10" x14ac:dyDescent="0.2">
      <c r="A107" s="6" t="s">
        <v>45</v>
      </c>
      <c r="B107" s="7"/>
      <c r="H107" s="11"/>
      <c r="J107" s="1"/>
    </row>
    <row r="108" spans="1:10" x14ac:dyDescent="0.2">
      <c r="A108" s="6" t="s">
        <v>46</v>
      </c>
      <c r="B108" s="7"/>
      <c r="H108" s="11"/>
      <c r="J108" s="1"/>
    </row>
    <row r="109" spans="1:10" x14ac:dyDescent="0.2">
      <c r="H109" s="11"/>
      <c r="J109" s="1"/>
    </row>
    <row r="110" spans="1:10" x14ac:dyDescent="0.2">
      <c r="H110" s="11"/>
      <c r="J110" s="1"/>
    </row>
    <row r="112" spans="1:10" x14ac:dyDescent="0.2">
      <c r="C112" s="23"/>
    </row>
    <row r="113" spans="3:3" x14ac:dyDescent="0.2">
      <c r="C113" s="23"/>
    </row>
  </sheetData>
  <mergeCells count="2">
    <mergeCell ref="AD31:AE31"/>
    <mergeCell ref="AG31:AH31"/>
  </mergeCells>
  <dataValidations count="2">
    <dataValidation type="list" allowBlank="1" sqref="B72 B29" xr:uid="{00000000-0002-0000-0900-000000000000}">
      <formula1>"SELF,ALL,BAS,DEP,BASMEMBERS,MEMBERS,NOEXPAND,GDEP"</formula1>
    </dataValidation>
    <dataValidation type="list" allowBlank="1" sqref="B71 B28" xr:uid="{00000000-0002-0000-0900-000001000000}">
      <formula1>"ACCOUNT,BUSINESSUNIT,CATEGORY,DATASRC,DEPARTMENT,INTCO,MEASURES,RPTCURRENCY,TIME"</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operties>
  <drawing r:id="rId3"/>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6" tint="0.39997558519241921"/>
    <pageSetUpPr fitToPage="1"/>
  </sheetPr>
  <dimension ref="A1:AP198"/>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c r="L4" s="11"/>
      <c r="M4" s="11"/>
    </row>
    <row r="5" spans="1:35" hidden="1" outlineLevel="1" x14ac:dyDescent="0.2">
      <c r="A5" s="8" t="s">
        <v>51</v>
      </c>
      <c r="B5" s="12" t="s">
        <v>59</v>
      </c>
      <c r="C5" s="1" t="e">
        <f ca="1">_xll.EVDES(B5,$B$1)</f>
        <v>#NAME?</v>
      </c>
      <c r="L5" s="11"/>
      <c r="M5" s="11"/>
    </row>
    <row r="6" spans="1:35" hidden="1" outlineLevel="1" x14ac:dyDescent="0.2">
      <c r="A6" s="8" t="s">
        <v>52</v>
      </c>
      <c r="B6" s="12" t="s">
        <v>358</v>
      </c>
      <c r="C6" s="1" t="e">
        <f ca="1">_xll.EVDES(B6,$B$1)</f>
        <v>#NAME?</v>
      </c>
      <c r="E6" s="46" t="e">
        <f ca="1">_xll.EVPRO($B$1,$B$6,$F$6)</f>
        <v>#NAME?</v>
      </c>
      <c r="F6" s="1" t="s">
        <v>278</v>
      </c>
      <c r="L6" s="11"/>
      <c r="M6" s="11"/>
    </row>
    <row r="7" spans="1:35" hidden="1" outlineLevel="1" x14ac:dyDescent="0.2">
      <c r="A7" s="8" t="s">
        <v>53</v>
      </c>
      <c r="B7" s="12" t="s">
        <v>61</v>
      </c>
      <c r="C7" s="1" t="e">
        <f ca="1">_xll.EVDES(B7,$B$1)</f>
        <v>#NAME?</v>
      </c>
      <c r="L7" s="11"/>
      <c r="M7" s="11"/>
    </row>
    <row r="8" spans="1:35" hidden="1" outlineLevel="1" x14ac:dyDescent="0.2">
      <c r="A8" s="8" t="s">
        <v>20</v>
      </c>
      <c r="B8" s="12" t="s">
        <v>63</v>
      </c>
      <c r="C8" s="1" t="e">
        <f ca="1">_xll.EVDES(B8,$B$1)</f>
        <v>#NAME?</v>
      </c>
      <c r="L8" s="11"/>
      <c r="M8" s="11"/>
    </row>
    <row r="9" spans="1:35" hidden="1" outlineLevel="1" x14ac:dyDescent="0.2">
      <c r="A9" s="8" t="s">
        <v>54</v>
      </c>
      <c r="B9" s="9" t="e">
        <f ca="1">'29kbtUVTfkeuWbdEUFpQfA=='!$D$10</f>
        <v>#NAME?</v>
      </c>
      <c r="C9" s="1" t="e">
        <f ca="1">_xll.EVDES(B9,$B$1)</f>
        <v>#NAME?</v>
      </c>
      <c r="L9" s="11"/>
      <c r="M9" s="11"/>
    </row>
    <row r="10" spans="1:35" hidden="1" outlineLevel="1" x14ac:dyDescent="0.2">
      <c r="A10" s="8" t="s">
        <v>18</v>
      </c>
      <c r="B10" s="9" t="e">
        <f ca="1">'29kbtUVTfkeuWbdEUFpQfA=='!$D$7</f>
        <v>#NAME?</v>
      </c>
      <c r="C10" s="1" t="e">
        <f ca="1">_xll.EVDES(B10,$B$1)</f>
        <v>#NAME?</v>
      </c>
      <c r="D10" s="212" t="e">
        <f ca="1">_xll.EVPRO($B$1,$B$10,"Group")</f>
        <v>#NAME?</v>
      </c>
      <c r="L10" s="11"/>
      <c r="M10" s="11"/>
    </row>
    <row r="11" spans="1:35" hidden="1" outlineLevel="1" x14ac:dyDescent="0.2">
      <c r="B11" s="8"/>
      <c r="L11" s="11"/>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L12" s="11"/>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L13" s="11"/>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f>
        <v>#NAME?</v>
      </c>
      <c r="B14" s="8" t="s">
        <v>361</v>
      </c>
      <c r="L14" s="11"/>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L15" s="11"/>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L16" s="11"/>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L17" s="11"/>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L18" s="11"/>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_xll.EVRNG(G35:H56)</f>
        <v>#NAME?</v>
      </c>
      <c r="G19" s="16" t="str">
        <f>$B$6</f>
        <v>D_REST_CON</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tr">
        <f>$B$6</f>
        <v>D_REST_CON</v>
      </c>
      <c r="H20" s="16">
        <v>946000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I21" s="1"/>
      <c r="J21" s="1"/>
    </row>
    <row r="22" spans="1:40" hidden="1" outlineLevel="1" x14ac:dyDescent="0.2">
      <c r="A22" s="6" t="s">
        <v>7</v>
      </c>
      <c r="B22" s="7"/>
      <c r="I22" s="1"/>
      <c r="J22" s="1"/>
    </row>
    <row r="23" spans="1:40" hidden="1" outlineLevel="1" x14ac:dyDescent="0.2">
      <c r="A23" s="6" t="s">
        <v>47</v>
      </c>
      <c r="B23" s="7" t="e">
        <f ca="1">_xll.EVRNG($A$114:$B$135)</f>
        <v>#NAME?</v>
      </c>
      <c r="K23" s="53"/>
      <c r="L23" s="53"/>
      <c r="M23" s="53"/>
      <c r="AD23" s="136"/>
    </row>
    <row r="24" spans="1:40" hidden="1" outlineLevel="1" x14ac:dyDescent="0.2">
      <c r="A24" s="6" t="s">
        <v>8</v>
      </c>
      <c r="B24" s="7"/>
    </row>
    <row r="25" spans="1:40" collapsed="1" x14ac:dyDescent="0.2"/>
    <row r="26" spans="1:40" ht="23" x14ac:dyDescent="0.25">
      <c r="A26" s="3" t="s">
        <v>9</v>
      </c>
      <c r="B26" s="5" t="s">
        <v>10</v>
      </c>
      <c r="C26" s="5" t="s">
        <v>357</v>
      </c>
      <c r="N26" s="61" t="e">
        <f ca="1">IF(_xll.EVDES(B3,$B$1)="#NODATA","",_xll.EVDES(B3,$B$1))</f>
        <v>#NAME?</v>
      </c>
    </row>
    <row r="27" spans="1:40" ht="18" x14ac:dyDescent="0.2">
      <c r="A27" s="6" t="s">
        <v>11</v>
      </c>
      <c r="B27" s="7" t="s">
        <v>21</v>
      </c>
      <c r="C27" s="7" t="s">
        <v>21</v>
      </c>
      <c r="N27" s="66" t="e">
        <f ca="1">IF(_xll.EVDES(B6,$B$1)="#NODATA","",_xll.EVDES(B6,$B$1)&amp;" Department")</f>
        <v>#NAME?</v>
      </c>
    </row>
    <row r="28" spans="1:40" ht="16" x14ac:dyDescent="0.2">
      <c r="A28" s="6" t="s">
        <v>12</v>
      </c>
      <c r="B28" s="7" t="s">
        <v>52</v>
      </c>
      <c r="C28" s="7" t="s">
        <v>22</v>
      </c>
      <c r="N28" s="67" t="e">
        <f ca="1">"For the Period ended"&amp;" "&amp;IF(_xll.EVDES($B$10,$B$1)="#NODATA","",_xll.EVDES($B$10,$B$1))</f>
        <v>#NAME?</v>
      </c>
    </row>
    <row r="29" spans="1:40" ht="15" customHeight="1" x14ac:dyDescent="0.2">
      <c r="A29" s="6" t="s">
        <v>13</v>
      </c>
      <c r="B29" s="7" t="s">
        <v>359</v>
      </c>
      <c r="C29" s="7" t="s">
        <v>360</v>
      </c>
      <c r="N29" s="67" t="e">
        <f ca="1">_xll.EVDES(B9,B1)</f>
        <v>#NAME?</v>
      </c>
    </row>
    <row r="30" spans="1:40" x14ac:dyDescent="0.2">
      <c r="A30" s="6" t="s">
        <v>14</v>
      </c>
      <c r="B30" s="7"/>
      <c r="C30" s="7"/>
      <c r="O30" s="208"/>
      <c r="P30" s="209"/>
      <c r="Q30" s="209"/>
      <c r="R30" s="209"/>
      <c r="S30" s="209"/>
      <c r="T30" s="209"/>
      <c r="U30" s="209"/>
      <c r="V30" s="209"/>
      <c r="W30" s="209"/>
      <c r="X30" s="209"/>
      <c r="Y30" s="209"/>
      <c r="Z30" s="209"/>
      <c r="AA30" s="209"/>
      <c r="AB30" s="210"/>
      <c r="AD30" s="209"/>
      <c r="AE30" s="209"/>
      <c r="AF30" s="209"/>
      <c r="AG30" s="209"/>
      <c r="AH30" s="209"/>
      <c r="AI30" s="209"/>
      <c r="AJ30" s="208" t="s">
        <v>751</v>
      </c>
      <c r="AK30" s="209"/>
      <c r="AL30" s="210"/>
      <c r="AM30" s="209" t="s">
        <v>750</v>
      </c>
      <c r="AN30" s="209"/>
    </row>
    <row r="31" spans="1:40" x14ac:dyDescent="0.2">
      <c r="A31" s="6" t="s">
        <v>15</v>
      </c>
      <c r="B31" s="7"/>
      <c r="C31" s="7"/>
      <c r="G31" s="13"/>
      <c r="K31" s="11"/>
      <c r="L31" s="11"/>
      <c r="M31" s="1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C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2" x14ac:dyDescent="0.2">
      <c r="A33" s="6" t="s">
        <v>17</v>
      </c>
      <c r="B33" s="7"/>
      <c r="C33" s="7"/>
      <c r="H33" s="1" t="s">
        <v>69</v>
      </c>
      <c r="I33" s="11" t="e">
        <f ca="1">_xll.EVPRO($B$1,$H33,"STYLE")</f>
        <v>#NAME?</v>
      </c>
      <c r="J33" s="11" t="e">
        <f ca="1">_xll.EVPRO($B$1,$H33,"CALC")</f>
        <v>#NAME?</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2" x14ac:dyDescent="0.2">
      <c r="H34" s="1" t="s">
        <v>259</v>
      </c>
      <c r="I34" s="11" t="e">
        <f ca="1">_xll.EVPRO($B$1,$H34,"STYLE")</f>
        <v>#NAME?</v>
      </c>
      <c r="J34" s="11" t="e">
        <f ca="1">_xll.EVPRO($B$1,$H34,"CALC")</f>
        <v>#NAME?</v>
      </c>
      <c r="N34" s="8" t="e">
        <f ca="1">IF(_xll.EVDES(H34,$B$1)="#NODATA","",_xll.EVDES(H34,$B$1))</f>
        <v>#NAME?</v>
      </c>
      <c r="O34" s="50"/>
      <c r="AB34" s="51"/>
      <c r="AD34" s="50"/>
      <c r="AF34" s="51"/>
      <c r="AG34" s="50"/>
      <c r="AI34" s="51"/>
    </row>
    <row r="35" spans="1:42" x14ac:dyDescent="0.2">
      <c r="G35" s="10" t="s">
        <v>258</v>
      </c>
      <c r="H35" s="10" t="s">
        <v>265</v>
      </c>
      <c r="I35" s="25" t="e">
        <f ca="1">_xll.EVPRO($B$1,$H35,"STYLE")</f>
        <v>#NAME?</v>
      </c>
      <c r="J35" s="25" t="e">
        <f ca="1">_xll.EVPRO($B$1,$H35,"CALC")</f>
        <v>#NAME?</v>
      </c>
      <c r="K35" s="65" t="e">
        <f ca="1">IF(AND(I35&gt;="T5"),"&gt;","")</f>
        <v>#NAME?</v>
      </c>
      <c r="L35" s="65"/>
      <c r="M35" s="65"/>
      <c r="N35" s="24" t="e">
        <f ca="1">IF(_xll.EVDES(G35,$B$1)="#NODATA","",_xll.EVDES(G35,$B$1)&amp;" Food Rev")</f>
        <v>#NAME?</v>
      </c>
      <c r="O35" s="19">
        <v>7654.38</v>
      </c>
      <c r="P35" s="19">
        <v>0</v>
      </c>
      <c r="Q35" s="19">
        <v>0</v>
      </c>
      <c r="R35" s="19">
        <v>0</v>
      </c>
      <c r="S35" s="19">
        <v>0</v>
      </c>
      <c r="T35" s="19">
        <v>0</v>
      </c>
      <c r="U35" s="19">
        <v>0</v>
      </c>
      <c r="V35" s="19">
        <v>0</v>
      </c>
      <c r="W35" s="19">
        <v>0</v>
      </c>
      <c r="X35" s="19">
        <v>0</v>
      </c>
      <c r="Y35" s="19">
        <v>-905.6</v>
      </c>
      <c r="Z35" s="19">
        <v>-1276.8</v>
      </c>
      <c r="AA35" s="283" t="e">
        <f t="shared" ref="AA35:AA56" ca="1" si="0">IF($I35="B1","",SUM(O35:Z35))</f>
        <v>#NAME?</v>
      </c>
      <c r="AB35" s="15" t="e">
        <f ca="1">IF(AA35=0,"",IFERROR(AA35/AA$19,""))</f>
        <v>#NAME?</v>
      </c>
      <c r="AD35" s="19"/>
      <c r="AE35" s="15" t="str">
        <f>IF(AD35=0,"",IFERROR(AD35/AD$19,""))</f>
        <v/>
      </c>
      <c r="AF35" s="47" t="e">
        <f ca="1">IF(AND($AA35="",AD35=""),"",$AA35-AD35)</f>
        <v>#NAME?</v>
      </c>
      <c r="AG35" s="19">
        <v>743202.24</v>
      </c>
      <c r="AH35" s="15" t="str">
        <f ca="1">IF(AG35=0,"",IFERROR(AG35/AG$19,""))</f>
        <v/>
      </c>
      <c r="AI35" s="47" t="e">
        <f ca="1">IF(AND($AA35="",AG35=""),"",$AA35-AG35)</f>
        <v>#NAME?</v>
      </c>
      <c r="AJ35" s="322">
        <f ca="1">IFERROR(AA35/AA$20,0)</f>
        <v>0</v>
      </c>
      <c r="AK35" s="323">
        <f ca="1">IFERROR(AD35/AD$20,0)</f>
        <v>0</v>
      </c>
      <c r="AL35" s="324">
        <f ca="1">IFERROR(AG35/AG$20,0)</f>
        <v>0</v>
      </c>
      <c r="AM35" s="359">
        <f ca="1">+IFERROR(ROUND(($AB35-AE35)*100,2)&amp;" pts.",0)</f>
        <v>0</v>
      </c>
      <c r="AN35" s="358">
        <f ca="1">+IFERROR(ROUND(($AB35-AH35)*100,2)&amp;" pts.",0)</f>
        <v>0</v>
      </c>
      <c r="AO35" s="370"/>
      <c r="AP35" s="370"/>
    </row>
    <row r="36" spans="1:42" x14ac:dyDescent="0.2">
      <c r="A36" s="4" t="e">
        <f ca="1">_xll.EVDRE($B$1,A39:B46,A49:B55)</f>
        <v>#NAME?</v>
      </c>
      <c r="G36" s="10" t="s">
        <v>346</v>
      </c>
      <c r="H36" s="10" t="s">
        <v>265</v>
      </c>
      <c r="I36" s="25" t="e">
        <f ca="1">_xll.EVPRO($B$1,$H36,"STYLE")</f>
        <v>#NAME?</v>
      </c>
      <c r="J36" s="25" t="e">
        <f ca="1">_xll.EVPRO($B$1,$H36,"CALC")</f>
        <v>#NAME?</v>
      </c>
      <c r="K36" s="65" t="e">
        <f ca="1">IF(AND(I36&gt;="T5"),"&gt;","")</f>
        <v>#NAME?</v>
      </c>
      <c r="L36" s="65"/>
      <c r="M36" s="65"/>
      <c r="N36" s="24" t="e">
        <f ca="1">IF(_xll.EVDES(G36,$B$1)="#NODATA","",_xll.EVDES(G36,$B$1)&amp;" Food Rev")</f>
        <v>#NAME?</v>
      </c>
      <c r="O36" s="35"/>
      <c r="P36" s="35"/>
      <c r="Q36" s="35"/>
      <c r="R36" s="35"/>
      <c r="S36" s="35"/>
      <c r="T36" s="35"/>
      <c r="U36" s="35"/>
      <c r="V36" s="35"/>
      <c r="W36" s="35"/>
      <c r="X36" s="35"/>
      <c r="Y36" s="35"/>
      <c r="Z36" s="35"/>
      <c r="AA36" s="35" t="e">
        <f t="shared" ca="1" si="0"/>
        <v>#NAME?</v>
      </c>
      <c r="AB36" s="36" t="e">
        <f ca="1">IF(AA36=0,"",IFERROR(AA36/AA$19,""))</f>
        <v>#NAME?</v>
      </c>
      <c r="AD36" s="35"/>
      <c r="AE36" s="36" t="str">
        <f>IF(AD36=0,"",IFERROR(AD36/AD$19,""))</f>
        <v/>
      </c>
      <c r="AF36" s="118" t="e">
        <f ca="1">IF(AND($AA36="",AD36=""),"",$AA36-AD36)</f>
        <v>#NAME?</v>
      </c>
      <c r="AG36" s="35"/>
      <c r="AH36" s="36" t="str">
        <f>IF(AG36=0,"",IFERROR(AG36/AG$19,""))</f>
        <v/>
      </c>
      <c r="AI36" s="118" t="e">
        <f ca="1">IF(AND($AA36="",AG36=""),"",$AA36-AG36)</f>
        <v>#NAME?</v>
      </c>
      <c r="AJ36" s="322">
        <f ca="1">IFERROR(AA36/AA$20,0)</f>
        <v>0</v>
      </c>
      <c r="AK36" s="323">
        <f ca="1">IFERROR(AD36/AD$20,0)</f>
        <v>0</v>
      </c>
      <c r="AL36" s="324">
        <f ca="1">IFERROR(AG36/AG$20,0)</f>
        <v>0</v>
      </c>
      <c r="AM36" s="359">
        <f ca="1">+IFERROR(ROUND(($AB36-AE36)*100,2)&amp;" pts.",0)</f>
        <v>0</v>
      </c>
      <c r="AN36" s="358">
        <f ca="1">+IFERROR(ROUND(($AB36-AH36)*100,2)&amp;" pts.",0)</f>
        <v>0</v>
      </c>
    </row>
    <row r="37" spans="1:42" x14ac:dyDescent="0.2">
      <c r="G37" s="10" t="s">
        <v>347</v>
      </c>
      <c r="H37" s="10" t="s">
        <v>265</v>
      </c>
      <c r="I37" s="25" t="e">
        <f ca="1">_xll.EVPRO($B$1,$H37,"STYLE")</f>
        <v>#NAME?</v>
      </c>
      <c r="J37" s="25" t="e">
        <f ca="1">_xll.EVPRO($B$1,$H37,"CALC")</f>
        <v>#NAME?</v>
      </c>
      <c r="K37" s="65" t="e">
        <f ca="1">IF(AND(I37&gt;="T5"),"&gt;","")</f>
        <v>#NAME?</v>
      </c>
      <c r="L37" s="65"/>
      <c r="M37" s="65"/>
      <c r="N37" s="24" t="e">
        <f ca="1">IF(_xll.EVDES(G37,$B$1)="#NODATA","",_xll.EVDES(G37,$B$1)&amp;" Food Rev")</f>
        <v>#NAME?</v>
      </c>
      <c r="O37" s="35">
        <v>8277.2099999999991</v>
      </c>
      <c r="P37" s="35"/>
      <c r="Q37" s="35"/>
      <c r="R37" s="35"/>
      <c r="S37" s="35"/>
      <c r="T37" s="35"/>
      <c r="U37" s="35"/>
      <c r="V37" s="35"/>
      <c r="W37" s="35"/>
      <c r="X37" s="35"/>
      <c r="Y37" s="35"/>
      <c r="Z37" s="35"/>
      <c r="AA37" s="35" t="e">
        <f t="shared" ca="1" si="0"/>
        <v>#NAME?</v>
      </c>
      <c r="AB37" s="36" t="e">
        <f ca="1">IF(AA37=0,"",IFERROR(AA37/AA$19,""))</f>
        <v>#NAME?</v>
      </c>
      <c r="AD37" s="35"/>
      <c r="AE37" s="36" t="str">
        <f>IF(AD37=0,"",IFERROR(AD37/AD$19,""))</f>
        <v/>
      </c>
      <c r="AF37" s="118" t="e">
        <f ca="1">IF(AND($AA37="",AD37=""),"",$AA37-AD37)</f>
        <v>#NAME?</v>
      </c>
      <c r="AG37" s="35">
        <v>240820.22</v>
      </c>
      <c r="AH37" s="36" t="str">
        <f ca="1">IF(AG37=0,"",IFERROR(AG37/AG$19,""))</f>
        <v/>
      </c>
      <c r="AI37" s="118" t="e">
        <f ca="1">IF(AND($AA37="",AG37=""),"",$AA37-AG37)</f>
        <v>#NAME?</v>
      </c>
      <c r="AJ37" s="322">
        <f ca="1">IFERROR(AA37/AA$20,0)</f>
        <v>0</v>
      </c>
      <c r="AK37" s="323">
        <f ca="1">IFERROR(AD37/AD$20,0)</f>
        <v>0</v>
      </c>
      <c r="AL37" s="324">
        <f ca="1">IFERROR(AG37/AG$20,0)</f>
        <v>0</v>
      </c>
      <c r="AM37" s="359">
        <f ca="1">+IFERROR(ROUND(($AB37-AE37)*100,2)&amp;" pts.",0)</f>
        <v>0</v>
      </c>
      <c r="AN37" s="358">
        <f ca="1">+IFERROR(ROUND(($AB37-AH37)*100,2)&amp;" pts.",0)</f>
        <v>0</v>
      </c>
    </row>
    <row r="38" spans="1:42" x14ac:dyDescent="0.2">
      <c r="A38" s="3" t="s">
        <v>0</v>
      </c>
      <c r="B38" s="5" t="s">
        <v>1</v>
      </c>
      <c r="G38" s="10" t="s">
        <v>349</v>
      </c>
      <c r="H38" s="10" t="s">
        <v>265</v>
      </c>
      <c r="I38" s="25" t="e">
        <f ca="1">_xll.EVPRO($B$1,$H38,"STYLE")</f>
        <v>#NAME?</v>
      </c>
      <c r="J38" s="25" t="e">
        <f ca="1">_xll.EVPRO($B$1,$H38,"CALC")</f>
        <v>#NAME?</v>
      </c>
      <c r="K38" s="65" t="e">
        <f ca="1">IF(AND(I38&gt;="T5"),"&gt;","")</f>
        <v>#NAME?</v>
      </c>
      <c r="L38" s="65"/>
      <c r="M38" s="65"/>
      <c r="N38" s="24" t="e">
        <f ca="1">IF(_xll.EVDES(G38,$B$1)="#NODATA","",_xll.EVDES(G38,$B$1)&amp;" Food Rev")</f>
        <v>#NAME?</v>
      </c>
      <c r="O38" s="35">
        <v>1906</v>
      </c>
      <c r="P38" s="35">
        <v>2492.09</v>
      </c>
      <c r="Q38" s="35">
        <v>3180</v>
      </c>
      <c r="R38" s="35">
        <v>2434</v>
      </c>
      <c r="S38" s="35">
        <v>2372.39</v>
      </c>
      <c r="T38" s="35">
        <v>2187</v>
      </c>
      <c r="U38" s="35">
        <v>1971</v>
      </c>
      <c r="V38" s="35">
        <v>2241.56</v>
      </c>
      <c r="W38" s="35">
        <v>2129.5500000000002</v>
      </c>
      <c r="X38" s="35">
        <v>2295</v>
      </c>
      <c r="Y38" s="35">
        <v>2738.56</v>
      </c>
      <c r="Z38" s="35">
        <v>3164.45</v>
      </c>
      <c r="AA38" s="35" t="e">
        <f t="shared" ca="1" si="0"/>
        <v>#NAME?</v>
      </c>
      <c r="AB38" s="36" t="e">
        <f ca="1">IF(AA38=0,"",IFERROR(AA38/AA$19,""))</f>
        <v>#NAME?</v>
      </c>
      <c r="AD38" s="35">
        <v>29605.65</v>
      </c>
      <c r="AE38" s="36" t="str">
        <f ca="1">IF(AD38=0,"",IFERROR(AD38/AD$19,""))</f>
        <v/>
      </c>
      <c r="AF38" s="118" t="e">
        <f ca="1">IF(AND($AA38="",AD38=""),"",$AA38-AD38)</f>
        <v>#NAME?</v>
      </c>
      <c r="AG38" s="35">
        <v>30885.599999999999</v>
      </c>
      <c r="AH38" s="36" t="str">
        <f ca="1">IF(AG38=0,"",IFERROR(AG38/AG$19,""))</f>
        <v/>
      </c>
      <c r="AI38" s="118" t="e">
        <f ca="1">IF(AND($AA38="",AG38=""),"",$AA38-AG38)</f>
        <v>#NAME?</v>
      </c>
      <c r="AJ38" s="329">
        <f t="shared" ref="AJ38:AJ56" ca="1" si="1">IFERROR(AA38/AA$20,0)</f>
        <v>0</v>
      </c>
      <c r="AK38" s="330">
        <f t="shared" ref="AK38:AK56" ca="1" si="2">IFERROR(AD38/AD$20,0)</f>
        <v>0</v>
      </c>
      <c r="AL38" s="331">
        <f t="shared" ref="AL38:AL56" ca="1" si="3">IFERROR(AG38/AG$20,0)</f>
        <v>0</v>
      </c>
      <c r="AM38" s="360">
        <f t="shared" ref="AM38:AM56" ca="1" si="4">+IFERROR(ROUND(($AB38-AE38)*100,2)&amp;" pts.",0)</f>
        <v>0</v>
      </c>
      <c r="AN38" s="361">
        <f t="shared" ref="AN38:AN56" ca="1" si="5">+IFERROR(ROUND(($AB38-AH38)*100,2)&amp;" pts.",0)</f>
        <v>0</v>
      </c>
    </row>
    <row r="39" spans="1:42" x14ac:dyDescent="0.2">
      <c r="A39" s="6" t="s">
        <v>2</v>
      </c>
      <c r="B39" s="7" t="e">
        <f ca="1">_xll.EVRNG($B$2:$B$10)</f>
        <v>#NAME?</v>
      </c>
      <c r="G39" s="10" t="s">
        <v>358</v>
      </c>
      <c r="H39" s="10" t="s">
        <v>265</v>
      </c>
      <c r="I39" s="25" t="e">
        <f ca="1">_xll.EVPRO($B$1,$H39,"STYLE")</f>
        <v>#NAME?</v>
      </c>
      <c r="J39" s="25" t="e">
        <f ca="1">_xll.EVPRO($B$1,$H39,"CALC")</f>
        <v>#NAME?</v>
      </c>
      <c r="K39" s="65" t="e">
        <f ca="1">IF(AND(I39&gt;="T5"),"&gt;","")</f>
        <v>#NAME?</v>
      </c>
      <c r="L39" s="65"/>
      <c r="M39" s="65"/>
      <c r="N39" s="8" t="e">
        <f ca="1">IF(_xll.EVDES(H39,$B$1)="#NODATA","",_xll.EVDES(H39,$B$1))</f>
        <v>#NAME?</v>
      </c>
      <c r="O39" s="120">
        <v>17837.59</v>
      </c>
      <c r="P39" s="120">
        <v>2492.09</v>
      </c>
      <c r="Q39" s="120">
        <v>3180</v>
      </c>
      <c r="R39" s="120">
        <v>2434</v>
      </c>
      <c r="S39" s="120">
        <v>2372.39</v>
      </c>
      <c r="T39" s="120">
        <v>2187</v>
      </c>
      <c r="U39" s="120">
        <v>1971</v>
      </c>
      <c r="V39" s="120">
        <v>2241.56</v>
      </c>
      <c r="W39" s="120">
        <v>2129.5500000000002</v>
      </c>
      <c r="X39" s="120">
        <v>2295</v>
      </c>
      <c r="Y39" s="120">
        <v>1832.96</v>
      </c>
      <c r="Z39" s="120">
        <v>1887.65</v>
      </c>
      <c r="AA39" s="120" t="e">
        <f t="shared" ca="1" si="0"/>
        <v>#NAME?</v>
      </c>
      <c r="AB39" s="121" t="e">
        <f ca="1">IF(AA39=0,"",IFERROR(AA39/AA$19,""))</f>
        <v>#NAME?</v>
      </c>
      <c r="AD39" s="120">
        <v>29605.65</v>
      </c>
      <c r="AE39" s="121" t="str">
        <f ca="1">IF(AD39=0,"",IFERROR(AD39/AD$19,""))</f>
        <v/>
      </c>
      <c r="AF39" s="122" t="e">
        <f ca="1">IF(AND($AA39="",AD39=""),"",$AA39-AD39)</f>
        <v>#NAME?</v>
      </c>
      <c r="AG39" s="120">
        <v>1014908.06</v>
      </c>
      <c r="AH39" s="121" t="str">
        <f ca="1">IF(AG39=0,"",IFERROR(AG39/AG$19,""))</f>
        <v/>
      </c>
      <c r="AI39" s="122" t="e">
        <f ca="1">IF(AND($AA39="",AG39=""),"",$AA39-AG39)</f>
        <v>#NAME?</v>
      </c>
      <c r="AJ39" s="364">
        <f t="shared" ca="1" si="1"/>
        <v>0</v>
      </c>
      <c r="AK39" s="365">
        <f t="shared" ca="1" si="2"/>
        <v>0</v>
      </c>
      <c r="AL39" s="366">
        <f t="shared" ca="1" si="3"/>
        <v>0</v>
      </c>
      <c r="AM39" s="367">
        <f t="shared" ca="1" si="4"/>
        <v>0</v>
      </c>
      <c r="AN39" s="368">
        <f t="shared" ca="1" si="5"/>
        <v>0</v>
      </c>
    </row>
    <row r="40" spans="1:42" x14ac:dyDescent="0.2">
      <c r="A40" s="6" t="s">
        <v>3</v>
      </c>
      <c r="B40" s="7" t="e">
        <f ca="1">_xll.EVRNG($O$16:$AN$18)</f>
        <v>#NAME?</v>
      </c>
      <c r="G40" s="10"/>
      <c r="H40" s="1" t="s">
        <v>266</v>
      </c>
      <c r="I40" s="1" t="e">
        <f ca="1">_xll.EVPRO($B$1,$H40,"STYLE")</f>
        <v>#NAME?</v>
      </c>
      <c r="J40" s="1" t="e">
        <f ca="1">_xll.EVPRO($B$1,$H40,"CALC")</f>
        <v>#NAME?</v>
      </c>
      <c r="K40" s="65"/>
      <c r="L40" s="65"/>
      <c r="M40" s="65"/>
      <c r="N40" s="8" t="e">
        <f ca="1">IF(_xll.EVDES(H40,$B$1)="#NODATA","",_xll.EVDES(H40,$B$1))</f>
        <v>#NAME?</v>
      </c>
      <c r="O40" s="35"/>
      <c r="P40" s="35"/>
      <c r="Q40" s="35"/>
      <c r="R40" s="35"/>
      <c r="S40" s="35"/>
      <c r="T40" s="35"/>
      <c r="U40" s="35"/>
      <c r="V40" s="35"/>
      <c r="W40" s="35"/>
      <c r="X40" s="35"/>
      <c r="Y40" s="35"/>
      <c r="Z40" s="35"/>
      <c r="AA40" s="35" t="e">
        <f t="shared" ca="1" si="0"/>
        <v>#NAME?</v>
      </c>
      <c r="AB40" s="36"/>
      <c r="AD40" s="35"/>
      <c r="AE40" s="36"/>
      <c r="AF40" s="118"/>
      <c r="AG40" s="35"/>
      <c r="AH40" s="36"/>
      <c r="AI40" s="118"/>
      <c r="AJ40" s="325">
        <f t="shared" ca="1" si="1"/>
        <v>0</v>
      </c>
      <c r="AK40" s="326">
        <f t="shared" ca="1" si="2"/>
        <v>0</v>
      </c>
      <c r="AL40" s="328">
        <f t="shared" ca="1" si="3"/>
        <v>0</v>
      </c>
      <c r="AM40" s="362" t="str">
        <f t="shared" si="4"/>
        <v>0 pts.</v>
      </c>
      <c r="AN40" s="363" t="str">
        <f t="shared" si="5"/>
        <v>0 pts.</v>
      </c>
    </row>
    <row r="41" spans="1:42" x14ac:dyDescent="0.2">
      <c r="A41" s="6" t="s">
        <v>4</v>
      </c>
      <c r="B41" s="7" t="e">
        <f ca="1">_xll.EVRNG(H60:H68)</f>
        <v>#NAME?</v>
      </c>
      <c r="G41" s="10" t="s">
        <v>258</v>
      </c>
      <c r="H41" s="10" t="s">
        <v>272</v>
      </c>
      <c r="I41" s="25" t="e">
        <f ca="1">_xll.EVPRO($B$1,$H41,"STYLE")</f>
        <v>#NAME?</v>
      </c>
      <c r="J41" s="25" t="e">
        <f ca="1">_xll.EVPRO($B$1,$H41,"CALC")</f>
        <v>#NAME?</v>
      </c>
      <c r="K41" s="65" t="e">
        <f ca="1">IF(AND(I41&gt;="T5"),"&gt;","")</f>
        <v>#NAME?</v>
      </c>
      <c r="L41" s="65"/>
      <c r="M41" s="65"/>
      <c r="N41" s="24" t="e">
        <f ca="1">IF(_xll.EVDES(G41,$B$1)="#NODATA","",_xll.EVDES(G41,$B$1)&amp;" Beverage Rev")</f>
        <v>#NAME?</v>
      </c>
      <c r="O41" s="35">
        <v>7762</v>
      </c>
      <c r="P41" s="35"/>
      <c r="Q41" s="35"/>
      <c r="R41" s="35"/>
      <c r="S41" s="35"/>
      <c r="T41" s="35"/>
      <c r="U41" s="35"/>
      <c r="V41" s="35"/>
      <c r="W41" s="35"/>
      <c r="X41" s="35"/>
      <c r="Y41" s="35"/>
      <c r="Z41" s="35"/>
      <c r="AA41" s="35" t="e">
        <f t="shared" ca="1" si="0"/>
        <v>#NAME?</v>
      </c>
      <c r="AB41" s="36" t="e">
        <f t="shared" ref="AB41:AB47" ca="1" si="6">IF(AA41=0,"",IFERROR(AA41/AA$19,""))</f>
        <v>#NAME?</v>
      </c>
      <c r="AD41" s="35"/>
      <c r="AE41" s="36" t="str">
        <f t="shared" ref="AE41:AE47" si="7">IF(AD41=0,"",IFERROR(AD41/AD$19,""))</f>
        <v/>
      </c>
      <c r="AF41" s="118" t="e">
        <f t="shared" ref="AF41:AF47" ca="1" si="8">IF(AND($AA41="",AD41=""),"",$AA41-AD41)</f>
        <v>#NAME?</v>
      </c>
      <c r="AG41" s="35">
        <v>566439.41</v>
      </c>
      <c r="AH41" s="36" t="str">
        <f t="shared" ref="AH41:AH47" ca="1" si="9">IF(AG41=0,"",IFERROR(AG41/AG$19,""))</f>
        <v/>
      </c>
      <c r="AI41" s="118" t="e">
        <f t="shared" ref="AI41:AI47" ca="1" si="10">IF(AND($AA41="",AG41=""),"",$AA41-AG41)</f>
        <v>#NAME?</v>
      </c>
      <c r="AJ41" s="322">
        <f t="shared" ca="1" si="1"/>
        <v>0</v>
      </c>
      <c r="AK41" s="323">
        <f t="shared" ca="1" si="2"/>
        <v>0</v>
      </c>
      <c r="AL41" s="324">
        <f t="shared" ca="1" si="3"/>
        <v>0</v>
      </c>
      <c r="AM41" s="359">
        <f t="shared" ca="1" si="4"/>
        <v>0</v>
      </c>
      <c r="AN41" s="358">
        <f t="shared" ca="1" si="5"/>
        <v>0</v>
      </c>
    </row>
    <row r="42" spans="1:42" x14ac:dyDescent="0.2">
      <c r="A42" s="6" t="s">
        <v>5</v>
      </c>
      <c r="B42" s="7"/>
      <c r="F42" s="136"/>
      <c r="G42" s="10" t="s">
        <v>346</v>
      </c>
      <c r="H42" s="10" t="s">
        <v>272</v>
      </c>
      <c r="I42" s="25" t="e">
        <f ca="1">_xll.EVPRO($B$1,$H42,"STYLE")</f>
        <v>#NAME?</v>
      </c>
      <c r="J42" s="25" t="e">
        <f ca="1">_xll.EVPRO($B$1,$H42,"CALC")</f>
        <v>#NAME?</v>
      </c>
      <c r="K42" s="65" t="e">
        <f ca="1">IF(AND(I42&gt;="T5"),"&gt;","")</f>
        <v>#NAME?</v>
      </c>
      <c r="L42" s="65"/>
      <c r="M42" s="65"/>
      <c r="N42" s="24" t="e">
        <f ca="1">IF(_xll.EVDES(G42,$B$1)="#NODATA","",_xll.EVDES(G42,$B$1)&amp;" Beverage Rev")</f>
        <v>#NAME?</v>
      </c>
      <c r="O42" s="35"/>
      <c r="P42" s="35"/>
      <c r="Q42" s="35"/>
      <c r="R42" s="35"/>
      <c r="S42" s="35"/>
      <c r="T42" s="35"/>
      <c r="U42" s="35"/>
      <c r="V42" s="35"/>
      <c r="W42" s="35"/>
      <c r="X42" s="35"/>
      <c r="Y42" s="35"/>
      <c r="Z42" s="35"/>
      <c r="AA42" s="35" t="e">
        <f t="shared" ca="1" si="0"/>
        <v>#NAME?</v>
      </c>
      <c r="AB42" s="36" t="e">
        <f t="shared" ca="1" si="6"/>
        <v>#NAME?</v>
      </c>
      <c r="AD42" s="35"/>
      <c r="AE42" s="36" t="str">
        <f t="shared" si="7"/>
        <v/>
      </c>
      <c r="AF42" s="118" t="e">
        <f t="shared" ca="1" si="8"/>
        <v>#NAME?</v>
      </c>
      <c r="AG42" s="35"/>
      <c r="AH42" s="36" t="str">
        <f t="shared" si="9"/>
        <v/>
      </c>
      <c r="AI42" s="118" t="e">
        <f t="shared" ca="1" si="10"/>
        <v>#NAME?</v>
      </c>
      <c r="AJ42" s="322">
        <f t="shared" ca="1" si="1"/>
        <v>0</v>
      </c>
      <c r="AK42" s="323">
        <f t="shared" ca="1" si="2"/>
        <v>0</v>
      </c>
      <c r="AL42" s="324">
        <f t="shared" ca="1" si="3"/>
        <v>0</v>
      </c>
      <c r="AM42" s="359">
        <f t="shared" ca="1" si="4"/>
        <v>0</v>
      </c>
      <c r="AN42" s="358">
        <f t="shared" ca="1" si="5"/>
        <v>0</v>
      </c>
    </row>
    <row r="43" spans="1:42" x14ac:dyDescent="0.2">
      <c r="A43" s="6" t="s">
        <v>6</v>
      </c>
      <c r="B43" s="7"/>
      <c r="F43" s="136"/>
      <c r="G43" s="10" t="s">
        <v>347</v>
      </c>
      <c r="H43" s="10" t="s">
        <v>272</v>
      </c>
      <c r="I43" s="25" t="e">
        <f ca="1">_xll.EVPRO($B$1,$H43,"STYLE")</f>
        <v>#NAME?</v>
      </c>
      <c r="J43" s="25" t="e">
        <f ca="1">_xll.EVPRO($B$1,$H43,"CALC")</f>
        <v>#NAME?</v>
      </c>
      <c r="K43" s="65" t="e">
        <f ca="1">IF(AND(I43&gt;="T5"),"&gt;","")</f>
        <v>#NAME?</v>
      </c>
      <c r="L43" s="65"/>
      <c r="M43" s="65"/>
      <c r="N43" s="24" t="e">
        <f ca="1">IF(_xll.EVDES(G43,$B$1)="#NODATA","",_xll.EVDES(G43,$B$1)&amp;" Beverage Rev")</f>
        <v>#NAME?</v>
      </c>
      <c r="O43" s="35"/>
      <c r="P43" s="35"/>
      <c r="Q43" s="35"/>
      <c r="R43" s="35"/>
      <c r="S43" s="35"/>
      <c r="T43" s="35"/>
      <c r="U43" s="35"/>
      <c r="V43" s="35"/>
      <c r="W43" s="35"/>
      <c r="X43" s="35"/>
      <c r="Y43" s="35"/>
      <c r="Z43" s="35"/>
      <c r="AA43" s="35" t="e">
        <f t="shared" ca="1" si="0"/>
        <v>#NAME?</v>
      </c>
      <c r="AB43" s="36" t="e">
        <f t="shared" ca="1" si="6"/>
        <v>#NAME?</v>
      </c>
      <c r="AD43" s="35"/>
      <c r="AE43" s="36" t="str">
        <f t="shared" si="7"/>
        <v/>
      </c>
      <c r="AF43" s="118" t="e">
        <f t="shared" ca="1" si="8"/>
        <v>#NAME?</v>
      </c>
      <c r="AG43" s="35">
        <v>33616.75</v>
      </c>
      <c r="AH43" s="36" t="str">
        <f t="shared" ca="1" si="9"/>
        <v/>
      </c>
      <c r="AI43" s="118" t="e">
        <f t="shared" ca="1" si="10"/>
        <v>#NAME?</v>
      </c>
      <c r="AJ43" s="322">
        <f t="shared" ca="1" si="1"/>
        <v>0</v>
      </c>
      <c r="AK43" s="323">
        <f t="shared" ca="1" si="2"/>
        <v>0</v>
      </c>
      <c r="AL43" s="324">
        <f t="shared" ca="1" si="3"/>
        <v>0</v>
      </c>
      <c r="AM43" s="359">
        <f t="shared" ca="1" si="4"/>
        <v>0</v>
      </c>
      <c r="AN43" s="358">
        <f t="shared" ca="1" si="5"/>
        <v>0</v>
      </c>
    </row>
    <row r="44" spans="1:42" x14ac:dyDescent="0.2">
      <c r="A44" s="6" t="s">
        <v>7</v>
      </c>
      <c r="B44" s="7" t="e">
        <f ca="1">_xll.EVRNG(A58:F66)</f>
        <v>#NAME?</v>
      </c>
      <c r="F44" s="136"/>
      <c r="G44" s="10" t="s">
        <v>349</v>
      </c>
      <c r="H44" s="10" t="s">
        <v>272</v>
      </c>
      <c r="I44" s="25" t="e">
        <f ca="1">_xll.EVPRO($B$1,$H44,"STYLE")</f>
        <v>#NAME?</v>
      </c>
      <c r="J44" s="25" t="e">
        <f ca="1">_xll.EVPRO($B$1,$H44,"CALC")</f>
        <v>#NAME?</v>
      </c>
      <c r="K44" s="65" t="e">
        <f ca="1">IF(AND(I44&gt;="T5"),"&gt;","")</f>
        <v>#NAME?</v>
      </c>
      <c r="L44" s="65"/>
      <c r="M44" s="65"/>
      <c r="N44" s="24" t="e">
        <f ca="1">IF(_xll.EVDES(G44,$B$1)="#NODATA","",_xll.EVDES(G44,$B$1)&amp;" Beverage Rev")</f>
        <v>#NAME?</v>
      </c>
      <c r="O44" s="35">
        <v>3178.56</v>
      </c>
      <c r="P44" s="35">
        <v>2964.11</v>
      </c>
      <c r="Q44" s="35">
        <v>3587</v>
      </c>
      <c r="R44" s="35">
        <v>2374</v>
      </c>
      <c r="S44" s="35">
        <v>2132</v>
      </c>
      <c r="T44" s="35">
        <v>2257</v>
      </c>
      <c r="U44" s="35">
        <v>1868</v>
      </c>
      <c r="V44" s="35">
        <v>2547</v>
      </c>
      <c r="W44" s="35">
        <v>2433</v>
      </c>
      <c r="X44" s="35">
        <v>1908</v>
      </c>
      <c r="Y44" s="35">
        <v>2758.63</v>
      </c>
      <c r="Z44" s="35">
        <v>2850.94</v>
      </c>
      <c r="AA44" s="35" t="e">
        <f t="shared" ca="1" si="0"/>
        <v>#NAME?</v>
      </c>
      <c r="AB44" s="36" t="e">
        <f t="shared" ca="1" si="6"/>
        <v>#NAME?</v>
      </c>
      <c r="AD44" s="35">
        <v>32989.42</v>
      </c>
      <c r="AE44" s="36" t="str">
        <f t="shared" ca="1" si="7"/>
        <v/>
      </c>
      <c r="AF44" s="118" t="e">
        <f t="shared" ca="1" si="8"/>
        <v>#NAME?</v>
      </c>
      <c r="AG44" s="35">
        <v>35674.29</v>
      </c>
      <c r="AH44" s="36" t="str">
        <f t="shared" ca="1" si="9"/>
        <v/>
      </c>
      <c r="AI44" s="118" t="e">
        <f t="shared" ca="1" si="10"/>
        <v>#NAME?</v>
      </c>
      <c r="AJ44" s="329">
        <f t="shared" ca="1" si="1"/>
        <v>0</v>
      </c>
      <c r="AK44" s="330">
        <f t="shared" ca="1" si="2"/>
        <v>0</v>
      </c>
      <c r="AL44" s="331">
        <f t="shared" ca="1" si="3"/>
        <v>0</v>
      </c>
      <c r="AM44" s="360">
        <f t="shared" ca="1" si="4"/>
        <v>0</v>
      </c>
      <c r="AN44" s="361">
        <f t="shared" ca="1" si="5"/>
        <v>0</v>
      </c>
    </row>
    <row r="45" spans="1:42" x14ac:dyDescent="0.2">
      <c r="A45" s="6" t="s">
        <v>47</v>
      </c>
      <c r="B45" s="7" t="e">
        <f ca="1">_xll.EVRNG($A$114:$B$135)</f>
        <v>#NAME?</v>
      </c>
      <c r="G45" s="10" t="s">
        <v>358</v>
      </c>
      <c r="H45" s="10" t="s">
        <v>272</v>
      </c>
      <c r="I45" s="25" t="e">
        <f ca="1">_xll.EVPRO($B$1,$H45,"STYLE")</f>
        <v>#NAME?</v>
      </c>
      <c r="J45" s="25" t="e">
        <f ca="1">_xll.EVPRO($B$1,$H45,"CALC")</f>
        <v>#NAME?</v>
      </c>
      <c r="K45" s="65" t="e">
        <f ca="1">IF(AND(I45&gt;="T5"),"&gt;","")</f>
        <v>#NAME?</v>
      </c>
      <c r="L45" s="65"/>
      <c r="M45" s="65"/>
      <c r="N45" s="8" t="e">
        <f ca="1">IF(_xll.EVDES(H45,$B$1)="#NODATA","",_xll.EVDES(H45,$B$1))</f>
        <v>#NAME?</v>
      </c>
      <c r="O45" s="120">
        <v>10940.56</v>
      </c>
      <c r="P45" s="120">
        <v>2964.11</v>
      </c>
      <c r="Q45" s="120">
        <v>3587</v>
      </c>
      <c r="R45" s="120">
        <v>2374</v>
      </c>
      <c r="S45" s="120">
        <v>2132</v>
      </c>
      <c r="T45" s="120">
        <v>2257</v>
      </c>
      <c r="U45" s="120">
        <v>1868</v>
      </c>
      <c r="V45" s="120">
        <v>2547</v>
      </c>
      <c r="W45" s="120">
        <v>2433</v>
      </c>
      <c r="X45" s="120">
        <v>1908</v>
      </c>
      <c r="Y45" s="120">
        <v>2758.63</v>
      </c>
      <c r="Z45" s="120">
        <v>2850.94</v>
      </c>
      <c r="AA45" s="120" t="e">
        <f t="shared" ca="1" si="0"/>
        <v>#NAME?</v>
      </c>
      <c r="AB45" s="121" t="e">
        <f t="shared" ca="1" si="6"/>
        <v>#NAME?</v>
      </c>
      <c r="AD45" s="120">
        <v>32989.42</v>
      </c>
      <c r="AE45" s="121" t="str">
        <f t="shared" ca="1" si="7"/>
        <v/>
      </c>
      <c r="AF45" s="122" t="e">
        <f t="shared" ca="1" si="8"/>
        <v>#NAME?</v>
      </c>
      <c r="AG45" s="120">
        <v>635730.44999999995</v>
      </c>
      <c r="AH45" s="121" t="str">
        <f t="shared" ca="1" si="9"/>
        <v/>
      </c>
      <c r="AI45" s="122" t="e">
        <f t="shared" ca="1" si="10"/>
        <v>#NAME?</v>
      </c>
      <c r="AJ45" s="364">
        <f t="shared" ca="1" si="1"/>
        <v>0</v>
      </c>
      <c r="AK45" s="365">
        <f t="shared" ca="1" si="2"/>
        <v>0</v>
      </c>
      <c r="AL45" s="366">
        <f t="shared" ca="1" si="3"/>
        <v>0</v>
      </c>
      <c r="AM45" s="367">
        <f t="shared" ca="1" si="4"/>
        <v>0</v>
      </c>
      <c r="AN45" s="368">
        <f t="shared" ca="1" si="5"/>
        <v>0</v>
      </c>
    </row>
    <row r="46" spans="1:42" x14ac:dyDescent="0.2">
      <c r="A46" s="6" t="s">
        <v>8</v>
      </c>
      <c r="B46" s="7"/>
      <c r="G46" s="10" t="s">
        <v>358</v>
      </c>
      <c r="H46" s="10" t="s">
        <v>486</v>
      </c>
      <c r="I46" s="26"/>
      <c r="J46" s="26"/>
      <c r="K46" s="65"/>
      <c r="L46" s="65"/>
      <c r="M46" s="65"/>
      <c r="N46" s="24" t="e">
        <f ca="1">IF(_xll.EVDES(H46,$B$1)="#NODATA","",_xll.EVDES(H46,$B$1))</f>
        <v>#NAME?</v>
      </c>
      <c r="O46" s="35"/>
      <c r="P46" s="35"/>
      <c r="Q46" s="35">
        <v>-43.18</v>
      </c>
      <c r="R46" s="35"/>
      <c r="S46" s="35"/>
      <c r="T46" s="35"/>
      <c r="U46" s="35"/>
      <c r="V46" s="35"/>
      <c r="W46" s="35"/>
      <c r="X46" s="35"/>
      <c r="Y46" s="35"/>
      <c r="Z46" s="35"/>
      <c r="AA46" s="35">
        <f t="shared" si="0"/>
        <v>-43.18</v>
      </c>
      <c r="AB46" s="36" t="str">
        <f t="shared" ca="1" si="6"/>
        <v/>
      </c>
      <c r="AD46" s="35"/>
      <c r="AE46" s="36" t="str">
        <f t="shared" si="7"/>
        <v/>
      </c>
      <c r="AF46" s="118">
        <f t="shared" si="8"/>
        <v>-43.18</v>
      </c>
      <c r="AG46" s="35">
        <v>-2115.7600000000002</v>
      </c>
      <c r="AH46" s="36" t="str">
        <f t="shared" ca="1" si="9"/>
        <v/>
      </c>
      <c r="AI46" s="118">
        <f t="shared" si="10"/>
        <v>2072.5800000000004</v>
      </c>
      <c r="AJ46" s="325">
        <f t="shared" ca="1" si="1"/>
        <v>0</v>
      </c>
      <c r="AK46" s="326">
        <f t="shared" ca="1" si="2"/>
        <v>0</v>
      </c>
      <c r="AL46" s="328">
        <f t="shared" ca="1" si="3"/>
        <v>0</v>
      </c>
      <c r="AM46" s="362">
        <f t="shared" ca="1" si="4"/>
        <v>0</v>
      </c>
      <c r="AN46" s="363">
        <f t="shared" ca="1" si="5"/>
        <v>0</v>
      </c>
    </row>
    <row r="47" spans="1:42" x14ac:dyDescent="0.2">
      <c r="G47" s="10" t="s">
        <v>358</v>
      </c>
      <c r="H47" s="10" t="s">
        <v>273</v>
      </c>
      <c r="I47" s="25" t="e">
        <f ca="1">_xll.EVPRO($B$1,$H47,"STYLE")</f>
        <v>#NAME?</v>
      </c>
      <c r="J47" s="25" t="e">
        <f ca="1">_xll.EVPRO($B$1,$H47,"CALC")</f>
        <v>#NAME?</v>
      </c>
      <c r="K47" s="65" t="e">
        <f ca="1">IF(AND(I47&gt;="T5"),"&gt;","")</f>
        <v>#NAME?</v>
      </c>
      <c r="L47" s="65"/>
      <c r="M47" s="65"/>
      <c r="N47" s="8" t="e">
        <f ca="1">IF(_xll.EVDES(H47,$B$1)="#NODATA","",_xll.EVDES(H47,$B$1))</f>
        <v>#NAME?</v>
      </c>
      <c r="O47" s="120">
        <v>28778.15</v>
      </c>
      <c r="P47" s="120">
        <v>5456.2</v>
      </c>
      <c r="Q47" s="120">
        <v>6723.82</v>
      </c>
      <c r="R47" s="120">
        <v>4808</v>
      </c>
      <c r="S47" s="120">
        <v>4504.3900000000003</v>
      </c>
      <c r="T47" s="120">
        <v>4444</v>
      </c>
      <c r="U47" s="120">
        <v>3839</v>
      </c>
      <c r="V47" s="120">
        <v>4788.5600000000004</v>
      </c>
      <c r="W47" s="120">
        <v>4562.55</v>
      </c>
      <c r="X47" s="120">
        <v>4203</v>
      </c>
      <c r="Y47" s="120">
        <v>4591.59</v>
      </c>
      <c r="Z47" s="120">
        <v>4738.59</v>
      </c>
      <c r="AA47" s="120" t="e">
        <f t="shared" ca="1" si="0"/>
        <v>#NAME?</v>
      </c>
      <c r="AB47" s="121" t="e">
        <f t="shared" ca="1" si="6"/>
        <v>#NAME?</v>
      </c>
      <c r="AD47" s="120">
        <v>62595.07</v>
      </c>
      <c r="AE47" s="121" t="str">
        <f t="shared" ca="1" si="7"/>
        <v/>
      </c>
      <c r="AF47" s="122" t="e">
        <f t="shared" ca="1" si="8"/>
        <v>#NAME?</v>
      </c>
      <c r="AG47" s="120">
        <v>1648522.75</v>
      </c>
      <c r="AH47" s="121" t="str">
        <f t="shared" ca="1" si="9"/>
        <v/>
      </c>
      <c r="AI47" s="122" t="e">
        <f t="shared" ca="1" si="10"/>
        <v>#NAME?</v>
      </c>
      <c r="AJ47" s="364">
        <f t="shared" ca="1" si="1"/>
        <v>0</v>
      </c>
      <c r="AK47" s="365">
        <f t="shared" ca="1" si="2"/>
        <v>0</v>
      </c>
      <c r="AL47" s="366">
        <f t="shared" ca="1" si="3"/>
        <v>0</v>
      </c>
      <c r="AM47" s="369">
        <f t="shared" ca="1" si="4"/>
        <v>0</v>
      </c>
      <c r="AN47" s="368">
        <f t="shared" ca="1" si="5"/>
        <v>0</v>
      </c>
    </row>
    <row r="48" spans="1:42" x14ac:dyDescent="0.2">
      <c r="A48" s="3" t="s">
        <v>9</v>
      </c>
      <c r="B48" s="5" t="s">
        <v>10</v>
      </c>
      <c r="G48" s="10"/>
      <c r="H48" s="1" t="s">
        <v>279</v>
      </c>
      <c r="I48" s="1" t="e">
        <f ca="1">_xll.EVPRO($B$1,$H48,"STYLE")</f>
        <v>#NAME?</v>
      </c>
      <c r="J48" s="1" t="e">
        <f ca="1">_xll.EVPRO($B$1,$H48,"CALC")</f>
        <v>#NAME?</v>
      </c>
      <c r="K48" s="65" t="e">
        <f ca="1">IF(AND(I48&gt;="T5"),"&gt;","")</f>
        <v>#NAME?</v>
      </c>
      <c r="L48" s="65"/>
      <c r="M48" s="65"/>
      <c r="N48" s="23" t="e">
        <f ca="1">IF(_xll.EVDES(H48,$B$1)="#NODATA","",_xll.EVDES(H48,$B$1))</f>
        <v>#NAME?</v>
      </c>
      <c r="O48" s="166"/>
      <c r="P48" s="261"/>
      <c r="Q48" s="261"/>
      <c r="R48" s="261"/>
      <c r="S48" s="261"/>
      <c r="T48" s="261"/>
      <c r="U48" s="261"/>
      <c r="V48" s="261"/>
      <c r="W48" s="261"/>
      <c r="X48" s="261"/>
      <c r="Y48" s="261"/>
      <c r="Z48" s="261"/>
      <c r="AA48" s="261" t="e">
        <f t="shared" ca="1" si="0"/>
        <v>#NAME?</v>
      </c>
      <c r="AB48" s="167"/>
      <c r="AD48" s="166"/>
      <c r="AE48" s="168"/>
      <c r="AF48" s="169"/>
      <c r="AG48" s="166"/>
      <c r="AH48" s="168"/>
      <c r="AI48" s="169"/>
      <c r="AJ48" s="322">
        <f t="shared" ca="1" si="1"/>
        <v>0</v>
      </c>
      <c r="AK48" s="323">
        <f t="shared" ca="1" si="2"/>
        <v>0</v>
      </c>
      <c r="AL48" s="324">
        <f t="shared" ca="1" si="3"/>
        <v>0</v>
      </c>
      <c r="AM48" s="359" t="str">
        <f t="shared" si="4"/>
        <v>0 pts.</v>
      </c>
      <c r="AN48" s="358" t="str">
        <f t="shared" si="5"/>
        <v>0 pts.</v>
      </c>
    </row>
    <row r="49" spans="1:41" x14ac:dyDescent="0.2">
      <c r="A49" s="6" t="s">
        <v>11</v>
      </c>
      <c r="B49" s="7" t="s">
        <v>21</v>
      </c>
      <c r="G49" s="10" t="s">
        <v>358</v>
      </c>
      <c r="H49" s="10" t="s">
        <v>274</v>
      </c>
      <c r="I49" s="25" t="e">
        <f ca="1">_xll.EVPRO($B$1,$H49,"STYLE")</f>
        <v>#NAME?</v>
      </c>
      <c r="J49" s="25" t="e">
        <f ca="1">_xll.EVPRO($B$1,$H49,"CALC")</f>
        <v>#NAME?</v>
      </c>
      <c r="K49" s="65"/>
      <c r="L49" s="65"/>
      <c r="M49" s="65"/>
      <c r="N49" s="24" t="e">
        <f ca="1">IF(_xll.EVDES(H49,$B$1)="#NODATA","",_xll.EVDES(H49,$B$1))</f>
        <v>#NAME?</v>
      </c>
      <c r="O49" s="19">
        <v>945</v>
      </c>
      <c r="P49" s="19"/>
      <c r="Q49" s="19"/>
      <c r="R49" s="19"/>
      <c r="S49" s="19"/>
      <c r="T49" s="19"/>
      <c r="U49" s="19"/>
      <c r="V49" s="19"/>
      <c r="W49" s="19"/>
      <c r="X49" s="19"/>
      <c r="Y49" s="19"/>
      <c r="Z49" s="19"/>
      <c r="AA49" s="19" t="e">
        <f t="shared" ca="1" si="0"/>
        <v>#NAME?</v>
      </c>
      <c r="AB49" s="15" t="e">
        <f t="shared" ref="AB49:AB56" ca="1" si="11">IF(AA49=0,"",IFERROR(AA49/AA$19,""))</f>
        <v>#NAME?</v>
      </c>
      <c r="AD49" s="19"/>
      <c r="AE49" s="15" t="str">
        <f t="shared" ref="AE49:AE56" si="12">IF(AD49=0,"",IFERROR(AD49/AD$19,""))</f>
        <v/>
      </c>
      <c r="AF49" s="47" t="e">
        <f t="shared" ref="AF49:AF56" ca="1" si="13">IF(AND($AA49="",AD49=""),"",$AA49-AD49)</f>
        <v>#NAME?</v>
      </c>
      <c r="AG49" s="19">
        <v>22841.23</v>
      </c>
      <c r="AH49" s="15" t="str">
        <f t="shared" ref="AH49:AH56" ca="1" si="14">IF(AG49=0,"",IFERROR(AG49/AG$19,""))</f>
        <v/>
      </c>
      <c r="AI49" s="47" t="e">
        <f t="shared" ref="AI49:AI56" ca="1" si="15">IF(AND($AA49="",AG49=""),"",$AA49-AG49)</f>
        <v>#NAME?</v>
      </c>
      <c r="AJ49" s="322">
        <f t="shared" ca="1" si="1"/>
        <v>0</v>
      </c>
      <c r="AK49" s="323">
        <f t="shared" ca="1" si="2"/>
        <v>0</v>
      </c>
      <c r="AL49" s="324">
        <f t="shared" ca="1" si="3"/>
        <v>0</v>
      </c>
      <c r="AM49" s="359">
        <f t="shared" ca="1" si="4"/>
        <v>0</v>
      </c>
      <c r="AN49" s="358">
        <f t="shared" ca="1" si="5"/>
        <v>0</v>
      </c>
    </row>
    <row r="50" spans="1:41" x14ac:dyDescent="0.2">
      <c r="A50" s="6" t="s">
        <v>12</v>
      </c>
      <c r="B50" s="7" t="s">
        <v>22</v>
      </c>
      <c r="G50" s="10" t="s">
        <v>358</v>
      </c>
      <c r="H50" s="10" t="s">
        <v>275</v>
      </c>
      <c r="I50" s="25" t="e">
        <f ca="1">_xll.EVPRO($B$1,$H50,"STYLE")</f>
        <v>#NAME?</v>
      </c>
      <c r="J50" s="25" t="e">
        <f ca="1">_xll.EVPRO($B$1,$H50,"CALC")</f>
        <v>#NAME?</v>
      </c>
      <c r="K50" s="65"/>
      <c r="L50" s="65"/>
      <c r="M50" s="65"/>
      <c r="N50" s="24" t="e">
        <f ca="1">IF(_xll.EVDES(H50,$B$1)="#NODATA","",_xll.EVDES(H50,$B$1))</f>
        <v>#NAME?</v>
      </c>
      <c r="O50" s="35">
        <v>1000</v>
      </c>
      <c r="P50" s="35"/>
      <c r="Q50" s="35"/>
      <c r="R50" s="35"/>
      <c r="S50" s="35"/>
      <c r="T50" s="35"/>
      <c r="U50" s="35"/>
      <c r="V50" s="35"/>
      <c r="W50" s="35"/>
      <c r="X50" s="35"/>
      <c r="Y50" s="35"/>
      <c r="Z50" s="35"/>
      <c r="AA50" s="35" t="e">
        <f t="shared" ca="1" si="0"/>
        <v>#NAME?</v>
      </c>
      <c r="AB50" s="36" t="e">
        <f t="shared" ca="1" si="11"/>
        <v>#NAME?</v>
      </c>
      <c r="AD50" s="35"/>
      <c r="AE50" s="36" t="str">
        <f t="shared" si="12"/>
        <v/>
      </c>
      <c r="AF50" s="118" t="e">
        <f t="shared" ca="1" si="13"/>
        <v>#NAME?</v>
      </c>
      <c r="AG50" s="35">
        <v>60377.72</v>
      </c>
      <c r="AH50" s="36" t="str">
        <f t="shared" ca="1" si="14"/>
        <v/>
      </c>
      <c r="AI50" s="118" t="e">
        <f t="shared" ca="1" si="15"/>
        <v>#NAME?</v>
      </c>
      <c r="AJ50" s="322">
        <f t="shared" ca="1" si="1"/>
        <v>0</v>
      </c>
      <c r="AK50" s="323">
        <f t="shared" ca="1" si="2"/>
        <v>0</v>
      </c>
      <c r="AL50" s="324">
        <f t="shared" ca="1" si="3"/>
        <v>0</v>
      </c>
      <c r="AM50" s="359">
        <f t="shared" ca="1" si="4"/>
        <v>0</v>
      </c>
      <c r="AN50" s="358">
        <f t="shared" ca="1" si="5"/>
        <v>0</v>
      </c>
    </row>
    <row r="51" spans="1:41" x14ac:dyDescent="0.2">
      <c r="A51" s="6" t="s">
        <v>13</v>
      </c>
      <c r="B51" s="7" t="e">
        <f ca="1">"DEP(COS_FB) AND "&amp;$E$6&amp;"=Y,COS_FB,COSOTH,DEP(COS_OTHR) AND "&amp;$E$6&amp;"=Y,COS_OTHR,500001"</f>
        <v>#NAME?</v>
      </c>
      <c r="G51" s="10" t="s">
        <v>358</v>
      </c>
      <c r="H51" s="10" t="s">
        <v>276</v>
      </c>
      <c r="I51" s="25" t="e">
        <f ca="1">_xll.EVPRO($B$1,$H51,"STYLE")</f>
        <v>#NAME?</v>
      </c>
      <c r="J51" s="25" t="e">
        <f ca="1">_xll.EVPRO($B$1,$H51,"CALC")</f>
        <v>#NAME?</v>
      </c>
      <c r="K51" s="65"/>
      <c r="L51" s="65"/>
      <c r="M51" s="65"/>
      <c r="N51" s="24" t="e">
        <f ca="1">IF(_xll.EVDES(H51,$B$1)="#NODATA","",_xll.EVDES(H51,$B$1))</f>
        <v>#NAME?</v>
      </c>
      <c r="O51" s="35"/>
      <c r="P51" s="35"/>
      <c r="Q51" s="35"/>
      <c r="R51" s="35"/>
      <c r="S51" s="35"/>
      <c r="T51" s="35"/>
      <c r="U51" s="35"/>
      <c r="V51" s="35"/>
      <c r="W51" s="35"/>
      <c r="X51" s="35"/>
      <c r="Y51" s="35"/>
      <c r="Z51" s="35"/>
      <c r="AA51" s="35" t="e">
        <f t="shared" ca="1" si="0"/>
        <v>#NAME?</v>
      </c>
      <c r="AB51" s="36" t="e">
        <f t="shared" ca="1" si="11"/>
        <v>#NAME?</v>
      </c>
      <c r="AD51" s="35"/>
      <c r="AE51" s="36" t="str">
        <f t="shared" si="12"/>
        <v/>
      </c>
      <c r="AF51" s="118" t="e">
        <f t="shared" ca="1" si="13"/>
        <v>#NAME?</v>
      </c>
      <c r="AG51" s="35"/>
      <c r="AH51" s="36" t="str">
        <f>IF(AG51=0,"",IFERROR(AG51/AG$19,""))</f>
        <v/>
      </c>
      <c r="AI51" s="118" t="e">
        <f t="shared" ca="1" si="15"/>
        <v>#NAME?</v>
      </c>
      <c r="AJ51" s="322">
        <f t="shared" ca="1" si="1"/>
        <v>0</v>
      </c>
      <c r="AK51" s="323">
        <f t="shared" ca="1" si="2"/>
        <v>0</v>
      </c>
      <c r="AL51" s="324">
        <f t="shared" ca="1" si="3"/>
        <v>0</v>
      </c>
      <c r="AM51" s="359">
        <f t="shared" ca="1" si="4"/>
        <v>0</v>
      </c>
      <c r="AN51" s="358">
        <f t="shared" ca="1" si="5"/>
        <v>0</v>
      </c>
    </row>
    <row r="52" spans="1:41" x14ac:dyDescent="0.2">
      <c r="A52" s="6" t="s">
        <v>14</v>
      </c>
      <c r="B52" s="7"/>
      <c r="G52" s="10" t="s">
        <v>358</v>
      </c>
      <c r="H52" s="10" t="s">
        <v>282</v>
      </c>
      <c r="I52" s="25" t="e">
        <f ca="1">_xll.EVPRO($B$1,$H52,"STYLE")</f>
        <v>#NAME?</v>
      </c>
      <c r="J52" s="25" t="e">
        <f ca="1">_xll.EVPRO($B$1,$H52,"CALC")</f>
        <v>#NAME?</v>
      </c>
      <c r="K52" s="65"/>
      <c r="L52" s="65"/>
      <c r="M52" s="65"/>
      <c r="N52" s="24" t="e">
        <f ca="1">IF(_xll.EVDES(H52,$B$1)="#NODATA","",_xll.EVDES(H52,$B$1))</f>
        <v>#NAME?</v>
      </c>
      <c r="O52" s="35">
        <v>4837.8100000000004</v>
      </c>
      <c r="P52" s="35"/>
      <c r="Q52" s="35"/>
      <c r="R52" s="35"/>
      <c r="S52" s="35"/>
      <c r="T52" s="35"/>
      <c r="U52" s="35"/>
      <c r="V52" s="35"/>
      <c r="W52" s="35"/>
      <c r="X52" s="35"/>
      <c r="Y52" s="35"/>
      <c r="Z52" s="35"/>
      <c r="AA52" s="35" t="e">
        <f t="shared" ca="1" si="0"/>
        <v>#NAME?</v>
      </c>
      <c r="AB52" s="36" t="e">
        <f t="shared" ca="1" si="11"/>
        <v>#NAME?</v>
      </c>
      <c r="AD52" s="35"/>
      <c r="AE52" s="36" t="str">
        <f t="shared" si="12"/>
        <v/>
      </c>
      <c r="AF52" s="118" t="e">
        <f t="shared" ca="1" si="13"/>
        <v>#NAME?</v>
      </c>
      <c r="AG52" s="35">
        <v>307884.75</v>
      </c>
      <c r="AH52" s="36" t="str">
        <f t="shared" ca="1" si="14"/>
        <v/>
      </c>
      <c r="AI52" s="118" t="e">
        <f t="shared" ca="1" si="15"/>
        <v>#NAME?</v>
      </c>
      <c r="AJ52" s="322">
        <f t="shared" ca="1" si="1"/>
        <v>0</v>
      </c>
      <c r="AK52" s="323">
        <f t="shared" ca="1" si="2"/>
        <v>0</v>
      </c>
      <c r="AL52" s="324">
        <f t="shared" ca="1" si="3"/>
        <v>0</v>
      </c>
      <c r="AM52" s="359">
        <f t="shared" ca="1" si="4"/>
        <v>0</v>
      </c>
      <c r="AN52" s="358">
        <f t="shared" ca="1" si="5"/>
        <v>0</v>
      </c>
    </row>
    <row r="53" spans="1:41" x14ac:dyDescent="0.2">
      <c r="A53" s="6" t="s">
        <v>15</v>
      </c>
      <c r="B53" s="7"/>
      <c r="G53" s="10" t="s">
        <v>358</v>
      </c>
      <c r="H53" s="10" t="s">
        <v>283</v>
      </c>
      <c r="I53" s="25" t="e">
        <f ca="1">_xll.EVPRO($B$1,$H53,"STYLE")</f>
        <v>#NAME?</v>
      </c>
      <c r="J53" s="25" t="e">
        <f ca="1">_xll.EVPRO($B$1,$H53,"CALC")</f>
        <v>#NAME?</v>
      </c>
      <c r="K53" s="65"/>
      <c r="L53" s="65"/>
      <c r="M53" s="65"/>
      <c r="N53" s="24" t="e">
        <f ca="1">IF(_xll.EVDES(H53,$B$1)="#NODATA","",_xll.EVDES(H53,$B$1))</f>
        <v>#NAME?</v>
      </c>
      <c r="O53" s="35">
        <v>1273.6099999999999</v>
      </c>
      <c r="P53" s="35">
        <v>225</v>
      </c>
      <c r="Q53" s="35">
        <v>652</v>
      </c>
      <c r="R53" s="35">
        <v>1105</v>
      </c>
      <c r="S53" s="35">
        <v>1224.25</v>
      </c>
      <c r="T53" s="35">
        <v>980</v>
      </c>
      <c r="U53" s="35">
        <v>489.6</v>
      </c>
      <c r="V53" s="35">
        <v>1458</v>
      </c>
      <c r="W53" s="35">
        <v>675</v>
      </c>
      <c r="X53" s="35">
        <v>225</v>
      </c>
      <c r="Y53" s="35"/>
      <c r="Z53" s="35"/>
      <c r="AA53" s="35" t="e">
        <f t="shared" ca="1" si="0"/>
        <v>#NAME?</v>
      </c>
      <c r="AB53" s="36" t="e">
        <f t="shared" ca="1" si="11"/>
        <v>#NAME?</v>
      </c>
      <c r="AD53" s="35">
        <v>7114</v>
      </c>
      <c r="AE53" s="36" t="str">
        <f t="shared" ca="1" si="12"/>
        <v/>
      </c>
      <c r="AF53" s="118" t="e">
        <f t="shared" ca="1" si="13"/>
        <v>#NAME?</v>
      </c>
      <c r="AG53" s="35">
        <v>71909.5</v>
      </c>
      <c r="AH53" s="36" t="str">
        <f t="shared" ca="1" si="14"/>
        <v/>
      </c>
      <c r="AI53" s="118" t="e">
        <f t="shared" ca="1" si="15"/>
        <v>#NAME?</v>
      </c>
      <c r="AJ53" s="322">
        <f t="shared" ca="1" si="1"/>
        <v>0</v>
      </c>
      <c r="AK53" s="323">
        <f t="shared" ca="1" si="2"/>
        <v>0</v>
      </c>
      <c r="AL53" s="324">
        <f t="shared" ca="1" si="3"/>
        <v>0</v>
      </c>
      <c r="AM53" s="359">
        <f t="shared" ca="1" si="4"/>
        <v>0</v>
      </c>
      <c r="AN53" s="358">
        <f t="shared" ca="1" si="5"/>
        <v>0</v>
      </c>
    </row>
    <row r="54" spans="1:41" x14ac:dyDescent="0.2">
      <c r="A54" s="6" t="s">
        <v>16</v>
      </c>
      <c r="B54" s="7"/>
      <c r="G54" s="10" t="s">
        <v>358</v>
      </c>
      <c r="H54" s="10" t="s">
        <v>277</v>
      </c>
      <c r="I54" s="25" t="e">
        <f ca="1">_xll.EVPRO($B$1,$H54,"STYLE")</f>
        <v>#NAME?</v>
      </c>
      <c r="J54" s="25" t="e">
        <f ca="1">_xll.EVPRO($B$1,$H54,"CALC")</f>
        <v>#NAME?</v>
      </c>
      <c r="K54" s="65"/>
      <c r="L54" s="65"/>
      <c r="M54" s="65"/>
      <c r="N54" s="8" t="e">
        <f ca="1">IF(_xll.EVDES(H54,$B$1)="#NODATA","",_xll.EVDES(H54,$B$1))</f>
        <v>#NAME?</v>
      </c>
      <c r="O54" s="120">
        <v>8056.42</v>
      </c>
      <c r="P54" s="120">
        <v>225</v>
      </c>
      <c r="Q54" s="120">
        <v>652</v>
      </c>
      <c r="R54" s="120">
        <v>1105</v>
      </c>
      <c r="S54" s="120">
        <v>1224.25</v>
      </c>
      <c r="T54" s="120">
        <v>980</v>
      </c>
      <c r="U54" s="120">
        <v>489.6</v>
      </c>
      <c r="V54" s="120">
        <v>1458</v>
      </c>
      <c r="W54" s="120">
        <v>675</v>
      </c>
      <c r="X54" s="120">
        <v>225</v>
      </c>
      <c r="Y54" s="120"/>
      <c r="Z54" s="120"/>
      <c r="AA54" s="120" t="e">
        <f t="shared" ca="1" si="0"/>
        <v>#NAME?</v>
      </c>
      <c r="AB54" s="121" t="e">
        <f t="shared" ca="1" si="11"/>
        <v>#NAME?</v>
      </c>
      <c r="AD54" s="120">
        <v>7114</v>
      </c>
      <c r="AE54" s="121" t="str">
        <f t="shared" ca="1" si="12"/>
        <v/>
      </c>
      <c r="AF54" s="122" t="e">
        <f t="shared" ca="1" si="13"/>
        <v>#NAME?</v>
      </c>
      <c r="AG54" s="120">
        <v>463013.2</v>
      </c>
      <c r="AH54" s="121" t="str">
        <f t="shared" ca="1" si="14"/>
        <v/>
      </c>
      <c r="AI54" s="122" t="e">
        <f t="shared" ca="1" si="15"/>
        <v>#NAME?</v>
      </c>
      <c r="AJ54" s="364">
        <f t="shared" ca="1" si="1"/>
        <v>0</v>
      </c>
      <c r="AK54" s="365">
        <f t="shared" ca="1" si="2"/>
        <v>0</v>
      </c>
      <c r="AL54" s="366">
        <f t="shared" ca="1" si="3"/>
        <v>0</v>
      </c>
      <c r="AM54" s="367">
        <f t="shared" ca="1" si="4"/>
        <v>0</v>
      </c>
      <c r="AN54" s="368">
        <f t="shared" ca="1" si="5"/>
        <v>0</v>
      </c>
      <c r="AO54" s="370"/>
    </row>
    <row r="55" spans="1:41" x14ac:dyDescent="0.2">
      <c r="A55" s="6" t="s">
        <v>17</v>
      </c>
      <c r="B55" s="7"/>
      <c r="G55" s="10" t="s">
        <v>358</v>
      </c>
      <c r="H55" s="10" t="s">
        <v>473</v>
      </c>
      <c r="I55" s="25"/>
      <c r="J55" s="25"/>
      <c r="K55" s="65"/>
      <c r="L55" s="65"/>
      <c r="M55" s="65"/>
      <c r="N55" s="24" t="e">
        <f ca="1">IF(_xll.EVDES(H55,$B$1)="#NODATA","",_xll.EVDES(H55,$B$1))</f>
        <v>#NAME?</v>
      </c>
      <c r="O55" s="35"/>
      <c r="P55" s="35"/>
      <c r="Q55" s="35"/>
      <c r="R55" s="35"/>
      <c r="S55" s="35"/>
      <c r="T55" s="35"/>
      <c r="U55" s="35"/>
      <c r="V55" s="35"/>
      <c r="W55" s="35"/>
      <c r="X55" s="35"/>
      <c r="Y55" s="35"/>
      <c r="Z55" s="35"/>
      <c r="AA55" s="35">
        <f t="shared" si="0"/>
        <v>0</v>
      </c>
      <c r="AB55" s="36" t="str">
        <f t="shared" si="11"/>
        <v/>
      </c>
      <c r="AD55" s="35"/>
      <c r="AE55" s="36" t="str">
        <f t="shared" si="12"/>
        <v/>
      </c>
      <c r="AF55" s="118">
        <f t="shared" si="13"/>
        <v>0</v>
      </c>
      <c r="AG55" s="35"/>
      <c r="AH55" s="36" t="str">
        <f>IF(AG55=0,"",IFERROR(AG55/AG$19,""))</f>
        <v/>
      </c>
      <c r="AI55" s="118">
        <f t="shared" si="15"/>
        <v>0</v>
      </c>
      <c r="AJ55" s="322">
        <f t="shared" ca="1" si="1"/>
        <v>0</v>
      </c>
      <c r="AK55" s="323">
        <f t="shared" ca="1" si="2"/>
        <v>0</v>
      </c>
      <c r="AL55" s="324">
        <f t="shared" ca="1" si="3"/>
        <v>0</v>
      </c>
      <c r="AM55" s="359">
        <f t="shared" si="4"/>
        <v>0</v>
      </c>
      <c r="AN55" s="358">
        <f t="shared" si="5"/>
        <v>0</v>
      </c>
    </row>
    <row r="56" spans="1:41" x14ac:dyDescent="0.2">
      <c r="G56" s="10" t="s">
        <v>358</v>
      </c>
      <c r="H56" s="10" t="s">
        <v>280</v>
      </c>
      <c r="I56" s="25" t="e">
        <f ca="1">_xll.EVPRO($B$1,$H56,"STYLE")</f>
        <v>#NAME?</v>
      </c>
      <c r="J56" s="25" t="e">
        <f ca="1">_xll.EVPRO($B$1,$H56,"CALC")</f>
        <v>#NAME?</v>
      </c>
      <c r="K56" s="65"/>
      <c r="L56" s="65"/>
      <c r="M56" s="65"/>
      <c r="N56" s="8" t="e">
        <f ca="1">IF(_xll.EVDES(H56,$B$1)="#NODATA","",_xll.EVDES(H56,$B$1))</f>
        <v>#NAME?</v>
      </c>
      <c r="O56" s="120">
        <v>36834.57</v>
      </c>
      <c r="P56" s="120">
        <v>5681.2</v>
      </c>
      <c r="Q56" s="120">
        <v>7375.82</v>
      </c>
      <c r="R56" s="120">
        <v>5913</v>
      </c>
      <c r="S56" s="120">
        <v>5728.64</v>
      </c>
      <c r="T56" s="120">
        <v>5424</v>
      </c>
      <c r="U56" s="120">
        <v>4328.6000000000004</v>
      </c>
      <c r="V56" s="120">
        <v>6246.56</v>
      </c>
      <c r="W56" s="120">
        <v>5237.55</v>
      </c>
      <c r="X56" s="120">
        <v>4428</v>
      </c>
      <c r="Y56" s="120">
        <v>4591.59</v>
      </c>
      <c r="Z56" s="120">
        <v>4738.59</v>
      </c>
      <c r="AA56" s="120" t="e">
        <f t="shared" ca="1" si="0"/>
        <v>#NAME?</v>
      </c>
      <c r="AB56" s="121" t="e">
        <f t="shared" ca="1" si="11"/>
        <v>#NAME?</v>
      </c>
      <c r="AD56" s="120">
        <v>69709.070000000007</v>
      </c>
      <c r="AE56" s="121" t="str">
        <f t="shared" ca="1" si="12"/>
        <v/>
      </c>
      <c r="AF56" s="122" t="e">
        <f t="shared" ca="1" si="13"/>
        <v>#NAME?</v>
      </c>
      <c r="AG56" s="120">
        <v>2111535.9500000002</v>
      </c>
      <c r="AH56" s="121" t="str">
        <f t="shared" ca="1" si="14"/>
        <v/>
      </c>
      <c r="AI56" s="122" t="e">
        <f t="shared" ca="1" si="15"/>
        <v>#NAME?</v>
      </c>
      <c r="AJ56" s="364">
        <f t="shared" ca="1" si="1"/>
        <v>0</v>
      </c>
      <c r="AK56" s="365">
        <f t="shared" ca="1" si="2"/>
        <v>0</v>
      </c>
      <c r="AL56" s="366">
        <f t="shared" ca="1" si="3"/>
        <v>0</v>
      </c>
      <c r="AM56" s="367">
        <f t="shared" ca="1" si="4"/>
        <v>0</v>
      </c>
      <c r="AN56" s="368">
        <f t="shared" ca="1" si="5"/>
        <v>0</v>
      </c>
    </row>
    <row r="57" spans="1:41" x14ac:dyDescent="0.2">
      <c r="A57" s="20" t="s">
        <v>92</v>
      </c>
      <c r="B57" s="21" t="s">
        <v>93</v>
      </c>
      <c r="C57" s="21" t="s">
        <v>94</v>
      </c>
      <c r="D57" s="21" t="s">
        <v>95</v>
      </c>
      <c r="E57" s="21" t="s">
        <v>96</v>
      </c>
      <c r="F57" s="22" t="s">
        <v>97</v>
      </c>
      <c r="O57" s="144"/>
      <c r="P57" s="147"/>
      <c r="Q57" s="147"/>
      <c r="R57" s="147"/>
      <c r="S57" s="147"/>
      <c r="T57" s="147"/>
      <c r="U57" s="147"/>
      <c r="V57" s="147"/>
      <c r="W57" s="147"/>
      <c r="X57" s="147"/>
      <c r="Y57" s="147"/>
      <c r="Z57" s="147"/>
      <c r="AA57" s="147"/>
      <c r="AB57" s="51"/>
      <c r="AD57" s="144"/>
      <c r="AF57" s="51"/>
      <c r="AG57" s="144"/>
      <c r="AI57" s="51"/>
    </row>
    <row r="58" spans="1:41" x14ac:dyDescent="0.2">
      <c r="H58" s="1" t="s">
        <v>281</v>
      </c>
      <c r="I58" s="11" t="e">
        <f ca="1">_xll.EVPRO($B$1,$H58,"STYLE")</f>
        <v>#NAME?</v>
      </c>
      <c r="J58" s="11" t="e">
        <f ca="1">_xll.EVPRO($B$1,$H58,"CALC")</f>
        <v>#NAME?</v>
      </c>
      <c r="N58" s="37" t="e">
        <f ca="1">IF(_xll.EVDES(H58,$B$1)="#NODATA","",_xll.EVDES(H58,$B$1))</f>
        <v>#NAME?</v>
      </c>
      <c r="O58" s="50"/>
      <c r="AB58" s="51"/>
      <c r="AD58" s="50"/>
      <c r="AF58" s="51"/>
      <c r="AG58" s="50"/>
      <c r="AI58" s="51"/>
    </row>
    <row r="59" spans="1:41" x14ac:dyDescent="0.2">
      <c r="A59" s="1" t="s">
        <v>209</v>
      </c>
      <c r="B59" s="1" t="s">
        <v>21</v>
      </c>
      <c r="C59" s="70"/>
      <c r="D59" s="1" t="s">
        <v>590</v>
      </c>
      <c r="F59" s="1" t="s">
        <v>99</v>
      </c>
      <c r="G59" s="13"/>
      <c r="H59" s="1" t="s">
        <v>284</v>
      </c>
      <c r="I59" s="11" t="e">
        <f ca="1">_xll.EVPRO($B$1,$H59,"STYLE")</f>
        <v>#NAME?</v>
      </c>
      <c r="J59" s="11" t="e">
        <f ca="1">_xll.EVPRO($B$1,$H59,"CALC")</f>
        <v>#NAME?</v>
      </c>
      <c r="N59" s="8" t="e">
        <f ca="1">IF(_xll.EVDES(H59,$B$1)="#NODATA","",_xll.EVDES(H59,$B$1))</f>
        <v>#NAME?</v>
      </c>
      <c r="O59" s="50"/>
      <c r="AB59" s="51"/>
      <c r="AD59" s="50"/>
      <c r="AF59" s="51"/>
      <c r="AG59" s="50"/>
      <c r="AI59" s="51"/>
    </row>
    <row r="60" spans="1:41" x14ac:dyDescent="0.2">
      <c r="A60" s="1" t="s">
        <v>105</v>
      </c>
      <c r="C60" s="24" t="s">
        <v>101</v>
      </c>
      <c r="D60" s="1" t="s">
        <v>106</v>
      </c>
      <c r="F60" s="1" t="s">
        <v>98</v>
      </c>
      <c r="H60" s="133" t="s">
        <v>285</v>
      </c>
      <c r="I60" s="25" t="e">
        <f ca="1">_xll.EVPRO($B$1,$H60,"STYLE")</f>
        <v>#NAME?</v>
      </c>
      <c r="J60" s="25" t="e">
        <f ca="1">_xll.EVPRO($B$1,$H60,"CALC")</f>
        <v>#NAME?</v>
      </c>
      <c r="K60" s="64" t="e">
        <f ca="1">IF(AND(I60&gt;="T5"),"&gt;","")</f>
        <v>#NAME?</v>
      </c>
      <c r="L60" s="24" t="e">
        <f ca="1">_xll.EVPRO($B$1,H60,"JDEID")</f>
        <v>#NAME?</v>
      </c>
      <c r="M60" s="24" t="e">
        <f ca="1">IF(AND(I60="N",J60="N"),_xll.EVPRO($B$1,H60,"PSFTID"),"")</f>
        <v>#NAME?</v>
      </c>
      <c r="N60" s="24" t="e">
        <f ca="1">IF(_xll.EVDES(H60,$B$1)="#NODATA","",_xll.EVDES(H60,$B$1))</f>
        <v>#NAME?</v>
      </c>
      <c r="O60" s="282">
        <v>5096.7700000000004</v>
      </c>
      <c r="P60" s="283">
        <v>6281.48</v>
      </c>
      <c r="Q60" s="283">
        <v>264.04000000000002</v>
      </c>
      <c r="R60" s="283">
        <v>1295.3499999999999</v>
      </c>
      <c r="S60" s="283">
        <v>991.11</v>
      </c>
      <c r="T60" s="283">
        <v>810.22</v>
      </c>
      <c r="U60" s="283">
        <v>1072.01</v>
      </c>
      <c r="V60" s="283">
        <v>634.54999999999995</v>
      </c>
      <c r="W60" s="283">
        <v>670.58</v>
      </c>
      <c r="X60" s="283">
        <v>906.25</v>
      </c>
      <c r="Y60" s="283">
        <v>956.16</v>
      </c>
      <c r="Z60" s="283">
        <v>757.85</v>
      </c>
      <c r="AA60" s="283" t="e">
        <f t="shared" ref="AA60:AA68" ca="1" si="16">IF($I60="B1","",SUM(O60:Z60))</f>
        <v>#NAME?</v>
      </c>
      <c r="AB60" s="284" t="e">
        <f ca="1">IF(AA60=0,"",IFERROR(AA60/_xll.EVGTS($B$1,1,_xll.EVPRO($B$1,$H60,"COSBASIS"),$B$3,$B$5,$B$6,$B$7,$B$9,AA$16,AA$17,AA$11),""))</f>
        <v>#NAME?</v>
      </c>
      <c r="AC60" s="263"/>
      <c r="AD60" s="283">
        <v>7431.0181499999999</v>
      </c>
      <c r="AE60" s="284" t="str">
        <f ca="1">IF(AD60=0,"",IFERROR(AD60/_xll.EVGTS($B$1,1,_xll.EVPRO($B$1,$H60,"COSBASIS"),$B$3,$B$5,$B$6,$B$7,$B$9,AD$16,AD$17,AD$18),""))</f>
        <v/>
      </c>
      <c r="AF60" s="285" t="e">
        <f t="shared" ref="AF60:AF68" ca="1" si="17">IF(AND($AA60="",AD60=""),"",$AA60-AD60)</f>
        <v>#NAME?</v>
      </c>
      <c r="AG60" s="283">
        <v>290721.15999999997</v>
      </c>
      <c r="AH60" s="284" t="str">
        <f ca="1">IF(AG60=0,"",IFERROR(AG60/_xll.EVGTS($B$1,1,_xll.EVPRO($B$1,$H60,"COSBASIS"),$B$3,$B$5,$B$6,$B$7,$B$9,AG$16,AG$17,AG$18),""))</f>
        <v/>
      </c>
      <c r="AI60" s="286" t="e">
        <f ca="1">IF(AND($AA60="",AG60=""),"",$AA60-AG60)</f>
        <v>#NAME?</v>
      </c>
      <c r="AJ60" s="371">
        <f ca="1">IFERROR(AA60/AA$20,0)</f>
        <v>0</v>
      </c>
      <c r="AK60" s="372">
        <f ca="1">IFERROR(AD60/AD$20,0)</f>
        <v>0</v>
      </c>
      <c r="AL60" s="373">
        <f ca="1">IFERROR(AG60/AG$20,0)</f>
        <v>0</v>
      </c>
      <c r="AM60" s="374">
        <f ca="1">+IFERROR(ROUND(($AB60-AE60)*100,2)&amp;" pts.",0)</f>
        <v>0</v>
      </c>
      <c r="AN60" s="375">
        <f ca="1">+IFERROR(ROUND(($AB60-AH60)*100,2)&amp;" pts.",0)</f>
        <v>0</v>
      </c>
    </row>
    <row r="61" spans="1:41" x14ac:dyDescent="0.2">
      <c r="A61" s="1" t="s">
        <v>104</v>
      </c>
      <c r="C61" s="24" t="s">
        <v>101</v>
      </c>
      <c r="D61" s="1" t="s">
        <v>106</v>
      </c>
      <c r="F61" s="1" t="s">
        <v>98</v>
      </c>
      <c r="H61" s="133" t="s">
        <v>636</v>
      </c>
      <c r="I61" s="25" t="e">
        <f ca="1">_xll.EVPRO($B$1,$H61,"STYLE")</f>
        <v>#NAME?</v>
      </c>
      <c r="J61" s="25" t="e">
        <f ca="1">_xll.EVPRO($B$1,$H61,"CALC")</f>
        <v>#NAME?</v>
      </c>
      <c r="K61" s="64" t="e">
        <f t="shared" ref="K61:K68" ca="1" si="18">IF(AND(I61&gt;="T5"),"&gt;","")</f>
        <v>#NAME?</v>
      </c>
      <c r="L61" s="24" t="e">
        <f ca="1">_xll.EVPRO($B$1,H61,"JDEID")</f>
        <v>#NAME?</v>
      </c>
      <c r="M61" s="24" t="e">
        <f ca="1">IF(AND(I61="N",J61="N"),_xll.EVPRO($B$1,H61,"PSFTID"),"")</f>
        <v>#NAME?</v>
      </c>
      <c r="N61" s="24" t="e">
        <f ca="1">IF(_xll.EVDES(H61,$B$1)="#NODATA","",_xll.EVDES(H61,$B$1))</f>
        <v>#NAME?</v>
      </c>
      <c r="O61" s="295">
        <v>2566.2199999999998</v>
      </c>
      <c r="P61" s="296">
        <v>1061.5899999999999</v>
      </c>
      <c r="Q61" s="296">
        <v>1558.46</v>
      </c>
      <c r="R61" s="296">
        <v>594.16999999999996</v>
      </c>
      <c r="S61" s="296">
        <v>613.57000000000005</v>
      </c>
      <c r="T61" s="296">
        <v>639.04</v>
      </c>
      <c r="U61" s="296">
        <v>540</v>
      </c>
      <c r="V61" s="296">
        <v>712.49</v>
      </c>
      <c r="W61" s="296">
        <v>646.96</v>
      </c>
      <c r="X61" s="296">
        <v>460.92</v>
      </c>
      <c r="Y61" s="296">
        <v>591.6</v>
      </c>
      <c r="Z61" s="296">
        <v>-1029.26</v>
      </c>
      <c r="AA61" s="296" t="e">
        <f t="shared" ca="1" si="16"/>
        <v>#NAME?</v>
      </c>
      <c r="AB61" s="297" t="e">
        <f ca="1">IF(AA61=0,"",IFERROR(AA61/_xll.EVGTS($B$1,1,_xll.EVPRO($B$1,$H61,"COSBASIS"),$B$3,$B$5,$B$6,$B$7,$B$9,AA$16,AA$17,AA$11),""))</f>
        <v>#NAME?</v>
      </c>
      <c r="AC61" s="263"/>
      <c r="AD61" s="296">
        <v>9072.0905000000002</v>
      </c>
      <c r="AE61" s="297" t="str">
        <f ca="1">IF(AD61=0,"",IFERROR(AD61/_xll.EVGTS($B$1,1,_xll.EVPRO($B$1,$H61,"COSBASIS"),$B$3,$B$5,$B$6,$B$7,$B$9,AD$16,AD$17,AD$18),""))</f>
        <v/>
      </c>
      <c r="AF61" s="298" t="e">
        <f t="shared" ca="1" si="17"/>
        <v>#NAME?</v>
      </c>
      <c r="AG61" s="296">
        <v>139366.54999999999</v>
      </c>
      <c r="AH61" s="297" t="str">
        <f ca="1">IF(AG61=0,"",IFERROR(AG61/_xll.EVGTS($B$1,1,_xll.EVPRO($B$1,$H61,"COSBASIS"),$B$3,$B$5,$B$6,$B$7,$B$9,AG$16,AG$17,AG$18),""))</f>
        <v/>
      </c>
      <c r="AI61" s="299" t="e">
        <f t="shared" ref="AI61:AI68" ca="1" si="19">IF(AND($AA61="",AG61=""),"",$AA61-AG61)</f>
        <v>#NAME?</v>
      </c>
      <c r="AJ61" s="381">
        <f t="shared" ref="AJ61:AJ68" ca="1" si="20">IFERROR(AA61/AA$20,0)</f>
        <v>0</v>
      </c>
      <c r="AK61" s="382">
        <f t="shared" ref="AK61:AK68" ca="1" si="21">IFERROR(AD61/AD$20,0)</f>
        <v>0</v>
      </c>
      <c r="AL61" s="383">
        <f t="shared" ref="AL61:AL68" ca="1" si="22">IFERROR(AG61/AG$20,0)</f>
        <v>0</v>
      </c>
      <c r="AM61" s="384">
        <f t="shared" ref="AM61:AM68" ca="1" si="23">+IFERROR(ROUND(($AB61-AE61)*100,2)&amp;" pts.",0)</f>
        <v>0</v>
      </c>
      <c r="AN61" s="385">
        <f t="shared" ref="AN61:AN68" ca="1" si="24">+IFERROR(ROUND(($AB61-AH61)*100,2)&amp;" pts.",0)</f>
        <v>0</v>
      </c>
    </row>
    <row r="62" spans="1:41" x14ac:dyDescent="0.2">
      <c r="A62" s="1" t="s">
        <v>100</v>
      </c>
      <c r="C62" s="8" t="s">
        <v>101</v>
      </c>
      <c r="D62" s="1" t="s">
        <v>106</v>
      </c>
      <c r="F62" s="1" t="s">
        <v>98</v>
      </c>
      <c r="H62" s="133" t="s">
        <v>286</v>
      </c>
      <c r="I62" s="447" t="e">
        <f ca="1">_xll.EVPRO($B$1,$H62,"STYLE")</f>
        <v>#NAME?</v>
      </c>
      <c r="J62" s="447" t="e">
        <f ca="1">_xll.EVPRO($B$1,$H62,"CALC")</f>
        <v>#NAME?</v>
      </c>
      <c r="K62" s="448" t="e">
        <f t="shared" ca="1" si="18"/>
        <v>#NAME?</v>
      </c>
      <c r="L62" s="151" t="e">
        <f ca="1">_xll.EVPRO($B$1,H62,"JDEID")</f>
        <v>#NAME?</v>
      </c>
      <c r="M62" s="151" t="e">
        <f ca="1">IF(AND(I62="N",J62="N"),_xll.EVPRO($B$1,H62,"PSFTID"),"")</f>
        <v>#NAME?</v>
      </c>
      <c r="N62" s="151" t="e">
        <f ca="1">IF(_xll.EVDES(H62,$B$1)="#NODATA","",_xll.EVDES(H62,$B$1))</f>
        <v>#NAME?</v>
      </c>
      <c r="O62" s="202">
        <v>7662.99</v>
      </c>
      <c r="P62" s="120">
        <v>7343.07</v>
      </c>
      <c r="Q62" s="120">
        <v>1822.5</v>
      </c>
      <c r="R62" s="120">
        <v>1889.52</v>
      </c>
      <c r="S62" s="120">
        <v>1604.68</v>
      </c>
      <c r="T62" s="120">
        <v>1449.26</v>
      </c>
      <c r="U62" s="120">
        <v>1612.01</v>
      </c>
      <c r="V62" s="120">
        <v>1347.04</v>
      </c>
      <c r="W62" s="120">
        <v>1317.54</v>
      </c>
      <c r="X62" s="120">
        <v>1367.17</v>
      </c>
      <c r="Y62" s="120">
        <v>1547.76</v>
      </c>
      <c r="Z62" s="120">
        <v>-271.41000000000003</v>
      </c>
      <c r="AA62" s="120" t="e">
        <f t="shared" ca="1" si="16"/>
        <v>#NAME?</v>
      </c>
      <c r="AB62" s="121" t="e">
        <f ca="1">IF(AA62=0,"",IFERROR(AA62/_xll.EVGTS($B$1,1,_xll.EVPRO($B$1,$H62,"COSBASIS"),$B$3,$B$5,$B$6,$B$7,$B$9,AA$16,AA$17,AA$11),""))</f>
        <v>#NAME?</v>
      </c>
      <c r="AC62" s="123"/>
      <c r="AD62" s="120">
        <v>16503.108649999998</v>
      </c>
      <c r="AE62" s="121" t="str">
        <f ca="1">IF(AD62=0,"",IFERROR(AD62/_xll.EVGTS($B$1,1,_xll.EVPRO($B$1,$H62,"COSBASIS"),$B$3,$B$5,$B$6,$B$7,$B$9,AD$16,AD$17,AD$18),""))</f>
        <v/>
      </c>
      <c r="AF62" s="122" t="e">
        <f t="shared" ca="1" si="17"/>
        <v>#NAME?</v>
      </c>
      <c r="AG62" s="120">
        <v>430087.71</v>
      </c>
      <c r="AH62" s="121" t="str">
        <f ca="1">IF(AG62=0,"",IFERROR(AG62/_xll.EVGTS($B$1,1,_xll.EVPRO($B$1,$H62,"COSBASIS"),$B$3,$B$5,$B$6,$B$7,$B$9,AG$16,AG$17,AG$18),""))</f>
        <v/>
      </c>
      <c r="AI62" s="264" t="e">
        <f t="shared" ca="1" si="19"/>
        <v>#NAME?</v>
      </c>
      <c r="AJ62" s="332">
        <f t="shared" ca="1" si="20"/>
        <v>0</v>
      </c>
      <c r="AK62" s="333">
        <f t="shared" ca="1" si="21"/>
        <v>0</v>
      </c>
      <c r="AL62" s="335">
        <f t="shared" ca="1" si="22"/>
        <v>0</v>
      </c>
      <c r="AM62" s="377">
        <f t="shared" ca="1" si="23"/>
        <v>0</v>
      </c>
      <c r="AN62" s="378">
        <f t="shared" ca="1" si="24"/>
        <v>0</v>
      </c>
    </row>
    <row r="63" spans="1:41" x14ac:dyDescent="0.2">
      <c r="A63" s="1" t="s">
        <v>102</v>
      </c>
      <c r="C63" s="23" t="s">
        <v>101</v>
      </c>
      <c r="D63" s="1" t="s">
        <v>106</v>
      </c>
      <c r="F63" s="1" t="s">
        <v>98</v>
      </c>
      <c r="H63" s="133" t="s">
        <v>287</v>
      </c>
      <c r="I63" s="447" t="e">
        <f ca="1">_xll.EVPRO($B$1,$H63,"STYLE")</f>
        <v>#NAME?</v>
      </c>
      <c r="J63" s="447" t="e">
        <f ca="1">_xll.EVPRO($B$1,$H63,"CALC")</f>
        <v>#NAME?</v>
      </c>
      <c r="K63" s="448" t="e">
        <f t="shared" ca="1" si="18"/>
        <v>#NAME?</v>
      </c>
      <c r="L63" s="151" t="e">
        <f ca="1">_xll.EVPRO($B$1,H63,"JDEID")</f>
        <v>#NAME?</v>
      </c>
      <c r="M63" s="151" t="e">
        <f ca="1">IF(AND(I63="N",J63="N"),_xll.EVPRO($B$1,H63,"PSFTID"),"")</f>
        <v>#NAME?</v>
      </c>
      <c r="N63" s="151" t="e">
        <f ca="1">IF(_xll.EVDES(H63,$B$1)="#NODATA","",_xll.EVDES(H63,$B$1))</f>
        <v>#NAME?</v>
      </c>
      <c r="O63" s="287"/>
      <c r="P63" s="288"/>
      <c r="Q63" s="288"/>
      <c r="R63" s="288"/>
      <c r="S63" s="288"/>
      <c r="T63" s="288"/>
      <c r="U63" s="288"/>
      <c r="V63" s="288"/>
      <c r="W63" s="288"/>
      <c r="X63" s="288"/>
      <c r="Y63" s="288"/>
      <c r="Z63" s="288"/>
      <c r="AA63" s="288" t="e">
        <f t="shared" ca="1" si="16"/>
        <v>#NAME?</v>
      </c>
      <c r="AB63" s="289" t="e">
        <f ca="1">IF(AA63=0,"",IFERROR(AA63/_xll.EVGTS($B$1,1,_xll.EVPRO($B$1,$H63,"COSBASIS"),$B$3,$B$5,$B$6,$B$7,$B$9,AA$16,AA$17,AA$11),""))</f>
        <v>#NAME?</v>
      </c>
      <c r="AD63" s="288"/>
      <c r="AE63" s="289" t="str">
        <f>IF(AD63=0,"",IFERROR(AD63/_xll.EVGTS($B$1,1,_xll.EVPRO($B$1,$H63,"COSBASIS"),$B$3,$B$5,$B$6,$B$7,$B$9,AD$16,AD$17,AD$18),""))</f>
        <v/>
      </c>
      <c r="AF63" s="290" t="e">
        <f t="shared" ca="1" si="17"/>
        <v>#NAME?</v>
      </c>
      <c r="AG63" s="288"/>
      <c r="AH63" s="289" t="str">
        <f>IF(AG63=0,"",IFERROR(AG63/_xll.EVGTS($B$1,1,_xll.EVPRO($B$1,$H63,"COSBASIS"),$B$3,$B$5,$B$6,$B$7,$B$9,AG$16,AG$17,AG$18),""))</f>
        <v/>
      </c>
      <c r="AI63" s="291" t="e">
        <f t="shared" ca="1" si="19"/>
        <v>#NAME?</v>
      </c>
      <c r="AJ63" s="325">
        <f t="shared" ca="1" si="20"/>
        <v>0</v>
      </c>
      <c r="AK63" s="326">
        <f t="shared" ca="1" si="21"/>
        <v>0</v>
      </c>
      <c r="AL63" s="328">
        <f t="shared" ca="1" si="22"/>
        <v>0</v>
      </c>
      <c r="AM63" s="362">
        <f t="shared" ca="1" si="23"/>
        <v>0</v>
      </c>
      <c r="AN63" s="376">
        <f t="shared" ca="1" si="24"/>
        <v>0</v>
      </c>
    </row>
    <row r="64" spans="1:41" x14ac:dyDescent="0.2">
      <c r="A64" s="1" t="s">
        <v>102</v>
      </c>
      <c r="C64" s="135" t="s">
        <v>101</v>
      </c>
      <c r="D64" s="1" t="s">
        <v>107</v>
      </c>
      <c r="F64" s="1" t="s">
        <v>99</v>
      </c>
      <c r="H64" s="133" t="s">
        <v>637</v>
      </c>
      <c r="I64" s="25" t="e">
        <f ca="1">_xll.EVPRO($B$1,$H64,"STYLE")</f>
        <v>#NAME?</v>
      </c>
      <c r="J64" s="25" t="e">
        <f ca="1">_xll.EVPRO($B$1,$H64,"CALC")</f>
        <v>#NAME?</v>
      </c>
      <c r="K64" s="64" t="e">
        <f t="shared" ca="1" si="18"/>
        <v>#NAME?</v>
      </c>
      <c r="L64" s="24" t="e">
        <f ca="1">_xll.EVPRO($B$1,H64,"JDEID")</f>
        <v>#NAME?</v>
      </c>
      <c r="M64" s="24" t="e">
        <f ca="1">IF(AND(I64="N",J64="N"),_xll.EVPRO($B$1,H64,"PSFTID"),"")</f>
        <v>#NAME?</v>
      </c>
      <c r="N64" s="24" t="e">
        <f ca="1">IF(_xll.EVDES(H64,$B$1)="#NODATA","",_xll.EVDES(H64,$B$1))</f>
        <v>#NAME?</v>
      </c>
      <c r="O64" s="282"/>
      <c r="P64" s="283"/>
      <c r="Q64" s="283"/>
      <c r="R64" s="283"/>
      <c r="S64" s="283"/>
      <c r="T64" s="283"/>
      <c r="U64" s="283"/>
      <c r="V64" s="283"/>
      <c r="W64" s="283"/>
      <c r="X64" s="283"/>
      <c r="Y64" s="283"/>
      <c r="Z64" s="283"/>
      <c r="AA64" s="283" t="e">
        <f t="shared" ca="1" si="16"/>
        <v>#NAME?</v>
      </c>
      <c r="AB64" s="284" t="e">
        <f ca="1">IF(AA64=0,"",IFERROR(AA64/_xll.EVGTS($B$1,1,_xll.EVPRO($B$1,$H64,"COSBASIS"),$B$3,$B$5,$B$6,$B$7,$B$9,AA$16,AA$17,AA$11),""))</f>
        <v>#NAME?</v>
      </c>
      <c r="AC64" s="263"/>
      <c r="AD64" s="283"/>
      <c r="AE64" s="284" t="str">
        <f>IF(AD64=0,"",IFERROR(AD64/_xll.EVGTS($B$1,1,_xll.EVPRO($B$1,$H64,"COSBASIS"),$B$3,$B$5,$B$6,$B$7,$B$9,AD$16,AD$17,AD$18),""))</f>
        <v/>
      </c>
      <c r="AF64" s="285" t="e">
        <f t="shared" ca="1" si="17"/>
        <v>#NAME?</v>
      </c>
      <c r="AG64" s="283"/>
      <c r="AH64" s="284" t="str">
        <f>IF(AG64=0,"",IFERROR(AG64/_xll.EVGTS($B$1,1,_xll.EVPRO($B$1,$H64,"COSBASIS"),$B$3,$B$5,$B$6,$B$7,$B$9,AG$16,AG$17,AG$18),""))</f>
        <v/>
      </c>
      <c r="AI64" s="286" t="e">
        <f t="shared" ca="1" si="19"/>
        <v>#NAME?</v>
      </c>
      <c r="AJ64" s="371">
        <f t="shared" ca="1" si="20"/>
        <v>0</v>
      </c>
      <c r="AK64" s="372">
        <f t="shared" ca="1" si="21"/>
        <v>0</v>
      </c>
      <c r="AL64" s="373">
        <f t="shared" ca="1" si="22"/>
        <v>0</v>
      </c>
      <c r="AM64" s="374">
        <f t="shared" ca="1" si="23"/>
        <v>0</v>
      </c>
      <c r="AN64" s="375">
        <f t="shared" ca="1" si="24"/>
        <v>0</v>
      </c>
    </row>
    <row r="65" spans="1:40" x14ac:dyDescent="0.2">
      <c r="A65" s="1" t="s">
        <v>108</v>
      </c>
      <c r="C65" s="23" t="s">
        <v>101</v>
      </c>
      <c r="D65" s="1" t="s">
        <v>106</v>
      </c>
      <c r="F65" s="1" t="s">
        <v>98</v>
      </c>
      <c r="H65" s="133" t="s">
        <v>638</v>
      </c>
      <c r="I65" s="25" t="e">
        <f ca="1">_xll.EVPRO($B$1,$H65,"STYLE")</f>
        <v>#NAME?</v>
      </c>
      <c r="J65" s="25" t="e">
        <f ca="1">_xll.EVPRO($B$1,$H65,"CALC")</f>
        <v>#NAME?</v>
      </c>
      <c r="K65" s="64" t="e">
        <f t="shared" ca="1" si="18"/>
        <v>#NAME?</v>
      </c>
      <c r="L65" s="24" t="e">
        <f ca="1">_xll.EVPRO($B$1,H65,"JDEID")</f>
        <v>#NAME?</v>
      </c>
      <c r="M65" s="24" t="e">
        <f ca="1">IF(AND(I65="N",J65="N"),_xll.EVPRO($B$1,H65,"PSFTID"),"")</f>
        <v>#NAME?</v>
      </c>
      <c r="N65" s="24" t="e">
        <f ca="1">IF(_xll.EVDES(H65,$B$1)="#NODATA","",_xll.EVDES(H65,$B$1))</f>
        <v>#NAME?</v>
      </c>
      <c r="O65" s="282"/>
      <c r="P65" s="283"/>
      <c r="Q65" s="283"/>
      <c r="R65" s="283"/>
      <c r="S65" s="283"/>
      <c r="T65" s="283"/>
      <c r="U65" s="283"/>
      <c r="V65" s="283"/>
      <c r="W65" s="283"/>
      <c r="X65" s="283"/>
      <c r="Y65" s="283"/>
      <c r="Z65" s="283"/>
      <c r="AA65" s="283" t="e">
        <f t="shared" ca="1" si="16"/>
        <v>#NAME?</v>
      </c>
      <c r="AB65" s="284" t="e">
        <f ca="1">IF(AA65=0,"",IFERROR(AA65/_xll.EVGTS($B$1,1,_xll.EVPRO($B$1,$H65,"COSBASIS"),$B$3,$B$5,$B$6,$B$7,$B$9,AA$16,AA$17,AA$11),""))</f>
        <v>#NAME?</v>
      </c>
      <c r="AC65" s="263"/>
      <c r="AD65" s="283"/>
      <c r="AE65" s="284" t="str">
        <f>IF(AD65=0,"",IFERROR(AD65/_xll.EVGTS($B$1,1,_xll.EVPRO($B$1,$H65,"COSBASIS"),$B$3,$B$5,$B$6,$B$7,$B$9,AD$16,AD$17,AD$18),""))</f>
        <v/>
      </c>
      <c r="AF65" s="285" t="e">
        <f t="shared" ca="1" si="17"/>
        <v>#NAME?</v>
      </c>
      <c r="AG65" s="283"/>
      <c r="AH65" s="284" t="str">
        <f>IF(AG65=0,"",IFERROR(AG65/_xll.EVGTS($B$1,1,_xll.EVPRO($B$1,$H65,"COSBASIS"),$B$3,$B$5,$B$6,$B$7,$B$9,AG$16,AG$17,AG$18),""))</f>
        <v/>
      </c>
      <c r="AI65" s="286" t="e">
        <f t="shared" ca="1" si="19"/>
        <v>#NAME?</v>
      </c>
      <c r="AJ65" s="371">
        <f t="shared" ca="1" si="20"/>
        <v>0</v>
      </c>
      <c r="AK65" s="372">
        <f t="shared" ca="1" si="21"/>
        <v>0</v>
      </c>
      <c r="AL65" s="373">
        <f t="shared" ca="1" si="22"/>
        <v>0</v>
      </c>
      <c r="AM65" s="374">
        <f t="shared" ca="1" si="23"/>
        <v>0</v>
      </c>
      <c r="AN65" s="375">
        <f t="shared" ca="1" si="24"/>
        <v>0</v>
      </c>
    </row>
    <row r="66" spans="1:40" x14ac:dyDescent="0.2">
      <c r="A66" s="1" t="s">
        <v>108</v>
      </c>
      <c r="C66" s="135" t="s">
        <v>101</v>
      </c>
      <c r="D66" s="1" t="s">
        <v>107</v>
      </c>
      <c r="F66" s="1" t="s">
        <v>99</v>
      </c>
      <c r="H66" s="133" t="s">
        <v>639</v>
      </c>
      <c r="I66" s="25" t="e">
        <f ca="1">_xll.EVPRO($B$1,$H66,"STYLE")</f>
        <v>#NAME?</v>
      </c>
      <c r="J66" s="25" t="e">
        <f ca="1">_xll.EVPRO($B$1,$H66,"CALC")</f>
        <v>#NAME?</v>
      </c>
      <c r="K66" s="64" t="e">
        <f t="shared" ca="1" si="18"/>
        <v>#NAME?</v>
      </c>
      <c r="L66" s="24" t="e">
        <f ca="1">_xll.EVPRO($B$1,H66,"JDEID")</f>
        <v>#NAME?</v>
      </c>
      <c r="M66" s="24" t="e">
        <f ca="1">IF(AND(I66="N",J66="N"),_xll.EVPRO($B$1,H66,"PSFTID"),"")</f>
        <v>#NAME?</v>
      </c>
      <c r="N66" s="24" t="e">
        <f ca="1">IF(_xll.EVDES(H66,$B$1)="#NODATA","",_xll.EVDES(H66,$B$1))</f>
        <v>#NAME?</v>
      </c>
      <c r="O66" s="295">
        <v>452.35</v>
      </c>
      <c r="P66" s="296">
        <v>125.35</v>
      </c>
      <c r="Q66" s="296">
        <v>370.6</v>
      </c>
      <c r="R66" s="296">
        <v>615.85</v>
      </c>
      <c r="S66" s="296">
        <v>692.15</v>
      </c>
      <c r="T66" s="296">
        <v>512.29999999999995</v>
      </c>
      <c r="U66" s="296">
        <v>272.5</v>
      </c>
      <c r="V66" s="296">
        <v>844.75</v>
      </c>
      <c r="W66" s="296">
        <v>-398.97</v>
      </c>
      <c r="X66" s="296">
        <v>98.1</v>
      </c>
      <c r="Y66" s="296"/>
      <c r="Z66" s="296">
        <v>891.35</v>
      </c>
      <c r="AA66" s="296" t="e">
        <f t="shared" ca="1" si="16"/>
        <v>#NAME?</v>
      </c>
      <c r="AB66" s="297" t="e">
        <f ca="1">IF(AA66=0,"",IFERROR(AA66/_xll.EVGTS($B$1,1,_xll.EVPRO($B$1,$H66,"COSBASIS"),$B$3,$B$5,$B$6,$B$7,$B$9,AA$16,AA$17,AA$11),""))</f>
        <v>#NAME?</v>
      </c>
      <c r="AC66" s="263"/>
      <c r="AD66" s="296">
        <v>4147.4620000000004</v>
      </c>
      <c r="AE66" s="297" t="str">
        <f ca="1">IF(AD66=0,"",IFERROR(AD66/_xll.EVGTS($B$1,1,_xll.EVPRO($B$1,$H66,"COSBASIS"),$B$3,$B$5,$B$6,$B$7,$B$9,AD$16,AD$17,AD$18),""))</f>
        <v/>
      </c>
      <c r="AF66" s="298" t="e">
        <f t="shared" ca="1" si="17"/>
        <v>#NAME?</v>
      </c>
      <c r="AG66" s="296">
        <v>1228.2</v>
      </c>
      <c r="AH66" s="297" t="str">
        <f ca="1">IF(AG66=0,"",IFERROR(AG66/_xll.EVGTS($B$1,1,_xll.EVPRO($B$1,$H66,"COSBASIS"),$B$3,$B$5,$B$6,$B$7,$B$9,AG$16,AG$17,AG$18),""))</f>
        <v/>
      </c>
      <c r="AI66" s="299" t="e">
        <f t="shared" ca="1" si="19"/>
        <v>#NAME?</v>
      </c>
      <c r="AJ66" s="381">
        <f t="shared" ca="1" si="20"/>
        <v>0</v>
      </c>
      <c r="AK66" s="382">
        <f t="shared" ca="1" si="21"/>
        <v>0</v>
      </c>
      <c r="AL66" s="383">
        <f t="shared" ca="1" si="22"/>
        <v>0</v>
      </c>
      <c r="AM66" s="384">
        <f t="shared" ca="1" si="23"/>
        <v>0</v>
      </c>
      <c r="AN66" s="385">
        <f t="shared" ca="1" si="24"/>
        <v>0</v>
      </c>
    </row>
    <row r="67" spans="1:40" x14ac:dyDescent="0.2">
      <c r="H67" s="133" t="s">
        <v>288</v>
      </c>
      <c r="I67" s="447" t="e">
        <f ca="1">_xll.EVPRO($B$1,$H67,"STYLE")</f>
        <v>#NAME?</v>
      </c>
      <c r="J67" s="447" t="e">
        <f ca="1">_xll.EVPRO($B$1,$H67,"CALC")</f>
        <v>#NAME?</v>
      </c>
      <c r="K67" s="448" t="e">
        <f t="shared" ca="1" si="18"/>
        <v>#NAME?</v>
      </c>
      <c r="L67" s="151" t="e">
        <f ca="1">_xll.EVPRO($B$1,H67,"JDEID")</f>
        <v>#NAME?</v>
      </c>
      <c r="M67" s="151" t="e">
        <f ca="1">IF(AND(I67="N",J67="N"),_xll.EVPRO($B$1,H67,"PSFTID"),"")</f>
        <v>#NAME?</v>
      </c>
      <c r="N67" s="151" t="e">
        <f ca="1">IF(_xll.EVDES(H67,$B$1)="#NODATA","",_xll.EVDES(H67,$B$1))</f>
        <v>#NAME?</v>
      </c>
      <c r="O67" s="203">
        <v>452.35</v>
      </c>
      <c r="P67" s="33">
        <v>125.35</v>
      </c>
      <c r="Q67" s="33">
        <v>370.6</v>
      </c>
      <c r="R67" s="33">
        <v>615.85</v>
      </c>
      <c r="S67" s="33">
        <v>692.15</v>
      </c>
      <c r="T67" s="33">
        <v>512.29999999999995</v>
      </c>
      <c r="U67" s="33">
        <v>272.5</v>
      </c>
      <c r="V67" s="33">
        <v>844.75</v>
      </c>
      <c r="W67" s="33">
        <v>-398.97</v>
      </c>
      <c r="X67" s="33">
        <v>98.1</v>
      </c>
      <c r="Y67" s="33"/>
      <c r="Z67" s="33">
        <v>891.35</v>
      </c>
      <c r="AA67" s="33" t="e">
        <f t="shared" ca="1" si="16"/>
        <v>#NAME?</v>
      </c>
      <c r="AB67" s="34" t="e">
        <f ca="1">IF(AA67=0,"",IFERROR(AA67/_xll.EVGTS($B$1,1,_xll.EVPRO($B$1,$H67,"COSBASIS"),$B$3,$B$5,$B$6,$B$7,$B$9,AA$16,AA$17,AA$11),""))</f>
        <v>#NAME?</v>
      </c>
      <c r="AC67" s="32"/>
      <c r="AD67" s="33">
        <v>4147.4620000000004</v>
      </c>
      <c r="AE67" s="34" t="str">
        <f ca="1">IF(AD67=0,"",IFERROR(AD67/_xll.EVGTS($B$1,1,_xll.EVPRO($B$1,$H67,"COSBASIS"),$B$3,$B$5,$B$6,$B$7,$B$9,AD$16,AD$17,AD$18),""))</f>
        <v/>
      </c>
      <c r="AF67" s="54" t="e">
        <f t="shared" ca="1" si="17"/>
        <v>#NAME?</v>
      </c>
      <c r="AG67" s="33">
        <v>1228.2</v>
      </c>
      <c r="AH67" s="34" t="str">
        <f ca="1">IF(AG67=0,"",IFERROR(AG67/_xll.EVGTS($B$1,1,_xll.EVPRO($B$1,$H67,"COSBASIS"),$B$3,$B$5,$B$6,$B$7,$B$9,AG$16,AG$17,AG$18),""))</f>
        <v/>
      </c>
      <c r="AI67" s="265" t="e">
        <f t="shared" ca="1" si="19"/>
        <v>#NAME?</v>
      </c>
      <c r="AJ67" s="344">
        <f t="shared" ca="1" si="20"/>
        <v>0</v>
      </c>
      <c r="AK67" s="345">
        <f t="shared" ca="1" si="21"/>
        <v>0</v>
      </c>
      <c r="AL67" s="347">
        <f t="shared" ca="1" si="22"/>
        <v>0</v>
      </c>
      <c r="AM67" s="379">
        <f t="shared" ca="1" si="23"/>
        <v>0</v>
      </c>
      <c r="AN67" s="380">
        <f t="shared" ca="1" si="24"/>
        <v>0</v>
      </c>
    </row>
    <row r="68" spans="1:40" x14ac:dyDescent="0.2">
      <c r="C68" s="23"/>
      <c r="H68" s="133" t="s">
        <v>289</v>
      </c>
      <c r="I68" s="447" t="e">
        <f ca="1">_xll.EVPRO($B$1,$H68,"STYLE")</f>
        <v>#NAME?</v>
      </c>
      <c r="J68" s="447" t="e">
        <f ca="1">_xll.EVPRO($B$1,$H68,"CALC")</f>
        <v>#NAME?</v>
      </c>
      <c r="K68" s="448" t="e">
        <f t="shared" ca="1" si="18"/>
        <v>#NAME?</v>
      </c>
      <c r="L68" s="151" t="e">
        <f ca="1">_xll.EVPRO($B$1,H68,"JDEID")</f>
        <v>#NAME?</v>
      </c>
      <c r="M68" s="151" t="e">
        <f ca="1">IF(AND(I68="N",J68="N"),_xll.EVPRO($B$1,H68,"PSFTID"),"")</f>
        <v>#NAME?</v>
      </c>
      <c r="N68" s="151" t="e">
        <f ca="1">IF(_xll.EVDES(H68,$B$1)="#NODATA","",_xll.EVDES(H68,$B$1))</f>
        <v>#NAME?</v>
      </c>
      <c r="O68" s="202">
        <v>8115.34</v>
      </c>
      <c r="P68" s="120">
        <v>7468.42</v>
      </c>
      <c r="Q68" s="120">
        <v>2193.1</v>
      </c>
      <c r="R68" s="120">
        <v>2505.37</v>
      </c>
      <c r="S68" s="120">
        <v>2296.83</v>
      </c>
      <c r="T68" s="120">
        <v>1961.56</v>
      </c>
      <c r="U68" s="120">
        <v>1884.51</v>
      </c>
      <c r="V68" s="120">
        <v>2191.79</v>
      </c>
      <c r="W68" s="120">
        <v>918.57</v>
      </c>
      <c r="X68" s="120">
        <v>1465.27</v>
      </c>
      <c r="Y68" s="120">
        <v>1547.76</v>
      </c>
      <c r="Z68" s="120">
        <v>619.94000000000005</v>
      </c>
      <c r="AA68" s="120" t="e">
        <f t="shared" ca="1" si="16"/>
        <v>#NAME?</v>
      </c>
      <c r="AB68" s="121" t="e">
        <f ca="1">IF(AA68=0,"",IFERROR(AA68/_xll.EVGTS($B$1,1,_xll.EVPRO($B$1,$H68,"COSBASIS"),$B$3,$B$5,$B$6,$B$7,$B$9,AA$16,AA$17,AA$11),""))</f>
        <v>#NAME?</v>
      </c>
      <c r="AC68" s="123"/>
      <c r="AD68" s="120">
        <v>20650.570650000001</v>
      </c>
      <c r="AE68" s="121" t="str">
        <f ca="1">IF(AD68=0,"",IFERROR(AD68/_xll.EVGTS($B$1,1,_xll.EVPRO($B$1,$H68,"COSBASIS"),$B$3,$B$5,$B$6,$B$7,$B$9,AD$16,AD$17,AD$18),""))</f>
        <v/>
      </c>
      <c r="AF68" s="122" t="e">
        <f t="shared" ca="1" si="17"/>
        <v>#NAME?</v>
      </c>
      <c r="AG68" s="120">
        <v>431315.91</v>
      </c>
      <c r="AH68" s="121" t="str">
        <f ca="1">IF(AG68=0,"",IFERROR(AG68/_xll.EVGTS($B$1,1,_xll.EVPRO($B$1,$H68,"COSBASIS"),$B$3,$B$5,$B$6,$B$7,$B$9,AG$16,AG$17,AG$18),""))</f>
        <v/>
      </c>
      <c r="AI68" s="264" t="e">
        <f t="shared" ca="1" si="19"/>
        <v>#NAME?</v>
      </c>
      <c r="AJ68" s="332">
        <f t="shared" ca="1" si="20"/>
        <v>0</v>
      </c>
      <c r="AK68" s="333">
        <f t="shared" ca="1" si="21"/>
        <v>0</v>
      </c>
      <c r="AL68" s="335">
        <f t="shared" ca="1" si="22"/>
        <v>0</v>
      </c>
      <c r="AM68" s="377">
        <f t="shared" ca="1" si="23"/>
        <v>0</v>
      </c>
      <c r="AN68" s="378">
        <f t="shared" ca="1" si="24"/>
        <v>0</v>
      </c>
    </row>
    <row r="69" spans="1:40" x14ac:dyDescent="0.2">
      <c r="A69" s="4" t="e">
        <f ca="1">_xll.EVDRE($B$1,A72:B79,A82:B88)</f>
        <v>#NAME?</v>
      </c>
      <c r="H69" s="133" t="s">
        <v>175</v>
      </c>
      <c r="I69" s="26" t="e">
        <f ca="1">_xll.EVPRO($B$1,$H69,"STYLE")</f>
        <v>#NAME?</v>
      </c>
      <c r="J69" s="26" t="e">
        <f ca="1">_xll.EVPRO($B$1,$H69,"CALC")</f>
        <v>#NAME?</v>
      </c>
      <c r="K69" s="65" t="e">
        <f ca="1">IF(AND(I69&gt;="T5"),"&gt;","")</f>
        <v>#NAME?</v>
      </c>
      <c r="L69" s="65"/>
      <c r="M69" s="65"/>
      <c r="N69" s="23" t="e">
        <f ca="1">IF(_xll.EVDES(H69,$B$1)="#NODATA","",_xll.EVDES(H69,$B$1))</f>
        <v>#NAME?</v>
      </c>
      <c r="O69" s="44"/>
      <c r="P69" s="44"/>
      <c r="Q69" s="44"/>
      <c r="R69" s="44"/>
      <c r="S69" s="44"/>
      <c r="T69" s="44"/>
      <c r="U69" s="44"/>
      <c r="V69" s="44"/>
      <c r="W69" s="44"/>
      <c r="X69" s="44"/>
      <c r="Y69" s="44"/>
      <c r="Z69" s="44"/>
      <c r="AA69" s="44"/>
      <c r="AB69" s="45" t="str">
        <f>IF(O69=0,"",IFERROR(O69/_xll.EVGTS($B$1,1,INDEX($C$141:$C$164,MATCH($H69,$A$141:$A$164,0)),$B$3,$B$5,$B$6,$B$7,$B$9,O$16,O$17,O$18),""))</f>
        <v/>
      </c>
      <c r="AD69" s="44"/>
      <c r="AE69" s="45" t="str">
        <f>IF(AD69=0,"",IFERROR(AD69/_xll.EVGTS($B$1,1,INDEX($C$141:$C$164,MATCH($H69,$A$141:$A$164,0)),$B$3,$B$5,$B$6,$B$7,$B$9,AD$16,AD$17,AD$18),""))</f>
        <v/>
      </c>
      <c r="AF69" s="134" t="str">
        <f t="shared" ref="AF69:AF70" si="25">IF(AND($AA69="",AD69=""),"",$AA69-AD69)</f>
        <v/>
      </c>
      <c r="AG69" s="44"/>
      <c r="AH69" s="45" t="str">
        <f>IF(AG69=0,"",IFERROR(AG69/_xll.EVGTS($B$1,1,INDEX($C$141:$C$164,MATCH($H69,$A$141:$A$164,0)),$B$3,$B$5,$B$6,$B$7,$B$9,AG$16,AG$17,AG$18),""))</f>
        <v/>
      </c>
      <c r="AI69" s="134" t="str">
        <f>IF(AND($AA69="",AG69=""),"",$AA69-AG69)</f>
        <v/>
      </c>
    </row>
    <row r="70" spans="1:40" x14ac:dyDescent="0.2">
      <c r="H70" s="133" t="s">
        <v>292</v>
      </c>
      <c r="I70" s="26" t="e">
        <f ca="1">_xll.EVPRO($B$1,$H70,"STYLE")</f>
        <v>#NAME?</v>
      </c>
      <c r="J70" s="26" t="e">
        <f ca="1">_xll.EVPRO($B$1,$H70,"CALC")</f>
        <v>#NAME?</v>
      </c>
      <c r="K70" s="65" t="e">
        <f ca="1">IF(AND(I70&gt;="T5"),"&gt;","")</f>
        <v>#NAME?</v>
      </c>
      <c r="L70" s="65"/>
      <c r="M70" s="65"/>
      <c r="N70" s="23" t="e">
        <f ca="1">IF(_xll.EVDES(H70,$B$1)="#NODATA","",_xll.EVDES(H70,$B$1))</f>
        <v>#NAME?</v>
      </c>
      <c r="O70" s="145">
        <f t="shared" ref="O70:Z70" si="26">SUMIF($H$35:$H$68,"400000",O35:O68)-SUMIF($H$35:$H$68,"500001",O35:O68)</f>
        <v>28719.23</v>
      </c>
      <c r="P70" s="145">
        <f t="shared" si="26"/>
        <v>-1787.2200000000003</v>
      </c>
      <c r="Q70" s="145">
        <f t="shared" si="26"/>
        <v>5182.7199999999993</v>
      </c>
      <c r="R70" s="145">
        <f t="shared" si="26"/>
        <v>3407.63</v>
      </c>
      <c r="S70" s="145">
        <f t="shared" si="26"/>
        <v>3431.8100000000004</v>
      </c>
      <c r="T70" s="145">
        <f t="shared" si="26"/>
        <v>3462.44</v>
      </c>
      <c r="U70" s="145">
        <f t="shared" si="26"/>
        <v>2444.09</v>
      </c>
      <c r="V70" s="145">
        <f t="shared" si="26"/>
        <v>4054.7700000000004</v>
      </c>
      <c r="W70" s="145">
        <f t="shared" si="26"/>
        <v>4318.9800000000005</v>
      </c>
      <c r="X70" s="145">
        <f t="shared" si="26"/>
        <v>2962.73</v>
      </c>
      <c r="Y70" s="145">
        <f t="shared" si="26"/>
        <v>3043.83</v>
      </c>
      <c r="Z70" s="145">
        <f t="shared" si="26"/>
        <v>4118.6499999999996</v>
      </c>
      <c r="AA70" s="145">
        <f>SUM(O70:Z70)</f>
        <v>63359.660000000011</v>
      </c>
      <c r="AB70" s="121" t="str">
        <f ca="1">IF(AA70=0,"",IFERROR(AA70/AA$19,""))</f>
        <v/>
      </c>
      <c r="AD70" s="145">
        <f>SUMIF($H$35:$H$68,"400000",AD35:AD68)-SUMIF($H$35:$H$68,"500001",AD35:AD68)</f>
        <v>49058.499350000006</v>
      </c>
      <c r="AE70" s="121" t="str">
        <f ca="1">IF(AD70=0,"",IFERROR(AD70/AD$19,""))</f>
        <v/>
      </c>
      <c r="AF70" s="146">
        <f t="shared" si="25"/>
        <v>14301.160650000005</v>
      </c>
      <c r="AG70" s="145">
        <f>SUMIF($H$35:$H$68,"400000",AG35:AG68)-SUMIF($H$35:$H$68,"500001",AG35:AG68)</f>
        <v>1680220.0400000003</v>
      </c>
      <c r="AH70" s="121" t="str">
        <f ca="1">IF(AG70=0,"",IFERROR(AG70/AG$19,""))</f>
        <v/>
      </c>
      <c r="AI70" s="146">
        <f>IF(AND($AA70="",AG70=""),"",$AA70-AG70)</f>
        <v>-1616860.3800000004</v>
      </c>
      <c r="AJ70" s="332">
        <f ca="1">IFERROR(AA70/AA$20,0)</f>
        <v>0</v>
      </c>
      <c r="AK70" s="333">
        <f ca="1">IFERROR(AD70/AD$20,0)</f>
        <v>0</v>
      </c>
      <c r="AL70" s="335">
        <f ca="1">IFERROR(AG70/AG$20,0)</f>
        <v>0</v>
      </c>
      <c r="AM70" s="377">
        <f ca="1">+IFERROR(ROUND(($AB70-AE70)*100,2)&amp;" pts.",0)</f>
        <v>0</v>
      </c>
      <c r="AN70" s="378">
        <f ca="1">+IFERROR(ROUND(($AB70-AH70)*100,2)&amp;" pts.",0)</f>
        <v>0</v>
      </c>
    </row>
    <row r="71" spans="1:40" x14ac:dyDescent="0.2">
      <c r="A71" s="3" t="s">
        <v>0</v>
      </c>
      <c r="B71" s="5" t="s">
        <v>1</v>
      </c>
      <c r="O71" s="144"/>
      <c r="P71" s="147"/>
      <c r="Q71" s="147"/>
      <c r="R71" s="147"/>
      <c r="S71" s="147"/>
      <c r="T71" s="147"/>
      <c r="U71" s="147"/>
      <c r="V71" s="147"/>
      <c r="W71" s="147"/>
      <c r="X71" s="147"/>
      <c r="Y71" s="147"/>
      <c r="Z71" s="147"/>
      <c r="AA71" s="147"/>
      <c r="AB71" s="51"/>
      <c r="AD71" s="144"/>
      <c r="AF71" s="51"/>
      <c r="AG71" s="144"/>
      <c r="AI71" s="51"/>
    </row>
    <row r="72" spans="1:40" x14ac:dyDescent="0.2">
      <c r="A72" s="6" t="s">
        <v>2</v>
      </c>
      <c r="B72" s="7" t="e">
        <f ca="1">_xll.EVRNG($B$2:$B$10)</f>
        <v>#NAME?</v>
      </c>
      <c r="H72" s="1" t="s">
        <v>73</v>
      </c>
      <c r="I72" s="11" t="e">
        <f ca="1">_xll.EVPRO($B$1,$H72,"STYLE")</f>
        <v>#NAME?</v>
      </c>
      <c r="J72" s="11" t="e">
        <f ca="1">_xll.EVPRO($B$1,$H72,"CALC")</f>
        <v>#NAME?</v>
      </c>
      <c r="N72" s="37" t="e">
        <f ca="1">IF(_xll.EVDES(H72,$B$1)="#NODATA","",_xll.EVDES(H72,$B$1))</f>
        <v>#NAME?</v>
      </c>
      <c r="O72" s="50"/>
      <c r="AB72" s="149"/>
      <c r="AD72" s="148"/>
      <c r="AE72" s="150"/>
      <c r="AF72" s="51"/>
      <c r="AH72" s="150"/>
      <c r="AI72" s="51"/>
    </row>
    <row r="73" spans="1:40" x14ac:dyDescent="0.2">
      <c r="A73" s="6" t="s">
        <v>3</v>
      </c>
      <c r="B73" s="7" t="e">
        <f ca="1">_xll.EVRNG($O$16:$AN$18)</f>
        <v>#NAME?</v>
      </c>
      <c r="H73" s="1" t="s">
        <v>74</v>
      </c>
      <c r="I73" s="11" t="e">
        <f ca="1">_xll.EVPRO($B$1,$H73,"STYLE")</f>
        <v>#NAME?</v>
      </c>
      <c r="J73" s="11" t="e">
        <f ca="1">_xll.EVPRO($B$1,$H73,"CALC")</f>
        <v>#NAME?</v>
      </c>
      <c r="N73" s="8" t="e">
        <f ca="1">IF(_xll.EVDES(H73,$B$1)="#NODATA","",_xll.EVDES(H73,$B$1))</f>
        <v>#NAME?</v>
      </c>
      <c r="O73" s="40"/>
      <c r="P73" s="43"/>
      <c r="Q73" s="43"/>
      <c r="R73" s="43"/>
      <c r="S73" s="43"/>
      <c r="T73" s="43"/>
      <c r="U73" s="43"/>
      <c r="V73" s="43"/>
      <c r="W73" s="43"/>
      <c r="X73" s="43"/>
      <c r="Y73" s="43"/>
      <c r="Z73" s="43"/>
      <c r="AA73" s="43"/>
      <c r="AB73" s="41"/>
      <c r="AD73" s="40"/>
      <c r="AE73" s="43"/>
      <c r="AF73" s="41"/>
      <c r="AG73" s="43"/>
      <c r="AH73" s="43"/>
      <c r="AI73" s="41"/>
    </row>
    <row r="74" spans="1:40" x14ac:dyDescent="0.2">
      <c r="A74" s="6" t="s">
        <v>4</v>
      </c>
      <c r="B74" s="7" t="e">
        <f ca="1">_xll.EVRNG(H74:H75,H77:H88,H91:H117)</f>
        <v>#NAME?</v>
      </c>
      <c r="H74" s="133" t="s">
        <v>883</v>
      </c>
      <c r="I74" s="25" t="e">
        <f ca="1">_xll.EVPRO($B$1,$H74,"STYLE")</f>
        <v>#NAME?</v>
      </c>
      <c r="J74" s="25" t="e">
        <f ca="1">_xll.EVPRO($B$1,$H74,"CALC")</f>
        <v>#NAME?</v>
      </c>
      <c r="K74" s="64" t="e">
        <f ca="1">IF(AND(I74&gt;="T3"),"&gt;","")</f>
        <v>#NAME?</v>
      </c>
      <c r="L74" s="24" t="e">
        <f ca="1">_xll.EVPRO($B$1,H74,"JDEID")</f>
        <v>#NAME?</v>
      </c>
      <c r="M74" s="24" t="e">
        <f ca="1">IF(AND(I74="N",J74="N"),_xll.EVPRO($B$1,H74,"PSFTID"),"")</f>
        <v>#NAME?</v>
      </c>
      <c r="N74" s="24" t="e">
        <f ca="1">IF(_xll.EVDES(H74,$B$1)="#NODATA","",_xll.EVDES(H74,$B$1))</f>
        <v>#NAME?</v>
      </c>
      <c r="O74" s="35"/>
      <c r="P74" s="35"/>
      <c r="Q74" s="35"/>
      <c r="R74" s="35"/>
      <c r="S74" s="35"/>
      <c r="T74" s="35"/>
      <c r="U74" s="35"/>
      <c r="V74" s="35"/>
      <c r="W74" s="35"/>
      <c r="X74" s="35"/>
      <c r="Y74" s="35"/>
      <c r="Z74" s="35"/>
      <c r="AA74" s="283" t="e">
        <f ca="1">IF($I74="B1","",SUM(O74:Z74))</f>
        <v>#NAME?</v>
      </c>
      <c r="AB74" s="36" t="e">
        <f ca="1">IF(AA74=0,"",IFERROR(AA74/AA$19,""))</f>
        <v>#NAME?</v>
      </c>
      <c r="AD74" s="35"/>
      <c r="AE74" s="36" t="str">
        <f>IF(AD74=0,"",IFERROR(AD74/AD$19,""))</f>
        <v/>
      </c>
      <c r="AF74" s="118" t="e">
        <f ca="1">IF(AND($AA74="",AD74=""),"",$AA74-AD74)</f>
        <v>#NAME?</v>
      </c>
      <c r="AG74" s="35">
        <v>136806.29999999999</v>
      </c>
      <c r="AH74" s="36" t="str">
        <f ca="1">IF(AG74=0,"",IFERROR(AG74/AG$19,""))</f>
        <v/>
      </c>
      <c r="AI74" s="118" t="e">
        <f ca="1">IF(AND($AA74="",AG74=""),"",$AA74-AG74)</f>
        <v>#NAME?</v>
      </c>
      <c r="AJ74" s="322">
        <f ca="1">IFERROR(AA74/AA$20,0)</f>
        <v>0</v>
      </c>
      <c r="AK74" s="323">
        <f ca="1">IFERROR(AD74/AD$20,0)</f>
        <v>0</v>
      </c>
      <c r="AL74" s="324">
        <f ca="1">IFERROR(AG74/AG$20,0)</f>
        <v>0</v>
      </c>
      <c r="AM74" s="359">
        <f ca="1">+IFERROR(ROUND(($AB74-AE74)*100,2)&amp;" pts.",0)</f>
        <v>0</v>
      </c>
      <c r="AN74" s="358">
        <f ca="1">+IFERROR(ROUND(($AB74-AH74)*100,2)&amp;" pts.",0)</f>
        <v>0</v>
      </c>
    </row>
    <row r="75" spans="1:40" x14ac:dyDescent="0.2">
      <c r="A75" s="6" t="s">
        <v>5</v>
      </c>
      <c r="B75" s="7"/>
      <c r="H75" s="133" t="s">
        <v>884</v>
      </c>
      <c r="I75" s="25" t="e">
        <f ca="1">_xll.EVPRO($B$1,$H75,"STYLE")</f>
        <v>#NAME?</v>
      </c>
      <c r="J75" s="25" t="e">
        <f ca="1">_xll.EVPRO($B$1,$H75,"CALC")</f>
        <v>#NAME?</v>
      </c>
      <c r="K75" s="64" t="e">
        <f ca="1">IF(AND(I75&gt;="T3"),"&gt;","")</f>
        <v>#NAME?</v>
      </c>
      <c r="L75" s="24" t="e">
        <f ca="1">_xll.EVPRO($B$1,H75,"JDEID")</f>
        <v>#NAME?</v>
      </c>
      <c r="M75" s="24" t="e">
        <f ca="1">IF(AND(I75="N",J75="N"),_xll.EVPRO($B$1,H75,"PSFTID"),"")</f>
        <v>#NAME?</v>
      </c>
      <c r="N75" s="24" t="e">
        <f ca="1">IF(_xll.EVDES(H75,$B$1)="#NODATA","",_xll.EVDES(H75,$B$1))</f>
        <v>#NAME?</v>
      </c>
      <c r="O75" s="35"/>
      <c r="P75" s="35"/>
      <c r="Q75" s="35"/>
      <c r="R75" s="35"/>
      <c r="S75" s="35"/>
      <c r="T75" s="35"/>
      <c r="U75" s="35"/>
      <c r="V75" s="35"/>
      <c r="W75" s="35"/>
      <c r="X75" s="35"/>
      <c r="Y75" s="35"/>
      <c r="Z75" s="35"/>
      <c r="AA75" s="283" t="e">
        <f ca="1">IF($I75="B1","",SUM(O75:Z75))</f>
        <v>#NAME?</v>
      </c>
      <c r="AB75" s="36" t="e">
        <f ca="1">IF(AA75=0,"",IFERROR(AA75/AA$19,""))</f>
        <v>#NAME?</v>
      </c>
      <c r="AD75" s="35"/>
      <c r="AE75" s="36" t="str">
        <f>IF(AD75=0,"",IFERROR(AD75/AD$19,""))</f>
        <v/>
      </c>
      <c r="AF75" s="118" t="e">
        <f ca="1">IF(AND($AA75="",AD75=""),"",$AA75-AD75)</f>
        <v>#NAME?</v>
      </c>
      <c r="AG75" s="35">
        <v>127653.44</v>
      </c>
      <c r="AH75" s="36" t="str">
        <f ca="1">IF(AG75=0,"",IFERROR(AG75/AG$19,""))</f>
        <v/>
      </c>
      <c r="AI75" s="118" t="e">
        <f ca="1">IF(AND($AA75="",AG75=""),"",$AA75-AG75)</f>
        <v>#NAME?</v>
      </c>
      <c r="AJ75" s="322">
        <f ca="1">IFERROR(AA75/AA$20,0)</f>
        <v>0</v>
      </c>
      <c r="AK75" s="323">
        <f ca="1">IFERROR(AD75/AD$20,0)</f>
        <v>0</v>
      </c>
      <c r="AL75" s="324">
        <f ca="1">IFERROR(AG75/AG$20,0)</f>
        <v>0</v>
      </c>
      <c r="AM75" s="359">
        <f ca="1">+IFERROR(ROUND(($AB75-AE75)*100,2)&amp;" pts.",0)</f>
        <v>0</v>
      </c>
      <c r="AN75" s="358">
        <f ca="1">+IFERROR(ROUND(($AB75-AH75)*100,2)&amp;" pts.",0)</f>
        <v>0</v>
      </c>
    </row>
    <row r="76" spans="1:40" x14ac:dyDescent="0.2">
      <c r="A76" s="6" t="s">
        <v>6</v>
      </c>
      <c r="B76" s="7"/>
      <c r="H76" s="133" t="s">
        <v>75</v>
      </c>
      <c r="I76" s="26" t="e">
        <f ca="1">_xll.EVPRO($B$1,$H76,"STYLE")</f>
        <v>#NAME?</v>
      </c>
      <c r="J76" s="26" t="e">
        <f ca="1">_xll.EVPRO($B$1,$H76,"CALC")</f>
        <v>#NAME?</v>
      </c>
      <c r="K76" s="65" t="e">
        <f ca="1">IF(AND(I76&gt;="T3"),"&gt;","")</f>
        <v>#NAME?</v>
      </c>
      <c r="L76" s="23" t="e">
        <f ca="1">_xll.EVPRO($B$1,H76,"JDEID")</f>
        <v>#NAME?</v>
      </c>
      <c r="M76" s="24" t="e">
        <f ca="1">IF(AND(I76="N",J76="N"),_xll.EVPRO($B$1,H76,"PSFTID"),"")</f>
        <v>#NAME?</v>
      </c>
      <c r="N76" s="23" t="e">
        <f ca="1">IF(_xll.EVDES(H76,$B$1)="#NODATA","",_xll.EVDES(H76,$B$1))</f>
        <v>#NAME?</v>
      </c>
      <c r="O76" s="35"/>
      <c r="P76" s="35"/>
      <c r="Q76" s="35"/>
      <c r="R76" s="35"/>
      <c r="S76" s="35"/>
      <c r="T76" s="35"/>
      <c r="U76" s="35"/>
      <c r="V76" s="35"/>
      <c r="W76" s="35"/>
      <c r="X76" s="35"/>
      <c r="Y76" s="35"/>
      <c r="Z76" s="35"/>
      <c r="AA76" s="283" t="e">
        <f t="shared" ref="AA76" ca="1" si="27">IF($I76="B1","",SUM(O76:Z76))</f>
        <v>#NAME?</v>
      </c>
      <c r="AB76" s="36" t="e">
        <f t="shared" ref="AB76" ca="1" si="28">IF(AA76=0,"",IFERROR(AA76/AA$19,""))</f>
        <v>#NAME?</v>
      </c>
      <c r="AD76" s="35"/>
      <c r="AE76" s="36" t="str">
        <f t="shared" ref="AE76" si="29">IF(AD76=0,"",IFERROR(AD76/AD$19,""))</f>
        <v/>
      </c>
      <c r="AF76" s="118" t="e">
        <f t="shared" ref="AF76" ca="1" si="30">IF(AND($AA76="",AD76=""),"",$AA76-AD76)</f>
        <v>#NAME?</v>
      </c>
      <c r="AG76" s="35"/>
      <c r="AH76" s="36" t="str">
        <f>IF(AG76=0,"",IFERROR(AG76/AG$19,""))</f>
        <v/>
      </c>
      <c r="AI76" s="118" t="e">
        <f ca="1">IF(AND($AA76="",AG76=""),"",$AA76-AG76)</f>
        <v>#NAME?</v>
      </c>
      <c r="AJ76" s="322">
        <f ca="1">IFERROR(AA76/AA$20,0)</f>
        <v>0</v>
      </c>
      <c r="AK76" s="323">
        <f ca="1">IFERROR(AD76/AD$20,0)</f>
        <v>0</v>
      </c>
      <c r="AL76" s="324">
        <f ca="1">IFERROR(AG76/AG$20,0)</f>
        <v>0</v>
      </c>
      <c r="AM76" s="359">
        <f ca="1">+IFERROR(ROUND(($AB76-AE76)*100,2)&amp;" pts.",0)</f>
        <v>0</v>
      </c>
      <c r="AN76" s="358">
        <f ca="1">+IFERROR(ROUND(($AB76-AH76)*100,2)&amp;" pts.",0)</f>
        <v>0</v>
      </c>
    </row>
    <row r="77" spans="1:40" x14ac:dyDescent="0.2">
      <c r="A77" s="6" t="s">
        <v>7</v>
      </c>
      <c r="B77" s="7" t="e">
        <f ca="1">_xll.EVRNG(A91:F97)</f>
        <v>#NAME?</v>
      </c>
      <c r="H77" s="133" t="s">
        <v>882</v>
      </c>
      <c r="I77" s="25" t="e">
        <f ca="1">_xll.EVPRO($B$1,$H77,"STYLE")</f>
        <v>#NAME?</v>
      </c>
      <c r="J77" s="25" t="e">
        <f ca="1">_xll.EVPRO($B$1,$H77,"CALC")</f>
        <v>#NAME?</v>
      </c>
      <c r="K77" s="64" t="e">
        <f ca="1">IF(AND(I77&gt;="T3"),"&gt;","")</f>
        <v>#NAME?</v>
      </c>
      <c r="L77" s="24" t="e">
        <f ca="1">_xll.EVPRO($B$1,H77,"JDEID")</f>
        <v>#NAME?</v>
      </c>
      <c r="M77" s="24" t="e">
        <f ca="1">IF(AND(I77="N",J77="N"),_xll.EVPRO($B$1,H77,"PSFTID"),"")</f>
        <v>#NAME?</v>
      </c>
      <c r="N77" s="24" t="e">
        <f ca="1">IF(_xll.EVDES(H77,$B$1)="#NODATA","",_xll.EVDES(H77,$B$1))</f>
        <v>#NAME?</v>
      </c>
      <c r="O77" s="44">
        <v>1199.5</v>
      </c>
      <c r="P77" s="44"/>
      <c r="Q77" s="44"/>
      <c r="R77" s="44"/>
      <c r="S77" s="44"/>
      <c r="T77" s="44"/>
      <c r="U77" s="44"/>
      <c r="V77" s="44"/>
      <c r="W77" s="44"/>
      <c r="X77" s="44"/>
      <c r="Y77" s="44"/>
      <c r="Z77" s="44"/>
      <c r="AA77" s="296" t="e">
        <f t="shared" ref="AA77:AA88" ca="1" si="31">IF($I77="B1","",SUM(O77:Z77))</f>
        <v>#NAME?</v>
      </c>
      <c r="AB77" s="45" t="e">
        <f t="shared" ref="AB77:AB88" ca="1" si="32">IF(AA77=0,"",IFERROR(AA77/AA$19,""))</f>
        <v>#NAME?</v>
      </c>
      <c r="AD77" s="44"/>
      <c r="AE77" s="45" t="str">
        <f t="shared" ref="AE77:AE88" si="33">IF(AD77=0,"",IFERROR(AD77/AD$19,""))</f>
        <v/>
      </c>
      <c r="AF77" s="134" t="e">
        <f t="shared" ref="AF77:AF88" ca="1" si="34">IF(AND($AA77="",AD77=""),"",$AA77-AD77)</f>
        <v>#NAME?</v>
      </c>
      <c r="AG77" s="44">
        <v>55586</v>
      </c>
      <c r="AH77" s="45" t="str">
        <f ca="1">IF(AG77=0,"",IFERROR(AG77/AG$19,""))</f>
        <v/>
      </c>
      <c r="AI77" s="134" t="e">
        <f ca="1">IF(AND($AA77="",AG77=""),"",$AA77-AG77)</f>
        <v>#NAME?</v>
      </c>
      <c r="AJ77" s="322">
        <f ca="1">IFERROR(AA77/AA$20,0)</f>
        <v>0</v>
      </c>
      <c r="AK77" s="323">
        <f ca="1">IFERROR(AD77/AD$20,0)</f>
        <v>0</v>
      </c>
      <c r="AL77" s="324">
        <f ca="1">IFERROR(AG77/AG$20,0)</f>
        <v>0</v>
      </c>
      <c r="AM77" s="359">
        <f ca="1">+IFERROR(ROUND(($AB77-AE77)*100,2)&amp;" pts.",0)</f>
        <v>0</v>
      </c>
      <c r="AN77" s="358">
        <f ca="1">+IFERROR(ROUND(($AB77-AH77)*100,2)&amp;" pts.",0)</f>
        <v>0</v>
      </c>
    </row>
    <row r="78" spans="1:40" x14ac:dyDescent="0.2">
      <c r="A78" s="6" t="s">
        <v>47</v>
      </c>
      <c r="B78" s="7" t="e">
        <f ca="1">_xll.EVRNG($A$114:$B$135)</f>
        <v>#NAME?</v>
      </c>
      <c r="H78" s="133" t="s">
        <v>861</v>
      </c>
      <c r="I78" s="25" t="e">
        <f ca="1">_xll.EVPRO($B$1,$H78,"STYLE")</f>
        <v>#NAME?</v>
      </c>
      <c r="J78" s="25" t="e">
        <f ca="1">_xll.EVPRO($B$1,$H78,"CALC")</f>
        <v>#NAME?</v>
      </c>
      <c r="K78" s="64" t="e">
        <f t="shared" ref="K78:K88" ca="1" si="35">IF(AND(I78&gt;="T3"),"&gt;","")</f>
        <v>#NAME?</v>
      </c>
      <c r="L78" s="24" t="e">
        <f ca="1">_xll.EVPRO($B$1,H78,"JDEID")</f>
        <v>#NAME?</v>
      </c>
      <c r="M78" s="24" t="e">
        <f ca="1">IF(AND(I78="N",J78="N"),_xll.EVPRO($B$1,H78,"PSFTID"),"")</f>
        <v>#NAME?</v>
      </c>
      <c r="N78" s="24" t="e">
        <f ca="1">IF(_xll.EVDES(H78,$B$1)="#NODATA","",_xll.EVDES(H78,$B$1))</f>
        <v>#NAME?</v>
      </c>
      <c r="O78" s="44">
        <v>1825.16</v>
      </c>
      <c r="P78" s="44"/>
      <c r="Q78" s="44"/>
      <c r="R78" s="44"/>
      <c r="S78" s="44"/>
      <c r="T78" s="44"/>
      <c r="U78" s="44"/>
      <c r="V78" s="44"/>
      <c r="W78" s="44"/>
      <c r="X78" s="44"/>
      <c r="Y78" s="44"/>
      <c r="Z78" s="44"/>
      <c r="AA78" s="296" t="e">
        <f t="shared" ca="1" si="31"/>
        <v>#NAME?</v>
      </c>
      <c r="AB78" s="45" t="e">
        <f t="shared" ca="1" si="32"/>
        <v>#NAME?</v>
      </c>
      <c r="AD78" s="44"/>
      <c r="AE78" s="45" t="str">
        <f t="shared" si="33"/>
        <v/>
      </c>
      <c r="AF78" s="134" t="e">
        <f t="shared" ca="1" si="34"/>
        <v>#NAME?</v>
      </c>
      <c r="AG78" s="44">
        <v>139689.69</v>
      </c>
      <c r="AH78" s="45" t="str">
        <f t="shared" ref="AH78:AH88" ca="1" si="36">IF(AG78=0,"",IFERROR(AG78/AG$19,""))</f>
        <v/>
      </c>
      <c r="AI78" s="134" t="e">
        <f t="shared" ref="AI78:AI88" ca="1" si="37">IF(AND($AA78="",AG78=""),"",$AA78-AG78)</f>
        <v>#NAME?</v>
      </c>
      <c r="AJ78" s="329">
        <f t="shared" ref="AJ78:AJ88" ca="1" si="38">IFERROR(AA78/AA$20,0)</f>
        <v>0</v>
      </c>
      <c r="AK78" s="330">
        <f t="shared" ref="AK78:AK88" ca="1" si="39">IFERROR(AD78/AD$20,0)</f>
        <v>0</v>
      </c>
      <c r="AL78" s="331">
        <f t="shared" ref="AL78:AL88" ca="1" si="40">IFERROR(AG78/AG$20,0)</f>
        <v>0</v>
      </c>
      <c r="AM78" s="360">
        <f t="shared" ref="AM78:AM88" ca="1" si="41">+IFERROR(ROUND(($AB78-AE78)*100,2)&amp;" pts.",0)</f>
        <v>0</v>
      </c>
      <c r="AN78" s="361">
        <f t="shared" ref="AN78:AN88" ca="1" si="42">+IFERROR(ROUND(($AB78-AH78)*100,2)&amp;" pts.",0)</f>
        <v>0</v>
      </c>
    </row>
    <row r="79" spans="1:40" x14ac:dyDescent="0.2">
      <c r="A79" s="6" t="s">
        <v>8</v>
      </c>
      <c r="B79" s="7"/>
      <c r="H79" s="133" t="s">
        <v>849</v>
      </c>
      <c r="I79" s="447" t="e">
        <f ca="1">_xll.EVPRO($B$1,$H79,"STYLE")</f>
        <v>#NAME?</v>
      </c>
      <c r="J79" s="447" t="e">
        <f ca="1">_xll.EVPRO($B$1,$H79,"CALC")</f>
        <v>#NAME?</v>
      </c>
      <c r="K79" s="448" t="e">
        <f t="shared" ca="1" si="35"/>
        <v>#NAME?</v>
      </c>
      <c r="L79" s="151" t="e">
        <f ca="1">_xll.EVPRO($B$1,H79,"JDEID")</f>
        <v>#NAME?</v>
      </c>
      <c r="M79" s="151" t="e">
        <f ca="1">IF(AND(I79="N",J79="N"),_xll.EVPRO($B$1,H79,"PSFTID"),"")</f>
        <v>#NAME?</v>
      </c>
      <c r="N79" s="151" t="e">
        <f ca="1">IF(_xll.EVDES(H79,$B$1)="#NODATA","",_xll.EVDES(H79,$B$1))</f>
        <v>#NAME?</v>
      </c>
      <c r="O79" s="120">
        <v>3024.66</v>
      </c>
      <c r="P79" s="120"/>
      <c r="Q79" s="120"/>
      <c r="R79" s="120"/>
      <c r="S79" s="120"/>
      <c r="T79" s="120"/>
      <c r="U79" s="120"/>
      <c r="V79" s="120"/>
      <c r="W79" s="120"/>
      <c r="X79" s="120"/>
      <c r="Y79" s="120"/>
      <c r="Z79" s="120"/>
      <c r="AA79" s="120" t="e">
        <f t="shared" ca="1" si="31"/>
        <v>#NAME?</v>
      </c>
      <c r="AB79" s="121" t="e">
        <f t="shared" ca="1" si="32"/>
        <v>#NAME?</v>
      </c>
      <c r="AC79" s="123"/>
      <c r="AD79" s="120"/>
      <c r="AE79" s="121" t="str">
        <f t="shared" si="33"/>
        <v/>
      </c>
      <c r="AF79" s="122" t="e">
        <f t="shared" ca="1" si="34"/>
        <v>#NAME?</v>
      </c>
      <c r="AG79" s="120">
        <v>459735.43</v>
      </c>
      <c r="AH79" s="121" t="str">
        <f t="shared" ca="1" si="36"/>
        <v/>
      </c>
      <c r="AI79" s="122" t="e">
        <f t="shared" ca="1" si="37"/>
        <v>#NAME?</v>
      </c>
      <c r="AJ79" s="332">
        <f t="shared" ca="1" si="38"/>
        <v>0</v>
      </c>
      <c r="AK79" s="333">
        <f t="shared" ca="1" si="39"/>
        <v>0</v>
      </c>
      <c r="AL79" s="335">
        <f t="shared" ca="1" si="40"/>
        <v>0</v>
      </c>
      <c r="AM79" s="377">
        <f t="shared" ca="1" si="41"/>
        <v>0</v>
      </c>
      <c r="AN79" s="479">
        <f t="shared" ca="1" si="42"/>
        <v>0</v>
      </c>
    </row>
    <row r="80" spans="1:40" x14ac:dyDescent="0.2">
      <c r="H80" s="133" t="s">
        <v>862</v>
      </c>
      <c r="I80" s="25" t="e">
        <f ca="1">_xll.EVPRO($B$1,$H80,"STYLE")</f>
        <v>#NAME?</v>
      </c>
      <c r="J80" s="25" t="e">
        <f ca="1">_xll.EVPRO($B$1,$H80,"CALC")</f>
        <v>#NAME?</v>
      </c>
      <c r="K80" s="64" t="e">
        <f t="shared" ca="1" si="35"/>
        <v>#NAME?</v>
      </c>
      <c r="L80" s="24" t="e">
        <f ca="1">_xll.EVPRO($B$1,H80,"JDEID")</f>
        <v>#NAME?</v>
      </c>
      <c r="M80" s="24" t="e">
        <f ca="1">IF(AND(I80="N",J80="N"),_xll.EVPRO($B$1,H80,"PSFTID"),"")</f>
        <v>#NAME?</v>
      </c>
      <c r="N80" s="24" t="e">
        <f ca="1">IF(_xll.EVDES(H80,$B$1)="#NODATA","",_xll.EVDES(H80,$B$1))</f>
        <v>#NAME?</v>
      </c>
      <c r="O80" s="44">
        <v>4567.1099999999997</v>
      </c>
      <c r="P80" s="44"/>
      <c r="Q80" s="44"/>
      <c r="R80" s="44"/>
      <c r="S80" s="44"/>
      <c r="T80" s="44"/>
      <c r="U80" s="44"/>
      <c r="V80" s="44"/>
      <c r="W80" s="44"/>
      <c r="X80" s="44"/>
      <c r="Y80" s="44"/>
      <c r="Z80" s="44"/>
      <c r="AA80" s="44" t="e">
        <f t="shared" ca="1" si="31"/>
        <v>#NAME?</v>
      </c>
      <c r="AB80" s="45" t="e">
        <f t="shared" ca="1" si="32"/>
        <v>#NAME?</v>
      </c>
      <c r="AD80" s="44"/>
      <c r="AE80" s="45" t="str">
        <f t="shared" si="33"/>
        <v/>
      </c>
      <c r="AF80" s="134" t="e">
        <f t="shared" ca="1" si="34"/>
        <v>#NAME?</v>
      </c>
      <c r="AG80" s="44">
        <v>300122.44</v>
      </c>
      <c r="AH80" s="45" t="str">
        <f t="shared" ca="1" si="36"/>
        <v/>
      </c>
      <c r="AI80" s="134" t="e">
        <f t="shared" ca="1" si="37"/>
        <v>#NAME?</v>
      </c>
      <c r="AJ80" s="325">
        <f t="shared" ca="1" si="38"/>
        <v>0</v>
      </c>
      <c r="AK80" s="326">
        <f t="shared" ca="1" si="39"/>
        <v>0</v>
      </c>
      <c r="AL80" s="328">
        <f t="shared" ca="1" si="40"/>
        <v>0</v>
      </c>
      <c r="AM80" s="362">
        <f t="shared" ca="1" si="41"/>
        <v>0</v>
      </c>
      <c r="AN80" s="363">
        <f t="shared" ca="1" si="42"/>
        <v>0</v>
      </c>
    </row>
    <row r="81" spans="1:40" x14ac:dyDescent="0.2">
      <c r="A81" s="3" t="s">
        <v>9</v>
      </c>
      <c r="B81" s="5" t="s">
        <v>10</v>
      </c>
      <c r="H81" s="133" t="s">
        <v>863</v>
      </c>
      <c r="I81" s="25" t="e">
        <f ca="1">_xll.EVPRO($B$1,$H81,"STYLE")</f>
        <v>#NAME?</v>
      </c>
      <c r="J81" s="25" t="e">
        <f ca="1">_xll.EVPRO($B$1,$H81,"CALC")</f>
        <v>#NAME?</v>
      </c>
      <c r="K81" s="64" t="e">
        <f t="shared" ca="1" si="35"/>
        <v>#NAME?</v>
      </c>
      <c r="L81" s="24" t="e">
        <f ca="1">_xll.EVPRO($B$1,H81,"JDEID")</f>
        <v>#NAME?</v>
      </c>
      <c r="M81" s="24" t="e">
        <f ca="1">IF(AND(I81="N",J81="N"),_xll.EVPRO($B$1,H81,"PSFTID"),"")</f>
        <v>#NAME?</v>
      </c>
      <c r="N81" s="24" t="e">
        <f ca="1">IF(_xll.EVDES(H81,$B$1)="#NODATA","",_xll.EVDES(H81,$B$1))</f>
        <v>#NAME?</v>
      </c>
      <c r="O81" s="44">
        <v>4177.75</v>
      </c>
      <c r="P81" s="44"/>
      <c r="Q81" s="44"/>
      <c r="R81" s="44"/>
      <c r="S81" s="44"/>
      <c r="T81" s="44"/>
      <c r="U81" s="44"/>
      <c r="V81" s="44"/>
      <c r="W81" s="44"/>
      <c r="X81" s="44"/>
      <c r="Y81" s="44"/>
      <c r="Z81" s="44"/>
      <c r="AA81" s="296" t="e">
        <f t="shared" ca="1" si="31"/>
        <v>#NAME?</v>
      </c>
      <c r="AB81" s="45" t="e">
        <f t="shared" ca="1" si="32"/>
        <v>#NAME?</v>
      </c>
      <c r="AD81" s="44"/>
      <c r="AE81" s="45" t="str">
        <f t="shared" si="33"/>
        <v/>
      </c>
      <c r="AF81" s="134" t="e">
        <f t="shared" ca="1" si="34"/>
        <v>#NAME?</v>
      </c>
      <c r="AG81" s="44">
        <v>409821.64</v>
      </c>
      <c r="AH81" s="45" t="str">
        <f t="shared" ca="1" si="36"/>
        <v/>
      </c>
      <c r="AI81" s="134" t="e">
        <f t="shared" ca="1" si="37"/>
        <v>#NAME?</v>
      </c>
      <c r="AJ81" s="322">
        <f t="shared" ca="1" si="38"/>
        <v>0</v>
      </c>
      <c r="AK81" s="323">
        <f t="shared" ca="1" si="39"/>
        <v>0</v>
      </c>
      <c r="AL81" s="324">
        <f t="shared" ca="1" si="40"/>
        <v>0</v>
      </c>
      <c r="AM81" s="359">
        <f t="shared" ca="1" si="41"/>
        <v>0</v>
      </c>
      <c r="AN81" s="358">
        <f t="shared" ca="1" si="42"/>
        <v>0</v>
      </c>
    </row>
    <row r="82" spans="1:40" x14ac:dyDescent="0.2">
      <c r="A82" s="6" t="s">
        <v>11</v>
      </c>
      <c r="B82" s="7" t="s">
        <v>21</v>
      </c>
      <c r="H82" s="133" t="s">
        <v>850</v>
      </c>
      <c r="I82" s="25" t="e">
        <f ca="1">_xll.EVPRO($B$1,$H82,"STYLE")</f>
        <v>#NAME?</v>
      </c>
      <c r="J82" s="25" t="e">
        <f ca="1">_xll.EVPRO($B$1,$H82,"CALC")</f>
        <v>#NAME?</v>
      </c>
      <c r="K82" s="64" t="e">
        <f t="shared" ca="1" si="35"/>
        <v>#NAME?</v>
      </c>
      <c r="L82" s="24" t="e">
        <f ca="1">_xll.EVPRO($B$1,H82,"JDEID")</f>
        <v>#NAME?</v>
      </c>
      <c r="M82" s="24" t="e">
        <f ca="1">IF(AND(I82="N",J82="N"),_xll.EVPRO($B$1,H82,"PSFTID"),"")</f>
        <v>#NAME?</v>
      </c>
      <c r="N82" s="24" t="e">
        <f ca="1">IF(_xll.EVDES(H82,$B$1)="#NODATA","",_xll.EVDES(H82,$B$1))</f>
        <v>#NAME?</v>
      </c>
      <c r="O82" s="44"/>
      <c r="P82" s="44"/>
      <c r="Q82" s="44"/>
      <c r="R82" s="44"/>
      <c r="S82" s="44"/>
      <c r="T82" s="44"/>
      <c r="U82" s="44"/>
      <c r="V82" s="44"/>
      <c r="W82" s="44"/>
      <c r="X82" s="44"/>
      <c r="Y82" s="44"/>
      <c r="Z82" s="44"/>
      <c r="AA82" s="296" t="e">
        <f t="shared" ca="1" si="31"/>
        <v>#NAME?</v>
      </c>
      <c r="AB82" s="45" t="e">
        <f t="shared" ca="1" si="32"/>
        <v>#NAME?</v>
      </c>
      <c r="AD82" s="44"/>
      <c r="AE82" s="45" t="str">
        <f t="shared" si="33"/>
        <v/>
      </c>
      <c r="AF82" s="134" t="e">
        <f t="shared" ca="1" si="34"/>
        <v>#NAME?</v>
      </c>
      <c r="AG82" s="44">
        <v>11773.37</v>
      </c>
      <c r="AH82" s="45" t="str">
        <f t="shared" ca="1" si="36"/>
        <v/>
      </c>
      <c r="AI82" s="134" t="e">
        <f t="shared" ca="1" si="37"/>
        <v>#NAME?</v>
      </c>
      <c r="AJ82" s="329">
        <f t="shared" ca="1" si="38"/>
        <v>0</v>
      </c>
      <c r="AK82" s="330">
        <f t="shared" ca="1" si="39"/>
        <v>0</v>
      </c>
      <c r="AL82" s="331">
        <f t="shared" ca="1" si="40"/>
        <v>0</v>
      </c>
      <c r="AM82" s="360">
        <f t="shared" ca="1" si="41"/>
        <v>0</v>
      </c>
      <c r="AN82" s="361">
        <f t="shared" ca="1" si="42"/>
        <v>0</v>
      </c>
    </row>
    <row r="83" spans="1:40" x14ac:dyDescent="0.2">
      <c r="A83" s="6" t="s">
        <v>12</v>
      </c>
      <c r="B83" s="7" t="s">
        <v>22</v>
      </c>
      <c r="H83" s="133" t="s">
        <v>851</v>
      </c>
      <c r="I83" s="447" t="e">
        <f ca="1">_xll.EVPRO($B$1,$H83,"STYLE")</f>
        <v>#NAME?</v>
      </c>
      <c r="J83" s="447" t="e">
        <f ca="1">_xll.EVPRO($B$1,$H83,"CALC")</f>
        <v>#NAME?</v>
      </c>
      <c r="K83" s="448" t="e">
        <f t="shared" ca="1" si="35"/>
        <v>#NAME?</v>
      </c>
      <c r="L83" s="151" t="e">
        <f ca="1">_xll.EVPRO($B$1,H83,"JDEID")</f>
        <v>#NAME?</v>
      </c>
      <c r="M83" s="151" t="e">
        <f ca="1">IF(AND(I83="N",J83="N"),_xll.EVPRO($B$1,H83,"PSFTID"),"")</f>
        <v>#NAME?</v>
      </c>
      <c r="N83" s="151" t="e">
        <f ca="1">IF(_xll.EVDES(H83,$B$1)="#NODATA","",_xll.EVDES(H83,$B$1))</f>
        <v>#NAME?</v>
      </c>
      <c r="O83" s="120">
        <v>11769.52</v>
      </c>
      <c r="P83" s="120"/>
      <c r="Q83" s="120"/>
      <c r="R83" s="120"/>
      <c r="S83" s="120"/>
      <c r="T83" s="120"/>
      <c r="U83" s="120"/>
      <c r="V83" s="120"/>
      <c r="W83" s="120"/>
      <c r="X83" s="120"/>
      <c r="Y83" s="120"/>
      <c r="Z83" s="120"/>
      <c r="AA83" s="120" t="e">
        <f t="shared" ca="1" si="31"/>
        <v>#NAME?</v>
      </c>
      <c r="AB83" s="121" t="e">
        <f t="shared" ca="1" si="32"/>
        <v>#NAME?</v>
      </c>
      <c r="AC83" s="123"/>
      <c r="AD83" s="120"/>
      <c r="AE83" s="121" t="str">
        <f t="shared" si="33"/>
        <v/>
      </c>
      <c r="AF83" s="122" t="e">
        <f t="shared" ca="1" si="34"/>
        <v>#NAME?</v>
      </c>
      <c r="AG83" s="120">
        <v>1181452.8799999999</v>
      </c>
      <c r="AH83" s="121" t="str">
        <f t="shared" ca="1" si="36"/>
        <v/>
      </c>
      <c r="AI83" s="122" t="e">
        <f t="shared" ca="1" si="37"/>
        <v>#NAME?</v>
      </c>
      <c r="AJ83" s="332">
        <f t="shared" ca="1" si="38"/>
        <v>0</v>
      </c>
      <c r="AK83" s="333">
        <f t="shared" ca="1" si="39"/>
        <v>0</v>
      </c>
      <c r="AL83" s="335">
        <f t="shared" ca="1" si="40"/>
        <v>0</v>
      </c>
      <c r="AM83" s="377">
        <f t="shared" ca="1" si="41"/>
        <v>0</v>
      </c>
      <c r="AN83" s="479">
        <f t="shared" ca="1" si="42"/>
        <v>0</v>
      </c>
    </row>
    <row r="84" spans="1:40" x14ac:dyDescent="0.2">
      <c r="A84" s="6" t="s">
        <v>13</v>
      </c>
      <c r="B84" s="7" t="s">
        <v>737</v>
      </c>
      <c r="H84" s="133" t="s">
        <v>852</v>
      </c>
      <c r="I84" s="25" t="e">
        <f ca="1">_xll.EVPRO($B$1,$H84,"STYLE")</f>
        <v>#NAME?</v>
      </c>
      <c r="J84" s="25" t="e">
        <f ca="1">_xll.EVPRO($B$1,$H84,"CALC")</f>
        <v>#NAME?</v>
      </c>
      <c r="K84" s="64" t="e">
        <f t="shared" ca="1" si="35"/>
        <v>#NAME?</v>
      </c>
      <c r="L84" s="24" t="e">
        <f ca="1">_xll.EVPRO($B$1,H84,"JDEID")</f>
        <v>#NAME?</v>
      </c>
      <c r="M84" s="24" t="e">
        <f ca="1">IF(AND(I84="N",J84="N"),_xll.EVPRO($B$1,H84,"PSFTID"),"")</f>
        <v>#NAME?</v>
      </c>
      <c r="N84" s="24" t="e">
        <f ca="1">IF(_xll.EVDES(H84,$B$1)="#NODATA","",_xll.EVDES(H84,$B$1))</f>
        <v>#NAME?</v>
      </c>
      <c r="O84" s="44">
        <v>769.65</v>
      </c>
      <c r="P84" s="44">
        <v>6.4392935428259E-15</v>
      </c>
      <c r="Q84" s="44"/>
      <c r="R84" s="44"/>
      <c r="S84" s="44"/>
      <c r="T84" s="44"/>
      <c r="U84" s="44"/>
      <c r="V84" s="44"/>
      <c r="W84" s="44"/>
      <c r="X84" s="44"/>
      <c r="Y84" s="44"/>
      <c r="Z84" s="44"/>
      <c r="AA84" s="44" t="e">
        <f t="shared" ca="1" si="31"/>
        <v>#NAME?</v>
      </c>
      <c r="AB84" s="45" t="e">
        <f t="shared" ca="1" si="32"/>
        <v>#NAME?</v>
      </c>
      <c r="AD84" s="44"/>
      <c r="AE84" s="45" t="str">
        <f t="shared" si="33"/>
        <v/>
      </c>
      <c r="AF84" s="134" t="e">
        <f t="shared" ca="1" si="34"/>
        <v>#NAME?</v>
      </c>
      <c r="AG84" s="44">
        <v>48094.39</v>
      </c>
      <c r="AH84" s="45" t="str">
        <f t="shared" ca="1" si="36"/>
        <v/>
      </c>
      <c r="AI84" s="134" t="e">
        <f t="shared" ca="1" si="37"/>
        <v>#NAME?</v>
      </c>
      <c r="AJ84" s="325">
        <f t="shared" ca="1" si="38"/>
        <v>0</v>
      </c>
      <c r="AK84" s="326">
        <f t="shared" ca="1" si="39"/>
        <v>0</v>
      </c>
      <c r="AL84" s="328">
        <f t="shared" ca="1" si="40"/>
        <v>0</v>
      </c>
      <c r="AM84" s="362">
        <f t="shared" ca="1" si="41"/>
        <v>0</v>
      </c>
      <c r="AN84" s="363">
        <f t="shared" ca="1" si="42"/>
        <v>0</v>
      </c>
    </row>
    <row r="85" spans="1:40" x14ac:dyDescent="0.2">
      <c r="A85" s="6" t="s">
        <v>14</v>
      </c>
      <c r="B85" s="7"/>
      <c r="H85" s="133" t="s">
        <v>853</v>
      </c>
      <c r="I85" s="25" t="e">
        <f ca="1">_xll.EVPRO($B$1,$H85,"STYLE")</f>
        <v>#NAME?</v>
      </c>
      <c r="J85" s="25" t="e">
        <f ca="1">_xll.EVPRO($B$1,$H85,"CALC")</f>
        <v>#NAME?</v>
      </c>
      <c r="K85" s="64" t="e">
        <f t="shared" ca="1" si="35"/>
        <v>#NAME?</v>
      </c>
      <c r="L85" s="24" t="e">
        <f ca="1">_xll.EVPRO($B$1,H85,"JDEID")</f>
        <v>#NAME?</v>
      </c>
      <c r="M85" s="24" t="e">
        <f ca="1">IF(AND(I85="N",J85="N"),_xll.EVPRO($B$1,H85,"PSFTID"),"")</f>
        <v>#NAME?</v>
      </c>
      <c r="N85" s="24" t="e">
        <f ca="1">IF(_xll.EVDES(H85,$B$1)="#NODATA","",_xll.EVDES(H85,$B$1))</f>
        <v>#NAME?</v>
      </c>
      <c r="O85" s="44">
        <v>0</v>
      </c>
      <c r="P85" s="44">
        <v>2493.94</v>
      </c>
      <c r="Q85" s="44"/>
      <c r="R85" s="44"/>
      <c r="S85" s="44"/>
      <c r="T85" s="44"/>
      <c r="U85" s="44"/>
      <c r="V85" s="44"/>
      <c r="W85" s="44"/>
      <c r="X85" s="44"/>
      <c r="Y85" s="44"/>
      <c r="Z85" s="44">
        <v>-406.66</v>
      </c>
      <c r="AA85" s="296" t="e">
        <f t="shared" ca="1" si="31"/>
        <v>#NAME?</v>
      </c>
      <c r="AB85" s="45" t="e">
        <f t="shared" ca="1" si="32"/>
        <v>#NAME?</v>
      </c>
      <c r="AD85" s="44"/>
      <c r="AE85" s="45" t="str">
        <f t="shared" si="33"/>
        <v/>
      </c>
      <c r="AF85" s="134" t="e">
        <f t="shared" ca="1" si="34"/>
        <v>#NAME?</v>
      </c>
      <c r="AG85" s="44">
        <v>36820.06</v>
      </c>
      <c r="AH85" s="45" t="str">
        <f t="shared" ca="1" si="36"/>
        <v/>
      </c>
      <c r="AI85" s="134" t="e">
        <f t="shared" ca="1" si="37"/>
        <v>#NAME?</v>
      </c>
      <c r="AJ85" s="322">
        <f t="shared" ca="1" si="38"/>
        <v>0</v>
      </c>
      <c r="AK85" s="323">
        <f t="shared" ca="1" si="39"/>
        <v>0</v>
      </c>
      <c r="AL85" s="324">
        <f t="shared" ca="1" si="40"/>
        <v>0</v>
      </c>
      <c r="AM85" s="359">
        <f t="shared" ca="1" si="41"/>
        <v>0</v>
      </c>
      <c r="AN85" s="358">
        <f t="shared" ca="1" si="42"/>
        <v>0</v>
      </c>
    </row>
    <row r="86" spans="1:40" x14ac:dyDescent="0.2">
      <c r="A86" s="6" t="s">
        <v>15</v>
      </c>
      <c r="B86" s="7"/>
      <c r="H86" s="133" t="s">
        <v>854</v>
      </c>
      <c r="I86" s="25" t="e">
        <f ca="1">_xll.EVPRO($B$1,$H86,"STYLE")</f>
        <v>#NAME?</v>
      </c>
      <c r="J86" s="25" t="e">
        <f ca="1">_xll.EVPRO($B$1,$H86,"CALC")</f>
        <v>#NAME?</v>
      </c>
      <c r="K86" s="64" t="e">
        <f t="shared" ca="1" si="35"/>
        <v>#NAME?</v>
      </c>
      <c r="L86" s="24" t="e">
        <f ca="1">_xll.EVPRO($B$1,H86,"JDEID")</f>
        <v>#NAME?</v>
      </c>
      <c r="M86" s="24" t="e">
        <f ca="1">IF(AND(I86="N",J86="N"),_xll.EVPRO($B$1,H86,"PSFTID"),"")</f>
        <v>#NAME?</v>
      </c>
      <c r="N86" s="24" t="e">
        <f ca="1">IF(_xll.EVDES(H86,$B$1)="#NODATA","",_xll.EVDES(H86,$B$1))</f>
        <v>#NAME?</v>
      </c>
      <c r="O86" s="44">
        <v>3782.44</v>
      </c>
      <c r="P86" s="44">
        <v>-128.56</v>
      </c>
      <c r="Q86" s="44"/>
      <c r="R86" s="44"/>
      <c r="S86" s="44"/>
      <c r="T86" s="44"/>
      <c r="U86" s="44"/>
      <c r="V86" s="44"/>
      <c r="W86" s="44"/>
      <c r="X86" s="44"/>
      <c r="Y86" s="44"/>
      <c r="Z86" s="44"/>
      <c r="AA86" s="296" t="e">
        <f t="shared" ca="1" si="31"/>
        <v>#NAME?</v>
      </c>
      <c r="AB86" s="45" t="e">
        <f t="shared" ca="1" si="32"/>
        <v>#NAME?</v>
      </c>
      <c r="AD86" s="44"/>
      <c r="AE86" s="45" t="str">
        <f t="shared" si="33"/>
        <v/>
      </c>
      <c r="AF86" s="134" t="e">
        <f t="shared" ca="1" si="34"/>
        <v>#NAME?</v>
      </c>
      <c r="AG86" s="44">
        <v>126147.13</v>
      </c>
      <c r="AH86" s="45" t="str">
        <f t="shared" ca="1" si="36"/>
        <v/>
      </c>
      <c r="AI86" s="134" t="e">
        <f t="shared" ca="1" si="37"/>
        <v>#NAME?</v>
      </c>
      <c r="AJ86" s="329">
        <f t="shared" ca="1" si="38"/>
        <v>0</v>
      </c>
      <c r="AK86" s="330">
        <f t="shared" ca="1" si="39"/>
        <v>0</v>
      </c>
      <c r="AL86" s="331">
        <f t="shared" ca="1" si="40"/>
        <v>0</v>
      </c>
      <c r="AM86" s="360">
        <f t="shared" ca="1" si="41"/>
        <v>0</v>
      </c>
      <c r="AN86" s="361">
        <f t="shared" ca="1" si="42"/>
        <v>0</v>
      </c>
    </row>
    <row r="87" spans="1:40" x14ac:dyDescent="0.2">
      <c r="A87" s="6" t="s">
        <v>16</v>
      </c>
      <c r="B87" s="7" t="s">
        <v>78</v>
      </c>
      <c r="H87" s="133" t="s">
        <v>855</v>
      </c>
      <c r="I87" s="447" t="e">
        <f ca="1">_xll.EVPRO($B$1,$H87,"STYLE")</f>
        <v>#NAME?</v>
      </c>
      <c r="J87" s="447" t="e">
        <f ca="1">_xll.EVPRO($B$1,$H87,"CALC")</f>
        <v>#NAME?</v>
      </c>
      <c r="K87" s="448" t="e">
        <f t="shared" ca="1" si="35"/>
        <v>#NAME?</v>
      </c>
      <c r="L87" s="151" t="e">
        <f ca="1">_xll.EVPRO($B$1,H87,"JDEID")</f>
        <v>#NAME?</v>
      </c>
      <c r="M87" s="151" t="e">
        <f ca="1">IF(AND(I87="N",J87="N"),_xll.EVPRO($B$1,H87,"PSFTID"),"")</f>
        <v>#NAME?</v>
      </c>
      <c r="N87" s="151" t="e">
        <f ca="1">IF(_xll.EVDES(H87,$B$1)="#NODATA","",_xll.EVDES(H87,$B$1))</f>
        <v>#NAME?</v>
      </c>
      <c r="O87" s="33">
        <v>4552.09</v>
      </c>
      <c r="P87" s="33">
        <v>2365.38</v>
      </c>
      <c r="Q87" s="33"/>
      <c r="R87" s="33"/>
      <c r="S87" s="33"/>
      <c r="T87" s="33"/>
      <c r="U87" s="33"/>
      <c r="V87" s="33"/>
      <c r="W87" s="33"/>
      <c r="X87" s="33"/>
      <c r="Y87" s="33"/>
      <c r="Z87" s="33">
        <v>-406.66</v>
      </c>
      <c r="AA87" s="33" t="e">
        <f t="shared" ca="1" si="31"/>
        <v>#NAME?</v>
      </c>
      <c r="AB87" s="34" t="e">
        <f t="shared" ca="1" si="32"/>
        <v>#NAME?</v>
      </c>
      <c r="AC87" s="32"/>
      <c r="AD87" s="33"/>
      <c r="AE87" s="34" t="str">
        <f t="shared" si="33"/>
        <v/>
      </c>
      <c r="AF87" s="54" t="e">
        <f t="shared" ca="1" si="34"/>
        <v>#NAME?</v>
      </c>
      <c r="AG87" s="33">
        <v>211061.58</v>
      </c>
      <c r="AH87" s="34" t="str">
        <f t="shared" ca="1" si="36"/>
        <v/>
      </c>
      <c r="AI87" s="54" t="e">
        <f t="shared" ca="1" si="37"/>
        <v>#NAME?</v>
      </c>
      <c r="AJ87" s="344">
        <f t="shared" ca="1" si="38"/>
        <v>0</v>
      </c>
      <c r="AK87" s="345">
        <f t="shared" ca="1" si="39"/>
        <v>0</v>
      </c>
      <c r="AL87" s="347">
        <f t="shared" ca="1" si="40"/>
        <v>0</v>
      </c>
      <c r="AM87" s="379">
        <f t="shared" ca="1" si="41"/>
        <v>0</v>
      </c>
      <c r="AN87" s="481">
        <f t="shared" ca="1" si="42"/>
        <v>0</v>
      </c>
    </row>
    <row r="88" spans="1:40" x14ac:dyDescent="0.2">
      <c r="A88" s="6" t="s">
        <v>17</v>
      </c>
      <c r="B88" s="7"/>
      <c r="H88" s="133" t="s">
        <v>76</v>
      </c>
      <c r="I88" s="447" t="e">
        <f ca="1">_xll.EVPRO($B$1,$H88,"STYLE")</f>
        <v>#NAME?</v>
      </c>
      <c r="J88" s="447" t="e">
        <f ca="1">_xll.EVPRO($B$1,$H88,"CALC")</f>
        <v>#NAME?</v>
      </c>
      <c r="K88" s="448" t="e">
        <f t="shared" ca="1" si="35"/>
        <v>#NAME?</v>
      </c>
      <c r="L88" s="151" t="e">
        <f ca="1">_xll.EVPRO($B$1,H88,"JDEID")</f>
        <v>#NAME?</v>
      </c>
      <c r="M88" s="151" t="e">
        <f ca="1">IF(AND(I88="N",J88="N"),_xll.EVPRO($B$1,H88,"PSFTID"),"")</f>
        <v>#NAME?</v>
      </c>
      <c r="N88" s="151" t="e">
        <f ca="1">IF(_xll.EVDES(H88,$B$1)="#NODATA","",_xll.EVDES(H88,$B$1))</f>
        <v>#NAME?</v>
      </c>
      <c r="O88" s="33">
        <v>16321.61</v>
      </c>
      <c r="P88" s="33">
        <v>2365.38</v>
      </c>
      <c r="Q88" s="33"/>
      <c r="R88" s="33"/>
      <c r="S88" s="33"/>
      <c r="T88" s="33"/>
      <c r="U88" s="33"/>
      <c r="V88" s="33"/>
      <c r="W88" s="33"/>
      <c r="X88" s="33"/>
      <c r="Y88" s="33"/>
      <c r="Z88" s="33">
        <v>-406.66</v>
      </c>
      <c r="AA88" s="33" t="e">
        <f t="shared" ca="1" si="31"/>
        <v>#NAME?</v>
      </c>
      <c r="AB88" s="34" t="e">
        <f t="shared" ca="1" si="32"/>
        <v>#NAME?</v>
      </c>
      <c r="AC88" s="32"/>
      <c r="AD88" s="33"/>
      <c r="AE88" s="34" t="str">
        <f t="shared" si="33"/>
        <v/>
      </c>
      <c r="AF88" s="54" t="e">
        <f t="shared" ca="1" si="34"/>
        <v>#NAME?</v>
      </c>
      <c r="AG88" s="33">
        <v>1392514.46</v>
      </c>
      <c r="AH88" s="34" t="str">
        <f t="shared" ca="1" si="36"/>
        <v/>
      </c>
      <c r="AI88" s="54" t="e">
        <f t="shared" ca="1" si="37"/>
        <v>#NAME?</v>
      </c>
      <c r="AJ88" s="336">
        <f t="shared" ca="1" si="38"/>
        <v>0</v>
      </c>
      <c r="AK88" s="337">
        <f t="shared" ca="1" si="39"/>
        <v>0</v>
      </c>
      <c r="AL88" s="339">
        <f t="shared" ca="1" si="40"/>
        <v>0</v>
      </c>
      <c r="AM88" s="386">
        <f t="shared" ca="1" si="41"/>
        <v>0</v>
      </c>
      <c r="AN88" s="480">
        <f t="shared" ca="1" si="42"/>
        <v>0</v>
      </c>
    </row>
    <row r="89" spans="1:40" x14ac:dyDescent="0.2">
      <c r="O89" s="174"/>
      <c r="P89" s="262"/>
      <c r="Q89" s="262"/>
      <c r="R89" s="262"/>
      <c r="S89" s="262"/>
      <c r="T89" s="262"/>
      <c r="U89" s="262"/>
      <c r="V89" s="262"/>
      <c r="W89" s="262"/>
      <c r="X89" s="262"/>
      <c r="Y89" s="262"/>
      <c r="Z89" s="262"/>
      <c r="AA89" s="262"/>
      <c r="AB89" s="39"/>
      <c r="AD89" s="174"/>
      <c r="AE89" s="42"/>
      <c r="AF89" s="39"/>
      <c r="AG89" s="174"/>
      <c r="AH89" s="42"/>
      <c r="AI89" s="39"/>
    </row>
    <row r="90" spans="1:40" x14ac:dyDescent="0.2">
      <c r="A90" s="20" t="s">
        <v>92</v>
      </c>
      <c r="B90" s="21" t="s">
        <v>93</v>
      </c>
      <c r="C90" s="21" t="s">
        <v>94</v>
      </c>
      <c r="D90" s="21" t="s">
        <v>95</v>
      </c>
      <c r="E90" s="21" t="s">
        <v>96</v>
      </c>
      <c r="F90" s="22" t="s">
        <v>97</v>
      </c>
      <c r="H90" s="1" t="s">
        <v>82</v>
      </c>
      <c r="I90" s="11" t="e">
        <f ca="1">_xll.EVPRO($B$1,$H90,"STYLE")</f>
        <v>#NAME?</v>
      </c>
      <c r="J90" s="11" t="e">
        <f ca="1">_xll.EVPRO($B$1,$H90,"CALC")</f>
        <v>#NAME?</v>
      </c>
      <c r="N90" s="37" t="e">
        <f ca="1">IF(_xll.EVDES(H90,$B$1)="#NODATA","",_xll.EVDES(H90,$B$1))</f>
        <v>#NAME?</v>
      </c>
      <c r="O90" s="40"/>
      <c r="P90" s="43"/>
      <c r="Q90" s="43"/>
      <c r="R90" s="43"/>
      <c r="S90" s="43"/>
      <c r="T90" s="43"/>
      <c r="U90" s="43"/>
      <c r="V90" s="43"/>
      <c r="W90" s="43"/>
      <c r="X90" s="43"/>
      <c r="Y90" s="43"/>
      <c r="Z90" s="43"/>
      <c r="AA90" s="43"/>
      <c r="AB90" s="41"/>
      <c r="AD90" s="40"/>
      <c r="AE90" s="43"/>
      <c r="AF90" s="41"/>
      <c r="AG90" s="40"/>
      <c r="AH90" s="43"/>
      <c r="AI90" s="41"/>
    </row>
    <row r="91" spans="1:40" x14ac:dyDescent="0.2">
      <c r="H91" s="133" t="s">
        <v>829</v>
      </c>
      <c r="I91" s="25" t="e">
        <f ca="1">_xll.EVPRO($B$1,$H91,"STYLE")</f>
        <v>#NAME?</v>
      </c>
      <c r="J91" s="25" t="e">
        <f ca="1">_xll.EVPRO($B$1,$H91,"CALC")</f>
        <v>#NAME?</v>
      </c>
      <c r="K91" s="64" t="e">
        <f ca="1">IF(AND(I91&lt;&gt;"B1",J91="Y"),"&gt;","")</f>
        <v>#NAME?</v>
      </c>
      <c r="L91" s="24" t="e">
        <f ca="1">_xll.EVPRO($B$1,H91,"JDEID")</f>
        <v>#NAME?</v>
      </c>
      <c r="M91" s="24" t="e">
        <f ca="1">IF(AND(I91="N",J91="N"),_xll.EVPRO($B$1,H91,"PSFTID"),"")</f>
        <v>#NAME?</v>
      </c>
      <c r="N91" s="24" t="e">
        <f ca="1">IF(_xll.EVDES(H91,$B$1)="#NODATA","",_xll.EVDES(H91,$B$1))</f>
        <v>#NAME?</v>
      </c>
      <c r="O91" s="35"/>
      <c r="P91" s="35"/>
      <c r="Q91" s="35"/>
      <c r="R91" s="35"/>
      <c r="S91" s="35"/>
      <c r="T91" s="35"/>
      <c r="U91" s="35"/>
      <c r="V91" s="35"/>
      <c r="W91" s="35"/>
      <c r="X91" s="35"/>
      <c r="Y91" s="35"/>
      <c r="Z91" s="35">
        <v>0</v>
      </c>
      <c r="AA91" s="283" t="e">
        <f t="shared" ref="AA91:AA118" ca="1" si="43">IF($I91="B1","",SUM(O91:Z91))</f>
        <v>#NAME?</v>
      </c>
      <c r="AB91" s="36" t="e">
        <f t="shared" ref="AB91:AB118" ca="1" si="44">IF(AA91=0,"",IFERROR(AA91/AA$19,""))</f>
        <v>#NAME?</v>
      </c>
      <c r="AD91" s="35"/>
      <c r="AE91" s="36" t="str">
        <f t="shared" ref="AE91:AE118" si="45">IF(AD91=0,"",IFERROR(AD91/AD$19,""))</f>
        <v/>
      </c>
      <c r="AF91" s="118" t="e">
        <f t="shared" ref="AF91:AF118" ca="1" si="46">IF(AND($AA91="",AD91=""),"",$AA91-AD91)</f>
        <v>#NAME?</v>
      </c>
      <c r="AG91" s="35">
        <v>1116.5</v>
      </c>
      <c r="AH91" s="36" t="str">
        <f ca="1">IF(AG91=0,"",IFERROR(AG91/AG$19,""))</f>
        <v/>
      </c>
      <c r="AI91" s="118" t="e">
        <f ca="1">IF(AND($AA91="",AG91=""),"",$AA91-AG91)</f>
        <v>#NAME?</v>
      </c>
      <c r="AJ91" s="322">
        <f ca="1">IFERROR(AA91/AA$20,0)</f>
        <v>0</v>
      </c>
      <c r="AK91" s="323">
        <f ca="1">IFERROR(AD91/AD$20,0)</f>
        <v>0</v>
      </c>
      <c r="AL91" s="324">
        <f ca="1">IFERROR(AG91/AG$20,0)</f>
        <v>0</v>
      </c>
      <c r="AM91" s="359">
        <f ca="1">+IFERROR(ROUND(($AB91-AE91)*100,2)&amp;" pts.",0)</f>
        <v>0</v>
      </c>
      <c r="AN91" s="358">
        <f ca="1">+IFERROR(ROUND(($AB91-AH91)*100,2)&amp;" pts.",0)</f>
        <v>0</v>
      </c>
    </row>
    <row r="92" spans="1:40" x14ac:dyDescent="0.2">
      <c r="A92" s="1" t="s">
        <v>108</v>
      </c>
      <c r="C92" s="24" t="s">
        <v>101</v>
      </c>
      <c r="D92" s="1" t="s">
        <v>106</v>
      </c>
      <c r="F92" s="1" t="s">
        <v>98</v>
      </c>
      <c r="H92" s="133" t="s">
        <v>830</v>
      </c>
      <c r="I92" s="25" t="e">
        <f ca="1">_xll.EVPRO($B$1,$H92,"STYLE")</f>
        <v>#NAME?</v>
      </c>
      <c r="J92" s="25" t="e">
        <f ca="1">_xll.EVPRO($B$1,$H92,"CALC")</f>
        <v>#NAME?</v>
      </c>
      <c r="K92" s="64" t="e">
        <f t="shared" ref="K92:K117" ca="1" si="47">IF(AND(I92&lt;&gt;"B1",J92="Y"),"&gt;","")</f>
        <v>#NAME?</v>
      </c>
      <c r="L92" s="24" t="e">
        <f ca="1">_xll.EVPRO($B$1,H92,"JDEID")</f>
        <v>#NAME?</v>
      </c>
      <c r="M92" s="24" t="e">
        <f ca="1">IF(AND(I92="N",J92="N"),_xll.EVPRO($B$1,H92,"PSFTID"),"")</f>
        <v>#NAME?</v>
      </c>
      <c r="N92" s="24" t="e">
        <f ca="1">IF(_xll.EVDES(H92,$B$1)="#NODATA","",_xll.EVDES(H92,$B$1))</f>
        <v>#NAME?</v>
      </c>
      <c r="O92" s="35"/>
      <c r="P92" s="35"/>
      <c r="Q92" s="35"/>
      <c r="R92" s="35"/>
      <c r="S92" s="35"/>
      <c r="T92" s="35"/>
      <c r="U92" s="35"/>
      <c r="V92" s="35"/>
      <c r="W92" s="35"/>
      <c r="X92" s="35"/>
      <c r="Y92" s="35"/>
      <c r="Z92" s="35"/>
      <c r="AA92" s="283" t="e">
        <f t="shared" ca="1" si="43"/>
        <v>#NAME?</v>
      </c>
      <c r="AB92" s="36" t="e">
        <f t="shared" ca="1" si="44"/>
        <v>#NAME?</v>
      </c>
      <c r="AD92" s="35"/>
      <c r="AE92" s="36" t="str">
        <f t="shared" si="45"/>
        <v/>
      </c>
      <c r="AF92" s="118" t="e">
        <f t="shared" ca="1" si="46"/>
        <v>#NAME?</v>
      </c>
      <c r="AG92" s="35">
        <v>34.299999999999997</v>
      </c>
      <c r="AH92" s="36" t="str">
        <f t="shared" ref="AH92:AH117" ca="1" si="48">IF(AG92=0,"",IFERROR(AG92/AG$19,""))</f>
        <v/>
      </c>
      <c r="AI92" s="118" t="e">
        <f t="shared" ref="AI92:AI117" ca="1" si="49">IF(AND($AA92="",AG92=""),"",$AA92-AG92)</f>
        <v>#NAME?</v>
      </c>
      <c r="AJ92" s="322">
        <f t="shared" ref="AJ92:AJ117" ca="1" si="50">IFERROR(AA92/AA$20,0)</f>
        <v>0</v>
      </c>
      <c r="AK92" s="323">
        <f t="shared" ref="AK92:AK117" ca="1" si="51">IFERROR(AD92/AD$20,0)</f>
        <v>0</v>
      </c>
      <c r="AL92" s="324">
        <f t="shared" ref="AL92:AL117" ca="1" si="52">IFERROR(AG92/AG$20,0)</f>
        <v>0</v>
      </c>
      <c r="AM92" s="359">
        <f t="shared" ref="AM92:AM117" ca="1" si="53">+IFERROR(ROUND(($AB92-AE92)*100,2)&amp;" pts.",0)</f>
        <v>0</v>
      </c>
      <c r="AN92" s="358">
        <f t="shared" ref="AN92:AN117" ca="1" si="54">+IFERROR(ROUND(($AB92-AH92)*100,2)&amp;" pts.",0)</f>
        <v>0</v>
      </c>
    </row>
    <row r="93" spans="1:40" x14ac:dyDescent="0.2">
      <c r="A93" s="1" t="s">
        <v>100</v>
      </c>
      <c r="C93" s="8" t="s">
        <v>101</v>
      </c>
      <c r="D93" s="1" t="s">
        <v>106</v>
      </c>
      <c r="F93" s="1" t="s">
        <v>98</v>
      </c>
      <c r="G93" s="13"/>
      <c r="H93" s="133" t="s">
        <v>868</v>
      </c>
      <c r="I93" s="25" t="e">
        <f ca="1">_xll.EVPRO($B$1,$H93,"STYLE")</f>
        <v>#NAME?</v>
      </c>
      <c r="J93" s="25" t="e">
        <f ca="1">_xll.EVPRO($B$1,$H93,"CALC")</f>
        <v>#NAME?</v>
      </c>
      <c r="K93" s="64" t="e">
        <f t="shared" ca="1" si="47"/>
        <v>#NAME?</v>
      </c>
      <c r="L93" s="24" t="e">
        <f ca="1">_xll.EVPRO($B$1,H93,"JDEID")</f>
        <v>#NAME?</v>
      </c>
      <c r="M93" s="24" t="e">
        <f ca="1">IF(AND(I93="N",J93="N"),_xll.EVPRO($B$1,H93,"PSFTID"),"")</f>
        <v>#NAME?</v>
      </c>
      <c r="N93" s="24" t="e">
        <f ca="1">IF(_xll.EVDES(H93,$B$1)="#NODATA","",_xll.EVDES(H93,$B$1))</f>
        <v>#NAME?</v>
      </c>
      <c r="O93" s="35"/>
      <c r="P93" s="35"/>
      <c r="Q93" s="35"/>
      <c r="R93" s="35"/>
      <c r="S93" s="35"/>
      <c r="T93" s="35"/>
      <c r="U93" s="35"/>
      <c r="V93" s="35"/>
      <c r="W93" s="35"/>
      <c r="X93" s="35"/>
      <c r="Y93" s="35"/>
      <c r="Z93" s="35"/>
      <c r="AA93" s="283" t="e">
        <f t="shared" ca="1" si="43"/>
        <v>#NAME?</v>
      </c>
      <c r="AB93" s="36" t="e">
        <f t="shared" ca="1" si="44"/>
        <v>#NAME?</v>
      </c>
      <c r="AD93" s="35"/>
      <c r="AE93" s="36" t="str">
        <f t="shared" si="45"/>
        <v/>
      </c>
      <c r="AF93" s="118" t="e">
        <f t="shared" ca="1" si="46"/>
        <v>#NAME?</v>
      </c>
      <c r="AG93" s="35">
        <v>787.02</v>
      </c>
      <c r="AH93" s="36" t="str">
        <f t="shared" ca="1" si="48"/>
        <v/>
      </c>
      <c r="AI93" s="118" t="e">
        <f t="shared" ca="1" si="49"/>
        <v>#NAME?</v>
      </c>
      <c r="AJ93" s="322">
        <f t="shared" ca="1" si="50"/>
        <v>0</v>
      </c>
      <c r="AK93" s="323">
        <f t="shared" ca="1" si="51"/>
        <v>0</v>
      </c>
      <c r="AL93" s="324">
        <f t="shared" ca="1" si="52"/>
        <v>0</v>
      </c>
      <c r="AM93" s="359">
        <f t="shared" ca="1" si="53"/>
        <v>0</v>
      </c>
      <c r="AN93" s="358">
        <f t="shared" ca="1" si="54"/>
        <v>0</v>
      </c>
    </row>
    <row r="94" spans="1:40" x14ac:dyDescent="0.2">
      <c r="A94" s="1" t="s">
        <v>109</v>
      </c>
      <c r="C94" s="23" t="s">
        <v>101</v>
      </c>
      <c r="D94" s="1" t="s">
        <v>106</v>
      </c>
      <c r="F94" s="1" t="s">
        <v>98</v>
      </c>
      <c r="H94" s="133" t="s">
        <v>832</v>
      </c>
      <c r="I94" s="25" t="e">
        <f ca="1">_xll.EVPRO($B$1,$H94,"STYLE")</f>
        <v>#NAME?</v>
      </c>
      <c r="J94" s="25" t="e">
        <f ca="1">_xll.EVPRO($B$1,$H94,"CALC")</f>
        <v>#NAME?</v>
      </c>
      <c r="K94" s="64" t="e">
        <f t="shared" ca="1" si="47"/>
        <v>#NAME?</v>
      </c>
      <c r="L94" s="24" t="e">
        <f ca="1">_xll.EVPRO($B$1,H94,"JDEID")</f>
        <v>#NAME?</v>
      </c>
      <c r="M94" s="24" t="e">
        <f ca="1">IF(AND(I94="N",J94="N"),_xll.EVPRO($B$1,H94,"PSFTID"),"")</f>
        <v>#NAME?</v>
      </c>
      <c r="N94" s="24" t="e">
        <f ca="1">IF(_xll.EVDES(H94,$B$1)="#NODATA","",_xll.EVDES(H94,$B$1))</f>
        <v>#NAME?</v>
      </c>
      <c r="O94" s="35"/>
      <c r="P94" s="35"/>
      <c r="Q94" s="35"/>
      <c r="R94" s="35"/>
      <c r="S94" s="35"/>
      <c r="T94" s="35"/>
      <c r="U94" s="35">
        <v>-194.74</v>
      </c>
      <c r="V94" s="35"/>
      <c r="W94" s="35"/>
      <c r="X94" s="35"/>
      <c r="Y94" s="35"/>
      <c r="Z94" s="35"/>
      <c r="AA94" s="283" t="e">
        <f t="shared" ca="1" si="43"/>
        <v>#NAME?</v>
      </c>
      <c r="AB94" s="36" t="e">
        <f t="shared" ca="1" si="44"/>
        <v>#NAME?</v>
      </c>
      <c r="AD94" s="35">
        <v>618</v>
      </c>
      <c r="AE94" s="36" t="str">
        <f t="shared" ca="1" si="45"/>
        <v/>
      </c>
      <c r="AF94" s="118" t="e">
        <f t="shared" ca="1" si="46"/>
        <v>#NAME?</v>
      </c>
      <c r="AG94" s="35">
        <v>32369.599999999999</v>
      </c>
      <c r="AH94" s="36" t="str">
        <f t="shared" ca="1" si="48"/>
        <v/>
      </c>
      <c r="AI94" s="118" t="e">
        <f t="shared" ca="1" si="49"/>
        <v>#NAME?</v>
      </c>
      <c r="AJ94" s="322">
        <f t="shared" ca="1" si="50"/>
        <v>0</v>
      </c>
      <c r="AK94" s="323">
        <f t="shared" ca="1" si="51"/>
        <v>0</v>
      </c>
      <c r="AL94" s="324">
        <f t="shared" ca="1" si="52"/>
        <v>0</v>
      </c>
      <c r="AM94" s="359">
        <f t="shared" ca="1" si="53"/>
        <v>0</v>
      </c>
      <c r="AN94" s="358">
        <f t="shared" ca="1" si="54"/>
        <v>0</v>
      </c>
    </row>
    <row r="95" spans="1:40" x14ac:dyDescent="0.2">
      <c r="A95" s="1" t="s">
        <v>109</v>
      </c>
      <c r="C95" s="135" t="s">
        <v>101</v>
      </c>
      <c r="D95" s="1" t="s">
        <v>107</v>
      </c>
      <c r="F95" s="1" t="s">
        <v>99</v>
      </c>
      <c r="H95" s="133" t="s">
        <v>857</v>
      </c>
      <c r="I95" s="25" t="e">
        <f ca="1">_xll.EVPRO($B$1,$H95,"STYLE")</f>
        <v>#NAME?</v>
      </c>
      <c r="J95" s="25" t="e">
        <f ca="1">_xll.EVPRO($B$1,$H95,"CALC")</f>
        <v>#NAME?</v>
      </c>
      <c r="K95" s="64" t="e">
        <f t="shared" ca="1" si="47"/>
        <v>#NAME?</v>
      </c>
      <c r="L95" s="24" t="e">
        <f ca="1">_xll.EVPRO($B$1,H95,"JDEID")</f>
        <v>#NAME?</v>
      </c>
      <c r="M95" s="24" t="e">
        <f ca="1">IF(AND(I95="N",J95="N"),_xll.EVPRO($B$1,H95,"PSFTID"),"")</f>
        <v>#NAME?</v>
      </c>
      <c r="N95" s="24" t="e">
        <f ca="1">IF(_xll.EVDES(H95,$B$1)="#NODATA","",_xll.EVDES(H95,$B$1))</f>
        <v>#NAME?</v>
      </c>
      <c r="O95" s="35"/>
      <c r="P95" s="35"/>
      <c r="Q95" s="35"/>
      <c r="R95" s="35"/>
      <c r="S95" s="35"/>
      <c r="T95" s="35"/>
      <c r="U95" s="35"/>
      <c r="V95" s="35"/>
      <c r="W95" s="35"/>
      <c r="X95" s="35"/>
      <c r="Y95" s="35"/>
      <c r="Z95" s="35"/>
      <c r="AA95" s="283" t="e">
        <f t="shared" ca="1" si="43"/>
        <v>#NAME?</v>
      </c>
      <c r="AB95" s="36" t="e">
        <f t="shared" ca="1" si="44"/>
        <v>#NAME?</v>
      </c>
      <c r="AD95" s="35"/>
      <c r="AE95" s="36" t="str">
        <f t="shared" si="45"/>
        <v/>
      </c>
      <c r="AF95" s="118" t="e">
        <f t="shared" ca="1" si="46"/>
        <v>#NAME?</v>
      </c>
      <c r="AG95" s="35">
        <v>7589.11</v>
      </c>
      <c r="AH95" s="36" t="str">
        <f t="shared" ca="1" si="48"/>
        <v/>
      </c>
      <c r="AI95" s="118" t="e">
        <f t="shared" ca="1" si="49"/>
        <v>#NAME?</v>
      </c>
      <c r="AJ95" s="322">
        <f t="shared" ca="1" si="50"/>
        <v>0</v>
      </c>
      <c r="AK95" s="323">
        <f t="shared" ca="1" si="51"/>
        <v>0</v>
      </c>
      <c r="AL95" s="324">
        <f t="shared" ca="1" si="52"/>
        <v>0</v>
      </c>
      <c r="AM95" s="359">
        <f t="shared" ca="1" si="53"/>
        <v>0</v>
      </c>
      <c r="AN95" s="358">
        <f t="shared" ca="1" si="54"/>
        <v>0</v>
      </c>
    </row>
    <row r="96" spans="1:40" x14ac:dyDescent="0.2">
      <c r="A96" s="1" t="s">
        <v>110</v>
      </c>
      <c r="C96" s="23" t="s">
        <v>101</v>
      </c>
      <c r="D96" s="1" t="s">
        <v>106</v>
      </c>
      <c r="F96" s="1" t="s">
        <v>98</v>
      </c>
      <c r="H96" s="133" t="s">
        <v>869</v>
      </c>
      <c r="I96" s="25" t="e">
        <f ca="1">_xll.EVPRO($B$1,$H96,"STYLE")</f>
        <v>#NAME?</v>
      </c>
      <c r="J96" s="25" t="e">
        <f ca="1">_xll.EVPRO($B$1,$H96,"CALC")</f>
        <v>#NAME?</v>
      </c>
      <c r="K96" s="64" t="e">
        <f t="shared" ca="1" si="47"/>
        <v>#NAME?</v>
      </c>
      <c r="L96" s="24" t="e">
        <f ca="1">_xll.EVPRO($B$1,H96,"JDEID")</f>
        <v>#NAME?</v>
      </c>
      <c r="M96" s="24" t="e">
        <f ca="1">IF(AND(I96="N",J96="N"),_xll.EVPRO($B$1,H96,"PSFTID"),"")</f>
        <v>#NAME?</v>
      </c>
      <c r="N96" s="24" t="e">
        <f ca="1">IF(_xll.EVDES(H96,$B$1)="#NODATA","",_xll.EVDES(H96,$B$1))</f>
        <v>#NAME?</v>
      </c>
      <c r="O96" s="35"/>
      <c r="P96" s="35"/>
      <c r="Q96" s="35"/>
      <c r="R96" s="35"/>
      <c r="S96" s="35"/>
      <c r="T96" s="35"/>
      <c r="U96" s="35"/>
      <c r="V96" s="35"/>
      <c r="W96" s="35"/>
      <c r="X96" s="35"/>
      <c r="Y96" s="35"/>
      <c r="Z96" s="35"/>
      <c r="AA96" s="283" t="e">
        <f t="shared" ca="1" si="43"/>
        <v>#NAME?</v>
      </c>
      <c r="AB96" s="36" t="e">
        <f t="shared" ca="1" si="44"/>
        <v>#NAME?</v>
      </c>
      <c r="AD96" s="35"/>
      <c r="AE96" s="36" t="str">
        <f t="shared" si="45"/>
        <v/>
      </c>
      <c r="AF96" s="118" t="e">
        <f t="shared" ca="1" si="46"/>
        <v>#NAME?</v>
      </c>
      <c r="AG96" s="35">
        <v>8412.02</v>
      </c>
      <c r="AH96" s="36" t="str">
        <f t="shared" ca="1" si="48"/>
        <v/>
      </c>
      <c r="AI96" s="118" t="e">
        <f t="shared" ca="1" si="49"/>
        <v>#NAME?</v>
      </c>
      <c r="AJ96" s="322">
        <f t="shared" ca="1" si="50"/>
        <v>0</v>
      </c>
      <c r="AK96" s="323">
        <f t="shared" ca="1" si="51"/>
        <v>0</v>
      </c>
      <c r="AL96" s="324">
        <f t="shared" ca="1" si="52"/>
        <v>0</v>
      </c>
      <c r="AM96" s="359">
        <f t="shared" ca="1" si="53"/>
        <v>0</v>
      </c>
      <c r="AN96" s="358">
        <f t="shared" ca="1" si="54"/>
        <v>0</v>
      </c>
    </row>
    <row r="97" spans="1:40" x14ac:dyDescent="0.2">
      <c r="A97" s="1" t="s">
        <v>110</v>
      </c>
      <c r="C97" s="27" t="s">
        <v>101</v>
      </c>
      <c r="D97" s="1" t="s">
        <v>107</v>
      </c>
      <c r="F97" s="1" t="s">
        <v>99</v>
      </c>
      <c r="H97" s="133" t="s">
        <v>870</v>
      </c>
      <c r="I97" s="25" t="e">
        <f ca="1">_xll.EVPRO($B$1,$H97,"STYLE")</f>
        <v>#NAME?</v>
      </c>
      <c r="J97" s="25" t="e">
        <f ca="1">_xll.EVPRO($B$1,$H97,"CALC")</f>
        <v>#NAME?</v>
      </c>
      <c r="K97" s="64" t="e">
        <f t="shared" ca="1" si="47"/>
        <v>#NAME?</v>
      </c>
      <c r="L97" s="24" t="e">
        <f ca="1">_xll.EVPRO($B$1,H97,"JDEID")</f>
        <v>#NAME?</v>
      </c>
      <c r="M97" s="24" t="e">
        <f ca="1">IF(AND(I97="N",J97="N"),_xll.EVPRO($B$1,H97,"PSFTID"),"")</f>
        <v>#NAME?</v>
      </c>
      <c r="N97" s="24" t="e">
        <f ca="1">IF(_xll.EVDES(H97,$B$1)="#NODATA","",_xll.EVDES(H97,$B$1))</f>
        <v>#NAME?</v>
      </c>
      <c r="O97" s="35"/>
      <c r="P97" s="35"/>
      <c r="Q97" s="35"/>
      <c r="R97" s="35"/>
      <c r="S97" s="35"/>
      <c r="T97" s="35"/>
      <c r="U97" s="35"/>
      <c r="V97" s="35"/>
      <c r="W97" s="35"/>
      <c r="X97" s="35"/>
      <c r="Y97" s="35"/>
      <c r="Z97" s="35"/>
      <c r="AA97" s="283" t="e">
        <f t="shared" ca="1" si="43"/>
        <v>#NAME?</v>
      </c>
      <c r="AB97" s="36" t="e">
        <f t="shared" ca="1" si="44"/>
        <v>#NAME?</v>
      </c>
      <c r="AD97" s="35"/>
      <c r="AE97" s="36" t="str">
        <f t="shared" si="45"/>
        <v/>
      </c>
      <c r="AF97" s="118" t="e">
        <f t="shared" ca="1" si="46"/>
        <v>#NAME?</v>
      </c>
      <c r="AG97" s="35">
        <v>279.85000000000002</v>
      </c>
      <c r="AH97" s="36" t="str">
        <f t="shared" ca="1" si="48"/>
        <v/>
      </c>
      <c r="AI97" s="118" t="e">
        <f t="shared" ca="1" si="49"/>
        <v>#NAME?</v>
      </c>
      <c r="AJ97" s="322">
        <f t="shared" ca="1" si="50"/>
        <v>0</v>
      </c>
      <c r="AK97" s="323">
        <f t="shared" ca="1" si="51"/>
        <v>0</v>
      </c>
      <c r="AL97" s="324">
        <f t="shared" ca="1" si="52"/>
        <v>0</v>
      </c>
      <c r="AM97" s="359">
        <f t="shared" ca="1" si="53"/>
        <v>0</v>
      </c>
      <c r="AN97" s="358">
        <f t="shared" ca="1" si="54"/>
        <v>0</v>
      </c>
    </row>
    <row r="98" spans="1:40" x14ac:dyDescent="0.2">
      <c r="C98" s="23"/>
      <c r="H98" s="133" t="s">
        <v>858</v>
      </c>
      <c r="I98" s="25" t="e">
        <f ca="1">_xll.EVPRO($B$1,$H98,"STYLE")</f>
        <v>#NAME?</v>
      </c>
      <c r="J98" s="25" t="e">
        <f ca="1">_xll.EVPRO($B$1,$H98,"CALC")</f>
        <v>#NAME?</v>
      </c>
      <c r="K98" s="64" t="e">
        <f t="shared" ca="1" si="47"/>
        <v>#NAME?</v>
      </c>
      <c r="L98" s="24" t="e">
        <f ca="1">_xll.EVPRO($B$1,H98,"JDEID")</f>
        <v>#NAME?</v>
      </c>
      <c r="M98" s="24" t="e">
        <f ca="1">IF(AND(I98="N",J98="N"),_xll.EVPRO($B$1,H98,"PSFTID"),"")</f>
        <v>#NAME?</v>
      </c>
      <c r="N98" s="24" t="e">
        <f ca="1">IF(_xll.EVDES(H98,$B$1)="#NODATA","",_xll.EVDES(H98,$B$1))</f>
        <v>#NAME?</v>
      </c>
      <c r="O98" s="35"/>
      <c r="P98" s="35"/>
      <c r="Q98" s="35"/>
      <c r="R98" s="35"/>
      <c r="S98" s="35"/>
      <c r="T98" s="35"/>
      <c r="U98" s="35"/>
      <c r="V98" s="35"/>
      <c r="W98" s="35"/>
      <c r="X98" s="35"/>
      <c r="Y98" s="35"/>
      <c r="Z98" s="35"/>
      <c r="AA98" s="283" t="e">
        <f t="shared" ca="1" si="43"/>
        <v>#NAME?</v>
      </c>
      <c r="AB98" s="36" t="e">
        <f t="shared" ca="1" si="44"/>
        <v>#NAME?</v>
      </c>
      <c r="AD98" s="35"/>
      <c r="AE98" s="36" t="str">
        <f t="shared" si="45"/>
        <v/>
      </c>
      <c r="AF98" s="118" t="e">
        <f t="shared" ca="1" si="46"/>
        <v>#NAME?</v>
      </c>
      <c r="AG98" s="35">
        <v>73.599999999999994</v>
      </c>
      <c r="AH98" s="36" t="str">
        <f t="shared" ca="1" si="48"/>
        <v/>
      </c>
      <c r="AI98" s="118" t="e">
        <f t="shared" ca="1" si="49"/>
        <v>#NAME?</v>
      </c>
      <c r="AJ98" s="322">
        <f t="shared" ca="1" si="50"/>
        <v>0</v>
      </c>
      <c r="AK98" s="323">
        <f t="shared" ca="1" si="51"/>
        <v>0</v>
      </c>
      <c r="AL98" s="324">
        <f t="shared" ca="1" si="52"/>
        <v>0</v>
      </c>
      <c r="AM98" s="359">
        <f t="shared" ca="1" si="53"/>
        <v>0</v>
      </c>
      <c r="AN98" s="358">
        <f t="shared" ca="1" si="54"/>
        <v>0</v>
      </c>
    </row>
    <row r="99" spans="1:40" x14ac:dyDescent="0.2">
      <c r="C99" s="23"/>
      <c r="H99" s="133" t="s">
        <v>871</v>
      </c>
      <c r="I99" s="25" t="e">
        <f ca="1">_xll.EVPRO($B$1,$H99,"STYLE")</f>
        <v>#NAME?</v>
      </c>
      <c r="J99" s="25" t="e">
        <f ca="1">_xll.EVPRO($B$1,$H99,"CALC")</f>
        <v>#NAME?</v>
      </c>
      <c r="K99" s="64" t="e">
        <f t="shared" ca="1" si="47"/>
        <v>#NAME?</v>
      </c>
      <c r="L99" s="24" t="e">
        <f ca="1">_xll.EVPRO($B$1,H99,"JDEID")</f>
        <v>#NAME?</v>
      </c>
      <c r="M99" s="24" t="e">
        <f ca="1">IF(AND(I99="N",J99="N"),_xll.EVPRO($B$1,H99,"PSFTID"),"")</f>
        <v>#NAME?</v>
      </c>
      <c r="N99" s="24" t="e">
        <f ca="1">IF(_xll.EVDES(H99,$B$1)="#NODATA","",_xll.EVDES(H99,$B$1))</f>
        <v>#NAME?</v>
      </c>
      <c r="O99" s="35">
        <v>124.48</v>
      </c>
      <c r="P99" s="35"/>
      <c r="Q99" s="35"/>
      <c r="R99" s="35"/>
      <c r="S99" s="35"/>
      <c r="T99" s="35"/>
      <c r="U99" s="35"/>
      <c r="V99" s="35"/>
      <c r="W99" s="35"/>
      <c r="X99" s="35"/>
      <c r="Y99" s="35"/>
      <c r="Z99" s="35"/>
      <c r="AA99" s="283" t="e">
        <f t="shared" ca="1" si="43"/>
        <v>#NAME?</v>
      </c>
      <c r="AB99" s="36" t="e">
        <f t="shared" ca="1" si="44"/>
        <v>#NAME?</v>
      </c>
      <c r="AD99" s="35"/>
      <c r="AE99" s="36" t="str">
        <f t="shared" si="45"/>
        <v/>
      </c>
      <c r="AF99" s="118" t="e">
        <f t="shared" ca="1" si="46"/>
        <v>#NAME?</v>
      </c>
      <c r="AG99" s="35">
        <v>18673.93</v>
      </c>
      <c r="AH99" s="36" t="str">
        <f t="shared" ca="1" si="48"/>
        <v/>
      </c>
      <c r="AI99" s="118" t="e">
        <f t="shared" ca="1" si="49"/>
        <v>#NAME?</v>
      </c>
      <c r="AJ99" s="322">
        <f t="shared" ca="1" si="50"/>
        <v>0</v>
      </c>
      <c r="AK99" s="323">
        <f t="shared" ca="1" si="51"/>
        <v>0</v>
      </c>
      <c r="AL99" s="324">
        <f t="shared" ca="1" si="52"/>
        <v>0</v>
      </c>
      <c r="AM99" s="359">
        <f t="shared" ca="1" si="53"/>
        <v>0</v>
      </c>
      <c r="AN99" s="358">
        <f t="shared" ca="1" si="54"/>
        <v>0</v>
      </c>
    </row>
    <row r="100" spans="1:40" x14ac:dyDescent="0.2">
      <c r="A100" s="4" t="e">
        <f ca="1">_xll.EVDRE($B$1,A103:B110)</f>
        <v>#NAME?</v>
      </c>
      <c r="B100" s="1" t="s">
        <v>736</v>
      </c>
      <c r="H100" s="133" t="s">
        <v>859</v>
      </c>
      <c r="I100" s="25" t="e">
        <f ca="1">_xll.EVPRO($B$1,$H100,"STYLE")</f>
        <v>#NAME?</v>
      </c>
      <c r="J100" s="25" t="e">
        <f ca="1">_xll.EVPRO($B$1,$H100,"CALC")</f>
        <v>#NAME?</v>
      </c>
      <c r="K100" s="64" t="e">
        <f t="shared" ca="1" si="47"/>
        <v>#NAME?</v>
      </c>
      <c r="L100" s="24" t="e">
        <f ca="1">_xll.EVPRO($B$1,H100,"JDEID")</f>
        <v>#NAME?</v>
      </c>
      <c r="M100" s="24" t="e">
        <f ca="1">IF(AND(I100="N",J100="N"),_xll.EVPRO($B$1,H100,"PSFTID"),"")</f>
        <v>#NAME?</v>
      </c>
      <c r="N100" s="24" t="e">
        <f ca="1">IF(_xll.EVDES(H100,$B$1)="#NODATA","",_xll.EVDES(H100,$B$1))</f>
        <v>#NAME?</v>
      </c>
      <c r="O100" s="35"/>
      <c r="P100" s="35"/>
      <c r="Q100" s="35"/>
      <c r="R100" s="35"/>
      <c r="S100" s="35"/>
      <c r="T100" s="35"/>
      <c r="U100" s="35"/>
      <c r="V100" s="35"/>
      <c r="W100" s="35"/>
      <c r="X100" s="35"/>
      <c r="Y100" s="35"/>
      <c r="Z100" s="35"/>
      <c r="AA100" s="283" t="e">
        <f t="shared" ca="1" si="43"/>
        <v>#NAME?</v>
      </c>
      <c r="AB100" s="36" t="e">
        <f t="shared" ca="1" si="44"/>
        <v>#NAME?</v>
      </c>
      <c r="AD100" s="35"/>
      <c r="AE100" s="36" t="str">
        <f t="shared" si="45"/>
        <v/>
      </c>
      <c r="AF100" s="118" t="e">
        <f t="shared" ca="1" si="46"/>
        <v>#NAME?</v>
      </c>
      <c r="AG100" s="35">
        <v>1282.53</v>
      </c>
      <c r="AH100" s="36" t="str">
        <f t="shared" ca="1" si="48"/>
        <v/>
      </c>
      <c r="AI100" s="118" t="e">
        <f t="shared" ca="1" si="49"/>
        <v>#NAME?</v>
      </c>
      <c r="AJ100" s="322">
        <f t="shared" ca="1" si="50"/>
        <v>0</v>
      </c>
      <c r="AK100" s="323">
        <f t="shared" ca="1" si="51"/>
        <v>0</v>
      </c>
      <c r="AL100" s="324">
        <f t="shared" ca="1" si="52"/>
        <v>0</v>
      </c>
      <c r="AM100" s="359">
        <f t="shared" ca="1" si="53"/>
        <v>0</v>
      </c>
      <c r="AN100" s="358">
        <f t="shared" ca="1" si="54"/>
        <v>0</v>
      </c>
    </row>
    <row r="101" spans="1:40" x14ac:dyDescent="0.2">
      <c r="H101" s="133" t="s">
        <v>872</v>
      </c>
      <c r="I101" s="25" t="e">
        <f ca="1">_xll.EVPRO($B$1,$H101,"STYLE")</f>
        <v>#NAME?</v>
      </c>
      <c r="J101" s="25" t="e">
        <f ca="1">_xll.EVPRO($B$1,$H101,"CALC")</f>
        <v>#NAME?</v>
      </c>
      <c r="K101" s="64" t="e">
        <f t="shared" ca="1" si="47"/>
        <v>#NAME?</v>
      </c>
      <c r="L101" s="24" t="e">
        <f ca="1">_xll.EVPRO($B$1,H101,"JDEID")</f>
        <v>#NAME?</v>
      </c>
      <c r="M101" s="24" t="e">
        <f ca="1">IF(AND(I101="N",J101="N"),_xll.EVPRO($B$1,H101,"PSFTID"),"")</f>
        <v>#NAME?</v>
      </c>
      <c r="N101" s="24" t="e">
        <f ca="1">IF(_xll.EVDES(H101,$B$1)="#NODATA","",_xll.EVDES(H101,$B$1))</f>
        <v>#NAME?</v>
      </c>
      <c r="O101" s="35"/>
      <c r="P101" s="35">
        <v>20</v>
      </c>
      <c r="Q101" s="35"/>
      <c r="R101" s="35"/>
      <c r="S101" s="35"/>
      <c r="T101" s="35"/>
      <c r="U101" s="35"/>
      <c r="V101" s="35"/>
      <c r="W101" s="35"/>
      <c r="X101" s="35"/>
      <c r="Y101" s="35"/>
      <c r="Z101" s="35"/>
      <c r="AA101" s="283" t="e">
        <f t="shared" ca="1" si="43"/>
        <v>#NAME?</v>
      </c>
      <c r="AB101" s="36" t="e">
        <f t="shared" ca="1" si="44"/>
        <v>#NAME?</v>
      </c>
      <c r="AD101" s="35"/>
      <c r="AE101" s="36" t="str">
        <f t="shared" si="45"/>
        <v/>
      </c>
      <c r="AF101" s="118" t="e">
        <f t="shared" ca="1" si="46"/>
        <v>#NAME?</v>
      </c>
      <c r="AG101" s="35">
        <v>1862.02</v>
      </c>
      <c r="AH101" s="36" t="str">
        <f t="shared" ca="1" si="48"/>
        <v/>
      </c>
      <c r="AI101" s="118" t="e">
        <f t="shared" ca="1" si="49"/>
        <v>#NAME?</v>
      </c>
      <c r="AJ101" s="322">
        <f t="shared" ca="1" si="50"/>
        <v>0</v>
      </c>
      <c r="AK101" s="323">
        <f t="shared" ca="1" si="51"/>
        <v>0</v>
      </c>
      <c r="AL101" s="324">
        <f t="shared" ca="1" si="52"/>
        <v>0</v>
      </c>
      <c r="AM101" s="359">
        <f t="shared" ca="1" si="53"/>
        <v>0</v>
      </c>
      <c r="AN101" s="358">
        <f t="shared" ca="1" si="54"/>
        <v>0</v>
      </c>
    </row>
    <row r="102" spans="1:40" x14ac:dyDescent="0.2">
      <c r="A102" s="3" t="s">
        <v>0</v>
      </c>
      <c r="B102" s="5" t="s">
        <v>1</v>
      </c>
      <c r="H102" s="133" t="s">
        <v>833</v>
      </c>
      <c r="I102" s="25" t="e">
        <f ca="1">_xll.EVPRO($B$1,$H102,"STYLE")</f>
        <v>#NAME?</v>
      </c>
      <c r="J102" s="25" t="e">
        <f ca="1">_xll.EVPRO($B$1,$H102,"CALC")</f>
        <v>#NAME?</v>
      </c>
      <c r="K102" s="64" t="e">
        <f t="shared" ca="1" si="47"/>
        <v>#NAME?</v>
      </c>
      <c r="L102" s="24" t="e">
        <f ca="1">_xll.EVPRO($B$1,H102,"JDEID")</f>
        <v>#NAME?</v>
      </c>
      <c r="M102" s="24" t="e">
        <f ca="1">IF(AND(I102="N",J102="N"),_xll.EVPRO($B$1,H102,"PSFTID"),"")</f>
        <v>#NAME?</v>
      </c>
      <c r="N102" s="24" t="e">
        <f ca="1">IF(_xll.EVDES(H102,$B$1)="#NODATA","",_xll.EVDES(H102,$B$1))</f>
        <v>#NAME?</v>
      </c>
      <c r="O102" s="35">
        <v>724.84</v>
      </c>
      <c r="P102" s="35"/>
      <c r="Q102" s="35"/>
      <c r="R102" s="35"/>
      <c r="S102" s="35"/>
      <c r="T102" s="35"/>
      <c r="U102" s="35"/>
      <c r="V102" s="35"/>
      <c r="W102" s="35"/>
      <c r="X102" s="35"/>
      <c r="Y102" s="35"/>
      <c r="Z102" s="35"/>
      <c r="AA102" s="283" t="e">
        <f t="shared" ca="1" si="43"/>
        <v>#NAME?</v>
      </c>
      <c r="AB102" s="36" t="e">
        <f t="shared" ca="1" si="44"/>
        <v>#NAME?</v>
      </c>
      <c r="AD102" s="35"/>
      <c r="AE102" s="36" t="str">
        <f t="shared" si="45"/>
        <v/>
      </c>
      <c r="AF102" s="118" t="e">
        <f t="shared" ca="1" si="46"/>
        <v>#NAME?</v>
      </c>
      <c r="AG102" s="35">
        <v>65999.12</v>
      </c>
      <c r="AH102" s="36" t="str">
        <f t="shared" ca="1" si="48"/>
        <v/>
      </c>
      <c r="AI102" s="118" t="e">
        <f t="shared" ca="1" si="49"/>
        <v>#NAME?</v>
      </c>
      <c r="AJ102" s="322">
        <f t="shared" ca="1" si="50"/>
        <v>0</v>
      </c>
      <c r="AK102" s="323">
        <f t="shared" ca="1" si="51"/>
        <v>0</v>
      </c>
      <c r="AL102" s="324">
        <f t="shared" ca="1" si="52"/>
        <v>0</v>
      </c>
      <c r="AM102" s="359">
        <f t="shared" ca="1" si="53"/>
        <v>0</v>
      </c>
      <c r="AN102" s="358">
        <f t="shared" ca="1" si="54"/>
        <v>0</v>
      </c>
    </row>
    <row r="103" spans="1:40" x14ac:dyDescent="0.2">
      <c r="A103" s="6" t="s">
        <v>2</v>
      </c>
      <c r="B103" s="7" t="e">
        <f ca="1">_xll.EVRNG($B$2:$B$10)</f>
        <v>#NAME?</v>
      </c>
      <c r="H103" s="133" t="s">
        <v>834</v>
      </c>
      <c r="I103" s="25" t="e">
        <f ca="1">_xll.EVPRO($B$1,$H103,"STYLE")</f>
        <v>#NAME?</v>
      </c>
      <c r="J103" s="25" t="e">
        <f ca="1">_xll.EVPRO($B$1,$H103,"CALC")</f>
        <v>#NAME?</v>
      </c>
      <c r="K103" s="64" t="e">
        <f t="shared" ca="1" si="47"/>
        <v>#NAME?</v>
      </c>
      <c r="L103" s="24" t="e">
        <f ca="1">_xll.EVPRO($B$1,H103,"JDEID")</f>
        <v>#NAME?</v>
      </c>
      <c r="M103" s="24" t="e">
        <f ca="1">IF(AND(I103="N",J103="N"),_xll.EVPRO($B$1,H103,"PSFTID"),"")</f>
        <v>#NAME?</v>
      </c>
      <c r="N103" s="24" t="e">
        <f ca="1">IF(_xll.EVDES(H103,$B$1)="#NODATA","",_xll.EVDES(H103,$B$1))</f>
        <v>#NAME?</v>
      </c>
      <c r="O103" s="35"/>
      <c r="P103" s="35"/>
      <c r="Q103" s="35"/>
      <c r="R103" s="35"/>
      <c r="S103" s="35"/>
      <c r="T103" s="35"/>
      <c r="U103" s="35"/>
      <c r="V103" s="35"/>
      <c r="W103" s="35">
        <v>-0.17</v>
      </c>
      <c r="X103" s="35"/>
      <c r="Y103" s="35"/>
      <c r="Z103" s="35"/>
      <c r="AA103" s="283" t="e">
        <f t="shared" ca="1" si="43"/>
        <v>#NAME?</v>
      </c>
      <c r="AB103" s="36" t="e">
        <f t="shared" ca="1" si="44"/>
        <v>#NAME?</v>
      </c>
      <c r="AD103" s="35"/>
      <c r="AE103" s="36" t="str">
        <f t="shared" si="45"/>
        <v/>
      </c>
      <c r="AF103" s="118" t="e">
        <f t="shared" ca="1" si="46"/>
        <v>#NAME?</v>
      </c>
      <c r="AG103" s="35">
        <v>3623.55</v>
      </c>
      <c r="AH103" s="36" t="str">
        <f t="shared" ca="1" si="48"/>
        <v/>
      </c>
      <c r="AI103" s="118" t="e">
        <f t="shared" ca="1" si="49"/>
        <v>#NAME?</v>
      </c>
      <c r="AJ103" s="322">
        <f t="shared" ca="1" si="50"/>
        <v>0</v>
      </c>
      <c r="AK103" s="323">
        <f t="shared" ca="1" si="51"/>
        <v>0</v>
      </c>
      <c r="AL103" s="324">
        <f t="shared" ca="1" si="52"/>
        <v>0</v>
      </c>
      <c r="AM103" s="359">
        <f t="shared" ca="1" si="53"/>
        <v>0</v>
      </c>
      <c r="AN103" s="358">
        <f t="shared" ca="1" si="54"/>
        <v>0</v>
      </c>
    </row>
    <row r="104" spans="1:40" x14ac:dyDescent="0.2">
      <c r="A104" s="6" t="s">
        <v>3</v>
      </c>
      <c r="B104" s="7" t="e">
        <f ca="1">_xll.EVRNG($O$16:$AN$18)</f>
        <v>#NAME?</v>
      </c>
      <c r="H104" s="133" t="s">
        <v>835</v>
      </c>
      <c r="I104" s="25" t="e">
        <f ca="1">_xll.EVPRO($B$1,$H104,"STYLE")</f>
        <v>#NAME?</v>
      </c>
      <c r="J104" s="25" t="e">
        <f ca="1">_xll.EVPRO($B$1,$H104,"CALC")</f>
        <v>#NAME?</v>
      </c>
      <c r="K104" s="64" t="e">
        <f t="shared" ca="1" si="47"/>
        <v>#NAME?</v>
      </c>
      <c r="L104" s="24" t="e">
        <f ca="1">_xll.EVPRO($B$1,H104,"JDEID")</f>
        <v>#NAME?</v>
      </c>
      <c r="M104" s="24" t="e">
        <f ca="1">IF(AND(I104="N",J104="N"),_xll.EVPRO($B$1,H104,"PSFTID"),"")</f>
        <v>#NAME?</v>
      </c>
      <c r="N104" s="24" t="e">
        <f ca="1">IF(_xll.EVDES(H104,$B$1)="#NODATA","",_xll.EVDES(H104,$B$1))</f>
        <v>#NAME?</v>
      </c>
      <c r="O104" s="35"/>
      <c r="P104" s="35"/>
      <c r="Q104" s="35">
        <v>-43.94</v>
      </c>
      <c r="R104" s="35"/>
      <c r="S104" s="35"/>
      <c r="T104" s="35"/>
      <c r="U104" s="35"/>
      <c r="V104" s="35"/>
      <c r="W104" s="35"/>
      <c r="X104" s="35"/>
      <c r="Y104" s="35"/>
      <c r="Z104" s="35"/>
      <c r="AA104" s="283" t="e">
        <f t="shared" ca="1" si="43"/>
        <v>#NAME?</v>
      </c>
      <c r="AB104" s="36" t="e">
        <f t="shared" ca="1" si="44"/>
        <v>#NAME?</v>
      </c>
      <c r="AD104" s="35"/>
      <c r="AE104" s="36" t="str">
        <f t="shared" si="45"/>
        <v/>
      </c>
      <c r="AF104" s="118" t="e">
        <f t="shared" ca="1" si="46"/>
        <v>#NAME?</v>
      </c>
      <c r="AG104" s="35"/>
      <c r="AH104" s="36" t="str">
        <f t="shared" si="48"/>
        <v/>
      </c>
      <c r="AI104" s="118" t="e">
        <f t="shared" ca="1" si="49"/>
        <v>#NAME?</v>
      </c>
      <c r="AJ104" s="322">
        <f t="shared" ca="1" si="50"/>
        <v>0</v>
      </c>
      <c r="AK104" s="323">
        <f t="shared" ca="1" si="51"/>
        <v>0</v>
      </c>
      <c r="AL104" s="324">
        <f t="shared" ca="1" si="52"/>
        <v>0</v>
      </c>
      <c r="AM104" s="359">
        <f t="shared" ca="1" si="53"/>
        <v>0</v>
      </c>
      <c r="AN104" s="358">
        <f t="shared" ca="1" si="54"/>
        <v>0</v>
      </c>
    </row>
    <row r="105" spans="1:40" x14ac:dyDescent="0.2">
      <c r="A105" s="6" t="s">
        <v>4</v>
      </c>
      <c r="B105" s="7" t="e">
        <f ca="1">_xll.EVRNG(H118:H121)</f>
        <v>#NAME?</v>
      </c>
      <c r="H105" s="133" t="s">
        <v>873</v>
      </c>
      <c r="I105" s="25" t="e">
        <f ca="1">_xll.EVPRO($B$1,$H105,"STYLE")</f>
        <v>#NAME?</v>
      </c>
      <c r="J105" s="25" t="e">
        <f ca="1">_xll.EVPRO($B$1,$H105,"CALC")</f>
        <v>#NAME?</v>
      </c>
      <c r="K105" s="64" t="e">
        <f t="shared" ca="1" si="47"/>
        <v>#NAME?</v>
      </c>
      <c r="L105" s="24" t="e">
        <f ca="1">_xll.EVPRO($B$1,H105,"JDEID")</f>
        <v>#NAME?</v>
      </c>
      <c r="M105" s="24" t="e">
        <f ca="1">IF(AND(I105="N",J105="N"),_xll.EVPRO($B$1,H105,"PSFTID"),"")</f>
        <v>#NAME?</v>
      </c>
      <c r="N105" s="24" t="e">
        <f ca="1">IF(_xll.EVDES(H105,$B$1)="#NODATA","",_xll.EVDES(H105,$B$1))</f>
        <v>#NAME?</v>
      </c>
      <c r="O105" s="35"/>
      <c r="P105" s="35"/>
      <c r="Q105" s="35"/>
      <c r="R105" s="35"/>
      <c r="S105" s="35"/>
      <c r="T105" s="35"/>
      <c r="U105" s="35"/>
      <c r="V105" s="35"/>
      <c r="W105" s="35"/>
      <c r="X105" s="35"/>
      <c r="Y105" s="35"/>
      <c r="Z105" s="35"/>
      <c r="AA105" s="283" t="e">
        <f t="shared" ca="1" si="43"/>
        <v>#NAME?</v>
      </c>
      <c r="AB105" s="36" t="e">
        <f t="shared" ca="1" si="44"/>
        <v>#NAME?</v>
      </c>
      <c r="AD105" s="35"/>
      <c r="AE105" s="36" t="str">
        <f t="shared" si="45"/>
        <v/>
      </c>
      <c r="AF105" s="118" t="e">
        <f t="shared" ca="1" si="46"/>
        <v>#NAME?</v>
      </c>
      <c r="AG105" s="35">
        <v>195.1</v>
      </c>
      <c r="AH105" s="36" t="str">
        <f t="shared" ca="1" si="48"/>
        <v/>
      </c>
      <c r="AI105" s="118" t="e">
        <f t="shared" ca="1" si="49"/>
        <v>#NAME?</v>
      </c>
      <c r="AJ105" s="322">
        <f t="shared" ca="1" si="50"/>
        <v>0</v>
      </c>
      <c r="AK105" s="323">
        <f t="shared" ca="1" si="51"/>
        <v>0</v>
      </c>
      <c r="AL105" s="324">
        <f t="shared" ca="1" si="52"/>
        <v>0</v>
      </c>
      <c r="AM105" s="359">
        <f t="shared" ca="1" si="53"/>
        <v>0</v>
      </c>
      <c r="AN105" s="358">
        <f t="shared" ca="1" si="54"/>
        <v>0</v>
      </c>
    </row>
    <row r="106" spans="1:40" x14ac:dyDescent="0.2">
      <c r="A106" s="6" t="s">
        <v>5</v>
      </c>
      <c r="B106" s="7"/>
      <c r="H106" s="133" t="s">
        <v>874</v>
      </c>
      <c r="I106" s="25" t="e">
        <f ca="1">_xll.EVPRO($B$1,$H106,"STYLE")</f>
        <v>#NAME?</v>
      </c>
      <c r="J106" s="25" t="e">
        <f ca="1">_xll.EVPRO($B$1,$H106,"CALC")</f>
        <v>#NAME?</v>
      </c>
      <c r="K106" s="64" t="e">
        <f t="shared" ca="1" si="47"/>
        <v>#NAME?</v>
      </c>
      <c r="L106" s="24" t="e">
        <f ca="1">_xll.EVPRO($B$1,H106,"JDEID")</f>
        <v>#NAME?</v>
      </c>
      <c r="M106" s="24" t="e">
        <f ca="1">IF(AND(I106="N",J106="N"),_xll.EVPRO($B$1,H106,"PSFTID"),"")</f>
        <v>#NAME?</v>
      </c>
      <c r="N106" s="24" t="e">
        <f ca="1">IF(_xll.EVDES(H106,$B$1)="#NODATA","",_xll.EVDES(H106,$B$1))</f>
        <v>#NAME?</v>
      </c>
      <c r="O106" s="35"/>
      <c r="P106" s="35"/>
      <c r="Q106" s="35"/>
      <c r="R106" s="35"/>
      <c r="S106" s="35"/>
      <c r="T106" s="35"/>
      <c r="U106" s="35"/>
      <c r="V106" s="35"/>
      <c r="W106" s="35"/>
      <c r="X106" s="35"/>
      <c r="Y106" s="35"/>
      <c r="Z106" s="35"/>
      <c r="AA106" s="283" t="e">
        <f t="shared" ca="1" si="43"/>
        <v>#NAME?</v>
      </c>
      <c r="AB106" s="36" t="e">
        <f t="shared" ca="1" si="44"/>
        <v>#NAME?</v>
      </c>
      <c r="AD106" s="35"/>
      <c r="AE106" s="36" t="str">
        <f t="shared" si="45"/>
        <v/>
      </c>
      <c r="AF106" s="118" t="e">
        <f t="shared" ca="1" si="46"/>
        <v>#NAME?</v>
      </c>
      <c r="AG106" s="35">
        <v>280</v>
      </c>
      <c r="AH106" s="36" t="str">
        <f t="shared" ca="1" si="48"/>
        <v/>
      </c>
      <c r="AI106" s="118" t="e">
        <f t="shared" ca="1" si="49"/>
        <v>#NAME?</v>
      </c>
      <c r="AJ106" s="322">
        <f t="shared" ca="1" si="50"/>
        <v>0</v>
      </c>
      <c r="AK106" s="323">
        <f t="shared" ca="1" si="51"/>
        <v>0</v>
      </c>
      <c r="AL106" s="324">
        <f t="shared" ca="1" si="52"/>
        <v>0</v>
      </c>
      <c r="AM106" s="359">
        <f t="shared" ca="1" si="53"/>
        <v>0</v>
      </c>
      <c r="AN106" s="358">
        <f t="shared" ca="1" si="54"/>
        <v>0</v>
      </c>
    </row>
    <row r="107" spans="1:40" x14ac:dyDescent="0.2">
      <c r="A107" s="6" t="s">
        <v>6</v>
      </c>
      <c r="B107" s="7"/>
      <c r="H107" s="133" t="s">
        <v>875</v>
      </c>
      <c r="I107" s="25" t="e">
        <f ca="1">_xll.EVPRO($B$1,$H107,"STYLE")</f>
        <v>#NAME?</v>
      </c>
      <c r="J107" s="25" t="e">
        <f ca="1">_xll.EVPRO($B$1,$H107,"CALC")</f>
        <v>#NAME?</v>
      </c>
      <c r="K107" s="64" t="e">
        <f t="shared" ca="1" si="47"/>
        <v>#NAME?</v>
      </c>
      <c r="L107" s="24" t="e">
        <f ca="1">_xll.EVPRO($B$1,H107,"JDEID")</f>
        <v>#NAME?</v>
      </c>
      <c r="M107" s="24" t="e">
        <f ca="1">IF(AND(I107="N",J107="N"),_xll.EVPRO($B$1,H107,"PSFTID"),"")</f>
        <v>#NAME?</v>
      </c>
      <c r="N107" s="24" t="e">
        <f ca="1">IF(_xll.EVDES(H107,$B$1)="#NODATA","",_xll.EVDES(H107,$B$1))</f>
        <v>#NAME?</v>
      </c>
      <c r="O107" s="35"/>
      <c r="P107" s="35"/>
      <c r="Q107" s="35"/>
      <c r="R107" s="35"/>
      <c r="S107" s="35"/>
      <c r="T107" s="35"/>
      <c r="U107" s="35"/>
      <c r="V107" s="35"/>
      <c r="W107" s="35"/>
      <c r="X107" s="35"/>
      <c r="Y107" s="35"/>
      <c r="Z107" s="35"/>
      <c r="AA107" s="283" t="e">
        <f t="shared" ca="1" si="43"/>
        <v>#NAME?</v>
      </c>
      <c r="AB107" s="36" t="e">
        <f t="shared" ca="1" si="44"/>
        <v>#NAME?</v>
      </c>
      <c r="AD107" s="35"/>
      <c r="AE107" s="36" t="str">
        <f t="shared" si="45"/>
        <v/>
      </c>
      <c r="AF107" s="118" t="e">
        <f t="shared" ca="1" si="46"/>
        <v>#NAME?</v>
      </c>
      <c r="AG107" s="35">
        <v>1839.28</v>
      </c>
      <c r="AH107" s="36" t="str">
        <f t="shared" ca="1" si="48"/>
        <v/>
      </c>
      <c r="AI107" s="118" t="e">
        <f t="shared" ca="1" si="49"/>
        <v>#NAME?</v>
      </c>
      <c r="AJ107" s="322">
        <f t="shared" ca="1" si="50"/>
        <v>0</v>
      </c>
      <c r="AK107" s="323">
        <f t="shared" ca="1" si="51"/>
        <v>0</v>
      </c>
      <c r="AL107" s="324">
        <f t="shared" ca="1" si="52"/>
        <v>0</v>
      </c>
      <c r="AM107" s="359">
        <f t="shared" ca="1" si="53"/>
        <v>0</v>
      </c>
      <c r="AN107" s="358">
        <f t="shared" ca="1" si="54"/>
        <v>0</v>
      </c>
    </row>
    <row r="108" spans="1:40" x14ac:dyDescent="0.2">
      <c r="A108" s="6" t="s">
        <v>7</v>
      </c>
      <c r="B108" s="7"/>
      <c r="G108" s="13"/>
      <c r="H108" s="133" t="s">
        <v>836</v>
      </c>
      <c r="I108" s="25" t="e">
        <f ca="1">_xll.EVPRO($B$1,$H108,"STYLE")</f>
        <v>#NAME?</v>
      </c>
      <c r="J108" s="25" t="e">
        <f ca="1">_xll.EVPRO($B$1,$H108,"CALC")</f>
        <v>#NAME?</v>
      </c>
      <c r="K108" s="64" t="e">
        <f t="shared" ca="1" si="47"/>
        <v>#NAME?</v>
      </c>
      <c r="L108" s="24" t="e">
        <f ca="1">_xll.EVPRO($B$1,H108,"JDEID")</f>
        <v>#NAME?</v>
      </c>
      <c r="M108" s="24" t="e">
        <f ca="1">IF(AND(I108="N",J108="N"),_xll.EVPRO($B$1,H108,"PSFTID"),"")</f>
        <v>#NAME?</v>
      </c>
      <c r="N108" s="24" t="e">
        <f ca="1">IF(_xll.EVDES(H108,$B$1)="#NODATA","",_xll.EVDES(H108,$B$1))</f>
        <v>#NAME?</v>
      </c>
      <c r="O108" s="35">
        <v>92.89</v>
      </c>
      <c r="P108" s="35"/>
      <c r="Q108" s="35"/>
      <c r="R108" s="35"/>
      <c r="S108" s="35"/>
      <c r="T108" s="35"/>
      <c r="U108" s="35"/>
      <c r="V108" s="35"/>
      <c r="W108" s="35"/>
      <c r="X108" s="35"/>
      <c r="Y108" s="35"/>
      <c r="Z108" s="35"/>
      <c r="AA108" s="283" t="e">
        <f t="shared" ca="1" si="43"/>
        <v>#NAME?</v>
      </c>
      <c r="AB108" s="36" t="e">
        <f t="shared" ca="1" si="44"/>
        <v>#NAME?</v>
      </c>
      <c r="AD108" s="35"/>
      <c r="AE108" s="36" t="str">
        <f t="shared" si="45"/>
        <v/>
      </c>
      <c r="AF108" s="118" t="e">
        <f t="shared" ca="1" si="46"/>
        <v>#NAME?</v>
      </c>
      <c r="AG108" s="35">
        <v>1792.22</v>
      </c>
      <c r="AH108" s="36" t="str">
        <f t="shared" ca="1" si="48"/>
        <v/>
      </c>
      <c r="AI108" s="118" t="e">
        <f t="shared" ca="1" si="49"/>
        <v>#NAME?</v>
      </c>
      <c r="AJ108" s="322">
        <f t="shared" ca="1" si="50"/>
        <v>0</v>
      </c>
      <c r="AK108" s="323">
        <f t="shared" ca="1" si="51"/>
        <v>0</v>
      </c>
      <c r="AL108" s="324">
        <f t="shared" ca="1" si="52"/>
        <v>0</v>
      </c>
      <c r="AM108" s="359">
        <f t="shared" ca="1" si="53"/>
        <v>0</v>
      </c>
      <c r="AN108" s="358">
        <f t="shared" ca="1" si="54"/>
        <v>0</v>
      </c>
    </row>
    <row r="109" spans="1:40" x14ac:dyDescent="0.2">
      <c r="A109" s="6" t="s">
        <v>47</v>
      </c>
      <c r="B109" s="7" t="e">
        <f ca="1">_xll.EVRNG($A$114:$B$135)</f>
        <v>#NAME?</v>
      </c>
      <c r="H109" s="133" t="s">
        <v>876</v>
      </c>
      <c r="I109" s="25" t="e">
        <f ca="1">_xll.EVPRO($B$1,$H109,"STYLE")</f>
        <v>#NAME?</v>
      </c>
      <c r="J109" s="25" t="e">
        <f ca="1">_xll.EVPRO($B$1,$H109,"CALC")</f>
        <v>#NAME?</v>
      </c>
      <c r="K109" s="64" t="e">
        <f t="shared" ca="1" si="47"/>
        <v>#NAME?</v>
      </c>
      <c r="L109" s="24" t="e">
        <f ca="1">_xll.EVPRO($B$1,H109,"JDEID")</f>
        <v>#NAME?</v>
      </c>
      <c r="M109" s="24" t="e">
        <f ca="1">IF(AND(I109="N",J109="N"),_xll.EVPRO($B$1,H109,"PSFTID"),"")</f>
        <v>#NAME?</v>
      </c>
      <c r="N109" s="24" t="e">
        <f ca="1">IF(_xll.EVDES(H109,$B$1)="#NODATA","",_xll.EVDES(H109,$B$1))</f>
        <v>#NAME?</v>
      </c>
      <c r="O109" s="35">
        <v>739.12</v>
      </c>
      <c r="P109" s="35"/>
      <c r="Q109" s="35"/>
      <c r="R109" s="35"/>
      <c r="S109" s="35"/>
      <c r="T109" s="35"/>
      <c r="U109" s="35"/>
      <c r="V109" s="35"/>
      <c r="W109" s="35"/>
      <c r="X109" s="35"/>
      <c r="Y109" s="35"/>
      <c r="Z109" s="35"/>
      <c r="AA109" s="283" t="e">
        <f t="shared" ca="1" si="43"/>
        <v>#NAME?</v>
      </c>
      <c r="AB109" s="36" t="e">
        <f t="shared" ca="1" si="44"/>
        <v>#NAME?</v>
      </c>
      <c r="AD109" s="35"/>
      <c r="AE109" s="36" t="str">
        <f t="shared" si="45"/>
        <v/>
      </c>
      <c r="AF109" s="118" t="e">
        <f t="shared" ca="1" si="46"/>
        <v>#NAME?</v>
      </c>
      <c r="AG109" s="35">
        <v>23150.95</v>
      </c>
      <c r="AH109" s="36" t="str">
        <f t="shared" ca="1" si="48"/>
        <v/>
      </c>
      <c r="AI109" s="118" t="e">
        <f t="shared" ca="1" si="49"/>
        <v>#NAME?</v>
      </c>
      <c r="AJ109" s="322">
        <f t="shared" ca="1" si="50"/>
        <v>0</v>
      </c>
      <c r="AK109" s="323">
        <f t="shared" ca="1" si="51"/>
        <v>0</v>
      </c>
      <c r="AL109" s="324">
        <f t="shared" ca="1" si="52"/>
        <v>0</v>
      </c>
      <c r="AM109" s="359">
        <f t="shared" ca="1" si="53"/>
        <v>0</v>
      </c>
      <c r="AN109" s="358">
        <f t="shared" ca="1" si="54"/>
        <v>0</v>
      </c>
    </row>
    <row r="110" spans="1:40" x14ac:dyDescent="0.2">
      <c r="A110" s="6" t="s">
        <v>8</v>
      </c>
      <c r="B110" s="7"/>
      <c r="H110" s="133" t="s">
        <v>877</v>
      </c>
      <c r="I110" s="25" t="e">
        <f ca="1">_xll.EVPRO($B$1,$H110,"STYLE")</f>
        <v>#NAME?</v>
      </c>
      <c r="J110" s="25" t="e">
        <f ca="1">_xll.EVPRO($B$1,$H110,"CALC")</f>
        <v>#NAME?</v>
      </c>
      <c r="K110" s="64" t="e">
        <f t="shared" ca="1" si="47"/>
        <v>#NAME?</v>
      </c>
      <c r="L110" s="24" t="e">
        <f ca="1">_xll.EVPRO($B$1,H110,"JDEID")</f>
        <v>#NAME?</v>
      </c>
      <c r="M110" s="24" t="e">
        <f ca="1">IF(AND(I110="N",J110="N"),_xll.EVPRO($B$1,H110,"PSFTID"),"")</f>
        <v>#NAME?</v>
      </c>
      <c r="N110" s="24" t="e">
        <f ca="1">IF(_xll.EVDES(H110,$B$1)="#NODATA","",_xll.EVDES(H110,$B$1))</f>
        <v>#NAME?</v>
      </c>
      <c r="O110" s="35">
        <v>395.48</v>
      </c>
      <c r="P110" s="35"/>
      <c r="Q110" s="35"/>
      <c r="R110" s="35"/>
      <c r="S110" s="35"/>
      <c r="T110" s="35"/>
      <c r="U110" s="35"/>
      <c r="V110" s="35"/>
      <c r="W110" s="35"/>
      <c r="X110" s="35"/>
      <c r="Y110" s="35"/>
      <c r="Z110" s="35"/>
      <c r="AA110" s="283" t="e">
        <f t="shared" ca="1" si="43"/>
        <v>#NAME?</v>
      </c>
      <c r="AB110" s="36" t="e">
        <f t="shared" ca="1" si="44"/>
        <v>#NAME?</v>
      </c>
      <c r="AD110" s="35"/>
      <c r="AE110" s="36" t="str">
        <f t="shared" si="45"/>
        <v/>
      </c>
      <c r="AF110" s="118" t="e">
        <f t="shared" ca="1" si="46"/>
        <v>#NAME?</v>
      </c>
      <c r="AG110" s="35">
        <v>596.64</v>
      </c>
      <c r="AH110" s="36" t="str">
        <f t="shared" ca="1" si="48"/>
        <v/>
      </c>
      <c r="AI110" s="118" t="e">
        <f t="shared" ca="1" si="49"/>
        <v>#NAME?</v>
      </c>
      <c r="AJ110" s="322">
        <f t="shared" ca="1" si="50"/>
        <v>0</v>
      </c>
      <c r="AK110" s="323">
        <f t="shared" ca="1" si="51"/>
        <v>0</v>
      </c>
      <c r="AL110" s="324">
        <f t="shared" ca="1" si="52"/>
        <v>0</v>
      </c>
      <c r="AM110" s="359">
        <f t="shared" ca="1" si="53"/>
        <v>0</v>
      </c>
      <c r="AN110" s="358">
        <f t="shared" ca="1" si="54"/>
        <v>0</v>
      </c>
    </row>
    <row r="111" spans="1:40" x14ac:dyDescent="0.2">
      <c r="H111" s="133" t="s">
        <v>878</v>
      </c>
      <c r="I111" s="25" t="e">
        <f ca="1">_xll.EVPRO($B$1,$H111,"STYLE")</f>
        <v>#NAME?</v>
      </c>
      <c r="J111" s="25" t="e">
        <f ca="1">_xll.EVPRO($B$1,$H111,"CALC")</f>
        <v>#NAME?</v>
      </c>
      <c r="K111" s="64" t="e">
        <f t="shared" ca="1" si="47"/>
        <v>#NAME?</v>
      </c>
      <c r="L111" s="24" t="e">
        <f ca="1">_xll.EVPRO($B$1,H111,"JDEID")</f>
        <v>#NAME?</v>
      </c>
      <c r="M111" s="24" t="e">
        <f ca="1">IF(AND(I111="N",J111="N"),_xll.EVPRO($B$1,H111,"PSFTID"),"")</f>
        <v>#NAME?</v>
      </c>
      <c r="N111" s="24" t="e">
        <f ca="1">IF(_xll.EVDES(H111,$B$1)="#NODATA","",_xll.EVDES(H111,$B$1))</f>
        <v>#NAME?</v>
      </c>
      <c r="O111" s="35"/>
      <c r="P111" s="35"/>
      <c r="Q111" s="35"/>
      <c r="R111" s="35"/>
      <c r="S111" s="35"/>
      <c r="T111" s="35"/>
      <c r="U111" s="35"/>
      <c r="V111" s="35"/>
      <c r="W111" s="35"/>
      <c r="X111" s="35"/>
      <c r="Y111" s="35"/>
      <c r="Z111" s="35"/>
      <c r="AA111" s="283" t="e">
        <f t="shared" ca="1" si="43"/>
        <v>#NAME?</v>
      </c>
      <c r="AB111" s="36" t="e">
        <f t="shared" ca="1" si="44"/>
        <v>#NAME?</v>
      </c>
      <c r="AD111" s="35"/>
      <c r="AE111" s="36" t="str">
        <f t="shared" si="45"/>
        <v/>
      </c>
      <c r="AF111" s="118" t="e">
        <f t="shared" ca="1" si="46"/>
        <v>#NAME?</v>
      </c>
      <c r="AG111" s="35">
        <v>3439.73</v>
      </c>
      <c r="AH111" s="36" t="str">
        <f t="shared" ca="1" si="48"/>
        <v/>
      </c>
      <c r="AI111" s="118" t="e">
        <f t="shared" ca="1" si="49"/>
        <v>#NAME?</v>
      </c>
      <c r="AJ111" s="322">
        <f t="shared" ca="1" si="50"/>
        <v>0</v>
      </c>
      <c r="AK111" s="323">
        <f t="shared" ca="1" si="51"/>
        <v>0</v>
      </c>
      <c r="AL111" s="324">
        <f t="shared" ca="1" si="52"/>
        <v>0</v>
      </c>
      <c r="AM111" s="359">
        <f t="shared" ca="1" si="53"/>
        <v>0</v>
      </c>
      <c r="AN111" s="358">
        <f t="shared" ca="1" si="54"/>
        <v>0</v>
      </c>
    </row>
    <row r="112" spans="1:40" x14ac:dyDescent="0.2">
      <c r="H112" s="133" t="s">
        <v>879</v>
      </c>
      <c r="I112" s="25" t="e">
        <f ca="1">_xll.EVPRO($B$1,$H112,"STYLE")</f>
        <v>#NAME?</v>
      </c>
      <c r="J112" s="25" t="e">
        <f ca="1">_xll.EVPRO($B$1,$H112,"CALC")</f>
        <v>#NAME?</v>
      </c>
      <c r="K112" s="64" t="e">
        <f t="shared" ca="1" si="47"/>
        <v>#NAME?</v>
      </c>
      <c r="L112" s="24" t="e">
        <f ca="1">_xll.EVPRO($B$1,H112,"JDEID")</f>
        <v>#NAME?</v>
      </c>
      <c r="M112" s="24" t="e">
        <f ca="1">IF(AND(I112="N",J112="N"),_xll.EVPRO($B$1,H112,"PSFTID"),"")</f>
        <v>#NAME?</v>
      </c>
      <c r="N112" s="24" t="e">
        <f ca="1">IF(_xll.EVDES(H112,$B$1)="#NODATA","",_xll.EVDES(H112,$B$1))</f>
        <v>#NAME?</v>
      </c>
      <c r="O112" s="35"/>
      <c r="P112" s="35"/>
      <c r="Q112" s="35"/>
      <c r="R112" s="35"/>
      <c r="S112" s="35"/>
      <c r="T112" s="35"/>
      <c r="U112" s="35"/>
      <c r="V112" s="35"/>
      <c r="W112" s="35"/>
      <c r="X112" s="35"/>
      <c r="Y112" s="35"/>
      <c r="Z112" s="35"/>
      <c r="AA112" s="283" t="e">
        <f t="shared" ca="1" si="43"/>
        <v>#NAME?</v>
      </c>
      <c r="AB112" s="36" t="e">
        <f t="shared" ca="1" si="44"/>
        <v>#NAME?</v>
      </c>
      <c r="AD112" s="35"/>
      <c r="AE112" s="36" t="str">
        <f t="shared" si="45"/>
        <v/>
      </c>
      <c r="AF112" s="118" t="e">
        <f t="shared" ca="1" si="46"/>
        <v>#NAME?</v>
      </c>
      <c r="AG112" s="35">
        <v>279.8</v>
      </c>
      <c r="AH112" s="36" t="str">
        <f t="shared" ca="1" si="48"/>
        <v/>
      </c>
      <c r="AI112" s="118" t="e">
        <f t="shared" ca="1" si="49"/>
        <v>#NAME?</v>
      </c>
      <c r="AJ112" s="322">
        <f t="shared" ca="1" si="50"/>
        <v>0</v>
      </c>
      <c r="AK112" s="323">
        <f t="shared" ca="1" si="51"/>
        <v>0</v>
      </c>
      <c r="AL112" s="324">
        <f t="shared" ca="1" si="52"/>
        <v>0</v>
      </c>
      <c r="AM112" s="359">
        <f t="shared" ca="1" si="53"/>
        <v>0</v>
      </c>
      <c r="AN112" s="358">
        <f t="shared" ca="1" si="54"/>
        <v>0</v>
      </c>
    </row>
    <row r="113" spans="1:40" x14ac:dyDescent="0.2">
      <c r="A113" s="3" t="s">
        <v>23</v>
      </c>
      <c r="B113" s="5" t="s">
        <v>24</v>
      </c>
      <c r="G113" s="13"/>
      <c r="H113" s="133" t="s">
        <v>880</v>
      </c>
      <c r="I113" s="25" t="e">
        <f ca="1">_xll.EVPRO($B$1,$H113,"STYLE")</f>
        <v>#NAME?</v>
      </c>
      <c r="J113" s="25" t="e">
        <f ca="1">_xll.EVPRO($B$1,$H113,"CALC")</f>
        <v>#NAME?</v>
      </c>
      <c r="K113" s="64" t="e">
        <f t="shared" ca="1" si="47"/>
        <v>#NAME?</v>
      </c>
      <c r="L113" s="24" t="e">
        <f ca="1">_xll.EVPRO($B$1,H113,"JDEID")</f>
        <v>#NAME?</v>
      </c>
      <c r="M113" s="24" t="e">
        <f ca="1">IF(AND(I113="N",J113="N"),_xll.EVPRO($B$1,H113,"PSFTID"),"")</f>
        <v>#NAME?</v>
      </c>
      <c r="N113" s="24" t="e">
        <f ca="1">IF(_xll.EVDES(H113,$B$1)="#NODATA","",_xll.EVDES(H113,$B$1))</f>
        <v>#NAME?</v>
      </c>
      <c r="O113" s="35"/>
      <c r="P113" s="35"/>
      <c r="Q113" s="35"/>
      <c r="R113" s="35"/>
      <c r="S113" s="35"/>
      <c r="T113" s="35"/>
      <c r="U113" s="35"/>
      <c r="V113" s="35"/>
      <c r="W113" s="35"/>
      <c r="X113" s="35"/>
      <c r="Y113" s="35"/>
      <c r="Z113" s="35"/>
      <c r="AA113" s="283" t="e">
        <f t="shared" ca="1" si="43"/>
        <v>#NAME?</v>
      </c>
      <c r="AB113" s="36" t="e">
        <f t="shared" ca="1" si="44"/>
        <v>#NAME?</v>
      </c>
      <c r="AD113" s="35"/>
      <c r="AE113" s="36" t="str">
        <f t="shared" si="45"/>
        <v/>
      </c>
      <c r="AF113" s="118" t="e">
        <f t="shared" ca="1" si="46"/>
        <v>#NAME?</v>
      </c>
      <c r="AG113" s="35">
        <v>367.31</v>
      </c>
      <c r="AH113" s="36" t="str">
        <f t="shared" ca="1" si="48"/>
        <v/>
      </c>
      <c r="AI113" s="118" t="e">
        <f t="shared" ca="1" si="49"/>
        <v>#NAME?</v>
      </c>
      <c r="AJ113" s="322">
        <f t="shared" ca="1" si="50"/>
        <v>0</v>
      </c>
      <c r="AK113" s="323">
        <f t="shared" ca="1" si="51"/>
        <v>0</v>
      </c>
      <c r="AL113" s="324">
        <f t="shared" ca="1" si="52"/>
        <v>0</v>
      </c>
      <c r="AM113" s="359">
        <f t="shared" ca="1" si="53"/>
        <v>0</v>
      </c>
      <c r="AN113" s="358">
        <f t="shared" ca="1" si="54"/>
        <v>0</v>
      </c>
    </row>
    <row r="114" spans="1:40" x14ac:dyDescent="0.2">
      <c r="A114" s="6" t="s">
        <v>25</v>
      </c>
      <c r="B114" s="7"/>
      <c r="H114" s="133" t="s">
        <v>860</v>
      </c>
      <c r="I114" s="25" t="e">
        <f ca="1">_xll.EVPRO($B$1,$H114,"STYLE")</f>
        <v>#NAME?</v>
      </c>
      <c r="J114" s="25" t="e">
        <f ca="1">_xll.EVPRO($B$1,$H114,"CALC")</f>
        <v>#NAME?</v>
      </c>
      <c r="K114" s="64" t="e">
        <f t="shared" ca="1" si="47"/>
        <v>#NAME?</v>
      </c>
      <c r="L114" s="24" t="e">
        <f ca="1">_xll.EVPRO($B$1,H114,"JDEID")</f>
        <v>#NAME?</v>
      </c>
      <c r="M114" s="24" t="e">
        <f ca="1">IF(AND(I114="N",J114="N"),_xll.EVPRO($B$1,H114,"PSFTID"),"")</f>
        <v>#NAME?</v>
      </c>
      <c r="N114" s="24" t="e">
        <f ca="1">IF(_xll.EVDES(H114,$B$1)="#NODATA","",_xll.EVDES(H114,$B$1))</f>
        <v>#NAME?</v>
      </c>
      <c r="O114" s="35">
        <v>1009.74</v>
      </c>
      <c r="P114" s="35"/>
      <c r="Q114" s="35"/>
      <c r="R114" s="35"/>
      <c r="S114" s="35"/>
      <c r="T114" s="35"/>
      <c r="U114" s="35"/>
      <c r="V114" s="35"/>
      <c r="W114" s="35"/>
      <c r="X114" s="35"/>
      <c r="Y114" s="35"/>
      <c r="Z114" s="35">
        <v>792</v>
      </c>
      <c r="AA114" s="283" t="e">
        <f t="shared" ca="1" si="43"/>
        <v>#NAME?</v>
      </c>
      <c r="AB114" s="36" t="e">
        <f t="shared" ca="1" si="44"/>
        <v>#NAME?</v>
      </c>
      <c r="AD114" s="35"/>
      <c r="AE114" s="36" t="str">
        <f t="shared" si="45"/>
        <v/>
      </c>
      <c r="AF114" s="118" t="e">
        <f t="shared" ca="1" si="46"/>
        <v>#NAME?</v>
      </c>
      <c r="AG114" s="35">
        <v>33396.730000000003</v>
      </c>
      <c r="AH114" s="36" t="str">
        <f t="shared" ca="1" si="48"/>
        <v/>
      </c>
      <c r="AI114" s="118" t="e">
        <f t="shared" ca="1" si="49"/>
        <v>#NAME?</v>
      </c>
      <c r="AJ114" s="322">
        <f t="shared" ca="1" si="50"/>
        <v>0</v>
      </c>
      <c r="AK114" s="323">
        <f t="shared" ca="1" si="51"/>
        <v>0</v>
      </c>
      <c r="AL114" s="324">
        <f t="shared" ca="1" si="52"/>
        <v>0</v>
      </c>
      <c r="AM114" s="359">
        <f t="shared" ca="1" si="53"/>
        <v>0</v>
      </c>
      <c r="AN114" s="358">
        <f t="shared" ca="1" si="54"/>
        <v>0</v>
      </c>
    </row>
    <row r="115" spans="1:40" x14ac:dyDescent="0.2">
      <c r="A115" s="6" t="s">
        <v>26</v>
      </c>
      <c r="B115" s="7"/>
      <c r="H115" s="133" t="s">
        <v>881</v>
      </c>
      <c r="I115" s="25" t="e">
        <f ca="1">_xll.EVPRO($B$1,$H115,"STYLE")</f>
        <v>#NAME?</v>
      </c>
      <c r="J115" s="25" t="e">
        <f ca="1">_xll.EVPRO($B$1,$H115,"CALC")</f>
        <v>#NAME?</v>
      </c>
      <c r="K115" s="64" t="e">
        <f t="shared" ca="1" si="47"/>
        <v>#NAME?</v>
      </c>
      <c r="L115" s="24" t="e">
        <f ca="1">_xll.EVPRO($B$1,H115,"JDEID")</f>
        <v>#NAME?</v>
      </c>
      <c r="M115" s="24" t="e">
        <f ca="1">IF(AND(I115="N",J115="N"),_xll.EVPRO($B$1,H115,"PSFTID"),"")</f>
        <v>#NAME?</v>
      </c>
      <c r="N115" s="24" t="e">
        <f ca="1">IF(_xll.EVDES(H115,$B$1)="#NODATA","",_xll.EVDES(H115,$B$1))</f>
        <v>#NAME?</v>
      </c>
      <c r="O115" s="35"/>
      <c r="P115" s="35">
        <v>250</v>
      </c>
      <c r="Q115" s="35"/>
      <c r="R115" s="35"/>
      <c r="S115" s="35"/>
      <c r="T115" s="35"/>
      <c r="U115" s="35"/>
      <c r="V115" s="35"/>
      <c r="W115" s="35"/>
      <c r="X115" s="35"/>
      <c r="Y115" s="35"/>
      <c r="Z115" s="35"/>
      <c r="AA115" s="283" t="e">
        <f t="shared" ca="1" si="43"/>
        <v>#NAME?</v>
      </c>
      <c r="AB115" s="36" t="e">
        <f t="shared" ca="1" si="44"/>
        <v>#NAME?</v>
      </c>
      <c r="AD115" s="35"/>
      <c r="AE115" s="36" t="str">
        <f t="shared" si="45"/>
        <v/>
      </c>
      <c r="AF115" s="118" t="e">
        <f t="shared" ca="1" si="46"/>
        <v>#NAME?</v>
      </c>
      <c r="AG115" s="35">
        <v>4733</v>
      </c>
      <c r="AH115" s="36" t="str">
        <f t="shared" ca="1" si="48"/>
        <v/>
      </c>
      <c r="AI115" s="118" t="e">
        <f t="shared" ca="1" si="49"/>
        <v>#NAME?</v>
      </c>
      <c r="AJ115" s="322">
        <f t="shared" ca="1" si="50"/>
        <v>0</v>
      </c>
      <c r="AK115" s="323">
        <f t="shared" ca="1" si="51"/>
        <v>0</v>
      </c>
      <c r="AL115" s="324">
        <f t="shared" ca="1" si="52"/>
        <v>0</v>
      </c>
      <c r="AM115" s="359">
        <f t="shared" ca="1" si="53"/>
        <v>0</v>
      </c>
      <c r="AN115" s="358">
        <f t="shared" ca="1" si="54"/>
        <v>0</v>
      </c>
    </row>
    <row r="116" spans="1:40" x14ac:dyDescent="0.2">
      <c r="A116" s="6" t="s">
        <v>27</v>
      </c>
      <c r="B116" s="7"/>
      <c r="H116" s="133" t="s">
        <v>842</v>
      </c>
      <c r="I116" s="25" t="e">
        <f ca="1">_xll.EVPRO($B$1,$H116,"STYLE")</f>
        <v>#NAME?</v>
      </c>
      <c r="J116" s="25" t="e">
        <f ca="1">_xll.EVPRO($B$1,$H116,"CALC")</f>
        <v>#NAME?</v>
      </c>
      <c r="K116" s="64" t="e">
        <f t="shared" ca="1" si="47"/>
        <v>#NAME?</v>
      </c>
      <c r="L116" s="24" t="e">
        <f ca="1">_xll.EVPRO($B$1,H116,"JDEID")</f>
        <v>#NAME?</v>
      </c>
      <c r="M116" s="24" t="e">
        <f ca="1">IF(AND(I116="N",J116="N"),_xll.EVPRO($B$1,H116,"PSFTID"),"")</f>
        <v>#NAME?</v>
      </c>
      <c r="N116" s="24" t="e">
        <f ca="1">IF(_xll.EVDES(H116,$B$1)="#NODATA","",_xll.EVDES(H116,$B$1))</f>
        <v>#NAME?</v>
      </c>
      <c r="O116" s="35"/>
      <c r="P116" s="35"/>
      <c r="Q116" s="35"/>
      <c r="R116" s="35"/>
      <c r="S116" s="35"/>
      <c r="T116" s="35"/>
      <c r="U116" s="35"/>
      <c r="V116" s="35"/>
      <c r="W116" s="35"/>
      <c r="X116" s="35"/>
      <c r="Y116" s="35"/>
      <c r="Z116" s="35"/>
      <c r="AA116" s="283" t="e">
        <f t="shared" ca="1" si="43"/>
        <v>#NAME?</v>
      </c>
      <c r="AB116" s="36" t="e">
        <f t="shared" ca="1" si="44"/>
        <v>#NAME?</v>
      </c>
      <c r="AD116" s="35"/>
      <c r="AE116" s="36" t="str">
        <f t="shared" si="45"/>
        <v/>
      </c>
      <c r="AF116" s="118" t="e">
        <f t="shared" ca="1" si="46"/>
        <v>#NAME?</v>
      </c>
      <c r="AG116" s="35">
        <v>3146</v>
      </c>
      <c r="AH116" s="36" t="str">
        <f t="shared" ca="1" si="48"/>
        <v/>
      </c>
      <c r="AI116" s="118" t="e">
        <f t="shared" ca="1" si="49"/>
        <v>#NAME?</v>
      </c>
      <c r="AJ116" s="322">
        <f t="shared" ca="1" si="50"/>
        <v>0</v>
      </c>
      <c r="AK116" s="323">
        <f t="shared" ca="1" si="51"/>
        <v>0</v>
      </c>
      <c r="AL116" s="324">
        <f t="shared" ca="1" si="52"/>
        <v>0</v>
      </c>
      <c r="AM116" s="359">
        <f t="shared" ca="1" si="53"/>
        <v>0</v>
      </c>
      <c r="AN116" s="358">
        <f t="shared" ca="1" si="54"/>
        <v>0</v>
      </c>
    </row>
    <row r="117" spans="1:40" x14ac:dyDescent="0.2">
      <c r="A117" s="6" t="s">
        <v>28</v>
      </c>
      <c r="B117" s="7"/>
      <c r="H117" s="133" t="s">
        <v>845</v>
      </c>
      <c r="I117" s="25" t="e">
        <f ca="1">_xll.EVPRO($B$1,$H117,"STYLE")</f>
        <v>#NAME?</v>
      </c>
      <c r="J117" s="25" t="e">
        <f ca="1">_xll.EVPRO($B$1,$H117,"CALC")</f>
        <v>#NAME?</v>
      </c>
      <c r="K117" s="64" t="e">
        <f t="shared" ca="1" si="47"/>
        <v>#NAME?</v>
      </c>
      <c r="L117" s="24" t="e">
        <f ca="1">_xll.EVPRO($B$1,H117,"JDEID")</f>
        <v>#NAME?</v>
      </c>
      <c r="M117" s="24" t="e">
        <f ca="1">IF(AND(I117="N",J117="N"),_xll.EVPRO($B$1,H117,"PSFTID"),"")</f>
        <v>#NAME?</v>
      </c>
      <c r="N117" s="24" t="e">
        <f ca="1">IF(_xll.EVDES(H117,$B$1)="#NODATA","",_xll.EVDES(H117,$B$1))</f>
        <v>#NAME?</v>
      </c>
      <c r="O117" s="35"/>
      <c r="P117" s="35"/>
      <c r="Q117" s="35"/>
      <c r="R117" s="35"/>
      <c r="S117" s="35"/>
      <c r="T117" s="35"/>
      <c r="U117" s="35"/>
      <c r="V117" s="35"/>
      <c r="W117" s="35"/>
      <c r="X117" s="35"/>
      <c r="Y117" s="35"/>
      <c r="Z117" s="35"/>
      <c r="AA117" s="283" t="e">
        <f t="shared" ca="1" si="43"/>
        <v>#NAME?</v>
      </c>
      <c r="AB117" s="36" t="e">
        <f t="shared" ca="1" si="44"/>
        <v>#NAME?</v>
      </c>
      <c r="AD117" s="35"/>
      <c r="AE117" s="36" t="str">
        <f t="shared" si="45"/>
        <v/>
      </c>
      <c r="AF117" s="118" t="e">
        <f t="shared" ca="1" si="46"/>
        <v>#NAME?</v>
      </c>
      <c r="AG117" s="35">
        <v>1194.76</v>
      </c>
      <c r="AH117" s="36" t="str">
        <f t="shared" ca="1" si="48"/>
        <v/>
      </c>
      <c r="AI117" s="118" t="e">
        <f t="shared" ca="1" si="49"/>
        <v>#NAME?</v>
      </c>
      <c r="AJ117" s="322">
        <f t="shared" ca="1" si="50"/>
        <v>0</v>
      </c>
      <c r="AK117" s="323">
        <f t="shared" ca="1" si="51"/>
        <v>0</v>
      </c>
      <c r="AL117" s="324">
        <f t="shared" ca="1" si="52"/>
        <v>0</v>
      </c>
      <c r="AM117" s="359">
        <f t="shared" ca="1" si="53"/>
        <v>0</v>
      </c>
      <c r="AN117" s="358">
        <f t="shared" ca="1" si="54"/>
        <v>0</v>
      </c>
    </row>
    <row r="118" spans="1:40" x14ac:dyDescent="0.2">
      <c r="A118" s="6" t="s">
        <v>29</v>
      </c>
      <c r="B118" s="7"/>
      <c r="H118" s="10" t="s">
        <v>79</v>
      </c>
      <c r="I118" s="25" t="e">
        <f ca="1">_xll.EVPRO($B$1,$H118,"STYLE")</f>
        <v>#NAME?</v>
      </c>
      <c r="J118" s="25" t="e">
        <f ca="1">_xll.EVPRO($B$1,$H118,"CALC")</f>
        <v>#NAME?</v>
      </c>
      <c r="K118" s="24"/>
      <c r="L118" s="24"/>
      <c r="M118" s="24"/>
      <c r="N118" s="23" t="e">
        <f ca="1">IF(_xll.EVDES(H118,$B$1)="#NODATA","",_xll.EVDES(H118,$B$1))</f>
        <v>#NAME?</v>
      </c>
      <c r="O118" s="30">
        <v>3086.55</v>
      </c>
      <c r="P118" s="30">
        <v>270</v>
      </c>
      <c r="Q118" s="30">
        <v>-43.94</v>
      </c>
      <c r="R118" s="30"/>
      <c r="S118" s="30"/>
      <c r="T118" s="30"/>
      <c r="U118" s="30">
        <v>-194.74</v>
      </c>
      <c r="V118" s="30"/>
      <c r="W118" s="30">
        <v>-0.17</v>
      </c>
      <c r="X118" s="30"/>
      <c r="Y118" s="30"/>
      <c r="Z118" s="30">
        <v>792</v>
      </c>
      <c r="AA118" s="30" t="e">
        <f t="shared" ca="1" si="43"/>
        <v>#NAME?</v>
      </c>
      <c r="AB118" s="31" t="e">
        <f t="shared" ca="1" si="44"/>
        <v>#NAME?</v>
      </c>
      <c r="AD118" s="30">
        <v>618</v>
      </c>
      <c r="AE118" s="31" t="str">
        <f t="shared" ca="1" si="45"/>
        <v/>
      </c>
      <c r="AF118" s="49" t="e">
        <f t="shared" ca="1" si="46"/>
        <v>#NAME?</v>
      </c>
      <c r="AG118" s="30">
        <v>216514.67</v>
      </c>
      <c r="AH118" s="31" t="str">
        <f ca="1">IF(AG118=0,"",IFERROR(AG118/AG$19,""))</f>
        <v/>
      </c>
      <c r="AI118" s="49" t="e">
        <f ca="1">IF(AND($AA118="",AG118=""),"",$AA118-AG118)</f>
        <v>#NAME?</v>
      </c>
      <c r="AJ118" s="387">
        <f ca="1">IFERROR(AA118/AA$20,0)</f>
        <v>0</v>
      </c>
      <c r="AK118" s="388">
        <f ca="1">IFERROR(AD118/AD$20,0)</f>
        <v>0</v>
      </c>
      <c r="AL118" s="389">
        <f ca="1">IFERROR(AG118/AG$20,0)</f>
        <v>0</v>
      </c>
      <c r="AM118" s="390">
        <f ca="1">+IFERROR(ROUND(($AB118-AE118)*100,2)&amp;" pts.",0)</f>
        <v>0</v>
      </c>
      <c r="AN118" s="391">
        <f ca="1">+IFERROR(ROUND(($AB118-AH118)*100,2)&amp;" pts.",0)</f>
        <v>0</v>
      </c>
    </row>
    <row r="119" spans="1:40" x14ac:dyDescent="0.2">
      <c r="A119" s="6" t="s">
        <v>30</v>
      </c>
      <c r="B119" s="7" t="s">
        <v>78</v>
      </c>
      <c r="O119" s="147"/>
      <c r="P119" s="147"/>
      <c r="Q119" s="147"/>
      <c r="R119" s="147"/>
      <c r="S119" s="147"/>
      <c r="T119" s="147"/>
      <c r="U119" s="147"/>
      <c r="V119" s="147"/>
      <c r="W119" s="147"/>
      <c r="X119" s="147"/>
      <c r="Y119" s="147"/>
      <c r="Z119" s="147"/>
      <c r="AA119" s="147"/>
      <c r="AD119" s="147"/>
      <c r="AG119" s="147"/>
    </row>
    <row r="120" spans="1:40" x14ac:dyDescent="0.2">
      <c r="A120" s="6" t="s">
        <v>31</v>
      </c>
      <c r="B120" s="7" t="s">
        <v>78</v>
      </c>
      <c r="H120" s="10" t="s">
        <v>80</v>
      </c>
      <c r="I120" s="25" t="e">
        <f ca="1">_xll.EVPRO($B$1,$H120,"STYLE")</f>
        <v>#NAME?</v>
      </c>
      <c r="J120" s="25" t="e">
        <f ca="1">_xll.EVPRO($B$1,$H120,"CALC")</f>
        <v>#NAME?</v>
      </c>
      <c r="K120" s="23"/>
      <c r="L120" s="23"/>
      <c r="M120" s="23"/>
      <c r="N120" s="23" t="e">
        <f ca="1">IF(_xll.EVDES(H120,$B$1)="#NODATA","",_xll.EVDES(H120,$B$1))</f>
        <v>#NAME?</v>
      </c>
      <c r="O120" s="33">
        <v>19408.16</v>
      </c>
      <c r="P120" s="33">
        <v>2635.38</v>
      </c>
      <c r="Q120" s="33">
        <v>-43.94</v>
      </c>
      <c r="R120" s="33"/>
      <c r="S120" s="33"/>
      <c r="T120" s="33"/>
      <c r="U120" s="33">
        <v>-194.74</v>
      </c>
      <c r="V120" s="33"/>
      <c r="W120" s="33">
        <v>-0.17</v>
      </c>
      <c r="X120" s="33"/>
      <c r="Y120" s="33"/>
      <c r="Z120" s="33">
        <v>385.34</v>
      </c>
      <c r="AA120" s="33" t="e">
        <f ca="1">IF($I120="B1","",SUM(O120:Z120))</f>
        <v>#NAME?</v>
      </c>
      <c r="AB120" s="34" t="e">
        <f ca="1">IF(AA120=0,"",IFERROR(AA120/AA$19,""))</f>
        <v>#NAME?</v>
      </c>
      <c r="AD120" s="33">
        <v>618</v>
      </c>
      <c r="AE120" s="34" t="str">
        <f ca="1">IF(AD120=0,"",IFERROR(AD120/AD$19,""))</f>
        <v/>
      </c>
      <c r="AF120" s="55" t="e">
        <f ca="1">IF(AND($AA120="",AD120=""),"",$AA120-AD120)</f>
        <v>#NAME?</v>
      </c>
      <c r="AG120" s="56">
        <v>1609029.13</v>
      </c>
      <c r="AH120" s="57" t="str">
        <f ca="1">IF(AG120=0,"",IFERROR(AG120/AG$19,""))</f>
        <v/>
      </c>
      <c r="AI120" s="55" t="e">
        <f ca="1">IF(AND($AA120="",AG120=""),"",$AA120-AG120)</f>
        <v>#NAME?</v>
      </c>
      <c r="AJ120" s="364">
        <f ca="1">IFERROR(AA120/AA$20,0)</f>
        <v>0</v>
      </c>
      <c r="AK120" s="365">
        <f ca="1">IFERROR(AD120/AD$20,0)</f>
        <v>0</v>
      </c>
      <c r="AL120" s="366">
        <f ca="1">IFERROR(AG120/AG$20,0)</f>
        <v>0</v>
      </c>
      <c r="AM120" s="367">
        <f ca="1">+IFERROR(ROUND(($AB120-AE120)*100,2)&amp;" pts.",0)</f>
        <v>0</v>
      </c>
      <c r="AN120" s="368">
        <f ca="1">+IFERROR(ROUND(($AB120-AH120)*100,2)&amp;" pts.",0)</f>
        <v>0</v>
      </c>
    </row>
    <row r="121" spans="1:40" ht="16" thickBot="1" x14ac:dyDescent="0.25">
      <c r="A121" s="6" t="s">
        <v>32</v>
      </c>
      <c r="B121" s="7"/>
      <c r="H121" s="10" t="s">
        <v>81</v>
      </c>
      <c r="I121" s="25" t="e">
        <f ca="1">_xll.EVPRO($B$1,$H121,"STYLE")</f>
        <v>#NAME?</v>
      </c>
      <c r="J121" s="25" t="e">
        <f ca="1">_xll.EVPRO($B$1,$H121,"CALC")</f>
        <v>#NAME?</v>
      </c>
      <c r="K121" s="23"/>
      <c r="L121" s="23"/>
      <c r="M121" s="23"/>
      <c r="N121" s="23" t="e">
        <f ca="1">IF(_xll.EVDES(H121,$B$1)="#NODATA","",_xll.EVDES(H121,$B$1))</f>
        <v>#NAME?</v>
      </c>
      <c r="O121" s="58">
        <v>9311.07</v>
      </c>
      <c r="P121" s="58">
        <v>-4422.6000000000004</v>
      </c>
      <c r="Q121" s="58">
        <v>5226.66</v>
      </c>
      <c r="R121" s="58">
        <v>3407.63</v>
      </c>
      <c r="S121" s="58">
        <v>3431.81</v>
      </c>
      <c r="T121" s="58">
        <v>3462.44</v>
      </c>
      <c r="U121" s="58">
        <v>2638.83</v>
      </c>
      <c r="V121" s="58">
        <v>4054.77</v>
      </c>
      <c r="W121" s="58">
        <v>4319.1499999999996</v>
      </c>
      <c r="X121" s="58">
        <v>2962.73</v>
      </c>
      <c r="Y121" s="58">
        <v>3043.83</v>
      </c>
      <c r="Z121" s="58">
        <v>3733.31</v>
      </c>
      <c r="AA121" s="58" t="e">
        <f ca="1">IF($I121="B1","",SUM(O121:Z121))</f>
        <v>#NAME?</v>
      </c>
      <c r="AB121" s="59" t="e">
        <f ca="1">IF(AA121=0,"",IFERROR(AA121/AA$19,""))</f>
        <v>#NAME?</v>
      </c>
      <c r="AD121" s="58">
        <v>48440.499349999998</v>
      </c>
      <c r="AE121" s="59" t="str">
        <f ca="1">IF(AD121=0,"",IFERROR(AD121/AD$19,""))</f>
        <v/>
      </c>
      <c r="AF121" s="60" t="e">
        <f ca="1">IF(AND($AA121="",AD121=""),"",$AA121-AD121)</f>
        <v>#NAME?</v>
      </c>
      <c r="AG121" s="58">
        <v>71190.910000000498</v>
      </c>
      <c r="AH121" s="59" t="str">
        <f ca="1">IF(AG121=0,"",IFERROR(AG121/AG$19,""))</f>
        <v/>
      </c>
      <c r="AI121" s="60" t="e">
        <f ca="1">IF(AND($AA121="",AG121=""),"",$AA121-AG121)</f>
        <v>#NAME?</v>
      </c>
      <c r="AJ121" s="402">
        <f ca="1">IFERROR(AA121/AA$20,0)</f>
        <v>0</v>
      </c>
      <c r="AK121" s="403">
        <f ca="1">IFERROR(AD121/AD$20,0)</f>
        <v>0</v>
      </c>
      <c r="AL121" s="404">
        <f ca="1">IFERROR(AG121/AG$20,0)</f>
        <v>0</v>
      </c>
      <c r="AM121" s="405">
        <f ca="1">+IFERROR(ROUND(($AB121-AE121)*100,2)&amp;" pts.",0)</f>
        <v>0</v>
      </c>
      <c r="AN121" s="406">
        <f ca="1">+IFERROR(ROUND(($AB121-AH121)*100,2)&amp;" pts.",0)</f>
        <v>0</v>
      </c>
    </row>
    <row r="122" spans="1:40" ht="16" thickTop="1" x14ac:dyDescent="0.2">
      <c r="A122" s="6" t="s">
        <v>33</v>
      </c>
      <c r="B122" s="7"/>
    </row>
    <row r="123" spans="1:40" x14ac:dyDescent="0.2">
      <c r="A123" s="6" t="s">
        <v>34</v>
      </c>
      <c r="B123" s="7"/>
      <c r="N123" s="24" t="e">
        <f ca="1">N120&amp;" - Check"</f>
        <v>#NAME?</v>
      </c>
      <c r="O123" s="124">
        <f t="shared" ref="O123:AA123" si="55">SUMIF($H$35:$H$121,"600000",O$35:O$121)+SUMIF($H$35:$H$121,"700000",O$35:O$121)-SUMIF($H$35:$H$121,"TOTDEPTEXP",O$35:O$121)</f>
        <v>0</v>
      </c>
      <c r="P123" s="124">
        <f t="shared" si="55"/>
        <v>0</v>
      </c>
      <c r="Q123" s="124">
        <f t="shared" si="55"/>
        <v>0</v>
      </c>
      <c r="R123" s="124">
        <f t="shared" si="55"/>
        <v>0</v>
      </c>
      <c r="S123" s="124">
        <f t="shared" si="55"/>
        <v>0</v>
      </c>
      <c r="T123" s="124">
        <f t="shared" si="55"/>
        <v>0</v>
      </c>
      <c r="U123" s="124">
        <f t="shared" si="55"/>
        <v>0</v>
      </c>
      <c r="V123" s="124">
        <f t="shared" si="55"/>
        <v>0</v>
      </c>
      <c r="W123" s="124">
        <f t="shared" si="55"/>
        <v>0</v>
      </c>
      <c r="X123" s="124">
        <f t="shared" si="55"/>
        <v>0</v>
      </c>
      <c r="Y123" s="124">
        <f t="shared" si="55"/>
        <v>0</v>
      </c>
      <c r="Z123" s="124">
        <f t="shared" si="55"/>
        <v>0</v>
      </c>
      <c r="AA123" s="124" t="e">
        <f t="shared" ca="1" si="55"/>
        <v>#NAME?</v>
      </c>
      <c r="AB123" s="15"/>
      <c r="AD123" s="124">
        <f>SUMIF($H$35:$H$121,"600000",AD$35:AD$121)+SUMIF($H$35:$H$121,"700000",AD$35:AD$121)-SUMIF($H$35:$H$121,"TOTDEPTEXP",AD$35:AD$121)</f>
        <v>0</v>
      </c>
      <c r="AE123" s="15"/>
      <c r="AF123" s="19"/>
      <c r="AG123" s="124">
        <f>SUMIF($H$35:$H$121,"600000",AG$35:AG$121)+SUMIF($H$35:$H$121,"700000",AG$35:AG$121)-SUMIF($H$35:$H$121,"TOTDEPTEXP",AG$35:AG$121)</f>
        <v>0</v>
      </c>
      <c r="AH123" s="15"/>
      <c r="AI123" s="19"/>
    </row>
    <row r="124" spans="1:40" x14ac:dyDescent="0.2">
      <c r="A124" s="6" t="s">
        <v>35</v>
      </c>
      <c r="B124" s="7"/>
      <c r="N124" s="24" t="e">
        <f ca="1">N121&amp;" - Check"</f>
        <v>#NAME?</v>
      </c>
      <c r="O124" s="124">
        <f t="shared" ref="O124:AA124" si="56">SUMIF($H$35:$H$121,"KPI_GP",O$35:O$121)-SUMIF($H$35:$H$121,"TOTDEPTEXP",O$35:O$121)-SUMIF($H$35:$H$121,"TOTDEPTPL",O$35:O$121)</f>
        <v>0</v>
      </c>
      <c r="P124" s="124">
        <f t="shared" si="56"/>
        <v>0</v>
      </c>
      <c r="Q124" s="124">
        <f t="shared" si="56"/>
        <v>0</v>
      </c>
      <c r="R124" s="124">
        <f t="shared" si="56"/>
        <v>0</v>
      </c>
      <c r="S124" s="124">
        <f t="shared" si="56"/>
        <v>0</v>
      </c>
      <c r="T124" s="124">
        <f t="shared" si="56"/>
        <v>0</v>
      </c>
      <c r="U124" s="124">
        <f t="shared" si="56"/>
        <v>0</v>
      </c>
      <c r="V124" s="124">
        <f t="shared" si="56"/>
        <v>0</v>
      </c>
      <c r="W124" s="124">
        <f t="shared" si="56"/>
        <v>0</v>
      </c>
      <c r="X124" s="124">
        <f t="shared" si="56"/>
        <v>0</v>
      </c>
      <c r="Y124" s="124">
        <f t="shared" si="56"/>
        <v>0</v>
      </c>
      <c r="Z124" s="124">
        <f t="shared" si="56"/>
        <v>0</v>
      </c>
      <c r="AA124" s="124" t="e">
        <f t="shared" ca="1" si="56"/>
        <v>#NAME?</v>
      </c>
      <c r="AB124" s="15"/>
      <c r="AD124" s="124">
        <f>SUMIF($H$35:$H$121,"KPI_GP",AD$35:AD$121)-SUMIF($H$35:$H$121,"TOTDEPTEXP",AD$35:AD$121)-SUMIF($H$35:$H$121,"TOTDEPTPL",AD$35:AD$121)</f>
        <v>0</v>
      </c>
      <c r="AE124" s="15"/>
      <c r="AF124" s="19"/>
      <c r="AG124" s="124">
        <f>SUMIF($H$35:$H$121,"KPI_GP",AG$35:AG$121)-SUMIF($H$35:$H$121,"TOTDEPTEXP",AG$35:AG$121)-SUMIF($H$35:$H$121,"TOTDEPTPL",AG$35:AG$121)</f>
        <v>-1.1641532182693481E-10</v>
      </c>
      <c r="AH124" s="15"/>
      <c r="AI124" s="19"/>
    </row>
    <row r="125" spans="1:40" x14ac:dyDescent="0.2">
      <c r="A125" s="6" t="s">
        <v>36</v>
      </c>
      <c r="B125" s="7"/>
    </row>
    <row r="126" spans="1:40" x14ac:dyDescent="0.2">
      <c r="A126" s="6" t="s">
        <v>37</v>
      </c>
      <c r="B126" s="7"/>
      <c r="O126" s="147"/>
      <c r="P126" s="147"/>
      <c r="Q126" s="147"/>
      <c r="R126" s="147"/>
      <c r="S126" s="147"/>
      <c r="T126" s="147"/>
      <c r="U126" s="147"/>
      <c r="V126" s="147"/>
      <c r="W126" s="147"/>
      <c r="X126" s="147"/>
      <c r="Y126" s="147"/>
      <c r="Z126" s="147"/>
      <c r="AA126" s="147"/>
      <c r="AD126" s="147"/>
      <c r="AF126" s="147"/>
      <c r="AG126" s="147"/>
    </row>
    <row r="127" spans="1:40" x14ac:dyDescent="0.2">
      <c r="A127" s="6" t="s">
        <v>38</v>
      </c>
      <c r="B127" s="7"/>
      <c r="O127" s="147"/>
      <c r="P127" s="147"/>
      <c r="Q127" s="147"/>
      <c r="R127" s="147"/>
      <c r="S127" s="147"/>
      <c r="T127" s="147"/>
      <c r="U127" s="147"/>
      <c r="V127" s="147"/>
      <c r="W127" s="147"/>
      <c r="X127" s="147"/>
      <c r="Y127" s="147"/>
      <c r="Z127" s="147"/>
      <c r="AA127" s="147"/>
      <c r="AD127" s="147"/>
      <c r="AF127" s="147"/>
      <c r="AG127" s="147"/>
    </row>
    <row r="128" spans="1:40" x14ac:dyDescent="0.2">
      <c r="A128" s="6" t="s">
        <v>39</v>
      </c>
      <c r="B128" s="7"/>
      <c r="O128" s="147"/>
      <c r="P128" s="147"/>
      <c r="Q128" s="147"/>
      <c r="R128" s="147"/>
      <c r="S128" s="147"/>
      <c r="T128" s="147"/>
      <c r="U128" s="147"/>
      <c r="V128" s="147"/>
      <c r="W128" s="147"/>
      <c r="X128" s="147"/>
      <c r="Y128" s="147"/>
      <c r="Z128" s="147"/>
      <c r="AA128" s="147"/>
      <c r="AD128" s="147"/>
      <c r="AG128" s="147"/>
    </row>
    <row r="129" spans="1:10" x14ac:dyDescent="0.2">
      <c r="A129" s="6" t="s">
        <v>40</v>
      </c>
      <c r="B129" s="7"/>
    </row>
    <row r="130" spans="1:10" x14ac:dyDescent="0.2">
      <c r="A130" s="6" t="s">
        <v>41</v>
      </c>
      <c r="B130" s="7"/>
    </row>
    <row r="131" spans="1:10" x14ac:dyDescent="0.2">
      <c r="A131" s="6" t="s">
        <v>42</v>
      </c>
      <c r="B131" s="7"/>
      <c r="H131" s="11"/>
      <c r="J131" s="1"/>
    </row>
    <row r="132" spans="1:10" x14ac:dyDescent="0.2">
      <c r="A132" s="6" t="s">
        <v>43</v>
      </c>
      <c r="B132" s="7"/>
      <c r="H132" s="11"/>
      <c r="J132" s="1"/>
    </row>
    <row r="133" spans="1:10" x14ac:dyDescent="0.2">
      <c r="A133" s="6" t="s">
        <v>44</v>
      </c>
      <c r="B133" s="7"/>
      <c r="H133" s="11"/>
      <c r="J133" s="1"/>
    </row>
    <row r="134" spans="1:10" x14ac:dyDescent="0.2">
      <c r="A134" s="6" t="s">
        <v>45</v>
      </c>
      <c r="B134" s="7"/>
      <c r="H134" s="11"/>
      <c r="J134" s="1"/>
    </row>
    <row r="135" spans="1:10" x14ac:dyDescent="0.2">
      <c r="A135" s="6" t="s">
        <v>46</v>
      </c>
      <c r="B135" s="7"/>
      <c r="H135" s="11"/>
      <c r="J135" s="1"/>
    </row>
    <row r="136" spans="1:10" x14ac:dyDescent="0.2">
      <c r="H136" s="11"/>
      <c r="J136" s="1"/>
    </row>
    <row r="137" spans="1:10" x14ac:dyDescent="0.2">
      <c r="H137" s="11"/>
      <c r="J137" s="1"/>
    </row>
    <row r="138" spans="1:10" x14ac:dyDescent="0.2">
      <c r="H138" s="11"/>
      <c r="J138" s="1"/>
    </row>
    <row r="139" spans="1:10" x14ac:dyDescent="0.2">
      <c r="H139" s="11"/>
      <c r="J139" s="1"/>
    </row>
    <row r="140" spans="1:10" x14ac:dyDescent="0.2">
      <c r="H140" s="11"/>
      <c r="J140" s="1"/>
    </row>
    <row r="141" spans="1:10" x14ac:dyDescent="0.2">
      <c r="H141" s="11"/>
      <c r="J141" s="1"/>
    </row>
    <row r="142" spans="1:10" x14ac:dyDescent="0.2">
      <c r="H142" s="11"/>
      <c r="J142" s="1"/>
    </row>
    <row r="143" spans="1:10" x14ac:dyDescent="0.2">
      <c r="H143" s="11"/>
      <c r="J143" s="1"/>
    </row>
    <row r="144" spans="1:10" x14ac:dyDescent="0.2">
      <c r="H144" s="11"/>
      <c r="J144" s="1"/>
    </row>
    <row r="145" spans="5:10" x14ac:dyDescent="0.2">
      <c r="H145" s="11"/>
      <c r="J145" s="1"/>
    </row>
    <row r="146" spans="5:10" x14ac:dyDescent="0.2">
      <c r="H146" s="11"/>
      <c r="J146" s="1"/>
    </row>
    <row r="147" spans="5:10" x14ac:dyDescent="0.2">
      <c r="H147" s="11"/>
      <c r="J147" s="1"/>
    </row>
    <row r="148" spans="5:10" x14ac:dyDescent="0.2">
      <c r="H148" s="11"/>
      <c r="J148" s="1"/>
    </row>
    <row r="149" spans="5:10" x14ac:dyDescent="0.2">
      <c r="H149" s="11"/>
      <c r="J149" s="1"/>
    </row>
    <row r="150" spans="5:10" x14ac:dyDescent="0.2">
      <c r="H150" s="11"/>
      <c r="J150" s="1"/>
    </row>
    <row r="151" spans="5:10" x14ac:dyDescent="0.2">
      <c r="H151" s="11"/>
      <c r="J151" s="1"/>
    </row>
    <row r="152" spans="5:10" x14ac:dyDescent="0.2">
      <c r="E152" s="72"/>
      <c r="H152" s="11"/>
      <c r="J152" s="1"/>
    </row>
    <row r="153" spans="5:10" x14ac:dyDescent="0.2">
      <c r="H153" s="11"/>
      <c r="J153" s="1"/>
    </row>
    <row r="156" spans="5:10" x14ac:dyDescent="0.2">
      <c r="E156" s="72"/>
    </row>
    <row r="192" spans="7:7" x14ac:dyDescent="0.2">
      <c r="G192" s="72"/>
    </row>
    <row r="194" spans="7:34" x14ac:dyDescent="0.2">
      <c r="I194" s="72"/>
      <c r="J194" s="1"/>
      <c r="K194" s="72"/>
      <c r="L194" s="72"/>
      <c r="M194" s="72"/>
      <c r="O194" s="72"/>
      <c r="P194" s="72"/>
      <c r="Q194" s="72"/>
      <c r="R194" s="72"/>
      <c r="S194" s="72"/>
      <c r="T194" s="72"/>
      <c r="U194" s="72"/>
      <c r="V194" s="72"/>
      <c r="W194" s="72"/>
      <c r="X194" s="72"/>
      <c r="Y194" s="72"/>
      <c r="Z194" s="72"/>
      <c r="AA194" s="72"/>
      <c r="AD194" s="72"/>
      <c r="AF194" s="72"/>
      <c r="AH194" s="72"/>
    </row>
    <row r="196" spans="7:34" x14ac:dyDescent="0.2">
      <c r="G196" s="72"/>
    </row>
    <row r="198" spans="7:34" x14ac:dyDescent="0.2">
      <c r="I198" s="72"/>
      <c r="J198" s="1"/>
      <c r="K198" s="72"/>
      <c r="L198" s="72"/>
      <c r="M198" s="72"/>
      <c r="O198" s="72"/>
      <c r="P198" s="72"/>
      <c r="Q198" s="72"/>
      <c r="R198" s="72"/>
      <c r="S198" s="72"/>
      <c r="T198" s="72"/>
      <c r="U198" s="72"/>
      <c r="V198" s="72"/>
      <c r="W198" s="72"/>
      <c r="X198" s="72"/>
      <c r="Y198" s="72"/>
      <c r="Z198" s="72"/>
      <c r="AA198" s="72"/>
      <c r="AD198" s="72"/>
      <c r="AF198" s="72"/>
      <c r="AH198" s="72"/>
    </row>
  </sheetData>
  <mergeCells count="2">
    <mergeCell ref="AD31:AE31"/>
    <mergeCell ref="AG31:AH31"/>
  </mergeCells>
  <dataValidations disablePrompts="1" count="2">
    <dataValidation type="list" allowBlank="1" sqref="B84 B51 B29:C29" xr:uid="{00000000-0002-0000-0A00-000000000000}">
      <formula1>"SELF,ALL,BAS,DEP,BASMEMBERS,MEMBERS,NOEXPAND,GDEP"</formula1>
    </dataValidation>
    <dataValidation type="list" allowBlank="1" sqref="B83 B50 B28:C28" xr:uid="{00000000-0002-0000-0A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theme="6" tint="0.39997558519241921"/>
    <pageSetUpPr fitToPage="1"/>
  </sheetPr>
  <dimension ref="A1:AI230"/>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8"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16384" width="9.1640625" style="1"/>
  </cols>
  <sheetData>
    <row r="1" spans="1:35" hidden="1" outlineLevel="1" x14ac:dyDescent="0.2">
      <c r="A1" s="8" t="s">
        <v>48</v>
      </c>
      <c r="B1" s="2" t="s">
        <v>49</v>
      </c>
      <c r="C1" s="8" t="e">
        <f ca="1">_xll.EVAPD($B$1)</f>
        <v>#NAME?</v>
      </c>
      <c r="I1" s="1"/>
      <c r="J1" s="1"/>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c r="L4" s="11"/>
      <c r="M4" s="11"/>
    </row>
    <row r="5" spans="1:35" hidden="1" outlineLevel="1" x14ac:dyDescent="0.2">
      <c r="A5" s="8" t="s">
        <v>51</v>
      </c>
      <c r="B5" s="12" t="s">
        <v>59</v>
      </c>
      <c r="C5" s="1" t="e">
        <f ca="1">_xll.EVDES(B5,$B$1)</f>
        <v>#NAME?</v>
      </c>
      <c r="L5" s="11"/>
      <c r="M5" s="11"/>
    </row>
    <row r="6" spans="1:35" hidden="1" outlineLevel="1" x14ac:dyDescent="0.2">
      <c r="A6" s="8" t="s">
        <v>52</v>
      </c>
      <c r="B6" s="12" t="s">
        <v>358</v>
      </c>
      <c r="C6" s="1" t="e">
        <f ca="1">_xll.EVDES(B6,$B$1)</f>
        <v>#NAME?</v>
      </c>
      <c r="E6" s="46" t="e">
        <f ca="1">_xll.EVPRO($B$1,$B$6,$F$6)</f>
        <v>#NAME?</v>
      </c>
      <c r="F6" s="1" t="s">
        <v>278</v>
      </c>
      <c r="L6" s="11"/>
      <c r="M6" s="11"/>
    </row>
    <row r="7" spans="1:35" hidden="1" outlineLevel="1" x14ac:dyDescent="0.2">
      <c r="A7" s="8" t="s">
        <v>53</v>
      </c>
      <c r="B7" s="12" t="s">
        <v>61</v>
      </c>
      <c r="C7" s="1" t="e">
        <f ca="1">_xll.EVDES(B7,$B$1)</f>
        <v>#NAME?</v>
      </c>
      <c r="L7" s="11"/>
      <c r="M7" s="11"/>
    </row>
    <row r="8" spans="1:35" hidden="1" outlineLevel="1" x14ac:dyDescent="0.2">
      <c r="A8" s="8" t="s">
        <v>20</v>
      </c>
      <c r="B8" s="12" t="s">
        <v>63</v>
      </c>
      <c r="C8" s="1" t="e">
        <f ca="1">_xll.EVDES(B8,$B$1)</f>
        <v>#NAME?</v>
      </c>
      <c r="L8" s="11"/>
      <c r="M8" s="11"/>
    </row>
    <row r="9" spans="1:35" hidden="1" outlineLevel="1" x14ac:dyDescent="0.2">
      <c r="A9" s="8" t="s">
        <v>54</v>
      </c>
      <c r="B9" s="9" t="e">
        <f ca="1">'29kbtUVTfkeuWbdEUFpQfA=='!$D$10</f>
        <v>#NAME?</v>
      </c>
      <c r="C9" s="1" t="e">
        <f ca="1">_xll.EVDES(B9,$B$1)</f>
        <v>#NAME?</v>
      </c>
      <c r="L9" s="11"/>
      <c r="M9" s="11"/>
    </row>
    <row r="10" spans="1:35" hidden="1" outlineLevel="1" x14ac:dyDescent="0.2">
      <c r="A10" s="8" t="s">
        <v>18</v>
      </c>
      <c r="B10" s="9" t="e">
        <f ca="1">'29kbtUVTfkeuWbdEUFpQfA=='!$D$7</f>
        <v>#NAME?</v>
      </c>
      <c r="C10" s="1" t="e">
        <f ca="1">_xll.EVDES(B10,$B$1)</f>
        <v>#NAME?</v>
      </c>
      <c r="D10" s="212" t="e">
        <f ca="1">_xll.EVPRO($B$1,$B$10,"Group")</f>
        <v>#NAME?</v>
      </c>
      <c r="L10" s="11"/>
      <c r="M10" s="11"/>
    </row>
    <row r="11" spans="1:35" hidden="1" outlineLevel="1" x14ac:dyDescent="0.2">
      <c r="B11" s="8"/>
      <c r="L11" s="11"/>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L12" s="11"/>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L13" s="11"/>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f>
        <v>#NAME?</v>
      </c>
      <c r="L14" s="11"/>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L15" s="11"/>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L16" s="11"/>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35" hidden="1" outlineLevel="1" x14ac:dyDescent="0.2">
      <c r="A17" s="6" t="s">
        <v>2</v>
      </c>
      <c r="B17" s="7" t="e">
        <f ca="1">_xll.EVRNG($B$2:$B$10)</f>
        <v>#NAME?</v>
      </c>
      <c r="L17" s="11"/>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35" hidden="1" outlineLevel="1" x14ac:dyDescent="0.2">
      <c r="A18" s="6" t="s">
        <v>3</v>
      </c>
      <c r="B18" s="7" t="e">
        <f ca="1">_xll.EVRNG(O16:AI18)</f>
        <v>#NAME?</v>
      </c>
      <c r="L18" s="11"/>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2" t="e">
        <f ca="1">AA11</f>
        <v>#NAME?</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35" hidden="1" outlineLevel="1" x14ac:dyDescent="0.2">
      <c r="A19" s="6" t="s">
        <v>4</v>
      </c>
      <c r="B19" s="7" t="e">
        <f ca="1">_xll.EVRNG(H35:H175)</f>
        <v>#NAME?</v>
      </c>
      <c r="G19" s="16" t="str">
        <f>$B$6</f>
        <v>D_REST_CON</v>
      </c>
      <c r="H19" s="16" t="s">
        <v>273</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35" hidden="1" outlineLevel="1" x14ac:dyDescent="0.2">
      <c r="A20" s="6" t="s">
        <v>5</v>
      </c>
      <c r="B20" s="7"/>
      <c r="G20" s="16" t="str">
        <f>$B$6</f>
        <v>D_REST_CON</v>
      </c>
      <c r="H20" s="16">
        <v>946000</v>
      </c>
      <c r="I20" s="17"/>
      <c r="J20" s="17"/>
      <c r="K20" s="16"/>
      <c r="L20" s="16"/>
      <c r="M20" s="16"/>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35" hidden="1" outlineLevel="1" x14ac:dyDescent="0.2">
      <c r="A21" s="6" t="s">
        <v>6</v>
      </c>
      <c r="B21" s="7"/>
      <c r="I21" s="1"/>
      <c r="J21" s="1"/>
    </row>
    <row r="22" spans="1:35" hidden="1" outlineLevel="1" x14ac:dyDescent="0.2">
      <c r="A22" s="6" t="s">
        <v>7</v>
      </c>
      <c r="B22" s="7"/>
      <c r="I22" s="1"/>
      <c r="J22" s="1"/>
    </row>
    <row r="23" spans="1:35" hidden="1" outlineLevel="1" x14ac:dyDescent="0.2">
      <c r="A23" s="6" t="s">
        <v>47</v>
      </c>
      <c r="B23" s="7" t="e">
        <f ca="1">_xll.EVRNG($A$37:$B$58)</f>
        <v>#NAME?</v>
      </c>
      <c r="K23" s="53"/>
      <c r="L23" s="53"/>
      <c r="M23" s="53"/>
      <c r="AD23" s="136"/>
    </row>
    <row r="24" spans="1:35" hidden="1" outlineLevel="1" x14ac:dyDescent="0.2">
      <c r="A24" s="6" t="s">
        <v>8</v>
      </c>
      <c r="B24" s="7"/>
    </row>
    <row r="25" spans="1:35" collapsed="1" x14ac:dyDescent="0.2"/>
    <row r="26" spans="1:35" ht="23" x14ac:dyDescent="0.25">
      <c r="A26" s="3" t="s">
        <v>9</v>
      </c>
      <c r="B26" s="5" t="s">
        <v>10</v>
      </c>
      <c r="N26" s="61" t="e">
        <f ca="1">IF(_xll.EVDES(B3,$B$1)="#NODATA","",_xll.EVDES(B3,$B$1))</f>
        <v>#NAME?</v>
      </c>
    </row>
    <row r="27" spans="1:35" ht="18" x14ac:dyDescent="0.2">
      <c r="A27" s="6" t="s">
        <v>11</v>
      </c>
      <c r="B27" s="7" t="s">
        <v>21</v>
      </c>
      <c r="N27" s="66" t="e">
        <f ca="1">IF(_xll.EVDES(B6,$B$1)="#NODATA","",_xll.EVDES(B6,$B$1)&amp;" Department")</f>
        <v>#NAME?</v>
      </c>
    </row>
    <row r="28" spans="1:35" ht="16" x14ac:dyDescent="0.2">
      <c r="A28" s="6" t="s">
        <v>12</v>
      </c>
      <c r="B28" s="7" t="s">
        <v>22</v>
      </c>
      <c r="N28" s="67" t="e">
        <f ca="1">"For the Period ended"&amp;" "&amp;IF(_xll.EVDES($B$10,$B$1)="#NODATA","",_xll.EVDES($B$10,$B$1))</f>
        <v>#NAME?</v>
      </c>
    </row>
    <row r="29" spans="1:35" ht="15" customHeight="1" x14ac:dyDescent="0.2">
      <c r="A29" s="6" t="s">
        <v>13</v>
      </c>
      <c r="B29" s="7" t="s">
        <v>293</v>
      </c>
      <c r="N29" s="67" t="e">
        <f ca="1">_xll.EVDES(B9,B1)</f>
        <v>#NAME?</v>
      </c>
      <c r="O29" s="62" t="s">
        <v>344</v>
      </c>
      <c r="P29" s="62"/>
      <c r="Q29" s="62"/>
      <c r="R29" s="62"/>
      <c r="S29" s="62"/>
      <c r="T29" s="62"/>
      <c r="U29" s="62"/>
      <c r="V29" s="62"/>
      <c r="W29" s="62"/>
      <c r="X29" s="62"/>
      <c r="Y29" s="62"/>
      <c r="Z29" s="62"/>
      <c r="AA29" s="62"/>
    </row>
    <row r="30" spans="1:35"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row>
    <row r="31" spans="1:35" x14ac:dyDescent="0.2">
      <c r="A31" s="6" t="s">
        <v>15</v>
      </c>
      <c r="B31" s="7"/>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row>
    <row r="32" spans="1:35" s="232" customFormat="1" ht="30" customHeight="1" x14ac:dyDescent="0.2">
      <c r="A32" s="230" t="s">
        <v>16</v>
      </c>
      <c r="B32" s="231"/>
      <c r="H32" s="233"/>
      <c r="I32" s="234"/>
      <c r="J32" s="234"/>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row>
    <row r="33" spans="1:35" ht="16" x14ac:dyDescent="0.2">
      <c r="A33" s="6" t="s">
        <v>17</v>
      </c>
      <c r="B33" s="7"/>
      <c r="N33" s="155" t="s">
        <v>330</v>
      </c>
      <c r="O33" s="38"/>
      <c r="P33" s="42"/>
      <c r="Q33" s="42"/>
      <c r="R33" s="42"/>
      <c r="S33" s="42"/>
      <c r="T33" s="42"/>
      <c r="U33" s="42"/>
      <c r="V33" s="42"/>
      <c r="W33" s="42"/>
      <c r="X33" s="42"/>
      <c r="Y33" s="42"/>
      <c r="Z33" s="42"/>
      <c r="AA33" s="42"/>
      <c r="AB33" s="39"/>
      <c r="AD33" s="38"/>
      <c r="AE33" s="42"/>
      <c r="AF33" s="39"/>
      <c r="AG33" s="38"/>
      <c r="AH33" s="42"/>
      <c r="AI33" s="39"/>
    </row>
    <row r="34" spans="1:35" x14ac:dyDescent="0.2">
      <c r="L34" s="175" t="s">
        <v>364</v>
      </c>
      <c r="M34" s="175" t="s">
        <v>782</v>
      </c>
      <c r="N34" s="8" t="s">
        <v>312</v>
      </c>
      <c r="O34" s="50"/>
      <c r="AB34" s="51"/>
      <c r="AD34" s="50"/>
      <c r="AF34" s="51"/>
      <c r="AG34" s="50"/>
      <c r="AI34" s="51"/>
    </row>
    <row r="35" spans="1:35" x14ac:dyDescent="0.2">
      <c r="H35" s="10" t="s">
        <v>260</v>
      </c>
      <c r="I35" s="25" t="e">
        <f ca="1">_xll.EVPRO($B$1,$H35,"STYLE")</f>
        <v>#NAME?</v>
      </c>
      <c r="J35" s="25" t="e">
        <f ca="1">_xll.EVPRO($B$1,$H35,"CALC")</f>
        <v>#NAME?</v>
      </c>
      <c r="K35" s="24"/>
      <c r="L35" s="24" t="e">
        <f ca="1">_xll.EVPRO($B$1,H35,"JDEID")</f>
        <v>#NAME?</v>
      </c>
      <c r="M35" s="24" t="e">
        <f ca="1">IF(AND(I35="N",J35="N"),_xll.EVPRO($B$1,H35,"PSFTID"),"")</f>
        <v>#NAME?</v>
      </c>
      <c r="N35" s="24" t="e">
        <f ca="1">IF(_xll.EVDES(H35,$B$1)="#NODATA","",_xll.EVDES(H35,$B$1))</f>
        <v>#NAME?</v>
      </c>
      <c r="O35" s="19">
        <v>12353.09</v>
      </c>
      <c r="P35" s="19"/>
      <c r="Q35" s="19"/>
      <c r="R35" s="19"/>
      <c r="S35" s="19"/>
      <c r="T35" s="19"/>
      <c r="U35" s="19"/>
      <c r="V35" s="19"/>
      <c r="W35" s="19"/>
      <c r="X35" s="19"/>
      <c r="Y35" s="19"/>
      <c r="Z35" s="19"/>
      <c r="AA35" s="19">
        <f t="shared" ref="AA35:AA40" si="0">SUM(O35:Z35)</f>
        <v>12353.09</v>
      </c>
      <c r="AB35" s="15" t="str">
        <f ca="1">IF(AA35=0,"",IFERROR(AA35/AA$19,""))</f>
        <v/>
      </c>
      <c r="AD35" s="19"/>
      <c r="AE35" s="15" t="str">
        <f>IF(AD35=0,"",IFERROR(AD35/AD$19,""))</f>
        <v/>
      </c>
      <c r="AF35" s="47">
        <f t="shared" ref="AF35:AF41" si="1">IF(AND($AA35="",AD35=""),"",$AA35-AD35)</f>
        <v>12353.09</v>
      </c>
      <c r="AG35" s="19">
        <v>420264.38</v>
      </c>
      <c r="AH35" s="15" t="str">
        <f ca="1">IF(AG35=0,"",IFERROR(AG35/AG$19,""))</f>
        <v/>
      </c>
      <c r="AI35" s="47">
        <f t="shared" ref="AI35:AI41" si="2">IF(AND($AA35="",AG35=""),"",$AA35-AG35)</f>
        <v>-407911.29</v>
      </c>
    </row>
    <row r="36" spans="1:35" x14ac:dyDescent="0.2">
      <c r="A36" s="3" t="s">
        <v>23</v>
      </c>
      <c r="B36" s="5" t="s">
        <v>24</v>
      </c>
      <c r="H36" s="10" t="s">
        <v>294</v>
      </c>
      <c r="I36" s="25" t="e">
        <f ca="1">_xll.EVPRO($B$1,$H36,"STYLE")</f>
        <v>#NAME?</v>
      </c>
      <c r="J36" s="25" t="e">
        <f ca="1">_xll.EVPRO($B$1,$H36,"CALC")</f>
        <v>#NAME?</v>
      </c>
      <c r="K36" s="24"/>
      <c r="L36" s="24" t="e">
        <f ca="1">_xll.EVPRO($B$1,H36,"JDEID")</f>
        <v>#NAME?</v>
      </c>
      <c r="M36" s="24" t="e">
        <f ca="1">IF(AND(I36="N",J36="N"),_xll.EVPRO($B$1,H36,"PSFTID"),"")</f>
        <v>#NAME?</v>
      </c>
      <c r="N36" s="24" t="e">
        <f ca="1">IF(_xll.EVDES(H36,$B$1)="#NODATA","",_xll.EVDES(H36,$B$1))</f>
        <v>#NAME?</v>
      </c>
      <c r="O36" s="19">
        <v>210</v>
      </c>
      <c r="P36" s="19"/>
      <c r="Q36" s="19"/>
      <c r="R36" s="19"/>
      <c r="S36" s="19"/>
      <c r="T36" s="19"/>
      <c r="U36" s="19"/>
      <c r="V36" s="19"/>
      <c r="W36" s="19"/>
      <c r="X36" s="19"/>
      <c r="Y36" s="19"/>
      <c r="Z36" s="19"/>
      <c r="AA36" s="19">
        <f t="shared" si="0"/>
        <v>210</v>
      </c>
      <c r="AB36" s="15" t="str">
        <f ca="1">IF(AA36=0,"",IFERROR(AA36/AA$19,""))</f>
        <v/>
      </c>
      <c r="AD36" s="19"/>
      <c r="AE36" s="15" t="str">
        <f>IF(AD36=0,"",IFERROR(AD36/AD$19,""))</f>
        <v/>
      </c>
      <c r="AF36" s="47">
        <f t="shared" si="1"/>
        <v>210</v>
      </c>
      <c r="AG36" s="19">
        <v>27149.88</v>
      </c>
      <c r="AH36" s="15" t="str">
        <f t="shared" ref="AH36:AH75" ca="1" si="3">IF(AG36=0,"",IFERROR(AG36/AG$19,""))</f>
        <v/>
      </c>
      <c r="AI36" s="47">
        <f t="shared" si="2"/>
        <v>-26939.88</v>
      </c>
    </row>
    <row r="37" spans="1:35" x14ac:dyDescent="0.2">
      <c r="A37" s="6" t="s">
        <v>25</v>
      </c>
      <c r="B37" s="7"/>
      <c r="H37" s="10" t="s">
        <v>295</v>
      </c>
      <c r="I37" s="25" t="e">
        <f ca="1">_xll.EVPRO($B$1,$H37,"STYLE")</f>
        <v>#NAME?</v>
      </c>
      <c r="J37" s="25" t="e">
        <f ca="1">_xll.EVPRO($B$1,$H37,"CALC")</f>
        <v>#NAME?</v>
      </c>
      <c r="K37" s="24"/>
      <c r="L37" s="24" t="e">
        <f ca="1">_xll.EVPRO($B$1,H37,"JDEID")</f>
        <v>#NAME?</v>
      </c>
      <c r="M37" s="24" t="e">
        <f ca="1">IF(AND(I37="N",J37="N"),_xll.EVPRO($B$1,H37,"PSFTID"),"")</f>
        <v>#NAME?</v>
      </c>
      <c r="N37" s="24" t="e">
        <f ca="1">IF(_xll.EVDES(H37,$B$1)="#NODATA","",_xll.EVDES(H37,$B$1))</f>
        <v>#NAME?</v>
      </c>
      <c r="O37" s="19">
        <v>28</v>
      </c>
      <c r="P37" s="19"/>
      <c r="Q37" s="19"/>
      <c r="R37" s="19"/>
      <c r="S37" s="19"/>
      <c r="T37" s="19"/>
      <c r="U37" s="19"/>
      <c r="V37" s="19"/>
      <c r="W37" s="19"/>
      <c r="X37" s="19"/>
      <c r="Y37" s="19"/>
      <c r="Z37" s="19"/>
      <c r="AA37" s="19">
        <f t="shared" si="0"/>
        <v>28</v>
      </c>
      <c r="AB37" s="15" t="str">
        <f ca="1">IF(AA37=0,"",IFERROR(AA37/AA$19,""))</f>
        <v/>
      </c>
      <c r="AD37" s="19"/>
      <c r="AE37" s="15" t="str">
        <f>IF(AD37=0,"",IFERROR(AD37/AD$19,""))</f>
        <v/>
      </c>
      <c r="AF37" s="47">
        <f t="shared" si="1"/>
        <v>28</v>
      </c>
      <c r="AG37" s="19">
        <v>2996.8</v>
      </c>
      <c r="AH37" s="15" t="str">
        <f t="shared" ca="1" si="3"/>
        <v/>
      </c>
      <c r="AI37" s="47">
        <f t="shared" si="2"/>
        <v>-2968.8</v>
      </c>
    </row>
    <row r="38" spans="1:35" x14ac:dyDescent="0.2">
      <c r="A38" s="6" t="s">
        <v>26</v>
      </c>
      <c r="B38" s="7"/>
      <c r="H38" s="10" t="s">
        <v>296</v>
      </c>
      <c r="I38" s="25" t="e">
        <f ca="1">_xll.EVPRO($B$1,$H38,"STYLE")</f>
        <v>#NAME?</v>
      </c>
      <c r="J38" s="25" t="e">
        <f ca="1">_xll.EVPRO($B$1,$H38,"CALC")</f>
        <v>#NAME?</v>
      </c>
      <c r="K38" s="24"/>
      <c r="L38" s="24" t="e">
        <f ca="1">_xll.EVPRO($B$1,H38,"JDEID")</f>
        <v>#NAME?</v>
      </c>
      <c r="M38" s="24" t="e">
        <f ca="1">IF(AND(I38="N",J38="N"),_xll.EVPRO($B$1,H38,"PSFTID"),"")</f>
        <v>#NAME?</v>
      </c>
      <c r="N38" s="24" t="e">
        <f ca="1">IF(_xll.EVDES(H38,$B$1)="#NODATA","",_xll.EVDES(H38,$B$1))</f>
        <v>#NAME?</v>
      </c>
      <c r="O38" s="28">
        <v>78</v>
      </c>
      <c r="P38" s="28"/>
      <c r="Q38" s="28"/>
      <c r="R38" s="28"/>
      <c r="S38" s="28"/>
      <c r="T38" s="28"/>
      <c r="U38" s="28"/>
      <c r="V38" s="28"/>
      <c r="W38" s="28"/>
      <c r="X38" s="28"/>
      <c r="Y38" s="28"/>
      <c r="Z38" s="28"/>
      <c r="AA38" s="28">
        <f t="shared" si="0"/>
        <v>78</v>
      </c>
      <c r="AB38" s="29" t="str">
        <f ca="1">IF(AA38=0,"",IFERROR(AA38/AA$19,""))</f>
        <v/>
      </c>
      <c r="AD38" s="28"/>
      <c r="AE38" s="29" t="str">
        <f>IF(AD38=0,"",IFERROR(AD38/AD$19,""))</f>
        <v/>
      </c>
      <c r="AF38" s="48">
        <f t="shared" si="1"/>
        <v>78</v>
      </c>
      <c r="AG38" s="28">
        <v>18482.34</v>
      </c>
      <c r="AH38" s="29" t="str">
        <f t="shared" ca="1" si="3"/>
        <v/>
      </c>
      <c r="AI38" s="48">
        <f t="shared" si="2"/>
        <v>-18404.34</v>
      </c>
    </row>
    <row r="39" spans="1:35" x14ac:dyDescent="0.2">
      <c r="A39" s="6" t="s">
        <v>27</v>
      </c>
      <c r="B39" s="7"/>
      <c r="H39" s="10" t="s">
        <v>318</v>
      </c>
      <c r="I39" s="25" t="e">
        <f ca="1">_xll.EVPRO($B$1,$H39,"STYLE")</f>
        <v>#NAME?</v>
      </c>
      <c r="J39" s="25" t="e">
        <f ca="1">_xll.EVPRO($B$1,$H39,"CALC")</f>
        <v>#NAME?</v>
      </c>
      <c r="K39" s="24"/>
      <c r="L39" s="24" t="e">
        <f ca="1">_xll.EVPRO($B$1,H39,"JDEID")</f>
        <v>#NAME?</v>
      </c>
      <c r="M39" s="24" t="e">
        <f ca="1">IF(AND(I39="N",J39="N"),_xll.EVPRO($B$1,H39,"PSFTID"),"")</f>
        <v>#NAME?</v>
      </c>
      <c r="N39" s="23" t="e">
        <f ca="1">IF(_xll.EVDES(H39,$B$1)="#NODATA","",_xll.EVDES(H39,$B$1))</f>
        <v>#NAME?</v>
      </c>
      <c r="O39" s="145">
        <v>12669.09</v>
      </c>
      <c r="P39" s="145"/>
      <c r="Q39" s="145"/>
      <c r="R39" s="145"/>
      <c r="S39" s="145"/>
      <c r="T39" s="145"/>
      <c r="U39" s="145"/>
      <c r="V39" s="145"/>
      <c r="W39" s="145"/>
      <c r="X39" s="145"/>
      <c r="Y39" s="145"/>
      <c r="Z39" s="145"/>
      <c r="AA39" s="145">
        <f t="shared" si="0"/>
        <v>12669.09</v>
      </c>
      <c r="AB39" s="156" t="str">
        <f ca="1">IF(AA39=0,"",IFERROR(AA39/AA$19,""))</f>
        <v/>
      </c>
      <c r="AD39" s="145"/>
      <c r="AE39" s="156" t="str">
        <f>IF(AD39=0,"",IFERROR(AD39/AD$19,""))</f>
        <v/>
      </c>
      <c r="AF39" s="146">
        <f t="shared" si="1"/>
        <v>12669.09</v>
      </c>
      <c r="AG39" s="145">
        <v>468893.4</v>
      </c>
      <c r="AH39" s="156" t="str">
        <f t="shared" ca="1" si="3"/>
        <v/>
      </c>
      <c r="AI39" s="146">
        <f t="shared" si="2"/>
        <v>-456224.31</v>
      </c>
    </row>
    <row r="40" spans="1:35" x14ac:dyDescent="0.2">
      <c r="A40" s="6" t="s">
        <v>28</v>
      </c>
      <c r="B40" s="7"/>
      <c r="H40" s="10" t="s">
        <v>297</v>
      </c>
      <c r="I40" s="25" t="e">
        <f ca="1">_xll.EVPRO($B$1,$H40,"STYLE")</f>
        <v>#NAME?</v>
      </c>
      <c r="J40" s="25" t="e">
        <f ca="1">_xll.EVPRO($B$1,$H40,"CALC")</f>
        <v>#NAME?</v>
      </c>
      <c r="K40" s="24"/>
      <c r="L40" s="24" t="e">
        <f ca="1">_xll.EVPRO($B$1,H40,"JDEID")</f>
        <v>#NAME?</v>
      </c>
      <c r="M40" s="24" t="e">
        <f ca="1">IF(AND(I40="N",J40="N"),_xll.EVPRO($B$1,H40,"PSFTID"),"")</f>
        <v>#NAME?</v>
      </c>
      <c r="N40" s="24" t="e">
        <f ca="1">IF(_xll.EVDES(H40,$B$1)="#NODATA","",_xll.EVDES(H40,$B$1))</f>
        <v>#NAME?</v>
      </c>
      <c r="O40" s="35">
        <v>315</v>
      </c>
      <c r="P40" s="35"/>
      <c r="Q40" s="35"/>
      <c r="R40" s="35"/>
      <c r="S40" s="35"/>
      <c r="T40" s="35"/>
      <c r="U40" s="35"/>
      <c r="V40" s="35"/>
      <c r="W40" s="35"/>
      <c r="X40" s="35"/>
      <c r="Y40" s="35"/>
      <c r="Z40" s="35"/>
      <c r="AA40" s="35">
        <f t="shared" si="0"/>
        <v>315</v>
      </c>
      <c r="AB40" s="36">
        <f>IF(AA40=0,"",IFERROR(AA40/AA$104,""))</f>
        <v>0.43091655266757867</v>
      </c>
      <c r="AD40" s="35"/>
      <c r="AE40" s="36" t="str">
        <f>IF(AD40=0,"",IFERROR(AD40/AD$104,""))</f>
        <v/>
      </c>
      <c r="AF40" s="118">
        <f t="shared" si="1"/>
        <v>315</v>
      </c>
      <c r="AG40" s="35">
        <v>18159</v>
      </c>
      <c r="AH40" s="36">
        <f>IF(AG40=0,"",IFERROR(AG40/AG$104,""))</f>
        <v>0.36520322587132714</v>
      </c>
      <c r="AI40" s="118">
        <f t="shared" si="2"/>
        <v>-17844</v>
      </c>
    </row>
    <row r="41" spans="1:35" x14ac:dyDescent="0.2">
      <c r="A41" s="6" t="s">
        <v>29</v>
      </c>
      <c r="B41" s="7"/>
      <c r="H41" s="10" t="s">
        <v>313</v>
      </c>
      <c r="I41" s="25" t="e">
        <f ca="1">_xll.EVPRO($B$1,$H41,"STYLE")</f>
        <v>#NAME?</v>
      </c>
      <c r="J41" s="25" t="e">
        <f ca="1">_xll.EVPRO($B$1,$H41,"CALC")</f>
        <v>#NAME?</v>
      </c>
      <c r="K41" s="24"/>
      <c r="L41" s="24" t="e">
        <f ca="1">_xll.EVPRO($B$1,H41,"JDEID")</f>
        <v>#NAME?</v>
      </c>
      <c r="M41" s="24" t="e">
        <f ca="1">IF(AND(I41="N",J41="N"),_xll.EVPRO($B$1,H41,"PSFTID"),"")</f>
        <v>#NAME?</v>
      </c>
      <c r="N41" s="151" t="e">
        <f ca="1">IF(_xll.EVDES(H41,$B$1)="#NODATA","",_xll.EVDES(H41,$B$1))</f>
        <v>#NAME?</v>
      </c>
      <c r="O41" s="157">
        <v>40.219333333333303</v>
      </c>
      <c r="P41" s="157"/>
      <c r="Q41" s="157"/>
      <c r="R41" s="157"/>
      <c r="S41" s="157"/>
      <c r="T41" s="157"/>
      <c r="U41" s="157"/>
      <c r="V41" s="157"/>
      <c r="W41" s="157"/>
      <c r="X41" s="157"/>
      <c r="Y41" s="157"/>
      <c r="Z41" s="157"/>
      <c r="AA41" s="157">
        <f>IFERROR(AA39/AA40,"")</f>
        <v>40.219333333333331</v>
      </c>
      <c r="AB41" s="157"/>
      <c r="AD41" s="157"/>
      <c r="AE41" s="157"/>
      <c r="AF41" s="158">
        <f t="shared" si="1"/>
        <v>40.219333333333331</v>
      </c>
      <c r="AG41" s="157">
        <v>25.8215430365108</v>
      </c>
      <c r="AH41" s="157"/>
      <c r="AI41" s="158">
        <f t="shared" si="2"/>
        <v>14.397790296822532</v>
      </c>
    </row>
    <row r="42" spans="1:35" x14ac:dyDescent="0.2">
      <c r="A42" s="6" t="s">
        <v>30</v>
      </c>
      <c r="B42" s="7" t="s">
        <v>78</v>
      </c>
      <c r="G42" s="162">
        <f>COUNTIF(O43:AI43,FALSE)</f>
        <v>0</v>
      </c>
      <c r="H42" s="10"/>
      <c r="I42" s="25"/>
      <c r="J42" s="25"/>
      <c r="K42" s="24"/>
      <c r="L42" s="24"/>
      <c r="M42" s="24"/>
      <c r="N42" s="163" t="s">
        <v>345</v>
      </c>
      <c r="O42" s="160">
        <f t="shared" ref="O42:AA42" si="4">ROUND(IFERROR(O39/O40,0),2)</f>
        <v>40.22</v>
      </c>
      <c r="P42" s="165">
        <f t="shared" si="4"/>
        <v>0</v>
      </c>
      <c r="Q42" s="165">
        <f t="shared" si="4"/>
        <v>0</v>
      </c>
      <c r="R42" s="165">
        <f t="shared" si="4"/>
        <v>0</v>
      </c>
      <c r="S42" s="165">
        <f t="shared" si="4"/>
        <v>0</v>
      </c>
      <c r="T42" s="165">
        <f t="shared" si="4"/>
        <v>0</v>
      </c>
      <c r="U42" s="165">
        <f t="shared" si="4"/>
        <v>0</v>
      </c>
      <c r="V42" s="165">
        <f t="shared" si="4"/>
        <v>0</v>
      </c>
      <c r="W42" s="165">
        <f t="shared" si="4"/>
        <v>0</v>
      </c>
      <c r="X42" s="165">
        <f t="shared" si="4"/>
        <v>0</v>
      </c>
      <c r="Y42" s="165">
        <f t="shared" si="4"/>
        <v>0</v>
      </c>
      <c r="Z42" s="165">
        <f t="shared" si="4"/>
        <v>0</v>
      </c>
      <c r="AA42" s="165">
        <f t="shared" si="4"/>
        <v>40.22</v>
      </c>
      <c r="AB42" s="164"/>
      <c r="AD42" s="160">
        <f>ROUND(IFERROR(AD39/AD40,0),2)</f>
        <v>0</v>
      </c>
      <c r="AE42" s="165"/>
      <c r="AF42" s="161"/>
      <c r="AG42" s="160">
        <f>ROUND(IFERROR(AG39/AG40,0),2)</f>
        <v>25.82</v>
      </c>
      <c r="AH42" s="165"/>
      <c r="AI42" s="161"/>
    </row>
    <row r="43" spans="1:35" x14ac:dyDescent="0.2">
      <c r="A43" s="6" t="s">
        <v>31</v>
      </c>
      <c r="B43" s="7" t="s">
        <v>78</v>
      </c>
      <c r="H43" s="10"/>
      <c r="I43" s="25"/>
      <c r="J43" s="25"/>
      <c r="K43" s="24"/>
      <c r="L43" s="24"/>
      <c r="M43" s="24"/>
      <c r="N43" s="8" t="s">
        <v>314</v>
      </c>
      <c r="O43" s="292" t="b">
        <f t="shared" ref="O43:AA43" si="5">ROUND(O41,2)=ROUND(O42,2)</f>
        <v>1</v>
      </c>
      <c r="P43" s="293" t="b">
        <f t="shared" si="5"/>
        <v>1</v>
      </c>
      <c r="Q43" s="293" t="b">
        <f t="shared" si="5"/>
        <v>1</v>
      </c>
      <c r="R43" s="293" t="b">
        <f t="shared" si="5"/>
        <v>1</v>
      </c>
      <c r="S43" s="293" t="b">
        <f t="shared" si="5"/>
        <v>1</v>
      </c>
      <c r="T43" s="293" t="b">
        <f t="shared" si="5"/>
        <v>1</v>
      </c>
      <c r="U43" s="293" t="b">
        <f t="shared" si="5"/>
        <v>1</v>
      </c>
      <c r="V43" s="293" t="b">
        <f t="shared" si="5"/>
        <v>1</v>
      </c>
      <c r="W43" s="293" t="b">
        <f t="shared" si="5"/>
        <v>1</v>
      </c>
      <c r="X43" s="293" t="b">
        <f t="shared" si="5"/>
        <v>1</v>
      </c>
      <c r="Y43" s="293" t="b">
        <f t="shared" si="5"/>
        <v>1</v>
      </c>
      <c r="Z43" s="293" t="b">
        <f t="shared" si="5"/>
        <v>1</v>
      </c>
      <c r="AA43" s="293" t="b">
        <f t="shared" si="5"/>
        <v>1</v>
      </c>
      <c r="AB43" s="294"/>
      <c r="AC43" s="206"/>
      <c r="AD43" s="292"/>
      <c r="AE43" s="293" t="b">
        <f>ROUND(AD41,2)=ROUND(AD42,2)</f>
        <v>1</v>
      </c>
      <c r="AF43" s="294"/>
      <c r="AG43" s="292"/>
      <c r="AH43" s="293" t="b">
        <f>ROUND(AG41,2)=ROUND(AG42,2)</f>
        <v>1</v>
      </c>
      <c r="AI43" s="294"/>
    </row>
    <row r="44" spans="1:35" x14ac:dyDescent="0.2">
      <c r="A44" s="6" t="s">
        <v>32</v>
      </c>
      <c r="B44" s="7"/>
      <c r="H44" s="10" t="s">
        <v>261</v>
      </c>
      <c r="I44" s="25" t="e">
        <f ca="1">_xll.EVPRO($B$1,$H44,"STYLE")</f>
        <v>#NAME?</v>
      </c>
      <c r="J44" s="25" t="e">
        <f ca="1">_xll.EVPRO($B$1,$H44,"CALC")</f>
        <v>#NAME?</v>
      </c>
      <c r="K44" s="24"/>
      <c r="L44" s="24" t="e">
        <f ca="1">_xll.EVPRO($B$1,H44,"JDEID")</f>
        <v>#NAME?</v>
      </c>
      <c r="M44" s="24" t="e">
        <f ca="1">IF(AND(I44="N",J44="N"),_xll.EVPRO($B$1,H44,"PSFTID"),"")</f>
        <v>#NAME?</v>
      </c>
      <c r="N44" s="24" t="e">
        <f ca="1">IF(_xll.EVDES(H44,$B$1)="#NODATA","",_xll.EVDES(H44,$B$1))</f>
        <v>#NAME?</v>
      </c>
      <c r="O44" s="19">
        <v>1039.5</v>
      </c>
      <c r="P44" s="19"/>
      <c r="Q44" s="19"/>
      <c r="R44" s="19"/>
      <c r="S44" s="19"/>
      <c r="T44" s="19"/>
      <c r="U44" s="19"/>
      <c r="V44" s="19"/>
      <c r="W44" s="19"/>
      <c r="X44" s="19"/>
      <c r="Y44" s="19"/>
      <c r="Z44" s="19"/>
      <c r="AA44" s="19">
        <f t="shared" ref="AA44:AA49" si="6">SUM(O44:Z44)</f>
        <v>1039.5</v>
      </c>
      <c r="AB44" s="15" t="str">
        <f ca="1">IF(AA44=0,"",IFERROR(AA44/AA$19,""))</f>
        <v/>
      </c>
      <c r="AD44" s="19"/>
      <c r="AE44" s="15" t="str">
        <f>IF(AD44=0,"",IFERROR(AD44/AD$19,""))</f>
        <v/>
      </c>
      <c r="AF44" s="47">
        <f t="shared" ref="AF44:AF50" si="7">IF(AND($AA44="",AD44=""),"",$AA44-AD44)</f>
        <v>1039.5</v>
      </c>
      <c r="AG44" s="19">
        <v>188503.83</v>
      </c>
      <c r="AH44" s="15" t="str">
        <f t="shared" ca="1" si="3"/>
        <v/>
      </c>
      <c r="AI44" s="47">
        <f t="shared" ref="AI44:AI50" si="8">IF(AND($AA44="",AG44=""),"",$AA44-AG44)</f>
        <v>-187464.33</v>
      </c>
    </row>
    <row r="45" spans="1:35" x14ac:dyDescent="0.2">
      <c r="A45" s="6" t="s">
        <v>33</v>
      </c>
      <c r="B45" s="7"/>
      <c r="H45" s="133" t="s">
        <v>301</v>
      </c>
      <c r="I45" s="25" t="e">
        <f ca="1">_xll.EVPRO($B$1,$H45,"STYLE")</f>
        <v>#NAME?</v>
      </c>
      <c r="J45" s="25" t="e">
        <f ca="1">_xll.EVPRO($B$1,$H45,"CALC")</f>
        <v>#NAME?</v>
      </c>
      <c r="K45" s="24"/>
      <c r="L45" s="24" t="e">
        <f ca="1">_xll.EVPRO($B$1,H45,"JDEID")</f>
        <v>#NAME?</v>
      </c>
      <c r="M45" s="24" t="e">
        <f ca="1">IF(AND(I45="N",J45="N"),_xll.EVPRO($B$1,H45,"PSFTID"),"")</f>
        <v>#NAME?</v>
      </c>
      <c r="N45" s="24" t="e">
        <f ca="1">IF(_xll.EVDES(H45,$B$1)="#NODATA","",_xll.EVDES(H45,$B$1))</f>
        <v>#NAME?</v>
      </c>
      <c r="O45" s="19">
        <v>1325</v>
      </c>
      <c r="P45" s="19"/>
      <c r="Q45" s="19"/>
      <c r="R45" s="19"/>
      <c r="S45" s="19"/>
      <c r="T45" s="19"/>
      <c r="U45" s="19"/>
      <c r="V45" s="19"/>
      <c r="W45" s="19"/>
      <c r="X45" s="19"/>
      <c r="Y45" s="19"/>
      <c r="Z45" s="19"/>
      <c r="AA45" s="19">
        <f t="shared" si="6"/>
        <v>1325</v>
      </c>
      <c r="AB45" s="15" t="str">
        <f ca="1">IF(AA45=0,"",IFERROR(AA45/AA$19,""))</f>
        <v/>
      </c>
      <c r="AD45" s="19"/>
      <c r="AE45" s="15" t="str">
        <f>IF(AD45=0,"",IFERROR(AD45/AD$19,""))</f>
        <v/>
      </c>
      <c r="AF45" s="47">
        <f t="shared" si="7"/>
        <v>1325</v>
      </c>
      <c r="AG45" s="19">
        <v>150733.72</v>
      </c>
      <c r="AH45" s="15" t="str">
        <f t="shared" ca="1" si="3"/>
        <v/>
      </c>
      <c r="AI45" s="47">
        <f t="shared" si="8"/>
        <v>-149408.72</v>
      </c>
    </row>
    <row r="46" spans="1:35" x14ac:dyDescent="0.2">
      <c r="A46" s="6" t="s">
        <v>34</v>
      </c>
      <c r="B46" s="7"/>
      <c r="H46" s="133" t="s">
        <v>305</v>
      </c>
      <c r="I46" s="25" t="e">
        <f ca="1">_xll.EVPRO($B$1,$H46,"STYLE")</f>
        <v>#NAME?</v>
      </c>
      <c r="J46" s="25" t="e">
        <f ca="1">_xll.EVPRO($B$1,$H46,"CALC")</f>
        <v>#NAME?</v>
      </c>
      <c r="K46" s="24"/>
      <c r="L46" s="24" t="e">
        <f ca="1">_xll.EVPRO($B$1,H46,"JDEID")</f>
        <v>#NAME?</v>
      </c>
      <c r="M46" s="24" t="e">
        <f ca="1">IF(AND(I46="N",J46="N"),_xll.EVPRO($B$1,H46,"PSFTID"),"")</f>
        <v>#NAME?</v>
      </c>
      <c r="N46" s="24" t="e">
        <f ca="1">IF(_xll.EVDES(H46,$B$1)="#NODATA","",_xll.EVDES(H46,$B$1))</f>
        <v>#NAME?</v>
      </c>
      <c r="O46" s="19">
        <v>448</v>
      </c>
      <c r="P46" s="19"/>
      <c r="Q46" s="19"/>
      <c r="R46" s="19"/>
      <c r="S46" s="19"/>
      <c r="T46" s="19"/>
      <c r="U46" s="19"/>
      <c r="V46" s="19"/>
      <c r="W46" s="19"/>
      <c r="X46" s="19"/>
      <c r="Y46" s="19"/>
      <c r="Z46" s="19"/>
      <c r="AA46" s="19">
        <f t="shared" si="6"/>
        <v>448</v>
      </c>
      <c r="AB46" s="15" t="str">
        <f ca="1">IF(AA46=0,"",IFERROR(AA46/AA$19,""))</f>
        <v/>
      </c>
      <c r="AD46" s="19"/>
      <c r="AE46" s="15" t="str">
        <f>IF(AD46=0,"",IFERROR(AD46/AD$19,""))</f>
        <v/>
      </c>
      <c r="AF46" s="47">
        <f t="shared" si="7"/>
        <v>448</v>
      </c>
      <c r="AG46" s="19">
        <v>34431.300000000003</v>
      </c>
      <c r="AH46" s="15" t="str">
        <f t="shared" ca="1" si="3"/>
        <v/>
      </c>
      <c r="AI46" s="47">
        <f t="shared" si="8"/>
        <v>-33983.300000000003</v>
      </c>
    </row>
    <row r="47" spans="1:35" x14ac:dyDescent="0.2">
      <c r="A47" s="6" t="s">
        <v>35</v>
      </c>
      <c r="B47" s="7"/>
      <c r="H47" s="133" t="s">
        <v>303</v>
      </c>
      <c r="I47" s="25" t="e">
        <f ca="1">_xll.EVPRO($B$1,$H47,"STYLE")</f>
        <v>#NAME?</v>
      </c>
      <c r="J47" s="25" t="e">
        <f ca="1">_xll.EVPRO($B$1,$H47,"CALC")</f>
        <v>#NAME?</v>
      </c>
      <c r="K47" s="24"/>
      <c r="L47" s="24" t="e">
        <f ca="1">_xll.EVPRO($B$1,H47,"JDEID")</f>
        <v>#NAME?</v>
      </c>
      <c r="M47" s="24" t="e">
        <f ca="1">IF(AND(I47="N",J47="N"),_xll.EVPRO($B$1,H47,"PSFTID"),"")</f>
        <v>#NAME?</v>
      </c>
      <c r="N47" s="24" t="e">
        <f ca="1">IF(_xll.EVDES(H47,$B$1)="#NODATA","",_xll.EVDES(H47,$B$1))</f>
        <v>#NAME?</v>
      </c>
      <c r="O47" s="28">
        <v>330</v>
      </c>
      <c r="P47" s="28"/>
      <c r="Q47" s="28"/>
      <c r="R47" s="28"/>
      <c r="S47" s="28"/>
      <c r="T47" s="28"/>
      <c r="U47" s="28"/>
      <c r="V47" s="28"/>
      <c r="W47" s="28"/>
      <c r="X47" s="28"/>
      <c r="Y47" s="28"/>
      <c r="Z47" s="28"/>
      <c r="AA47" s="28">
        <f t="shared" si="6"/>
        <v>330</v>
      </c>
      <c r="AB47" s="29" t="str">
        <f ca="1">IF(AA47=0,"",IFERROR(AA47/AA$19,""))</f>
        <v/>
      </c>
      <c r="AD47" s="28"/>
      <c r="AE47" s="29" t="str">
        <f>IF(AD47=0,"",IFERROR(AD47/AD$19,""))</f>
        <v/>
      </c>
      <c r="AF47" s="48">
        <f t="shared" si="7"/>
        <v>330</v>
      </c>
      <c r="AG47" s="28">
        <v>17711.2</v>
      </c>
      <c r="AH47" s="29" t="str">
        <f t="shared" ca="1" si="3"/>
        <v/>
      </c>
      <c r="AI47" s="48">
        <f t="shared" si="8"/>
        <v>-17381.2</v>
      </c>
    </row>
    <row r="48" spans="1:35" x14ac:dyDescent="0.2">
      <c r="A48" s="6" t="s">
        <v>36</v>
      </c>
      <c r="B48" s="7"/>
      <c r="H48" s="10" t="s">
        <v>319</v>
      </c>
      <c r="I48" s="25" t="e">
        <f ca="1">_xll.EVPRO($B$1,$H48,"STYLE")</f>
        <v>#NAME?</v>
      </c>
      <c r="J48" s="25" t="e">
        <f ca="1">_xll.EVPRO($B$1,$H48,"CALC")</f>
        <v>#NAME?</v>
      </c>
      <c r="K48" s="24"/>
      <c r="L48" s="24" t="e">
        <f ca="1">_xll.EVPRO($B$1,H48,"JDEID")</f>
        <v>#NAME?</v>
      </c>
      <c r="M48" s="24" t="e">
        <f ca="1">IF(AND(I48="N",J48="N"),_xll.EVPRO($B$1,H48,"PSFTID"),"")</f>
        <v>#NAME?</v>
      </c>
      <c r="N48" s="23" t="e">
        <f ca="1">IF(_xll.EVDES(H48,$B$1)="#NODATA","",_xll.EVDES(H48,$B$1))</f>
        <v>#NAME?</v>
      </c>
      <c r="O48" s="145">
        <v>3142.5</v>
      </c>
      <c r="P48" s="145"/>
      <c r="Q48" s="145"/>
      <c r="R48" s="145"/>
      <c r="S48" s="145"/>
      <c r="T48" s="145"/>
      <c r="U48" s="145"/>
      <c r="V48" s="145"/>
      <c r="W48" s="145"/>
      <c r="X48" s="145"/>
      <c r="Y48" s="145"/>
      <c r="Z48" s="145"/>
      <c r="AA48" s="145">
        <f t="shared" si="6"/>
        <v>3142.5</v>
      </c>
      <c r="AB48" s="156" t="str">
        <f ca="1">IF(AA48=0,"",IFERROR(AA48/AA$19,""))</f>
        <v/>
      </c>
      <c r="AD48" s="145"/>
      <c r="AE48" s="156" t="str">
        <f>IF(AD48=0,"",IFERROR(AD48/AD$19,""))</f>
        <v/>
      </c>
      <c r="AF48" s="146">
        <f t="shared" si="7"/>
        <v>3142.5</v>
      </c>
      <c r="AG48" s="145">
        <v>391380.05</v>
      </c>
      <c r="AH48" s="156" t="str">
        <f t="shared" ca="1" si="3"/>
        <v/>
      </c>
      <c r="AI48" s="146">
        <f t="shared" si="8"/>
        <v>-388237.55</v>
      </c>
    </row>
    <row r="49" spans="1:35" x14ac:dyDescent="0.2">
      <c r="A49" s="6" t="s">
        <v>37</v>
      </c>
      <c r="B49" s="7"/>
      <c r="H49" s="10" t="s">
        <v>298</v>
      </c>
      <c r="I49" s="25" t="e">
        <f ca="1">_xll.EVPRO($B$1,$H49,"STYLE")</f>
        <v>#NAME?</v>
      </c>
      <c r="J49" s="25" t="e">
        <f ca="1">_xll.EVPRO($B$1,$H49,"CALC")</f>
        <v>#NAME?</v>
      </c>
      <c r="K49" s="24"/>
      <c r="L49" s="24" t="e">
        <f ca="1">_xll.EVPRO($B$1,H49,"JDEID")</f>
        <v>#NAME?</v>
      </c>
      <c r="M49" s="24" t="e">
        <f ca="1">IF(AND(I49="N",J49="N"),_xll.EVPRO($B$1,H49,"PSFTID"),"")</f>
        <v>#NAME?</v>
      </c>
      <c r="N49" s="24" t="e">
        <f ca="1">IF(_xll.EVDES(H49,$B$1)="#NODATA","",_xll.EVDES(H49,$B$1))</f>
        <v>#NAME?</v>
      </c>
      <c r="O49" s="35">
        <v>80</v>
      </c>
      <c r="P49" s="35"/>
      <c r="Q49" s="35"/>
      <c r="R49" s="35"/>
      <c r="S49" s="35"/>
      <c r="T49" s="35"/>
      <c r="U49" s="35"/>
      <c r="V49" s="35"/>
      <c r="W49" s="35"/>
      <c r="X49" s="35"/>
      <c r="Y49" s="35"/>
      <c r="Z49" s="35"/>
      <c r="AA49" s="35">
        <f t="shared" si="6"/>
        <v>80</v>
      </c>
      <c r="AB49" s="36">
        <f>IF(AA49=0,"",IFERROR(AA49/AA$104,""))</f>
        <v>0.1094391244870041</v>
      </c>
      <c r="AD49" s="35"/>
      <c r="AE49" s="36" t="str">
        <f>IF(AD49=0,"",IFERROR(AD49/AD$104,""))</f>
        <v/>
      </c>
      <c r="AF49" s="118">
        <f t="shared" si="7"/>
        <v>80</v>
      </c>
      <c r="AG49" s="35">
        <v>10633</v>
      </c>
      <c r="AH49" s="36">
        <f>IF(AG49=0,"",IFERROR(AG49/AG$104,""))</f>
        <v>0.21384469963598335</v>
      </c>
      <c r="AI49" s="118">
        <f t="shared" si="8"/>
        <v>-10553</v>
      </c>
    </row>
    <row r="50" spans="1:35" x14ac:dyDescent="0.2">
      <c r="A50" s="6" t="s">
        <v>38</v>
      </c>
      <c r="B50" s="7"/>
      <c r="H50" s="10" t="s">
        <v>315</v>
      </c>
      <c r="I50" s="25" t="e">
        <f ca="1">_xll.EVPRO($B$1,$H50,"STYLE")</f>
        <v>#NAME?</v>
      </c>
      <c r="J50" s="25" t="e">
        <f ca="1">_xll.EVPRO($B$1,$H50,"CALC")</f>
        <v>#NAME?</v>
      </c>
      <c r="K50" s="24"/>
      <c r="L50" s="24" t="e">
        <f ca="1">_xll.EVPRO($B$1,H50,"JDEID")</f>
        <v>#NAME?</v>
      </c>
      <c r="M50" s="24" t="e">
        <f ca="1">IF(AND(I50="N",J50="N"),_xll.EVPRO($B$1,H50,"PSFTID"),"")</f>
        <v>#NAME?</v>
      </c>
      <c r="N50" s="151" t="e">
        <f ca="1">IF(_xll.EVDES(H50,$B$1)="#NODATA","",_xll.EVDES(H50,$B$1))</f>
        <v>#NAME?</v>
      </c>
      <c r="O50" s="157">
        <v>39.28125</v>
      </c>
      <c r="P50" s="157"/>
      <c r="Q50" s="157"/>
      <c r="R50" s="157"/>
      <c r="S50" s="157"/>
      <c r="T50" s="157"/>
      <c r="U50" s="157"/>
      <c r="V50" s="157"/>
      <c r="W50" s="157"/>
      <c r="X50" s="157"/>
      <c r="Y50" s="157"/>
      <c r="Z50" s="157"/>
      <c r="AA50" s="157">
        <f>IFERROR(AA48/AA49,"")</f>
        <v>39.28125</v>
      </c>
      <c r="AB50" s="157"/>
      <c r="AD50" s="157"/>
      <c r="AE50" s="157"/>
      <c r="AF50" s="158">
        <f t="shared" si="7"/>
        <v>39.28125</v>
      </c>
      <c r="AG50" s="157">
        <v>36.808055111445498</v>
      </c>
      <c r="AH50" s="157"/>
      <c r="AI50" s="158">
        <f t="shared" si="8"/>
        <v>2.4731948885545023</v>
      </c>
    </row>
    <row r="51" spans="1:35" x14ac:dyDescent="0.2">
      <c r="A51" s="6" t="s">
        <v>39</v>
      </c>
      <c r="B51" s="7"/>
      <c r="G51" s="162">
        <f>COUNTIF(O52:AI52,FALSE)</f>
        <v>0</v>
      </c>
      <c r="H51" s="10"/>
      <c r="I51" s="25"/>
      <c r="J51" s="25"/>
      <c r="K51" s="24"/>
      <c r="L51" s="24"/>
      <c r="M51" s="24"/>
      <c r="N51" s="163" t="s">
        <v>345</v>
      </c>
      <c r="O51" s="160">
        <f t="shared" ref="O51:AA51" si="9">ROUND(IFERROR(O48/O49,0),2)</f>
        <v>39.28</v>
      </c>
      <c r="P51" s="165">
        <f t="shared" si="9"/>
        <v>0</v>
      </c>
      <c r="Q51" s="165">
        <f t="shared" si="9"/>
        <v>0</v>
      </c>
      <c r="R51" s="165">
        <f t="shared" si="9"/>
        <v>0</v>
      </c>
      <c r="S51" s="165">
        <f t="shared" si="9"/>
        <v>0</v>
      </c>
      <c r="T51" s="165">
        <f t="shared" si="9"/>
        <v>0</v>
      </c>
      <c r="U51" s="165">
        <f t="shared" si="9"/>
        <v>0</v>
      </c>
      <c r="V51" s="165">
        <f t="shared" si="9"/>
        <v>0</v>
      </c>
      <c r="W51" s="165">
        <f t="shared" si="9"/>
        <v>0</v>
      </c>
      <c r="X51" s="165">
        <f t="shared" si="9"/>
        <v>0</v>
      </c>
      <c r="Y51" s="165">
        <f t="shared" si="9"/>
        <v>0</v>
      </c>
      <c r="Z51" s="165">
        <f t="shared" si="9"/>
        <v>0</v>
      </c>
      <c r="AA51" s="165">
        <f t="shared" si="9"/>
        <v>39.28</v>
      </c>
      <c r="AB51" s="164"/>
      <c r="AD51" s="160">
        <f>ROUND(IFERROR(AD48/AD49,0),2)</f>
        <v>0</v>
      </c>
      <c r="AE51" s="165"/>
      <c r="AF51" s="161"/>
      <c r="AG51" s="160">
        <f>ROUND(IFERROR(AG48/AG49,0),2)</f>
        <v>36.81</v>
      </c>
      <c r="AH51" s="165"/>
      <c r="AI51" s="161"/>
    </row>
    <row r="52" spans="1:35" x14ac:dyDescent="0.2">
      <c r="A52" s="6" t="s">
        <v>40</v>
      </c>
      <c r="B52" s="7"/>
      <c r="H52" s="10"/>
      <c r="I52" s="25"/>
      <c r="J52" s="25"/>
      <c r="K52" s="24"/>
      <c r="L52" s="24"/>
      <c r="M52" s="24"/>
      <c r="N52" s="8" t="s">
        <v>316</v>
      </c>
      <c r="O52" s="292" t="b">
        <f t="shared" ref="O52:AA52" si="10">ROUND(O50,2)=ROUND(O51,2)</f>
        <v>1</v>
      </c>
      <c r="P52" s="293" t="b">
        <f t="shared" si="10"/>
        <v>1</v>
      </c>
      <c r="Q52" s="293" t="b">
        <f t="shared" si="10"/>
        <v>1</v>
      </c>
      <c r="R52" s="293" t="b">
        <f t="shared" si="10"/>
        <v>1</v>
      </c>
      <c r="S52" s="293" t="b">
        <f t="shared" si="10"/>
        <v>1</v>
      </c>
      <c r="T52" s="293" t="b">
        <f t="shared" si="10"/>
        <v>1</v>
      </c>
      <c r="U52" s="293" t="b">
        <f t="shared" si="10"/>
        <v>1</v>
      </c>
      <c r="V52" s="293" t="b">
        <f t="shared" si="10"/>
        <v>1</v>
      </c>
      <c r="W52" s="293" t="b">
        <f t="shared" si="10"/>
        <v>1</v>
      </c>
      <c r="X52" s="293" t="b">
        <f t="shared" si="10"/>
        <v>1</v>
      </c>
      <c r="Y52" s="293" t="b">
        <f t="shared" si="10"/>
        <v>1</v>
      </c>
      <c r="Z52" s="293" t="b">
        <f t="shared" si="10"/>
        <v>1</v>
      </c>
      <c r="AA52" s="293" t="b">
        <f t="shared" si="10"/>
        <v>1</v>
      </c>
      <c r="AB52" s="294"/>
      <c r="AC52" s="206"/>
      <c r="AD52" s="292"/>
      <c r="AE52" s="293" t="b">
        <f>ROUND(AD50,2)=ROUND(AD51,2)</f>
        <v>1</v>
      </c>
      <c r="AF52" s="294"/>
      <c r="AG52" s="292"/>
      <c r="AH52" s="293" t="b">
        <f>ROUND(AG50,2)=ROUND(AG51,2)</f>
        <v>1</v>
      </c>
      <c r="AI52" s="294"/>
    </row>
    <row r="53" spans="1:35" x14ac:dyDescent="0.2">
      <c r="A53" s="6" t="s">
        <v>41</v>
      </c>
      <c r="B53" s="7"/>
      <c r="H53" s="10" t="s">
        <v>262</v>
      </c>
      <c r="I53" s="25" t="e">
        <f ca="1">_xll.EVPRO($B$1,$H53,"STYLE")</f>
        <v>#NAME?</v>
      </c>
      <c r="J53" s="25" t="e">
        <f ca="1">_xll.EVPRO($B$1,$H53,"CALC")</f>
        <v>#NAME?</v>
      </c>
      <c r="K53" s="24"/>
      <c r="L53" s="24" t="e">
        <f ca="1">_xll.EVPRO($B$1,H53,"JDEID")</f>
        <v>#NAME?</v>
      </c>
      <c r="M53" s="24" t="e">
        <f ca="1">IF(AND(I53="N",J53="N"),_xll.EVPRO($B$1,H53,"PSFTID"),"")</f>
        <v>#NAME?</v>
      </c>
      <c r="N53" s="24" t="e">
        <f ca="1">IF(_xll.EVDES(H53,$B$1)="#NODATA","",_xll.EVDES(H53,$B$1))</f>
        <v>#NAME?</v>
      </c>
      <c r="O53" s="19">
        <v>0</v>
      </c>
      <c r="P53" s="19">
        <v>0</v>
      </c>
      <c r="Q53" s="19">
        <v>0</v>
      </c>
      <c r="R53" s="19">
        <v>0</v>
      </c>
      <c r="S53" s="19">
        <v>0</v>
      </c>
      <c r="T53" s="19">
        <v>0</v>
      </c>
      <c r="U53" s="19">
        <v>0</v>
      </c>
      <c r="V53" s="19">
        <v>0</v>
      </c>
      <c r="W53" s="19">
        <v>0</v>
      </c>
      <c r="X53" s="19">
        <v>0</v>
      </c>
      <c r="Y53" s="19">
        <v>-905.6</v>
      </c>
      <c r="Z53" s="19">
        <v>-1276.8</v>
      </c>
      <c r="AA53" s="19">
        <f t="shared" ref="AA53:AA58" si="11">SUM(O53:Z53)</f>
        <v>-2182.4</v>
      </c>
      <c r="AB53" s="15" t="str">
        <f ca="1">IF(AA53=0,"",IFERROR(AA53/AA$19,""))</f>
        <v/>
      </c>
      <c r="AD53" s="19"/>
      <c r="AE53" s="15" t="str">
        <f>IF(AD53=0,"",IFERROR(AD53/AD$19,""))</f>
        <v/>
      </c>
      <c r="AF53" s="47">
        <f t="shared" ref="AF53:AF59" si="12">IF(AND($AA53="",AD53=""),"",$AA53-AD53)</f>
        <v>-2182.4</v>
      </c>
      <c r="AG53" s="19">
        <v>194337.86</v>
      </c>
      <c r="AH53" s="15" t="str">
        <f t="shared" ca="1" si="3"/>
        <v/>
      </c>
      <c r="AI53" s="47">
        <f t="shared" ref="AI53:AI59" si="13">IF(AND($AA53="",AG53=""),"",$AA53-AG53)</f>
        <v>-196520.25999999998</v>
      </c>
    </row>
    <row r="54" spans="1:35" x14ac:dyDescent="0.2">
      <c r="A54" s="6" t="s">
        <v>42</v>
      </c>
      <c r="B54" s="7"/>
      <c r="H54" s="10" t="s">
        <v>302</v>
      </c>
      <c r="I54" s="25" t="e">
        <f ca="1">_xll.EVPRO($B$1,$H54,"STYLE")</f>
        <v>#NAME?</v>
      </c>
      <c r="J54" s="25" t="e">
        <f ca="1">_xll.EVPRO($B$1,$H54,"CALC")</f>
        <v>#NAME?</v>
      </c>
      <c r="K54" s="24"/>
      <c r="L54" s="24" t="e">
        <f ca="1">_xll.EVPRO($B$1,H54,"JDEID")</f>
        <v>#NAME?</v>
      </c>
      <c r="M54" s="24" t="e">
        <f ca="1">IF(AND(I54="N",J54="N"),_xll.EVPRO($B$1,H54,"PSFTID"),"")</f>
        <v>#NAME?</v>
      </c>
      <c r="N54" s="24" t="e">
        <f ca="1">IF(_xll.EVDES(H54,$B$1)="#NODATA","",_xll.EVDES(H54,$B$1))</f>
        <v>#NAME?</v>
      </c>
      <c r="O54" s="19"/>
      <c r="P54" s="19"/>
      <c r="Q54" s="19"/>
      <c r="R54" s="19"/>
      <c r="S54" s="19"/>
      <c r="T54" s="19"/>
      <c r="U54" s="19"/>
      <c r="V54" s="19"/>
      <c r="W54" s="19"/>
      <c r="X54" s="19"/>
      <c r="Y54" s="19"/>
      <c r="Z54" s="19"/>
      <c r="AA54" s="19">
        <f t="shared" si="11"/>
        <v>0</v>
      </c>
      <c r="AB54" s="15" t="str">
        <f>IF(AA54=0,"",IFERROR(AA54/AA$19,""))</f>
        <v/>
      </c>
      <c r="AD54" s="19"/>
      <c r="AE54" s="15" t="str">
        <f>IF(AD54=0,"",IFERROR(AD54/AD$19,""))</f>
        <v/>
      </c>
      <c r="AF54" s="47">
        <f t="shared" si="12"/>
        <v>0</v>
      </c>
      <c r="AG54" s="19">
        <v>28726.2</v>
      </c>
      <c r="AH54" s="15" t="str">
        <f t="shared" ca="1" si="3"/>
        <v/>
      </c>
      <c r="AI54" s="47">
        <f t="shared" si="13"/>
        <v>-28726.2</v>
      </c>
    </row>
    <row r="55" spans="1:35" x14ac:dyDescent="0.2">
      <c r="A55" s="6" t="s">
        <v>43</v>
      </c>
      <c r="B55" s="7"/>
      <c r="H55" s="10" t="s">
        <v>306</v>
      </c>
      <c r="I55" s="25" t="e">
        <f ca="1">_xll.EVPRO($B$1,$H55,"STYLE")</f>
        <v>#NAME?</v>
      </c>
      <c r="J55" s="25" t="e">
        <f ca="1">_xll.EVPRO($B$1,$H55,"CALC")</f>
        <v>#NAME?</v>
      </c>
      <c r="K55" s="24"/>
      <c r="L55" s="24" t="e">
        <f ca="1">_xll.EVPRO($B$1,H55,"JDEID")</f>
        <v>#NAME?</v>
      </c>
      <c r="M55" s="24" t="e">
        <f ca="1">IF(AND(I55="N",J55="N"),_xll.EVPRO($B$1,H55,"PSFTID"),"")</f>
        <v>#NAME?</v>
      </c>
      <c r="N55" s="24" t="e">
        <f ca="1">IF(_xll.EVDES(H55,$B$1)="#NODATA","",_xll.EVDES(H55,$B$1))</f>
        <v>#NAME?</v>
      </c>
      <c r="O55" s="19"/>
      <c r="P55" s="19"/>
      <c r="Q55" s="19"/>
      <c r="R55" s="19"/>
      <c r="S55" s="19"/>
      <c r="T55" s="19"/>
      <c r="U55" s="19"/>
      <c r="V55" s="19"/>
      <c r="W55" s="19"/>
      <c r="X55" s="19"/>
      <c r="Y55" s="19"/>
      <c r="Z55" s="19"/>
      <c r="AA55" s="19">
        <f t="shared" si="11"/>
        <v>0</v>
      </c>
      <c r="AB55" s="15" t="str">
        <f>IF(AA55=0,"",IFERROR(AA55/AA$19,""))</f>
        <v/>
      </c>
      <c r="AD55" s="19"/>
      <c r="AE55" s="15" t="str">
        <f>IF(AD55=0,"",IFERROR(AD55/AD$19,""))</f>
        <v/>
      </c>
      <c r="AF55" s="47">
        <f t="shared" si="12"/>
        <v>0</v>
      </c>
      <c r="AG55" s="19">
        <v>6158.12</v>
      </c>
      <c r="AH55" s="15" t="str">
        <f t="shared" ca="1" si="3"/>
        <v/>
      </c>
      <c r="AI55" s="47">
        <f t="shared" si="13"/>
        <v>-6158.12</v>
      </c>
    </row>
    <row r="56" spans="1:35" x14ac:dyDescent="0.2">
      <c r="A56" s="6" t="s">
        <v>44</v>
      </c>
      <c r="B56" s="7"/>
      <c r="H56" s="10" t="s">
        <v>304</v>
      </c>
      <c r="I56" s="25" t="e">
        <f ca="1">_xll.EVPRO($B$1,$H56,"STYLE")</f>
        <v>#NAME?</v>
      </c>
      <c r="J56" s="25" t="e">
        <f ca="1">_xll.EVPRO($B$1,$H56,"CALC")</f>
        <v>#NAME?</v>
      </c>
      <c r="K56" s="24"/>
      <c r="L56" s="24" t="e">
        <f ca="1">_xll.EVPRO($B$1,H56,"JDEID")</f>
        <v>#NAME?</v>
      </c>
      <c r="M56" s="24" t="e">
        <f ca="1">IF(AND(I56="N",J56="N"),_xll.EVPRO($B$1,H56,"PSFTID"),"")</f>
        <v>#NAME?</v>
      </c>
      <c r="N56" s="24" t="e">
        <f ca="1">IF(_xll.EVDES(H56,$B$1)="#NODATA","",_xll.EVDES(H56,$B$1))</f>
        <v>#NAME?</v>
      </c>
      <c r="O56" s="28"/>
      <c r="P56" s="28"/>
      <c r="Q56" s="28"/>
      <c r="R56" s="28"/>
      <c r="S56" s="28"/>
      <c r="T56" s="28"/>
      <c r="U56" s="28"/>
      <c r="V56" s="28"/>
      <c r="W56" s="28"/>
      <c r="X56" s="28"/>
      <c r="Y56" s="28"/>
      <c r="Z56" s="28"/>
      <c r="AA56" s="28">
        <f t="shared" si="11"/>
        <v>0</v>
      </c>
      <c r="AB56" s="29" t="str">
        <f>IF(AA56=0,"",IFERROR(AA56/AA$19,""))</f>
        <v/>
      </c>
      <c r="AD56" s="28"/>
      <c r="AE56" s="29" t="str">
        <f>IF(AD56=0,"",IFERROR(AD56/AD$19,""))</f>
        <v/>
      </c>
      <c r="AF56" s="48">
        <f t="shared" si="12"/>
        <v>0</v>
      </c>
      <c r="AG56" s="28">
        <v>16683.900000000001</v>
      </c>
      <c r="AH56" s="29" t="str">
        <f t="shared" ca="1" si="3"/>
        <v/>
      </c>
      <c r="AI56" s="48">
        <f t="shared" si="13"/>
        <v>-16683.900000000001</v>
      </c>
    </row>
    <row r="57" spans="1:35" x14ac:dyDescent="0.2">
      <c r="A57" s="6" t="s">
        <v>45</v>
      </c>
      <c r="B57" s="7"/>
      <c r="H57" s="10" t="s">
        <v>320</v>
      </c>
      <c r="I57" s="25" t="e">
        <f ca="1">_xll.EVPRO($B$1,$H57,"STYLE")</f>
        <v>#NAME?</v>
      </c>
      <c r="J57" s="25" t="e">
        <f ca="1">_xll.EVPRO($B$1,$H57,"CALC")</f>
        <v>#NAME?</v>
      </c>
      <c r="K57" s="24"/>
      <c r="L57" s="24" t="e">
        <f ca="1">_xll.EVPRO($B$1,H57,"JDEID")</f>
        <v>#NAME?</v>
      </c>
      <c r="M57" s="24" t="e">
        <f ca="1">IF(AND(I57="N",J57="N"),_xll.EVPRO($B$1,H57,"PSFTID"),"")</f>
        <v>#NAME?</v>
      </c>
      <c r="N57" s="23" t="e">
        <f ca="1">IF(_xll.EVDES(H57,$B$1)="#NODATA","",_xll.EVDES(H57,$B$1))</f>
        <v>#NAME?</v>
      </c>
      <c r="O57" s="145">
        <v>0</v>
      </c>
      <c r="P57" s="145">
        <v>0</v>
      </c>
      <c r="Q57" s="145">
        <v>0</v>
      </c>
      <c r="R57" s="145">
        <v>0</v>
      </c>
      <c r="S57" s="145">
        <v>0</v>
      </c>
      <c r="T57" s="145">
        <v>0</v>
      </c>
      <c r="U57" s="145">
        <v>0</v>
      </c>
      <c r="V57" s="145">
        <v>0</v>
      </c>
      <c r="W57" s="145">
        <v>0</v>
      </c>
      <c r="X57" s="145">
        <v>0</v>
      </c>
      <c r="Y57" s="145">
        <v>-905.6</v>
      </c>
      <c r="Z57" s="145">
        <v>-1276.8</v>
      </c>
      <c r="AA57" s="145">
        <f t="shared" si="11"/>
        <v>-2182.4</v>
      </c>
      <c r="AB57" s="156" t="str">
        <f ca="1">IF(AA57=0,"",IFERROR(AA57/AA$19,""))</f>
        <v/>
      </c>
      <c r="AD57" s="145"/>
      <c r="AE57" s="156" t="str">
        <f>IF(AD57=0,"",IFERROR(AD57/AD$19,""))</f>
        <v/>
      </c>
      <c r="AF57" s="146">
        <f t="shared" si="12"/>
        <v>-2182.4</v>
      </c>
      <c r="AG57" s="145">
        <v>245906.08</v>
      </c>
      <c r="AH57" s="156" t="str">
        <f t="shared" ca="1" si="3"/>
        <v/>
      </c>
      <c r="AI57" s="146">
        <f t="shared" si="13"/>
        <v>-248088.47999999998</v>
      </c>
    </row>
    <row r="58" spans="1:35" x14ac:dyDescent="0.2">
      <c r="A58" s="6" t="s">
        <v>46</v>
      </c>
      <c r="B58" s="7"/>
      <c r="H58" s="10" t="s">
        <v>299</v>
      </c>
      <c r="I58" s="25" t="e">
        <f ca="1">_xll.EVPRO($B$1,$H58,"STYLE")</f>
        <v>#NAME?</v>
      </c>
      <c r="J58" s="25" t="e">
        <f ca="1">_xll.EVPRO($B$1,$H58,"CALC")</f>
        <v>#NAME?</v>
      </c>
      <c r="K58" s="24"/>
      <c r="L58" s="24" t="e">
        <f ca="1">_xll.EVPRO($B$1,H58,"JDEID")</f>
        <v>#NAME?</v>
      </c>
      <c r="M58" s="24" t="e">
        <f ca="1">IF(AND(I58="N",J58="N"),_xll.EVPRO($B$1,H58,"PSFTID"),"")</f>
        <v>#NAME?</v>
      </c>
      <c r="N58" s="24" t="e">
        <f ca="1">IF(_xll.EVDES(H58,$B$1)="#NODATA","",_xll.EVDES(H58,$B$1))</f>
        <v>#NAME?</v>
      </c>
      <c r="O58" s="35"/>
      <c r="P58" s="35"/>
      <c r="Q58" s="35"/>
      <c r="R58" s="35"/>
      <c r="S58" s="35"/>
      <c r="T58" s="35"/>
      <c r="U58" s="35"/>
      <c r="V58" s="35"/>
      <c r="W58" s="35"/>
      <c r="X58" s="35"/>
      <c r="Y58" s="35"/>
      <c r="Z58" s="35"/>
      <c r="AA58" s="35">
        <f t="shared" si="11"/>
        <v>0</v>
      </c>
      <c r="AB58" s="36" t="str">
        <f>IF(AA58=0,"",IFERROR(AA58/AA$104,""))</f>
        <v/>
      </c>
      <c r="AD58" s="35"/>
      <c r="AE58" s="36" t="str">
        <f>IF(AD58=0,"",IFERROR(AD58/AD$104,""))</f>
        <v/>
      </c>
      <c r="AF58" s="118">
        <f t="shared" si="12"/>
        <v>0</v>
      </c>
      <c r="AG58" s="35">
        <v>4523</v>
      </c>
      <c r="AH58" s="36">
        <f>IF(AG58=0,"",IFERROR(AG58/AG$104,""))</f>
        <v>9.0963940228867932E-2</v>
      </c>
      <c r="AI58" s="118">
        <f t="shared" si="13"/>
        <v>-4523</v>
      </c>
    </row>
    <row r="59" spans="1:35" x14ac:dyDescent="0.2">
      <c r="H59" s="133" t="s">
        <v>317</v>
      </c>
      <c r="I59" s="25" t="e">
        <f ca="1">_xll.EVPRO($B$1,$H59,"STYLE")</f>
        <v>#NAME?</v>
      </c>
      <c r="J59" s="25" t="e">
        <f ca="1">_xll.EVPRO($B$1,$H59,"CALC")</f>
        <v>#NAME?</v>
      </c>
      <c r="K59" s="24"/>
      <c r="L59" s="24" t="e">
        <f ca="1">_xll.EVPRO($B$1,H59,"JDEID")</f>
        <v>#NAME?</v>
      </c>
      <c r="M59" s="24" t="e">
        <f ca="1">IF(AND(I59="N",J59="N"),_xll.EVPRO($B$1,H59,"PSFTID"),"")</f>
        <v>#NAME?</v>
      </c>
      <c r="N59" s="151" t="e">
        <f ca="1">IF(_xll.EVDES(H59,$B$1)="#NODATA","",_xll.EVDES(H59,$B$1))</f>
        <v>#NAME?</v>
      </c>
      <c r="O59" s="157"/>
      <c r="P59" s="157"/>
      <c r="Q59" s="157"/>
      <c r="R59" s="157"/>
      <c r="S59" s="157"/>
      <c r="T59" s="157"/>
      <c r="U59" s="157"/>
      <c r="V59" s="157"/>
      <c r="W59" s="157"/>
      <c r="X59" s="157"/>
      <c r="Y59" s="157"/>
      <c r="Z59" s="157"/>
      <c r="AA59" s="157" t="str">
        <f>IFERROR(AA57/AA58,"")</f>
        <v/>
      </c>
      <c r="AB59" s="157"/>
      <c r="AD59" s="157"/>
      <c r="AE59" s="157"/>
      <c r="AF59" s="158" t="str">
        <f t="shared" si="12"/>
        <v/>
      </c>
      <c r="AG59" s="157">
        <v>54.367915100596903</v>
      </c>
      <c r="AH59" s="157"/>
      <c r="AI59" s="158" t="e">
        <f t="shared" si="13"/>
        <v>#VALUE!</v>
      </c>
    </row>
    <row r="60" spans="1:35" x14ac:dyDescent="0.2">
      <c r="G60" s="162">
        <f>COUNTIF(O61:AI61,FALSE)</f>
        <v>0</v>
      </c>
      <c r="H60" s="10"/>
      <c r="I60" s="25"/>
      <c r="J60" s="25"/>
      <c r="K60" s="24"/>
      <c r="L60" s="24"/>
      <c r="M60" s="24"/>
      <c r="N60" s="163" t="s">
        <v>345</v>
      </c>
      <c r="O60" s="160">
        <f t="shared" ref="O60:AA60" si="14">ROUND(IFERROR(O57/O58,0),2)</f>
        <v>0</v>
      </c>
      <c r="P60" s="165">
        <f t="shared" si="14"/>
        <v>0</v>
      </c>
      <c r="Q60" s="165">
        <f t="shared" si="14"/>
        <v>0</v>
      </c>
      <c r="R60" s="165">
        <f t="shared" si="14"/>
        <v>0</v>
      </c>
      <c r="S60" s="165">
        <f t="shared" si="14"/>
        <v>0</v>
      </c>
      <c r="T60" s="165">
        <f t="shared" si="14"/>
        <v>0</v>
      </c>
      <c r="U60" s="165">
        <f t="shared" si="14"/>
        <v>0</v>
      </c>
      <c r="V60" s="165">
        <f t="shared" si="14"/>
        <v>0</v>
      </c>
      <c r="W60" s="165">
        <f t="shared" si="14"/>
        <v>0</v>
      </c>
      <c r="X60" s="165">
        <f t="shared" si="14"/>
        <v>0</v>
      </c>
      <c r="Y60" s="165">
        <f t="shared" si="14"/>
        <v>0</v>
      </c>
      <c r="Z60" s="165">
        <f t="shared" si="14"/>
        <v>0</v>
      </c>
      <c r="AA60" s="165">
        <f t="shared" si="14"/>
        <v>0</v>
      </c>
      <c r="AB60" s="164"/>
      <c r="AD60" s="160">
        <f>ROUND(IFERROR(AD57/AD58,0),2)</f>
        <v>0</v>
      </c>
      <c r="AE60" s="165"/>
      <c r="AF60" s="161"/>
      <c r="AG60" s="160">
        <f>ROUND(IFERROR(AG57/AG58,0),2)</f>
        <v>54.37</v>
      </c>
      <c r="AH60" s="165"/>
      <c r="AI60" s="161"/>
    </row>
    <row r="61" spans="1:35" x14ac:dyDescent="0.2">
      <c r="H61" s="133"/>
      <c r="I61" s="25"/>
      <c r="J61" s="25"/>
      <c r="K61" s="24"/>
      <c r="L61" s="24"/>
      <c r="M61" s="24"/>
      <c r="N61" s="8" t="s">
        <v>307</v>
      </c>
      <c r="O61" s="292" t="b">
        <f t="shared" ref="O61:AA61" si="15">ROUND(O59,2)=ROUND(O60,2)</f>
        <v>1</v>
      </c>
      <c r="P61" s="293" t="b">
        <f t="shared" si="15"/>
        <v>1</v>
      </c>
      <c r="Q61" s="293" t="b">
        <f t="shared" si="15"/>
        <v>1</v>
      </c>
      <c r="R61" s="293" t="b">
        <f t="shared" si="15"/>
        <v>1</v>
      </c>
      <c r="S61" s="293" t="b">
        <f t="shared" si="15"/>
        <v>1</v>
      </c>
      <c r="T61" s="293" t="b">
        <f t="shared" si="15"/>
        <v>1</v>
      </c>
      <c r="U61" s="293" t="b">
        <f t="shared" si="15"/>
        <v>1</v>
      </c>
      <c r="V61" s="293" t="b">
        <f t="shared" si="15"/>
        <v>1</v>
      </c>
      <c r="W61" s="293" t="b">
        <f t="shared" si="15"/>
        <v>1</v>
      </c>
      <c r="X61" s="293" t="b">
        <f t="shared" si="15"/>
        <v>1</v>
      </c>
      <c r="Y61" s="293" t="b">
        <f t="shared" si="15"/>
        <v>1</v>
      </c>
      <c r="Z61" s="293" t="b">
        <f t="shared" si="15"/>
        <v>1</v>
      </c>
      <c r="AA61" s="293" t="e">
        <f t="shared" si="15"/>
        <v>#VALUE!</v>
      </c>
      <c r="AB61" s="294"/>
      <c r="AC61" s="206"/>
      <c r="AD61" s="292"/>
      <c r="AE61" s="293" t="b">
        <f>ROUND(AD59,2)=ROUND(AD60,2)</f>
        <v>1</v>
      </c>
      <c r="AF61" s="294"/>
      <c r="AG61" s="292"/>
      <c r="AH61" s="293" t="b">
        <f>ROUND(AG59,2)=ROUND(AG60,2)</f>
        <v>1</v>
      </c>
      <c r="AI61" s="294"/>
    </row>
    <row r="62" spans="1:35" x14ac:dyDescent="0.2">
      <c r="H62" s="133" t="s">
        <v>263</v>
      </c>
      <c r="I62" s="25" t="e">
        <f ca="1">_xll.EVPRO($B$1,$H62,"STYLE")</f>
        <v>#NAME?</v>
      </c>
      <c r="J62" s="25" t="e">
        <f ca="1">_xll.EVPRO($B$1,$H62,"CALC")</f>
        <v>#NAME?</v>
      </c>
      <c r="K62" s="24"/>
      <c r="L62" s="24" t="e">
        <f ca="1">_xll.EVPRO($B$1,H62,"JDEID")</f>
        <v>#NAME?</v>
      </c>
      <c r="M62" s="24" t="e">
        <f ca="1">IF(AND(I62="N",J62="N"),_xll.EVPRO($B$1,H62,"PSFTID"),"")</f>
        <v>#NAME?</v>
      </c>
      <c r="N62" s="24" t="e">
        <f ca="1">IF(_xll.EVDES(H62,$B$1)="#NODATA","",_xll.EVDES(H62,$B$1))</f>
        <v>#NAME?</v>
      </c>
      <c r="O62" s="19">
        <v>1575</v>
      </c>
      <c r="P62" s="19"/>
      <c r="Q62" s="19"/>
      <c r="R62" s="19"/>
      <c r="S62" s="19"/>
      <c r="T62" s="19"/>
      <c r="U62" s="19"/>
      <c r="V62" s="19"/>
      <c r="W62" s="19"/>
      <c r="X62" s="19"/>
      <c r="Y62" s="19"/>
      <c r="Z62" s="19"/>
      <c r="AA62" s="19">
        <f t="shared" ref="AA62:AA67" si="16">SUM(O62:Z62)</f>
        <v>1575</v>
      </c>
      <c r="AB62" s="15" t="str">
        <f ca="1">IF(AA62=0,"",IFERROR(AA62/AA$19,""))</f>
        <v/>
      </c>
      <c r="AD62" s="19"/>
      <c r="AE62" s="15" t="str">
        <f>IF(AD62=0,"",IFERROR(AD62/AD$19,""))</f>
        <v/>
      </c>
      <c r="AF62" s="47">
        <f t="shared" ref="AF62:AF68" si="17">IF(AND($AA62="",AD62=""),"",$AA62-AD62)</f>
        <v>1575</v>
      </c>
      <c r="AG62" s="19">
        <v>142656.99</v>
      </c>
      <c r="AH62" s="15" t="str">
        <f t="shared" ca="1" si="3"/>
        <v/>
      </c>
      <c r="AI62" s="47">
        <f t="shared" ref="AI62:AI68" si="18">IF(AND($AA62="",AG62=""),"",$AA62-AG62)</f>
        <v>-141081.99</v>
      </c>
    </row>
    <row r="63" spans="1:35" x14ac:dyDescent="0.2">
      <c r="H63" s="133" t="s">
        <v>308</v>
      </c>
      <c r="I63" s="25" t="e">
        <f ca="1">_xll.EVPRO($B$1,$H63,"STYLE")</f>
        <v>#NAME?</v>
      </c>
      <c r="J63" s="25" t="e">
        <f ca="1">_xll.EVPRO($B$1,$H63,"CALC")</f>
        <v>#NAME?</v>
      </c>
      <c r="K63" s="24"/>
      <c r="L63" s="24" t="e">
        <f ca="1">_xll.EVPRO($B$1,H63,"JDEID")</f>
        <v>#NAME?</v>
      </c>
      <c r="M63" s="24" t="e">
        <f ca="1">IF(AND(I63="N",J63="N"),_xll.EVPRO($B$1,H63,"PSFTID"),"")</f>
        <v>#NAME?</v>
      </c>
      <c r="N63" s="24" t="e">
        <f ca="1">IF(_xll.EVDES(H63,$B$1)="#NODATA","",_xll.EVDES(H63,$B$1))</f>
        <v>#NAME?</v>
      </c>
      <c r="O63" s="19">
        <v>3457</v>
      </c>
      <c r="P63" s="19"/>
      <c r="Q63" s="19"/>
      <c r="R63" s="19"/>
      <c r="S63" s="19"/>
      <c r="T63" s="19"/>
      <c r="U63" s="19"/>
      <c r="V63" s="19"/>
      <c r="W63" s="19"/>
      <c r="X63" s="19"/>
      <c r="Y63" s="19"/>
      <c r="Z63" s="19"/>
      <c r="AA63" s="19">
        <f t="shared" si="16"/>
        <v>3457</v>
      </c>
      <c r="AB63" s="15" t="str">
        <f ca="1">IF(AA63=0,"",IFERROR(AA63/AA$19,""))</f>
        <v/>
      </c>
      <c r="AD63" s="19"/>
      <c r="AE63" s="15" t="str">
        <f>IF(AD63=0,"",IFERROR(AD63/AD$19,""))</f>
        <v/>
      </c>
      <c r="AF63" s="47">
        <f t="shared" si="17"/>
        <v>3457</v>
      </c>
      <c r="AG63" s="19">
        <v>206365.51</v>
      </c>
      <c r="AH63" s="15" t="str">
        <f t="shared" ca="1" si="3"/>
        <v/>
      </c>
      <c r="AI63" s="47">
        <f t="shared" si="18"/>
        <v>-202908.51</v>
      </c>
    </row>
    <row r="64" spans="1:35" x14ac:dyDescent="0.2">
      <c r="H64" s="133" t="s">
        <v>310</v>
      </c>
      <c r="I64" s="25" t="e">
        <f ca="1">_xll.EVPRO($B$1,$H64,"STYLE")</f>
        <v>#NAME?</v>
      </c>
      <c r="J64" s="25" t="e">
        <f ca="1">_xll.EVPRO($B$1,$H64,"CALC")</f>
        <v>#NAME?</v>
      </c>
      <c r="K64" s="24"/>
      <c r="L64" s="24" t="e">
        <f ca="1">_xll.EVPRO($B$1,H64,"JDEID")</f>
        <v>#NAME?</v>
      </c>
      <c r="M64" s="24" t="e">
        <f ca="1">IF(AND(I64="N",J64="N"),_xll.EVPRO($B$1,H64,"PSFTID"),"")</f>
        <v>#NAME?</v>
      </c>
      <c r="N64" s="24" t="e">
        <f ca="1">IF(_xll.EVDES(H64,$B$1)="#NODATA","",_xll.EVDES(H64,$B$1))</f>
        <v>#NAME?</v>
      </c>
      <c r="O64" s="19">
        <v>772</v>
      </c>
      <c r="P64" s="19"/>
      <c r="Q64" s="19"/>
      <c r="R64" s="19"/>
      <c r="S64" s="19"/>
      <c r="T64" s="19"/>
      <c r="U64" s="19"/>
      <c r="V64" s="19"/>
      <c r="W64" s="19"/>
      <c r="X64" s="19"/>
      <c r="Y64" s="19"/>
      <c r="Z64" s="19"/>
      <c r="AA64" s="19">
        <f t="shared" si="16"/>
        <v>772</v>
      </c>
      <c r="AB64" s="15" t="str">
        <f ca="1">IF(AA64=0,"",IFERROR(AA64/AA$19,""))</f>
        <v/>
      </c>
      <c r="AD64" s="19"/>
      <c r="AE64" s="15" t="str">
        <f>IF(AD64=0,"",IFERROR(AD64/AD$19,""))</f>
        <v/>
      </c>
      <c r="AF64" s="47">
        <f t="shared" si="17"/>
        <v>772</v>
      </c>
      <c r="AG64" s="19">
        <v>34482.199999999997</v>
      </c>
      <c r="AH64" s="15" t="str">
        <f t="shared" ca="1" si="3"/>
        <v/>
      </c>
      <c r="AI64" s="47">
        <f t="shared" si="18"/>
        <v>-33710.199999999997</v>
      </c>
    </row>
    <row r="65" spans="7:35" x14ac:dyDescent="0.2">
      <c r="H65" s="133" t="s">
        <v>309</v>
      </c>
      <c r="I65" s="25" t="e">
        <f ca="1">_xll.EVPRO($B$1,$H65,"STYLE")</f>
        <v>#NAME?</v>
      </c>
      <c r="J65" s="25" t="e">
        <f ca="1">_xll.EVPRO($B$1,$H65,"CALC")</f>
        <v>#NAME?</v>
      </c>
      <c r="K65" s="24"/>
      <c r="L65" s="24" t="e">
        <f ca="1">_xll.EVPRO($B$1,H65,"JDEID")</f>
        <v>#NAME?</v>
      </c>
      <c r="M65" s="24" t="e">
        <f ca="1">IF(AND(I65="N",J65="N"),_xll.EVPRO($B$1,H65,"PSFTID"),"")</f>
        <v>#NAME?</v>
      </c>
      <c r="N65" s="24" t="e">
        <f ca="1">IF(_xll.EVDES(H65,$B$1)="#NODATA","",_xll.EVDES(H65,$B$1))</f>
        <v>#NAME?</v>
      </c>
      <c r="O65" s="28">
        <v>1114</v>
      </c>
      <c r="P65" s="28"/>
      <c r="Q65" s="28"/>
      <c r="R65" s="28"/>
      <c r="S65" s="28"/>
      <c r="T65" s="28"/>
      <c r="U65" s="28"/>
      <c r="V65" s="28"/>
      <c r="W65" s="28"/>
      <c r="X65" s="28"/>
      <c r="Y65" s="28"/>
      <c r="Z65" s="28"/>
      <c r="AA65" s="28">
        <f t="shared" si="16"/>
        <v>1114</v>
      </c>
      <c r="AB65" s="29" t="str">
        <f ca="1">IF(AA65=0,"",IFERROR(AA65/AA$19,""))</f>
        <v/>
      </c>
      <c r="AD65" s="28"/>
      <c r="AE65" s="29" t="str">
        <f>IF(AD65=0,"",IFERROR(AD65/AD$19,""))</f>
        <v/>
      </c>
      <c r="AF65" s="48">
        <f t="shared" si="17"/>
        <v>1114</v>
      </c>
      <c r="AG65" s="28">
        <v>43558.03</v>
      </c>
      <c r="AH65" s="29" t="str">
        <f t="shared" ca="1" si="3"/>
        <v/>
      </c>
      <c r="AI65" s="48">
        <f t="shared" si="18"/>
        <v>-42444.03</v>
      </c>
    </row>
    <row r="66" spans="7:35" x14ac:dyDescent="0.2">
      <c r="H66" s="133" t="s">
        <v>327</v>
      </c>
      <c r="I66" s="25" t="e">
        <f ca="1">_xll.EVPRO($B$1,$H66,"STYLE")</f>
        <v>#NAME?</v>
      </c>
      <c r="J66" s="25" t="e">
        <f ca="1">_xll.EVPRO($B$1,$H66,"CALC")</f>
        <v>#NAME?</v>
      </c>
      <c r="K66" s="24"/>
      <c r="L66" s="24" t="e">
        <f ca="1">_xll.EVPRO($B$1,H66,"JDEID")</f>
        <v>#NAME?</v>
      </c>
      <c r="M66" s="24" t="e">
        <f ca="1">IF(AND(I66="N",J66="N"),_xll.EVPRO($B$1,H66,"PSFTID"),"")</f>
        <v>#NAME?</v>
      </c>
      <c r="N66" s="23" t="e">
        <f ca="1">IF(_xll.EVDES(H66,$B$1)="#NODATA","",_xll.EVDES(H66,$B$1))</f>
        <v>#NAME?</v>
      </c>
      <c r="O66" s="145">
        <v>6918</v>
      </c>
      <c r="P66" s="145"/>
      <c r="Q66" s="145"/>
      <c r="R66" s="145"/>
      <c r="S66" s="145"/>
      <c r="T66" s="145"/>
      <c r="U66" s="145"/>
      <c r="V66" s="145"/>
      <c r="W66" s="145"/>
      <c r="X66" s="145"/>
      <c r="Y66" s="145"/>
      <c r="Z66" s="145"/>
      <c r="AA66" s="145">
        <f t="shared" si="16"/>
        <v>6918</v>
      </c>
      <c r="AB66" s="156" t="str">
        <f ca="1">IF(AA66=0,"",IFERROR(AA66/AA$19,""))</f>
        <v/>
      </c>
      <c r="AD66" s="145"/>
      <c r="AE66" s="156" t="str">
        <f>IF(AD66=0,"",IFERROR(AD66/AD$19,""))</f>
        <v/>
      </c>
      <c r="AF66" s="146">
        <f t="shared" si="17"/>
        <v>6918</v>
      </c>
      <c r="AG66" s="145">
        <v>427062.73</v>
      </c>
      <c r="AH66" s="156" t="str">
        <f t="shared" ca="1" si="3"/>
        <v/>
      </c>
      <c r="AI66" s="146">
        <f t="shared" si="18"/>
        <v>-420144.73</v>
      </c>
    </row>
    <row r="67" spans="7:35" x14ac:dyDescent="0.2">
      <c r="H67" s="133" t="s">
        <v>326</v>
      </c>
      <c r="I67" s="25" t="e">
        <f ca="1">_xll.EVPRO($B$1,$H67,"STYLE")</f>
        <v>#NAME?</v>
      </c>
      <c r="J67" s="25" t="e">
        <f ca="1">_xll.EVPRO($B$1,$H67,"CALC")</f>
        <v>#NAME?</v>
      </c>
      <c r="K67" s="24"/>
      <c r="L67" s="24" t="e">
        <f ca="1">_xll.EVPRO($B$1,H67,"JDEID")</f>
        <v>#NAME?</v>
      </c>
      <c r="M67" s="24" t="e">
        <f ca="1">IF(AND(I67="N",J67="N"),_xll.EVPRO($B$1,H67,"PSFTID"),"")</f>
        <v>#NAME?</v>
      </c>
      <c r="N67" s="24" t="e">
        <f ca="1">IF(_xll.EVDES(H67,$B$1)="#NODATA","",_xll.EVDES(H67,$B$1))</f>
        <v>#NAME?</v>
      </c>
      <c r="O67" s="35">
        <v>310</v>
      </c>
      <c r="P67" s="35"/>
      <c r="Q67" s="35"/>
      <c r="R67" s="35"/>
      <c r="S67" s="35"/>
      <c r="T67" s="35"/>
      <c r="U67" s="35"/>
      <c r="V67" s="35"/>
      <c r="W67" s="35"/>
      <c r="X67" s="35"/>
      <c r="Y67" s="35"/>
      <c r="Z67" s="35"/>
      <c r="AA67" s="35">
        <f t="shared" si="16"/>
        <v>310</v>
      </c>
      <c r="AB67" s="36">
        <f>IF(AA67=0,"",IFERROR(AA67/AA$104,""))</f>
        <v>0.42407660738714092</v>
      </c>
      <c r="AD67" s="35"/>
      <c r="AE67" s="36" t="str">
        <f>IF(AD67=0,"",IFERROR(AD67/AD$104,""))</f>
        <v/>
      </c>
      <c r="AF67" s="118">
        <f t="shared" si="17"/>
        <v>310</v>
      </c>
      <c r="AG67" s="35">
        <v>15829</v>
      </c>
      <c r="AH67" s="36">
        <f>IF(AG67=0,"",IFERROR(AG67/AG$104,""))</f>
        <v>0.31834362367516039</v>
      </c>
      <c r="AI67" s="118">
        <f t="shared" si="18"/>
        <v>-15519</v>
      </c>
    </row>
    <row r="68" spans="7:35" x14ac:dyDescent="0.2">
      <c r="H68" s="133" t="s">
        <v>328</v>
      </c>
      <c r="I68" s="25" t="e">
        <f ca="1">_xll.EVPRO($B$1,$H68,"STYLE")</f>
        <v>#NAME?</v>
      </c>
      <c r="J68" s="25" t="e">
        <f ca="1">_xll.EVPRO($B$1,$H68,"CALC")</f>
        <v>#NAME?</v>
      </c>
      <c r="K68" s="24"/>
      <c r="L68" s="24" t="e">
        <f ca="1">_xll.EVPRO($B$1,H68,"JDEID")</f>
        <v>#NAME?</v>
      </c>
      <c r="M68" s="24" t="e">
        <f ca="1">IF(AND(I68="N",J68="N"),_xll.EVPRO($B$1,H68,"PSFTID"),"")</f>
        <v>#NAME?</v>
      </c>
      <c r="N68" s="151" t="e">
        <f ca="1">IF(_xll.EVDES(H68,$B$1)="#NODATA","",_xll.EVDES(H68,$B$1))</f>
        <v>#NAME?</v>
      </c>
      <c r="O68" s="157">
        <v>22.3161290322581</v>
      </c>
      <c r="P68" s="157"/>
      <c r="Q68" s="157"/>
      <c r="R68" s="157"/>
      <c r="S68" s="157"/>
      <c r="T68" s="157"/>
      <c r="U68" s="157"/>
      <c r="V68" s="157"/>
      <c r="W68" s="157"/>
      <c r="X68" s="157"/>
      <c r="Y68" s="157"/>
      <c r="Z68" s="157"/>
      <c r="AA68" s="157">
        <f>IFERROR(AA66/AA67,"")</f>
        <v>22.316129032258065</v>
      </c>
      <c r="AB68" s="157"/>
      <c r="AD68" s="157"/>
      <c r="AE68" s="157"/>
      <c r="AF68" s="158">
        <f t="shared" si="17"/>
        <v>22.316129032258065</v>
      </c>
      <c r="AG68" s="157">
        <v>26.9797668835681</v>
      </c>
      <c r="AH68" s="157"/>
      <c r="AI68" s="158">
        <f t="shared" si="18"/>
        <v>-4.6636378513100354</v>
      </c>
    </row>
    <row r="69" spans="7:35" x14ac:dyDescent="0.2">
      <c r="G69" s="162">
        <f>COUNTIF(O70:AI70,FALSE)</f>
        <v>0</v>
      </c>
      <c r="H69" s="10"/>
      <c r="I69" s="25"/>
      <c r="J69" s="25"/>
      <c r="K69" s="24"/>
      <c r="L69" s="24"/>
      <c r="M69" s="24"/>
      <c r="N69" s="163" t="s">
        <v>345</v>
      </c>
      <c r="O69" s="160">
        <f t="shared" ref="O69:AA69" si="19">ROUND(IFERROR(O66/O67,0),2)</f>
        <v>22.32</v>
      </c>
      <c r="P69" s="165">
        <f t="shared" si="19"/>
        <v>0</v>
      </c>
      <c r="Q69" s="165">
        <f t="shared" si="19"/>
        <v>0</v>
      </c>
      <c r="R69" s="165">
        <f t="shared" si="19"/>
        <v>0</v>
      </c>
      <c r="S69" s="165">
        <f t="shared" si="19"/>
        <v>0</v>
      </c>
      <c r="T69" s="165">
        <f t="shared" si="19"/>
        <v>0</v>
      </c>
      <c r="U69" s="165">
        <f t="shared" si="19"/>
        <v>0</v>
      </c>
      <c r="V69" s="165">
        <f t="shared" si="19"/>
        <v>0</v>
      </c>
      <c r="W69" s="165">
        <f t="shared" si="19"/>
        <v>0</v>
      </c>
      <c r="X69" s="165">
        <f t="shared" si="19"/>
        <v>0</v>
      </c>
      <c r="Y69" s="165">
        <f t="shared" si="19"/>
        <v>0</v>
      </c>
      <c r="Z69" s="165">
        <f t="shared" si="19"/>
        <v>0</v>
      </c>
      <c r="AA69" s="165">
        <f t="shared" si="19"/>
        <v>22.32</v>
      </c>
      <c r="AB69" s="164"/>
      <c r="AD69" s="160">
        <f>ROUND(IFERROR(AD66/AD67,0),2)</f>
        <v>0</v>
      </c>
      <c r="AE69" s="165"/>
      <c r="AF69" s="161"/>
      <c r="AG69" s="160">
        <f>ROUND(IFERROR(AG66/AG67,0),2)</f>
        <v>26.98</v>
      </c>
      <c r="AH69" s="165"/>
      <c r="AI69" s="161"/>
    </row>
    <row r="70" spans="7:35" x14ac:dyDescent="0.2">
      <c r="H70" s="133"/>
      <c r="I70" s="25"/>
      <c r="J70" s="25"/>
      <c r="K70" s="24"/>
      <c r="L70" s="24"/>
      <c r="M70" s="24"/>
      <c r="N70" s="8" t="s">
        <v>324</v>
      </c>
      <c r="O70" s="292" t="b">
        <f t="shared" ref="O70:AA70" si="20">ROUND(O68,2)=ROUND(O69,2)</f>
        <v>1</v>
      </c>
      <c r="P70" s="293" t="b">
        <f t="shared" si="20"/>
        <v>1</v>
      </c>
      <c r="Q70" s="293" t="b">
        <f t="shared" si="20"/>
        <v>1</v>
      </c>
      <c r="R70" s="293" t="b">
        <f t="shared" si="20"/>
        <v>1</v>
      </c>
      <c r="S70" s="293" t="b">
        <f t="shared" si="20"/>
        <v>1</v>
      </c>
      <c r="T70" s="293" t="b">
        <f t="shared" si="20"/>
        <v>1</v>
      </c>
      <c r="U70" s="293" t="b">
        <f t="shared" si="20"/>
        <v>1</v>
      </c>
      <c r="V70" s="293" t="b">
        <f t="shared" si="20"/>
        <v>1</v>
      </c>
      <c r="W70" s="293" t="b">
        <f t="shared" si="20"/>
        <v>1</v>
      </c>
      <c r="X70" s="293" t="b">
        <f t="shared" si="20"/>
        <v>1</v>
      </c>
      <c r="Y70" s="293" t="b">
        <f t="shared" si="20"/>
        <v>1</v>
      </c>
      <c r="Z70" s="293" t="b">
        <f t="shared" si="20"/>
        <v>1</v>
      </c>
      <c r="AA70" s="293" t="b">
        <f t="shared" si="20"/>
        <v>1</v>
      </c>
      <c r="AB70" s="294"/>
      <c r="AC70" s="206"/>
      <c r="AD70" s="292"/>
      <c r="AE70" s="293" t="b">
        <f>ROUND(AD68,2)=ROUND(AD69,2)</f>
        <v>1</v>
      </c>
      <c r="AF70" s="294"/>
      <c r="AG70" s="292"/>
      <c r="AH70" s="293" t="b">
        <f>ROUND(AG68,2)=ROUND(AG69,2)</f>
        <v>1</v>
      </c>
      <c r="AI70" s="294"/>
    </row>
    <row r="71" spans="7:35" x14ac:dyDescent="0.2">
      <c r="H71" s="133" t="s">
        <v>264</v>
      </c>
      <c r="I71" s="25" t="e">
        <f ca="1">_xll.EVPRO($B$1,$H71,"STYLE")</f>
        <v>#NAME?</v>
      </c>
      <c r="J71" s="25" t="e">
        <f ca="1">_xll.EVPRO($B$1,$H71,"CALC")</f>
        <v>#NAME?</v>
      </c>
      <c r="K71" s="24"/>
      <c r="L71" s="24" t="e">
        <f ca="1">_xll.EVPRO($B$1,H71,"JDEID")</f>
        <v>#NAME?</v>
      </c>
      <c r="M71" s="24" t="e">
        <f ca="1">IF(AND(I71="N",J71="N"),_xll.EVPRO($B$1,H71,"PSFTID"),"")</f>
        <v>#NAME?</v>
      </c>
      <c r="N71" s="24" t="e">
        <f ca="1">IF(_xll.EVDES(H71,$B$1)="#NODATA","",_xll.EVDES(H71,$B$1))</f>
        <v>#NAME?</v>
      </c>
      <c r="O71" s="19"/>
      <c r="P71" s="19"/>
      <c r="Q71" s="19"/>
      <c r="R71" s="19"/>
      <c r="S71" s="19"/>
      <c r="T71" s="19"/>
      <c r="U71" s="19"/>
      <c r="V71" s="19"/>
      <c r="W71" s="19"/>
      <c r="X71" s="19"/>
      <c r="Y71" s="19"/>
      <c r="Z71" s="19"/>
      <c r="AA71" s="19">
        <f t="shared" ref="AA71:AA76" si="21">SUM(O71:Z71)</f>
        <v>0</v>
      </c>
      <c r="AB71" s="15" t="str">
        <f>IF(AA71=0,"",IFERROR(AA71/AA$19,""))</f>
        <v/>
      </c>
      <c r="AD71" s="19"/>
      <c r="AE71" s="15" t="str">
        <f>IF(AD71=0,"",IFERROR(AD71/AD$19,""))</f>
        <v/>
      </c>
      <c r="AF71" s="47">
        <f t="shared" ref="AF71:AF77" si="22">IF(AND($AA71="",AD71=""),"",$AA71-AD71)</f>
        <v>0</v>
      </c>
      <c r="AG71" s="19"/>
      <c r="AH71" s="15" t="str">
        <f t="shared" si="3"/>
        <v/>
      </c>
      <c r="AI71" s="47">
        <f t="shared" ref="AI71:AI77" si="23">IF(AND($AA71="",AG71=""),"",$AA71-AG71)</f>
        <v>0</v>
      </c>
    </row>
    <row r="72" spans="7:35" x14ac:dyDescent="0.2">
      <c r="H72" s="133" t="s">
        <v>321</v>
      </c>
      <c r="I72" s="25" t="e">
        <f ca="1">_xll.EVPRO($B$1,$H72,"STYLE")</f>
        <v>#NAME?</v>
      </c>
      <c r="J72" s="25" t="e">
        <f ca="1">_xll.EVPRO($B$1,$H72,"CALC")</f>
        <v>#NAME?</v>
      </c>
      <c r="K72" s="24"/>
      <c r="L72" s="24" t="e">
        <f ca="1">_xll.EVPRO($B$1,H72,"JDEID")</f>
        <v>#NAME?</v>
      </c>
      <c r="M72" s="24" t="e">
        <f ca="1">IF(AND(I72="N",J72="N"),_xll.EVPRO($B$1,H72,"PSFTID"),"")</f>
        <v>#NAME?</v>
      </c>
      <c r="N72" s="24" t="e">
        <f ca="1">IF(_xll.EVDES(H72,$B$1)="#NODATA","",_xll.EVDES(H72,$B$1))</f>
        <v>#NAME?</v>
      </c>
      <c r="O72" s="19"/>
      <c r="P72" s="19"/>
      <c r="Q72" s="19"/>
      <c r="R72" s="19"/>
      <c r="S72" s="19"/>
      <c r="T72" s="19"/>
      <c r="U72" s="19"/>
      <c r="V72" s="19"/>
      <c r="W72" s="19"/>
      <c r="X72" s="19"/>
      <c r="Y72" s="19"/>
      <c r="Z72" s="19"/>
      <c r="AA72" s="19">
        <f t="shared" si="21"/>
        <v>0</v>
      </c>
      <c r="AB72" s="15" t="str">
        <f>IF(AA72=0,"",IFERROR(AA72/AA$19,""))</f>
        <v/>
      </c>
      <c r="AD72" s="19"/>
      <c r="AE72" s="15" t="str">
        <f>IF(AD72=0,"",IFERROR(AD72/AD$19,""))</f>
        <v/>
      </c>
      <c r="AF72" s="47">
        <f t="shared" si="22"/>
        <v>0</v>
      </c>
      <c r="AG72" s="19"/>
      <c r="AH72" s="15" t="str">
        <f t="shared" si="3"/>
        <v/>
      </c>
      <c r="AI72" s="47">
        <f t="shared" si="23"/>
        <v>0</v>
      </c>
    </row>
    <row r="73" spans="7:35" x14ac:dyDescent="0.2">
      <c r="H73" s="133" t="s">
        <v>323</v>
      </c>
      <c r="I73" s="25" t="e">
        <f ca="1">_xll.EVPRO($B$1,$H73,"STYLE")</f>
        <v>#NAME?</v>
      </c>
      <c r="J73" s="25" t="e">
        <f ca="1">_xll.EVPRO($B$1,$H73,"CALC")</f>
        <v>#NAME?</v>
      </c>
      <c r="K73" s="24"/>
      <c r="L73" s="24" t="e">
        <f ca="1">_xll.EVPRO($B$1,H73,"JDEID")</f>
        <v>#NAME?</v>
      </c>
      <c r="M73" s="24" t="e">
        <f ca="1">IF(AND(I73="N",J73="N"),_xll.EVPRO($B$1,H73,"PSFTID"),"")</f>
        <v>#NAME?</v>
      </c>
      <c r="N73" s="24" t="e">
        <f ca="1">IF(_xll.EVDES(H73,$B$1)="#NODATA","",_xll.EVDES(H73,$B$1))</f>
        <v>#NAME?</v>
      </c>
      <c r="O73" s="19"/>
      <c r="P73" s="19"/>
      <c r="Q73" s="19"/>
      <c r="R73" s="19"/>
      <c r="S73" s="19"/>
      <c r="T73" s="19"/>
      <c r="U73" s="19"/>
      <c r="V73" s="19"/>
      <c r="W73" s="19"/>
      <c r="X73" s="19"/>
      <c r="Y73" s="19"/>
      <c r="Z73" s="19"/>
      <c r="AA73" s="19">
        <f t="shared" si="21"/>
        <v>0</v>
      </c>
      <c r="AB73" s="15" t="str">
        <f>IF(AA73=0,"",IFERROR(AA73/AA$19,""))</f>
        <v/>
      </c>
      <c r="AD73" s="19"/>
      <c r="AE73" s="15" t="str">
        <f>IF(AD73=0,"",IFERROR(AD73/AD$19,""))</f>
        <v/>
      </c>
      <c r="AF73" s="47">
        <f t="shared" si="22"/>
        <v>0</v>
      </c>
      <c r="AG73" s="19"/>
      <c r="AH73" s="15" t="str">
        <f t="shared" si="3"/>
        <v/>
      </c>
      <c r="AI73" s="47">
        <f t="shared" si="23"/>
        <v>0</v>
      </c>
    </row>
    <row r="74" spans="7:35" x14ac:dyDescent="0.2">
      <c r="H74" s="133" t="s">
        <v>322</v>
      </c>
      <c r="I74" s="25" t="e">
        <f ca="1">_xll.EVPRO($B$1,$H74,"STYLE")</f>
        <v>#NAME?</v>
      </c>
      <c r="J74" s="25" t="e">
        <f ca="1">_xll.EVPRO($B$1,$H74,"CALC")</f>
        <v>#NAME?</v>
      </c>
      <c r="K74" s="24"/>
      <c r="L74" s="24" t="e">
        <f ca="1">_xll.EVPRO($B$1,H74,"JDEID")</f>
        <v>#NAME?</v>
      </c>
      <c r="M74" s="24" t="e">
        <f ca="1">IF(AND(I74="N",J74="N"),_xll.EVPRO($B$1,H74,"PSFTID"),"")</f>
        <v>#NAME?</v>
      </c>
      <c r="N74" s="24" t="e">
        <f ca="1">IF(_xll.EVDES(H74,$B$1)="#NODATA","",_xll.EVDES(H74,$B$1))</f>
        <v>#NAME?</v>
      </c>
      <c r="O74" s="28"/>
      <c r="P74" s="28"/>
      <c r="Q74" s="28"/>
      <c r="R74" s="28"/>
      <c r="S74" s="28"/>
      <c r="T74" s="28"/>
      <c r="U74" s="28"/>
      <c r="V74" s="28"/>
      <c r="W74" s="28"/>
      <c r="X74" s="28"/>
      <c r="Y74" s="28"/>
      <c r="Z74" s="28"/>
      <c r="AA74" s="28">
        <f t="shared" si="21"/>
        <v>0</v>
      </c>
      <c r="AB74" s="29" t="str">
        <f>IF(AA74=0,"",IFERROR(AA74/AA$19,""))</f>
        <v/>
      </c>
      <c r="AD74" s="28"/>
      <c r="AE74" s="29" t="str">
        <f>IF(AD74=0,"",IFERROR(AD74/AD$19,""))</f>
        <v/>
      </c>
      <c r="AF74" s="48">
        <f t="shared" si="22"/>
        <v>0</v>
      </c>
      <c r="AG74" s="28"/>
      <c r="AH74" s="29" t="str">
        <f t="shared" si="3"/>
        <v/>
      </c>
      <c r="AI74" s="48">
        <f t="shared" si="23"/>
        <v>0</v>
      </c>
    </row>
    <row r="75" spans="7:35" x14ac:dyDescent="0.2">
      <c r="H75" s="133" t="s">
        <v>329</v>
      </c>
      <c r="I75" s="25" t="e">
        <f ca="1">_xll.EVPRO($B$1,$H75,"STYLE")</f>
        <v>#NAME?</v>
      </c>
      <c r="J75" s="25" t="e">
        <f ca="1">_xll.EVPRO($B$1,$H75,"CALC")</f>
        <v>#NAME?</v>
      </c>
      <c r="K75" s="24"/>
      <c r="L75" s="24" t="e">
        <f ca="1">_xll.EVPRO($B$1,H75,"JDEID")</f>
        <v>#NAME?</v>
      </c>
      <c r="M75" s="24" t="e">
        <f ca="1">IF(AND(I75="N",J75="N"),_xll.EVPRO($B$1,H75,"PSFTID"),"")</f>
        <v>#NAME?</v>
      </c>
      <c r="N75" s="23" t="e">
        <f ca="1">IF(_xll.EVDES(H75,$B$1)="#NODATA","",_xll.EVDES(H75,$B$1))</f>
        <v>#NAME?</v>
      </c>
      <c r="O75" s="145"/>
      <c r="P75" s="145"/>
      <c r="Q75" s="145"/>
      <c r="R75" s="145"/>
      <c r="S75" s="145"/>
      <c r="T75" s="145"/>
      <c r="U75" s="145"/>
      <c r="V75" s="145"/>
      <c r="W75" s="145"/>
      <c r="X75" s="145"/>
      <c r="Y75" s="145"/>
      <c r="Z75" s="145"/>
      <c r="AA75" s="145">
        <f t="shared" si="21"/>
        <v>0</v>
      </c>
      <c r="AB75" s="156" t="str">
        <f>IF(AA75=0,"",IFERROR(AA75/AA$19,""))</f>
        <v/>
      </c>
      <c r="AD75" s="145"/>
      <c r="AE75" s="156" t="str">
        <f>IF(AD75=0,"",IFERROR(AD75/AD$19,""))</f>
        <v/>
      </c>
      <c r="AF75" s="146">
        <f t="shared" si="22"/>
        <v>0</v>
      </c>
      <c r="AG75" s="145"/>
      <c r="AH75" s="156" t="str">
        <f t="shared" si="3"/>
        <v/>
      </c>
      <c r="AI75" s="146">
        <f t="shared" si="23"/>
        <v>0</v>
      </c>
    </row>
    <row r="76" spans="7:35" x14ac:dyDescent="0.2">
      <c r="H76" s="133" t="s">
        <v>300</v>
      </c>
      <c r="I76" s="25" t="e">
        <f ca="1">_xll.EVPRO($B$1,$H76,"STYLE")</f>
        <v>#NAME?</v>
      </c>
      <c r="J76" s="25" t="e">
        <f ca="1">_xll.EVPRO($B$1,$H76,"CALC")</f>
        <v>#NAME?</v>
      </c>
      <c r="K76" s="24"/>
      <c r="L76" s="24" t="e">
        <f ca="1">_xll.EVPRO($B$1,H76,"JDEID")</f>
        <v>#NAME?</v>
      </c>
      <c r="M76" s="24" t="e">
        <f ca="1">IF(AND(I76="N",J76="N"),_xll.EVPRO($B$1,H76,"PSFTID"),"")</f>
        <v>#NAME?</v>
      </c>
      <c r="N76" s="24" t="e">
        <f ca="1">IF(_xll.EVDES(H76,$B$1)="#NODATA","",_xll.EVDES(H76,$B$1))</f>
        <v>#NAME?</v>
      </c>
      <c r="O76" s="35"/>
      <c r="P76" s="35"/>
      <c r="Q76" s="35"/>
      <c r="R76" s="35"/>
      <c r="S76" s="35"/>
      <c r="T76" s="35"/>
      <c r="U76" s="35"/>
      <c r="V76" s="35"/>
      <c r="W76" s="35"/>
      <c r="X76" s="35"/>
      <c r="Y76" s="35"/>
      <c r="Z76" s="35"/>
      <c r="AA76" s="35">
        <f t="shared" si="21"/>
        <v>0</v>
      </c>
      <c r="AB76" s="36" t="str">
        <f>IF(AA76=0,"",IFERROR(AA76/AA$104,""))</f>
        <v/>
      </c>
      <c r="AD76" s="35"/>
      <c r="AE76" s="36" t="str">
        <f>IF(AD76=0,"",IFERROR(AD76/AD$104,""))</f>
        <v/>
      </c>
      <c r="AF76" s="118">
        <f t="shared" si="22"/>
        <v>0</v>
      </c>
      <c r="AG76" s="35"/>
      <c r="AH76" s="36" t="str">
        <f>IF(AG76=0,"",IFERROR(AG76/AG$104,""))</f>
        <v/>
      </c>
      <c r="AI76" s="118">
        <f t="shared" si="23"/>
        <v>0</v>
      </c>
    </row>
    <row r="77" spans="7:35" x14ac:dyDescent="0.2">
      <c r="H77" s="133" t="s">
        <v>325</v>
      </c>
      <c r="I77" s="25" t="e">
        <f ca="1">_xll.EVPRO($B$1,$H77,"STYLE")</f>
        <v>#NAME?</v>
      </c>
      <c r="J77" s="25" t="e">
        <f ca="1">_xll.EVPRO($B$1,$H77,"CALC")</f>
        <v>#NAME?</v>
      </c>
      <c r="K77" s="24"/>
      <c r="L77" s="24" t="e">
        <f ca="1">_xll.EVPRO($B$1,H77,"JDEID")</f>
        <v>#NAME?</v>
      </c>
      <c r="M77" s="24" t="e">
        <f ca="1">IF(AND(I77="N",J77="N"),_xll.EVPRO($B$1,H77,"PSFTID"),"")</f>
        <v>#NAME?</v>
      </c>
      <c r="N77" s="151" t="e">
        <f ca="1">IF(_xll.EVDES(H77,$B$1)="#NODATA","",_xll.EVDES(H77,$B$1))</f>
        <v>#NAME?</v>
      </c>
      <c r="O77" s="157"/>
      <c r="P77" s="157"/>
      <c r="Q77" s="157"/>
      <c r="R77" s="157"/>
      <c r="S77" s="157"/>
      <c r="T77" s="157"/>
      <c r="U77" s="157"/>
      <c r="V77" s="157"/>
      <c r="W77" s="157"/>
      <c r="X77" s="157"/>
      <c r="Y77" s="157"/>
      <c r="Z77" s="157"/>
      <c r="AA77" s="157" t="str">
        <f>IFERROR(AA75/AA76,"")</f>
        <v/>
      </c>
      <c r="AB77" s="157"/>
      <c r="AD77" s="157"/>
      <c r="AE77" s="157"/>
      <c r="AF77" s="158" t="str">
        <f t="shared" si="22"/>
        <v/>
      </c>
      <c r="AG77" s="157"/>
      <c r="AH77" s="157"/>
      <c r="AI77" s="158" t="str">
        <f t="shared" si="23"/>
        <v/>
      </c>
    </row>
    <row r="78" spans="7:35" x14ac:dyDescent="0.2">
      <c r="G78" s="162">
        <f>COUNTIF(O79:AI79,FALSE)</f>
        <v>0</v>
      </c>
      <c r="H78" s="10"/>
      <c r="I78" s="25"/>
      <c r="J78" s="25"/>
      <c r="K78" s="24"/>
      <c r="L78" s="24"/>
      <c r="M78" s="24"/>
      <c r="N78" s="163" t="s">
        <v>345</v>
      </c>
      <c r="O78" s="160">
        <f t="shared" ref="O78:AA78" si="24">ROUND(IFERROR(O75/O76,0),2)</f>
        <v>0</v>
      </c>
      <c r="P78" s="165">
        <f t="shared" si="24"/>
        <v>0</v>
      </c>
      <c r="Q78" s="165">
        <f t="shared" si="24"/>
        <v>0</v>
      </c>
      <c r="R78" s="165">
        <f t="shared" si="24"/>
        <v>0</v>
      </c>
      <c r="S78" s="165">
        <f t="shared" si="24"/>
        <v>0</v>
      </c>
      <c r="T78" s="165">
        <f t="shared" si="24"/>
        <v>0</v>
      </c>
      <c r="U78" s="165">
        <f t="shared" si="24"/>
        <v>0</v>
      </c>
      <c r="V78" s="165">
        <f t="shared" si="24"/>
        <v>0</v>
      </c>
      <c r="W78" s="165">
        <f t="shared" si="24"/>
        <v>0</v>
      </c>
      <c r="X78" s="165">
        <f t="shared" si="24"/>
        <v>0</v>
      </c>
      <c r="Y78" s="165">
        <f t="shared" si="24"/>
        <v>0</v>
      </c>
      <c r="Z78" s="165">
        <f t="shared" si="24"/>
        <v>0</v>
      </c>
      <c r="AA78" s="165">
        <f t="shared" si="24"/>
        <v>0</v>
      </c>
      <c r="AB78" s="164"/>
      <c r="AD78" s="160">
        <f>ROUND(IFERROR(AD75/AD76,0),2)</f>
        <v>0</v>
      </c>
      <c r="AE78" s="165"/>
      <c r="AF78" s="161"/>
      <c r="AG78" s="160">
        <f>ROUND(IFERROR(AG75/AG76,0),2)</f>
        <v>0</v>
      </c>
      <c r="AH78" s="165"/>
      <c r="AI78" s="161"/>
    </row>
    <row r="79" spans="7:35" x14ac:dyDescent="0.2">
      <c r="H79" s="133"/>
      <c r="I79" s="25"/>
      <c r="J79" s="25"/>
      <c r="K79" s="24"/>
      <c r="L79" s="24"/>
      <c r="M79" s="24"/>
      <c r="N79" s="8" t="s">
        <v>807</v>
      </c>
      <c r="O79" s="292" t="b">
        <f t="shared" ref="O79:AA79" si="25">ROUND(O77,2)=ROUND(O78,2)</f>
        <v>1</v>
      </c>
      <c r="P79" s="293" t="b">
        <f t="shared" si="25"/>
        <v>1</v>
      </c>
      <c r="Q79" s="293" t="b">
        <f t="shared" si="25"/>
        <v>1</v>
      </c>
      <c r="R79" s="293" t="b">
        <f t="shared" si="25"/>
        <v>1</v>
      </c>
      <c r="S79" s="293" t="b">
        <f t="shared" si="25"/>
        <v>1</v>
      </c>
      <c r="T79" s="293" t="b">
        <f t="shared" si="25"/>
        <v>1</v>
      </c>
      <c r="U79" s="293" t="b">
        <f t="shared" si="25"/>
        <v>1</v>
      </c>
      <c r="V79" s="293" t="b">
        <f t="shared" si="25"/>
        <v>1</v>
      </c>
      <c r="W79" s="293" t="b">
        <f t="shared" si="25"/>
        <v>1</v>
      </c>
      <c r="X79" s="293" t="b">
        <f t="shared" si="25"/>
        <v>1</v>
      </c>
      <c r="Y79" s="293" t="b">
        <f t="shared" si="25"/>
        <v>1</v>
      </c>
      <c r="Z79" s="293" t="b">
        <f t="shared" si="25"/>
        <v>1</v>
      </c>
      <c r="AA79" s="293" t="e">
        <f t="shared" si="25"/>
        <v>#VALUE!</v>
      </c>
      <c r="AB79" s="294"/>
      <c r="AC79" s="206"/>
      <c r="AD79" s="292"/>
      <c r="AE79" s="293" t="b">
        <f>ROUND(AD77,2)=ROUND(AD78,2)</f>
        <v>1</v>
      </c>
      <c r="AF79" s="294"/>
      <c r="AG79" s="292"/>
      <c r="AH79" s="293" t="b">
        <f>ROUND(AG77,2)=ROUND(AG78,2)</f>
        <v>1</v>
      </c>
      <c r="AI79" s="294"/>
    </row>
    <row r="80" spans="7:35" x14ac:dyDescent="0.2">
      <c r="H80" s="133" t="s">
        <v>790</v>
      </c>
      <c r="I80" s="25" t="e">
        <f ca="1">_xll.EVPRO($B$1,$H80,"STYLE")</f>
        <v>#NAME?</v>
      </c>
      <c r="J80" s="25" t="e">
        <f ca="1">_xll.EVPRO($B$1,$H80,"CALC")</f>
        <v>#NAME?</v>
      </c>
      <c r="K80" s="24"/>
      <c r="L80" s="24" t="e">
        <f ca="1">_xll.EVPRO($B$1,H80,"JDEID")</f>
        <v>#NAME?</v>
      </c>
      <c r="M80" s="24" t="e">
        <f ca="1">IF(AND(I80="N",J80="N"),_xll.EVPRO($B$1,H80,"PSFTID"),"")</f>
        <v>#NAME?</v>
      </c>
      <c r="N80" s="24" t="e">
        <f ca="1">IF(_xll.EVDES(H80,$B$1)="#NODATA","",_xll.EVDES(H80,$B$1))</f>
        <v>#NAME?</v>
      </c>
      <c r="O80" s="19"/>
      <c r="P80" s="19"/>
      <c r="Q80" s="19"/>
      <c r="R80" s="19"/>
      <c r="S80" s="19"/>
      <c r="T80" s="19"/>
      <c r="U80" s="19"/>
      <c r="V80" s="19"/>
      <c r="W80" s="19"/>
      <c r="X80" s="19"/>
      <c r="Y80" s="19"/>
      <c r="Z80" s="19"/>
      <c r="AA80" s="19">
        <f t="shared" ref="AA80:AA85" si="26">SUM(O80:Z80)</f>
        <v>0</v>
      </c>
      <c r="AB80" s="15" t="str">
        <f>IF(AA80=0,"",IFERROR(AA80/AA$19,""))</f>
        <v/>
      </c>
      <c r="AD80" s="19"/>
      <c r="AE80" s="15" t="str">
        <f>IF(AD80=0,"",IFERROR(AD80/AD$19,""))</f>
        <v/>
      </c>
      <c r="AF80" s="47">
        <f t="shared" ref="AF80:AF86" si="27">IF(AND($AA80="",AD80=""),"",$AA80-AD80)</f>
        <v>0</v>
      </c>
      <c r="AG80" s="19">
        <v>29805.4</v>
      </c>
      <c r="AH80" s="15" t="str">
        <f t="shared" ref="AH80:AH90" ca="1" si="28">IF(AG80=0,"",IFERROR(AG80/AG$19,""))</f>
        <v/>
      </c>
      <c r="AI80" s="47">
        <f t="shared" ref="AI80:AI86" si="29">IF(AND($AA80="",AG80=""),"",$AA80-AG80)</f>
        <v>-29805.4</v>
      </c>
    </row>
    <row r="81" spans="3:35" x14ac:dyDescent="0.2">
      <c r="H81" s="133" t="s">
        <v>808</v>
      </c>
      <c r="I81" s="25" t="e">
        <f ca="1">_xll.EVPRO($B$1,$H81,"STYLE")</f>
        <v>#NAME?</v>
      </c>
      <c r="J81" s="25" t="e">
        <f ca="1">_xll.EVPRO($B$1,$H81,"CALC")</f>
        <v>#NAME?</v>
      </c>
      <c r="K81" s="24"/>
      <c r="L81" s="24" t="e">
        <f ca="1">_xll.EVPRO($B$1,H81,"JDEID")</f>
        <v>#NAME?</v>
      </c>
      <c r="M81" s="24" t="e">
        <f ca="1">IF(AND(I81="N",J81="N"),_xll.EVPRO($B$1,H81,"PSFTID"),"")</f>
        <v>#NAME?</v>
      </c>
      <c r="N81" s="24" t="e">
        <f ca="1">IF(_xll.EVDES(H81,$B$1)="#NODATA","",_xll.EVDES(H81,$B$1))</f>
        <v>#NAME?</v>
      </c>
      <c r="O81" s="19"/>
      <c r="P81" s="19"/>
      <c r="Q81" s="19"/>
      <c r="R81" s="19"/>
      <c r="S81" s="19"/>
      <c r="T81" s="19"/>
      <c r="U81" s="19"/>
      <c r="V81" s="19"/>
      <c r="W81" s="19"/>
      <c r="X81" s="19"/>
      <c r="Y81" s="19"/>
      <c r="Z81" s="19"/>
      <c r="AA81" s="19">
        <f t="shared" si="26"/>
        <v>0</v>
      </c>
      <c r="AB81" s="15" t="str">
        <f>IF(AA81=0,"",IFERROR(AA81/AA$19,""))</f>
        <v/>
      </c>
      <c r="AD81" s="19"/>
      <c r="AE81" s="15" t="str">
        <f>IF(AD81=0,"",IFERROR(AD81/AD$19,""))</f>
        <v/>
      </c>
      <c r="AF81" s="47">
        <f t="shared" si="27"/>
        <v>0</v>
      </c>
      <c r="AG81" s="19">
        <v>9492.9599999999991</v>
      </c>
      <c r="AH81" s="15" t="str">
        <f t="shared" ca="1" si="28"/>
        <v/>
      </c>
      <c r="AI81" s="47">
        <f t="shared" si="29"/>
        <v>-9492.9599999999991</v>
      </c>
    </row>
    <row r="82" spans="3:35" x14ac:dyDescent="0.2">
      <c r="H82" s="133" t="s">
        <v>809</v>
      </c>
      <c r="I82" s="25" t="e">
        <f ca="1">_xll.EVPRO($B$1,$H82,"STYLE")</f>
        <v>#NAME?</v>
      </c>
      <c r="J82" s="25" t="e">
        <f ca="1">_xll.EVPRO($B$1,$H82,"CALC")</f>
        <v>#NAME?</v>
      </c>
      <c r="K82" s="24"/>
      <c r="L82" s="24" t="e">
        <f ca="1">_xll.EVPRO($B$1,H82,"JDEID")</f>
        <v>#NAME?</v>
      </c>
      <c r="M82" s="24" t="e">
        <f ca="1">IF(AND(I82="N",J82="N"),_xll.EVPRO($B$1,H82,"PSFTID"),"")</f>
        <v>#NAME?</v>
      </c>
      <c r="N82" s="24" t="e">
        <f ca="1">IF(_xll.EVDES(H82,$B$1)="#NODATA","",_xll.EVDES(H82,$B$1))</f>
        <v>#NAME?</v>
      </c>
      <c r="O82" s="19"/>
      <c r="P82" s="19"/>
      <c r="Q82" s="19"/>
      <c r="R82" s="19"/>
      <c r="S82" s="19"/>
      <c r="T82" s="19"/>
      <c r="U82" s="19"/>
      <c r="V82" s="19"/>
      <c r="W82" s="19"/>
      <c r="X82" s="19"/>
      <c r="Y82" s="19"/>
      <c r="Z82" s="19"/>
      <c r="AA82" s="19">
        <f t="shared" si="26"/>
        <v>0</v>
      </c>
      <c r="AB82" s="15" t="str">
        <f>IF(AA82=0,"",IFERROR(AA82/AA$19,""))</f>
        <v/>
      </c>
      <c r="AD82" s="19"/>
      <c r="AE82" s="15" t="str">
        <f>IF(AD82=0,"",IFERROR(AD82/AD$19,""))</f>
        <v/>
      </c>
      <c r="AF82" s="47">
        <f t="shared" si="27"/>
        <v>0</v>
      </c>
      <c r="AG82" s="19">
        <v>530</v>
      </c>
      <c r="AH82" s="15" t="str">
        <f t="shared" ca="1" si="28"/>
        <v/>
      </c>
      <c r="AI82" s="47">
        <f t="shared" si="29"/>
        <v>-530</v>
      </c>
    </row>
    <row r="83" spans="3:35" x14ac:dyDescent="0.2">
      <c r="H83" s="133" t="s">
        <v>810</v>
      </c>
      <c r="I83" s="25" t="e">
        <f ca="1">_xll.EVPRO($B$1,$H83,"STYLE")</f>
        <v>#NAME?</v>
      </c>
      <c r="J83" s="25" t="e">
        <f ca="1">_xll.EVPRO($B$1,$H83,"CALC")</f>
        <v>#NAME?</v>
      </c>
      <c r="K83" s="24"/>
      <c r="L83" s="24" t="e">
        <f ca="1">_xll.EVPRO($B$1,H83,"JDEID")</f>
        <v>#NAME?</v>
      </c>
      <c r="M83" s="24" t="e">
        <f ca="1">IF(AND(I83="N",J83="N"),_xll.EVPRO($B$1,H83,"PSFTID"),"")</f>
        <v>#NAME?</v>
      </c>
      <c r="N83" s="24" t="e">
        <f ca="1">IF(_xll.EVDES(H83,$B$1)="#NODATA","",_xll.EVDES(H83,$B$1))</f>
        <v>#NAME?</v>
      </c>
      <c r="O83" s="28"/>
      <c r="P83" s="28"/>
      <c r="Q83" s="28"/>
      <c r="R83" s="28"/>
      <c r="S83" s="28"/>
      <c r="T83" s="28"/>
      <c r="U83" s="28"/>
      <c r="V83" s="28"/>
      <c r="W83" s="28"/>
      <c r="X83" s="28"/>
      <c r="Y83" s="28"/>
      <c r="Z83" s="28"/>
      <c r="AA83" s="28">
        <f t="shared" si="26"/>
        <v>0</v>
      </c>
      <c r="AB83" s="29" t="str">
        <f>IF(AA83=0,"",IFERROR(AA83/AA$19,""))</f>
        <v/>
      </c>
      <c r="AD83" s="28"/>
      <c r="AE83" s="29" t="str">
        <f>IF(AD83=0,"",IFERROR(AD83/AD$19,""))</f>
        <v/>
      </c>
      <c r="AF83" s="48">
        <f t="shared" si="27"/>
        <v>0</v>
      </c>
      <c r="AG83" s="28">
        <v>2554</v>
      </c>
      <c r="AH83" s="29" t="str">
        <f t="shared" ca="1" si="28"/>
        <v/>
      </c>
      <c r="AI83" s="48">
        <f t="shared" si="29"/>
        <v>-2554</v>
      </c>
    </row>
    <row r="84" spans="3:35" x14ac:dyDescent="0.2">
      <c r="H84" s="133" t="s">
        <v>811</v>
      </c>
      <c r="I84" s="25" t="e">
        <f ca="1">_xll.EVPRO($B$1,$H84,"STYLE")</f>
        <v>#NAME?</v>
      </c>
      <c r="J84" s="25" t="e">
        <f ca="1">_xll.EVPRO($B$1,$H84,"CALC")</f>
        <v>#NAME?</v>
      </c>
      <c r="K84" s="24"/>
      <c r="L84" s="24" t="e">
        <f ca="1">_xll.EVPRO($B$1,H84,"JDEID")</f>
        <v>#NAME?</v>
      </c>
      <c r="M84" s="24" t="e">
        <f ca="1">IF(AND(I84="N",J84="N"),_xll.EVPRO($B$1,H84,"PSFTID"),"")</f>
        <v>#NAME?</v>
      </c>
      <c r="N84" s="23" t="e">
        <f ca="1">IF(_xll.EVDES(H84,$B$1)="#NODATA","",_xll.EVDES(H84,$B$1))</f>
        <v>#NAME?</v>
      </c>
      <c r="O84" s="145"/>
      <c r="P84" s="145"/>
      <c r="Q84" s="145"/>
      <c r="R84" s="145"/>
      <c r="S84" s="145"/>
      <c r="T84" s="145"/>
      <c r="U84" s="145"/>
      <c r="V84" s="145"/>
      <c r="W84" s="145"/>
      <c r="X84" s="145"/>
      <c r="Y84" s="145"/>
      <c r="Z84" s="145"/>
      <c r="AA84" s="145">
        <f t="shared" si="26"/>
        <v>0</v>
      </c>
      <c r="AB84" s="156" t="str">
        <f>IF(AA84=0,"",IFERROR(AA84/AA$19,""))</f>
        <v/>
      </c>
      <c r="AD84" s="145"/>
      <c r="AE84" s="156" t="str">
        <f>IF(AD84=0,"",IFERROR(AD84/AD$19,""))</f>
        <v/>
      </c>
      <c r="AF84" s="146">
        <f t="shared" si="27"/>
        <v>0</v>
      </c>
      <c r="AG84" s="145">
        <v>42382.36</v>
      </c>
      <c r="AH84" s="156" t="str">
        <f t="shared" ca="1" si="28"/>
        <v/>
      </c>
      <c r="AI84" s="146">
        <f t="shared" si="29"/>
        <v>-42382.36</v>
      </c>
    </row>
    <row r="85" spans="3:35" x14ac:dyDescent="0.2">
      <c r="H85" s="133" t="s">
        <v>812</v>
      </c>
      <c r="I85" s="25" t="e">
        <f ca="1">_xll.EVPRO($B$1,$H85,"STYLE")</f>
        <v>#NAME?</v>
      </c>
      <c r="J85" s="25" t="e">
        <f ca="1">_xll.EVPRO($B$1,$H85,"CALC")</f>
        <v>#NAME?</v>
      </c>
      <c r="K85" s="24"/>
      <c r="L85" s="24" t="e">
        <f ca="1">_xll.EVPRO($B$1,H85,"JDEID")</f>
        <v>#NAME?</v>
      </c>
      <c r="M85" s="24" t="e">
        <f ca="1">IF(AND(I85="N",J85="N"),_xll.EVPRO($B$1,H85,"PSFTID"),"")</f>
        <v>#NAME?</v>
      </c>
      <c r="N85" s="24" t="e">
        <f ca="1">IF(_xll.EVDES(H85,$B$1)="#NODATA","",_xll.EVDES(H85,$B$1))</f>
        <v>#NAME?</v>
      </c>
      <c r="O85" s="35"/>
      <c r="P85" s="35"/>
      <c r="Q85" s="35"/>
      <c r="R85" s="35"/>
      <c r="S85" s="35"/>
      <c r="T85" s="35"/>
      <c r="U85" s="35"/>
      <c r="V85" s="35"/>
      <c r="W85" s="35"/>
      <c r="X85" s="35"/>
      <c r="Y85" s="35"/>
      <c r="Z85" s="35"/>
      <c r="AA85" s="35">
        <f t="shared" si="26"/>
        <v>0</v>
      </c>
      <c r="AB85" s="36" t="str">
        <f>IF(AA85=0,"",IFERROR(AA85/AA$84,""))</f>
        <v/>
      </c>
      <c r="AD85" s="35"/>
      <c r="AE85" s="36" t="str">
        <f>IF(AD85=0,"",IFERROR(AD85/AD$84,""))</f>
        <v/>
      </c>
      <c r="AF85" s="118">
        <f t="shared" si="27"/>
        <v>0</v>
      </c>
      <c r="AG85" s="35">
        <v>389</v>
      </c>
      <c r="AH85" s="36">
        <f>IF(AG85=0,"",IFERROR(AG85/AG$84,""))</f>
        <v>9.178346840525162E-3</v>
      </c>
      <c r="AI85" s="118">
        <f t="shared" si="29"/>
        <v>-389</v>
      </c>
    </row>
    <row r="86" spans="3:35" x14ac:dyDescent="0.2">
      <c r="H86" s="133" t="s">
        <v>813</v>
      </c>
      <c r="I86" s="25" t="e">
        <f ca="1">_xll.EVPRO($B$1,$H86,"STYLE")</f>
        <v>#NAME?</v>
      </c>
      <c r="J86" s="25" t="e">
        <f ca="1">_xll.EVPRO($B$1,$H86,"CALC")</f>
        <v>#NAME?</v>
      </c>
      <c r="K86" s="24"/>
      <c r="L86" s="24" t="e">
        <f ca="1">_xll.EVPRO($B$1,H86,"JDEID")</f>
        <v>#NAME?</v>
      </c>
      <c r="M86" s="24" t="e">
        <f ca="1">IF(AND(I86="N",J86="N"),_xll.EVPRO($B$1,H86,"PSFTID"),"")</f>
        <v>#NAME?</v>
      </c>
      <c r="N86" s="151" t="e">
        <f ca="1">IF(_xll.EVDES(H86,$B$1)="#NODATA","",_xll.EVDES(H86,$B$1))</f>
        <v>#NAME?</v>
      </c>
      <c r="O86" s="157"/>
      <c r="P86" s="157"/>
      <c r="Q86" s="157"/>
      <c r="R86" s="157"/>
      <c r="S86" s="157"/>
      <c r="T86" s="157"/>
      <c r="U86" s="157"/>
      <c r="V86" s="157"/>
      <c r="W86" s="157"/>
      <c r="X86" s="157"/>
      <c r="Y86" s="157"/>
      <c r="Z86" s="157"/>
      <c r="AA86" s="157" t="str">
        <f>IFERROR(AA84/AA85,"")</f>
        <v/>
      </c>
      <c r="AB86" s="157"/>
      <c r="AD86" s="157"/>
      <c r="AE86" s="157"/>
      <c r="AF86" s="158" t="str">
        <f t="shared" si="27"/>
        <v/>
      </c>
      <c r="AG86" s="157">
        <v>108.95208226221099</v>
      </c>
      <c r="AH86" s="157"/>
      <c r="AI86" s="158" t="e">
        <f t="shared" si="29"/>
        <v>#VALUE!</v>
      </c>
    </row>
    <row r="87" spans="3:35" x14ac:dyDescent="0.2">
      <c r="G87" s="162">
        <f>COUNTIF(O88:AI88,FALSE)</f>
        <v>0</v>
      </c>
      <c r="H87" s="10"/>
      <c r="I87" s="25"/>
      <c r="J87" s="25"/>
      <c r="K87" s="24"/>
      <c r="L87" s="24"/>
      <c r="M87" s="24"/>
      <c r="N87" s="163" t="s">
        <v>345</v>
      </c>
      <c r="O87" s="160">
        <f t="shared" ref="O87:AA87" si="30">ROUND(IFERROR(O84/O85,0),2)</f>
        <v>0</v>
      </c>
      <c r="P87" s="165">
        <f t="shared" si="30"/>
        <v>0</v>
      </c>
      <c r="Q87" s="165">
        <f t="shared" si="30"/>
        <v>0</v>
      </c>
      <c r="R87" s="165">
        <f t="shared" si="30"/>
        <v>0</v>
      </c>
      <c r="S87" s="165">
        <f t="shared" si="30"/>
        <v>0</v>
      </c>
      <c r="T87" s="165">
        <f t="shared" si="30"/>
        <v>0</v>
      </c>
      <c r="U87" s="165">
        <f t="shared" si="30"/>
        <v>0</v>
      </c>
      <c r="V87" s="165">
        <f t="shared" si="30"/>
        <v>0</v>
      </c>
      <c r="W87" s="165">
        <f t="shared" si="30"/>
        <v>0</v>
      </c>
      <c r="X87" s="165">
        <f t="shared" si="30"/>
        <v>0</v>
      </c>
      <c r="Y87" s="165">
        <f t="shared" si="30"/>
        <v>0</v>
      </c>
      <c r="Z87" s="165">
        <f t="shared" si="30"/>
        <v>0</v>
      </c>
      <c r="AA87" s="165">
        <f t="shared" si="30"/>
        <v>0</v>
      </c>
      <c r="AB87" s="164"/>
      <c r="AD87" s="160">
        <f>ROUND(IFERROR(AD84/AD85,0),2)</f>
        <v>0</v>
      </c>
      <c r="AE87" s="165"/>
      <c r="AF87" s="161"/>
      <c r="AG87" s="160">
        <f>ROUND(IFERROR(AG84/AG85,0),2)</f>
        <v>108.95</v>
      </c>
      <c r="AH87" s="165"/>
      <c r="AI87" s="161"/>
    </row>
    <row r="88" spans="3:35" x14ac:dyDescent="0.2">
      <c r="H88" s="133"/>
      <c r="I88" s="25"/>
      <c r="J88" s="25"/>
      <c r="K88" s="24"/>
      <c r="L88" s="24"/>
      <c r="M88" s="24"/>
      <c r="N88" s="8" t="s">
        <v>814</v>
      </c>
      <c r="O88" s="292" t="b">
        <f t="shared" ref="O88:AA88" si="31">ROUND(O86,2)=ROUND(O87,2)</f>
        <v>1</v>
      </c>
      <c r="P88" s="293" t="b">
        <f t="shared" si="31"/>
        <v>1</v>
      </c>
      <c r="Q88" s="293" t="b">
        <f t="shared" si="31"/>
        <v>1</v>
      </c>
      <c r="R88" s="293" t="b">
        <f t="shared" si="31"/>
        <v>1</v>
      </c>
      <c r="S88" s="293" t="b">
        <f t="shared" si="31"/>
        <v>1</v>
      </c>
      <c r="T88" s="293" t="b">
        <f t="shared" si="31"/>
        <v>1</v>
      </c>
      <c r="U88" s="293" t="b">
        <f t="shared" si="31"/>
        <v>1</v>
      </c>
      <c r="V88" s="293" t="b">
        <f t="shared" si="31"/>
        <v>1</v>
      </c>
      <c r="W88" s="293" t="b">
        <f t="shared" si="31"/>
        <v>1</v>
      </c>
      <c r="X88" s="293" t="b">
        <f t="shared" si="31"/>
        <v>1</v>
      </c>
      <c r="Y88" s="293" t="b">
        <f t="shared" si="31"/>
        <v>1</v>
      </c>
      <c r="Z88" s="293" t="b">
        <f t="shared" si="31"/>
        <v>1</v>
      </c>
      <c r="AA88" s="293" t="e">
        <f t="shared" si="31"/>
        <v>#VALUE!</v>
      </c>
      <c r="AB88" s="294"/>
      <c r="AC88" s="206"/>
      <c r="AD88" s="292"/>
      <c r="AE88" s="293" t="b">
        <f>ROUND(AD86,2)=ROUND(AD87,2)</f>
        <v>1</v>
      </c>
      <c r="AF88" s="294"/>
      <c r="AG88" s="292"/>
      <c r="AH88" s="293" t="b">
        <f>ROUND(AG86,2)=ROUND(AG87,2)</f>
        <v>1</v>
      </c>
      <c r="AI88" s="294"/>
    </row>
    <row r="89" spans="3:35" x14ac:dyDescent="0.2">
      <c r="H89" s="133" t="s">
        <v>789</v>
      </c>
      <c r="I89" s="25" t="e">
        <f ca="1">_xll.EVPRO($B$1,$H89,"STYLE")</f>
        <v>#NAME?</v>
      </c>
      <c r="J89" s="25" t="e">
        <f ca="1">_xll.EVPRO($B$1,$H89,"CALC")</f>
        <v>#NAME?</v>
      </c>
      <c r="K89" s="24"/>
      <c r="L89" s="24" t="e">
        <f ca="1">_xll.EVPRO($B$1,H89,"JDEID")</f>
        <v>#NAME?</v>
      </c>
      <c r="M89" s="24" t="e">
        <f ca="1">IF(AND(I89="N",J89="N"),_xll.EVPRO($B$1,H89,"PSFTID"),"")</f>
        <v>#NAME?</v>
      </c>
      <c r="N89" s="24" t="e">
        <f ca="1">IF(_xll.EVDES(H89,$B$1)="#NODATA","",_xll.EVDES(H89,$B$1))</f>
        <v>#NAME?</v>
      </c>
      <c r="O89" s="19">
        <v>964</v>
      </c>
      <c r="P89" s="19"/>
      <c r="Q89" s="19"/>
      <c r="R89" s="19"/>
      <c r="S89" s="19"/>
      <c r="T89" s="19"/>
      <c r="U89" s="19"/>
      <c r="V89" s="19"/>
      <c r="W89" s="19"/>
      <c r="X89" s="19"/>
      <c r="Y89" s="19"/>
      <c r="Z89" s="19"/>
      <c r="AA89" s="19">
        <f>SUM(O89:Z89)</f>
        <v>964</v>
      </c>
      <c r="AB89" s="15" t="str">
        <f ca="1">IF(AA89=0,"",IFERROR(AA89/AA$19,""))</f>
        <v/>
      </c>
      <c r="AD89" s="19"/>
      <c r="AE89" s="15" t="str">
        <f>IF(AD89=0,"",IFERROR(AD89/AD$19,""))</f>
        <v/>
      </c>
      <c r="AF89" s="47">
        <f>IF(AND($AA89="",AD89=""),"",$AA89-AD89)</f>
        <v>964</v>
      </c>
      <c r="AG89" s="19">
        <v>8454</v>
      </c>
      <c r="AH89" s="15" t="str">
        <f t="shared" ca="1" si="28"/>
        <v/>
      </c>
      <c r="AI89" s="47">
        <f>IF(AND($AA89="",AG89=""),"",$AA89-AG89)</f>
        <v>-7490</v>
      </c>
    </row>
    <row r="90" spans="3:35" x14ac:dyDescent="0.2">
      <c r="H90" s="133" t="s">
        <v>815</v>
      </c>
      <c r="I90" s="25" t="e">
        <f ca="1">_xll.EVPRO($B$1,$H90,"STYLE")</f>
        <v>#NAME?</v>
      </c>
      <c r="J90" s="25" t="e">
        <f ca="1">_xll.EVPRO($B$1,$H90,"CALC")</f>
        <v>#NAME?</v>
      </c>
      <c r="K90" s="24"/>
      <c r="L90" s="24" t="e">
        <f ca="1">_xll.EVPRO($B$1,H90,"JDEID")</f>
        <v>#NAME?</v>
      </c>
      <c r="M90" s="24" t="e">
        <f ca="1">IF(AND(I90="N",J90="N"),_xll.EVPRO($B$1,H90,"PSFTID"),"")</f>
        <v>#NAME?</v>
      </c>
      <c r="N90" s="23" t="e">
        <f ca="1">IF(_xll.EVDES(H90,$B$1)="#NODATA","",_xll.EVDES(H90,$B$1))</f>
        <v>#NAME?</v>
      </c>
      <c r="O90" s="145">
        <v>964</v>
      </c>
      <c r="P90" s="145"/>
      <c r="Q90" s="145"/>
      <c r="R90" s="145"/>
      <c r="S90" s="145"/>
      <c r="T90" s="145"/>
      <c r="U90" s="145"/>
      <c r="V90" s="145"/>
      <c r="W90" s="145"/>
      <c r="X90" s="145"/>
      <c r="Y90" s="145"/>
      <c r="Z90" s="145"/>
      <c r="AA90" s="145">
        <f>SUM(O90:Z90)</f>
        <v>964</v>
      </c>
      <c r="AB90" s="156" t="str">
        <f ca="1">IF(AA90=0,"",IFERROR(AA90/AA$19,""))</f>
        <v/>
      </c>
      <c r="AD90" s="145"/>
      <c r="AE90" s="156" t="str">
        <f>IF(AD90=0,"",IFERROR(AD90/AD$19,""))</f>
        <v/>
      </c>
      <c r="AF90" s="146">
        <f>IF(AND($AA90="",AD90=""),"",$AA90-AD90)</f>
        <v>964</v>
      </c>
      <c r="AG90" s="145">
        <v>8454</v>
      </c>
      <c r="AH90" s="156" t="str">
        <f t="shared" ca="1" si="28"/>
        <v/>
      </c>
      <c r="AI90" s="146">
        <f>IF(AND($AA90="",AG90=""),"",$AA90-AG90)</f>
        <v>-7490</v>
      </c>
    </row>
    <row r="91" spans="3:35" x14ac:dyDescent="0.2">
      <c r="H91" s="133" t="s">
        <v>816</v>
      </c>
      <c r="I91" s="25" t="e">
        <f ca="1">_xll.EVPRO($B$1,$H91,"STYLE")</f>
        <v>#NAME?</v>
      </c>
      <c r="J91" s="25" t="e">
        <f ca="1">_xll.EVPRO($B$1,$H91,"CALC")</f>
        <v>#NAME?</v>
      </c>
      <c r="K91" s="24"/>
      <c r="L91" s="24" t="e">
        <f ca="1">_xll.EVPRO($B$1,H91,"JDEID")</f>
        <v>#NAME?</v>
      </c>
      <c r="M91" s="24" t="e">
        <f ca="1">IF(AND(I91="N",J91="N"),_xll.EVPRO($B$1,H91,"PSFTID"),"")</f>
        <v>#NAME?</v>
      </c>
      <c r="N91" s="24" t="e">
        <f ca="1">IF(_xll.EVDES(H91,$B$1)="#NODATA","",_xll.EVDES(H91,$B$1))</f>
        <v>#NAME?</v>
      </c>
      <c r="O91" s="35">
        <v>26</v>
      </c>
      <c r="P91" s="35"/>
      <c r="Q91" s="35"/>
      <c r="R91" s="35"/>
      <c r="S91" s="35"/>
      <c r="T91" s="35"/>
      <c r="U91" s="35"/>
      <c r="V91" s="35"/>
      <c r="W91" s="35"/>
      <c r="X91" s="35"/>
      <c r="Y91" s="35"/>
      <c r="Z91" s="35"/>
      <c r="AA91" s="35">
        <f>SUM(O91:Z91)</f>
        <v>26</v>
      </c>
      <c r="AB91" s="36" t="str">
        <f>IF(AA91=0,"",IFERROR(AA91/AA$84,""))</f>
        <v/>
      </c>
      <c r="AD91" s="35"/>
      <c r="AE91" s="36" t="str">
        <f>IF(AD91=0,"",IFERROR(AD91/AD$84,""))</f>
        <v/>
      </c>
      <c r="AF91" s="118">
        <f>IF(AND($AA91="",AD91=""),"",$AA91-AD91)</f>
        <v>26</v>
      </c>
      <c r="AG91" s="35">
        <v>190</v>
      </c>
      <c r="AH91" s="36">
        <f>IF(AG91=0,"",IFERROR(AG91/AG$84,""))</f>
        <v>4.482997171464732E-3</v>
      </c>
      <c r="AI91" s="118">
        <f>IF(AND($AA91="",AG91=""),"",$AA91-AG91)</f>
        <v>-164</v>
      </c>
    </row>
    <row r="92" spans="3:35" x14ac:dyDescent="0.2">
      <c r="H92" s="133" t="s">
        <v>817</v>
      </c>
      <c r="I92" s="25" t="e">
        <f ca="1">_xll.EVPRO($B$1,$H92,"STYLE")</f>
        <v>#NAME?</v>
      </c>
      <c r="J92" s="25" t="e">
        <f ca="1">_xll.EVPRO($B$1,$H92,"CALC")</f>
        <v>#NAME?</v>
      </c>
      <c r="K92" s="24"/>
      <c r="L92" s="24" t="e">
        <f ca="1">_xll.EVPRO($B$1,H92,"JDEID")</f>
        <v>#NAME?</v>
      </c>
      <c r="M92" s="24" t="e">
        <f ca="1">IF(AND(I92="N",J92="N"),_xll.EVPRO($B$1,H92,"PSFTID"),"")</f>
        <v>#NAME?</v>
      </c>
      <c r="N92" s="151" t="e">
        <f ca="1">IF(_xll.EVDES(H92,$B$1)="#NODATA","",_xll.EVDES(H92,$B$1))</f>
        <v>#NAME?</v>
      </c>
      <c r="O92" s="157">
        <v>37.076923076923102</v>
      </c>
      <c r="P92" s="157"/>
      <c r="Q92" s="157"/>
      <c r="R92" s="157"/>
      <c r="S92" s="157"/>
      <c r="T92" s="157"/>
      <c r="U92" s="157"/>
      <c r="V92" s="157"/>
      <c r="W92" s="157"/>
      <c r="X92" s="157"/>
      <c r="Y92" s="157"/>
      <c r="Z92" s="157"/>
      <c r="AA92" s="157">
        <f>IFERROR(AA90/AA91,"")</f>
        <v>37.07692307692308</v>
      </c>
      <c r="AB92" s="157"/>
      <c r="AD92" s="157"/>
      <c r="AE92" s="157"/>
      <c r="AF92" s="158">
        <f>IF(AND($AA92="",AD92=""),"",$AA92-AD92)</f>
        <v>37.07692307692308</v>
      </c>
      <c r="AG92" s="157">
        <v>44.494736842105297</v>
      </c>
      <c r="AH92" s="157"/>
      <c r="AI92" s="158">
        <f>IF(AND($AA92="",AG92=""),"",$AA92-AG92)</f>
        <v>-7.4178137651822169</v>
      </c>
    </row>
    <row r="93" spans="3:35" x14ac:dyDescent="0.2">
      <c r="C93" s="23"/>
      <c r="G93" s="162">
        <f>COUNTIF(O94:AI94,FALSE)</f>
        <v>0</v>
      </c>
      <c r="H93" s="10"/>
      <c r="I93" s="25"/>
      <c r="J93" s="25"/>
      <c r="K93" s="24"/>
      <c r="L93" s="24"/>
      <c r="M93" s="24"/>
      <c r="N93" s="163" t="s">
        <v>345</v>
      </c>
      <c r="O93" s="160">
        <f t="shared" ref="O93:AA93" si="32">ROUND(IFERROR(O75/O76,0),2)</f>
        <v>0</v>
      </c>
      <c r="P93" s="165">
        <f t="shared" si="32"/>
        <v>0</v>
      </c>
      <c r="Q93" s="165">
        <f t="shared" si="32"/>
        <v>0</v>
      </c>
      <c r="R93" s="165">
        <f t="shared" si="32"/>
        <v>0</v>
      </c>
      <c r="S93" s="165">
        <f t="shared" si="32"/>
        <v>0</v>
      </c>
      <c r="T93" s="165">
        <f t="shared" si="32"/>
        <v>0</v>
      </c>
      <c r="U93" s="165">
        <f t="shared" si="32"/>
        <v>0</v>
      </c>
      <c r="V93" s="165">
        <f t="shared" si="32"/>
        <v>0</v>
      </c>
      <c r="W93" s="165">
        <f t="shared" si="32"/>
        <v>0</v>
      </c>
      <c r="X93" s="165">
        <f t="shared" si="32"/>
        <v>0</v>
      </c>
      <c r="Y93" s="165">
        <f t="shared" si="32"/>
        <v>0</v>
      </c>
      <c r="Z93" s="165">
        <f t="shared" si="32"/>
        <v>0</v>
      </c>
      <c r="AA93" s="165">
        <f t="shared" si="32"/>
        <v>0</v>
      </c>
      <c r="AB93" s="164"/>
      <c r="AD93" s="160">
        <f>ROUND(IFERROR(AD75/AD76,0),2)</f>
        <v>0</v>
      </c>
      <c r="AE93" s="165"/>
      <c r="AF93" s="161"/>
      <c r="AG93" s="160">
        <f>ROUND(IFERROR(AG75/AG76,0),2)</f>
        <v>0</v>
      </c>
      <c r="AH93" s="165"/>
      <c r="AI93" s="161"/>
    </row>
    <row r="94" spans="3:35" x14ac:dyDescent="0.2">
      <c r="C94" s="23"/>
      <c r="H94" s="10"/>
      <c r="I94" s="25"/>
      <c r="J94" s="25"/>
      <c r="K94" s="24"/>
      <c r="L94" s="24"/>
      <c r="M94" s="24"/>
      <c r="N94" s="8" t="s">
        <v>362</v>
      </c>
      <c r="O94" s="292" t="b">
        <f t="shared" ref="O94:AA94" si="33">ROUND(O77,2)=ROUND(O93,2)</f>
        <v>1</v>
      </c>
      <c r="P94" s="293" t="b">
        <f t="shared" si="33"/>
        <v>1</v>
      </c>
      <c r="Q94" s="293" t="b">
        <f t="shared" si="33"/>
        <v>1</v>
      </c>
      <c r="R94" s="293" t="b">
        <f t="shared" si="33"/>
        <v>1</v>
      </c>
      <c r="S94" s="293" t="b">
        <f t="shared" si="33"/>
        <v>1</v>
      </c>
      <c r="T94" s="293" t="b">
        <f t="shared" si="33"/>
        <v>1</v>
      </c>
      <c r="U94" s="293" t="b">
        <f t="shared" si="33"/>
        <v>1</v>
      </c>
      <c r="V94" s="293" t="b">
        <f t="shared" si="33"/>
        <v>1</v>
      </c>
      <c r="W94" s="293" t="b">
        <f t="shared" si="33"/>
        <v>1</v>
      </c>
      <c r="X94" s="293" t="b">
        <f t="shared" si="33"/>
        <v>1</v>
      </c>
      <c r="Y94" s="293" t="b">
        <f t="shared" si="33"/>
        <v>1</v>
      </c>
      <c r="Z94" s="293" t="b">
        <f t="shared" si="33"/>
        <v>1</v>
      </c>
      <c r="AA94" s="293" t="e">
        <f t="shared" si="33"/>
        <v>#VALUE!</v>
      </c>
      <c r="AB94" s="294"/>
      <c r="AC94" s="206"/>
      <c r="AD94" s="292"/>
      <c r="AE94" s="293" t="b">
        <f>ROUND(AD77,2)=ROUND(AD93,2)</f>
        <v>1</v>
      </c>
      <c r="AF94" s="294"/>
      <c r="AG94" s="292"/>
      <c r="AH94" s="293" t="b">
        <f>ROUND(AG77,2)=ROUND(AG93,2)</f>
        <v>1</v>
      </c>
      <c r="AI94" s="294"/>
    </row>
    <row r="95" spans="3:35" x14ac:dyDescent="0.2">
      <c r="C95" s="23"/>
      <c r="H95" s="10" t="s">
        <v>350</v>
      </c>
      <c r="I95" s="25" t="e">
        <f ca="1">_xll.EVPRO($B$1,$H95,"STYLE")</f>
        <v>#NAME?</v>
      </c>
      <c r="J95" s="25" t="e">
        <f ca="1">_xll.EVPRO($B$1,$H95,"CALC")</f>
        <v>#NAME?</v>
      </c>
      <c r="K95" s="24"/>
      <c r="L95" s="24" t="e">
        <f ca="1">_xll.EVPRO($B$1,H95,"JDEID")</f>
        <v>#NAME?</v>
      </c>
      <c r="M95" s="24" t="e">
        <f ca="1">IF(AND(I95="N",J95="N"),_xll.EVPRO($B$1,H95,"PSFTID"),"")</f>
        <v>#NAME?</v>
      </c>
      <c r="N95" s="24" t="e">
        <f ca="1">IF(_xll.EVDES(H95,$B$1)="#NODATA","",_xll.EVDES(H95,$B$1))</f>
        <v>#NAME?</v>
      </c>
      <c r="O95" s="19">
        <v>1906</v>
      </c>
      <c r="P95" s="19">
        <v>2492.09</v>
      </c>
      <c r="Q95" s="19">
        <v>3180</v>
      </c>
      <c r="R95" s="19">
        <v>2434</v>
      </c>
      <c r="S95" s="19">
        <v>2372.39</v>
      </c>
      <c r="T95" s="19">
        <v>2187</v>
      </c>
      <c r="U95" s="19">
        <v>1971</v>
      </c>
      <c r="V95" s="19">
        <v>2241.56</v>
      </c>
      <c r="W95" s="19">
        <v>2129.5500000000002</v>
      </c>
      <c r="X95" s="19">
        <v>2295</v>
      </c>
      <c r="Y95" s="19">
        <v>2738.56</v>
      </c>
      <c r="Z95" s="19">
        <v>3164.45</v>
      </c>
      <c r="AA95" s="19">
        <f>SUM(O95:Z95)</f>
        <v>29111.600000000002</v>
      </c>
      <c r="AB95" s="15" t="str">
        <f ca="1">IF(AA95=0,"",IFERROR(AA95/AA$19,""))</f>
        <v/>
      </c>
      <c r="AD95" s="19">
        <v>29605.65</v>
      </c>
      <c r="AE95" s="15" t="str">
        <f ca="1">IF(AD95=0,"",IFERROR(AD95/AD$19,""))</f>
        <v/>
      </c>
      <c r="AF95" s="47">
        <f>IF(AND($AA95="",AD95=""),"",$AA95-AD95)</f>
        <v>-494.04999999999927</v>
      </c>
      <c r="AG95" s="19">
        <v>30885.599999999999</v>
      </c>
      <c r="AH95" s="15" t="str">
        <f ca="1">IF(AG95=0,"",IFERROR(AG95/AG$19,""))</f>
        <v/>
      </c>
      <c r="AI95" s="47">
        <f>IF(AND($AA95="",AG95=""),"",$AA95-AG95)</f>
        <v>-1773.9999999999964</v>
      </c>
    </row>
    <row r="96" spans="3:35" x14ac:dyDescent="0.2">
      <c r="C96" s="23"/>
      <c r="H96" s="10" t="s">
        <v>351</v>
      </c>
      <c r="I96" s="25" t="e">
        <f ca="1">_xll.EVPRO($B$1,$H96,"STYLE")</f>
        <v>#NAME?</v>
      </c>
      <c r="J96" s="25" t="e">
        <f ca="1">_xll.EVPRO($B$1,$H96,"CALC")</f>
        <v>#NAME?</v>
      </c>
      <c r="K96" s="24"/>
      <c r="L96" s="24" t="e">
        <f ca="1">_xll.EVPRO($B$1,H96,"JDEID")</f>
        <v>#NAME?</v>
      </c>
      <c r="M96" s="24" t="e">
        <f ca="1">IF(AND(I96="N",J96="N"),_xll.EVPRO($B$1,H96,"PSFTID"),"")</f>
        <v>#NAME?</v>
      </c>
      <c r="N96" s="24" t="e">
        <f ca="1">IF(_xll.EVDES(H96,$B$1)="#NODATA","",_xll.EVDES(H96,$B$1))</f>
        <v>#NAME?</v>
      </c>
      <c r="O96" s="19">
        <v>3178.56</v>
      </c>
      <c r="P96" s="19">
        <v>2964.11</v>
      </c>
      <c r="Q96" s="19">
        <v>3587</v>
      </c>
      <c r="R96" s="19">
        <v>2374</v>
      </c>
      <c r="S96" s="19">
        <v>2132</v>
      </c>
      <c r="T96" s="19">
        <v>2257</v>
      </c>
      <c r="U96" s="19">
        <v>1868</v>
      </c>
      <c r="V96" s="19">
        <v>2547</v>
      </c>
      <c r="W96" s="19">
        <v>2433</v>
      </c>
      <c r="X96" s="19">
        <v>1908</v>
      </c>
      <c r="Y96" s="19">
        <v>2758.63</v>
      </c>
      <c r="Z96" s="19">
        <v>2850.94</v>
      </c>
      <c r="AA96" s="19">
        <f>SUM(O96:Z96)</f>
        <v>30858.239999999998</v>
      </c>
      <c r="AB96" s="15" t="str">
        <f ca="1">IF(AA96=0,"",IFERROR(AA96/AA$19,""))</f>
        <v/>
      </c>
      <c r="AD96" s="19">
        <v>32989.42</v>
      </c>
      <c r="AE96" s="15" t="str">
        <f ca="1">IF(AD96=0,"",IFERROR(AD96/AD$19,""))</f>
        <v/>
      </c>
      <c r="AF96" s="47">
        <f>IF(AND($AA96="",AD96=""),"",$AA96-AD96)</f>
        <v>-2131.1800000000003</v>
      </c>
      <c r="AG96" s="19">
        <v>35674.29</v>
      </c>
      <c r="AH96" s="15" t="str">
        <f ca="1">IF(AG96=0,"",IFERROR(AG96/AG$19,""))</f>
        <v/>
      </c>
      <c r="AI96" s="47">
        <f>IF(AND($AA96="",AG96=""),"",$AA96-AG96)</f>
        <v>-4816.0500000000029</v>
      </c>
    </row>
    <row r="97" spans="3:35" x14ac:dyDescent="0.2">
      <c r="C97" s="23"/>
      <c r="H97" s="10" t="s">
        <v>363</v>
      </c>
      <c r="I97" s="25" t="e">
        <f ca="1">_xll.EVPRO($B$1,$H97,"STYLE")</f>
        <v>#NAME?</v>
      </c>
      <c r="J97" s="25" t="e">
        <f ca="1">_xll.EVPRO($B$1,$H97,"CALC")</f>
        <v>#NAME?</v>
      </c>
      <c r="K97" s="24"/>
      <c r="L97" s="24" t="e">
        <f ca="1">_xll.EVPRO($B$1,H97,"JDEID")</f>
        <v>#NAME?</v>
      </c>
      <c r="M97" s="24" t="e">
        <f ca="1">IF(AND(I97="N",J97="N"),_xll.EVPRO($B$1,H97,"PSFTID"),"")</f>
        <v>#NAME?</v>
      </c>
      <c r="N97" s="23" t="e">
        <f ca="1">IF(_xll.EVDES(H97,$B$1)="#NODATA","",_xll.EVDES(H97,$B$1))</f>
        <v>#NAME?</v>
      </c>
      <c r="O97" s="145">
        <v>5084.5600000000004</v>
      </c>
      <c r="P97" s="145">
        <v>5456.2</v>
      </c>
      <c r="Q97" s="145">
        <v>6767</v>
      </c>
      <c r="R97" s="145">
        <v>4808</v>
      </c>
      <c r="S97" s="145">
        <v>4504.3900000000003</v>
      </c>
      <c r="T97" s="145">
        <v>4444</v>
      </c>
      <c r="U97" s="145">
        <v>3839</v>
      </c>
      <c r="V97" s="145">
        <v>4788.5600000000004</v>
      </c>
      <c r="W97" s="145">
        <v>4562.55</v>
      </c>
      <c r="X97" s="145">
        <v>4203</v>
      </c>
      <c r="Y97" s="145">
        <v>5497.19</v>
      </c>
      <c r="Z97" s="145">
        <v>6015.39</v>
      </c>
      <c r="AA97" s="145">
        <f>SUM(O97:Z97)</f>
        <v>59969.840000000004</v>
      </c>
      <c r="AB97" s="156" t="str">
        <f ca="1">IF(AA97=0,"",IFERROR(AA97/AA$19,""))</f>
        <v/>
      </c>
      <c r="AD97" s="145">
        <v>62595.07</v>
      </c>
      <c r="AE97" s="156" t="str">
        <f ca="1">IF(AD97=0,"",IFERROR(AD97/AD$19,""))</f>
        <v/>
      </c>
      <c r="AF97" s="146">
        <f>IF(AND($AA97="",AD97=""),"",$AA97-AD97)</f>
        <v>-2625.2299999999959</v>
      </c>
      <c r="AG97" s="145">
        <v>66559.89</v>
      </c>
      <c r="AH97" s="156" t="str">
        <f ca="1">IF(AG97=0,"",IFERROR(AG97/AG$19,""))</f>
        <v/>
      </c>
      <c r="AI97" s="146">
        <f>IF(AND($AA97="",AG97=""),"",$AA97-AG97)</f>
        <v>-6590.0499999999956</v>
      </c>
    </row>
    <row r="98" spans="3:35" x14ac:dyDescent="0.2">
      <c r="C98" s="23"/>
      <c r="H98" s="10"/>
      <c r="I98" s="25"/>
      <c r="J98" s="25"/>
      <c r="K98" s="24"/>
      <c r="L98" s="24"/>
      <c r="M98" s="24"/>
      <c r="N98" s="163"/>
      <c r="O98" s="170"/>
      <c r="P98" s="172"/>
      <c r="Q98" s="172"/>
      <c r="R98" s="172"/>
      <c r="S98" s="172"/>
      <c r="T98" s="172"/>
      <c r="U98" s="172"/>
      <c r="V98" s="172"/>
      <c r="W98" s="172"/>
      <c r="X98" s="172"/>
      <c r="Y98" s="172"/>
      <c r="Z98" s="172"/>
      <c r="AA98" s="172"/>
      <c r="AB98" s="171"/>
      <c r="AD98" s="170"/>
      <c r="AE98" s="172"/>
      <c r="AF98" s="173"/>
      <c r="AG98" s="170"/>
      <c r="AH98" s="172"/>
      <c r="AI98" s="173"/>
    </row>
    <row r="99" spans="3:35" x14ac:dyDescent="0.2">
      <c r="C99" s="23"/>
      <c r="H99" s="10" t="s">
        <v>486</v>
      </c>
      <c r="I99" s="25" t="e">
        <f ca="1">_xll.EVPRO($B$1,$H99,"STYLE")</f>
        <v>#NAME?</v>
      </c>
      <c r="J99" s="25" t="e">
        <f ca="1">_xll.EVPRO($B$1,$H99,"CALC")</f>
        <v>#NAME?</v>
      </c>
      <c r="K99" s="24"/>
      <c r="L99" s="24" t="e">
        <f ca="1">_xll.EVPRO($B$1,H99,"JDEID")</f>
        <v>#NAME?</v>
      </c>
      <c r="M99" s="24" t="e">
        <f ca="1">IF(AND(I99="N",J99="N"),_xll.EVPRO($B$1,H99,"PSFTID"),"")</f>
        <v>#NAME?</v>
      </c>
      <c r="N99" s="24" t="e">
        <f ca="1">IF(_xll.EVDES(H99,$B$1)="#NODATA","",_xll.EVDES(H99,$B$1))</f>
        <v>#NAME?</v>
      </c>
      <c r="O99" s="19"/>
      <c r="P99" s="19"/>
      <c r="Q99" s="19">
        <v>-43.18</v>
      </c>
      <c r="R99" s="19"/>
      <c r="S99" s="19"/>
      <c r="T99" s="19"/>
      <c r="U99" s="19"/>
      <c r="V99" s="19"/>
      <c r="W99" s="19"/>
      <c r="X99" s="19"/>
      <c r="Y99" s="19"/>
      <c r="Z99" s="19"/>
      <c r="AA99" s="19">
        <f>SUM(O99:Z99)</f>
        <v>-43.18</v>
      </c>
      <c r="AB99" s="15" t="str">
        <f ca="1">IF(AA99=0,"",IFERROR(AA99/AA$19,""))</f>
        <v/>
      </c>
      <c r="AD99" s="19"/>
      <c r="AE99" s="15" t="str">
        <f>IF(AD99=0,"",IFERROR(AD99/AD$19,""))</f>
        <v/>
      </c>
      <c r="AF99" s="47">
        <f>IF(AND($AA99="",AD99=""),"",$AA99-AD99)</f>
        <v>-43.18</v>
      </c>
      <c r="AG99" s="19">
        <v>-2115.7600000000002</v>
      </c>
      <c r="AH99" s="15" t="str">
        <f ca="1">IF(AG99=0,"",IFERROR(AG99/AG$19,""))</f>
        <v/>
      </c>
      <c r="AI99" s="47">
        <f>IF(AND($AA99="",AG99=""),"",$AA99-AG99)</f>
        <v>2072.5800000000004</v>
      </c>
    </row>
    <row r="100" spans="3:35" x14ac:dyDescent="0.2">
      <c r="C100" s="23"/>
      <c r="H100" s="133"/>
      <c r="I100" s="25"/>
      <c r="J100" s="25"/>
      <c r="L100" s="24"/>
      <c r="M100" s="24"/>
      <c r="N100" s="8" t="s">
        <v>348</v>
      </c>
      <c r="O100" s="40"/>
      <c r="P100" s="43"/>
      <c r="Q100" s="43"/>
      <c r="R100" s="43"/>
      <c r="S100" s="43"/>
      <c r="T100" s="43"/>
      <c r="U100" s="43"/>
      <c r="V100" s="43"/>
      <c r="W100" s="43"/>
      <c r="X100" s="43"/>
      <c r="Y100" s="43"/>
      <c r="Z100" s="43"/>
      <c r="AA100" s="43"/>
      <c r="AB100" s="41"/>
      <c r="AD100" s="40"/>
      <c r="AE100" s="43"/>
      <c r="AF100" s="41"/>
      <c r="AG100" s="40"/>
      <c r="AH100" s="43"/>
      <c r="AI100" s="41"/>
    </row>
    <row r="101" spans="3:35" x14ac:dyDescent="0.2">
      <c r="C101" s="23"/>
      <c r="H101" s="133"/>
      <c r="I101" s="25"/>
      <c r="J101" s="25"/>
      <c r="L101" s="24"/>
      <c r="M101" s="24"/>
      <c r="N101" s="8"/>
      <c r="O101" s="40"/>
      <c r="P101" s="43"/>
      <c r="Q101" s="43"/>
      <c r="R101" s="43"/>
      <c r="S101" s="43"/>
      <c r="T101" s="43"/>
      <c r="U101" s="43"/>
      <c r="V101" s="43"/>
      <c r="W101" s="43"/>
      <c r="X101" s="43"/>
      <c r="Y101" s="43"/>
      <c r="Z101" s="43"/>
      <c r="AA101" s="43"/>
      <c r="AB101" s="41"/>
      <c r="AD101" s="40"/>
      <c r="AE101" s="43"/>
      <c r="AF101" s="41"/>
      <c r="AG101" s="40"/>
      <c r="AH101" s="43"/>
      <c r="AI101" s="41"/>
    </row>
    <row r="102" spans="3:35" x14ac:dyDescent="0.2">
      <c r="C102" s="23"/>
      <c r="H102" s="133" t="s">
        <v>273</v>
      </c>
      <c r="I102" s="25" t="e">
        <f ca="1">_xll.EVPRO($B$1,$H102,"STYLE")</f>
        <v>#NAME?</v>
      </c>
      <c r="J102" s="25" t="e">
        <f ca="1">_xll.EVPRO($B$1,$H102,"CALC")</f>
        <v>#NAME?</v>
      </c>
      <c r="L102" s="24" t="e">
        <f ca="1">_xll.EVPRO($B$1,H102,"JDEID")</f>
        <v>#NAME?</v>
      </c>
      <c r="M102" s="24" t="e">
        <f ca="1">IF(AND(I102="N",J102="N"),_xll.EVPRO($B$1,H102,"PSFTID"),"")</f>
        <v>#NAME?</v>
      </c>
      <c r="N102" s="24" t="e">
        <f ca="1">IF(_xll.EVDES(H102,$B$1)="#NODATA","",_xll.EVDES(H102,$B$1))</f>
        <v>#NAME?</v>
      </c>
      <c r="O102" s="152">
        <v>28778.15</v>
      </c>
      <c r="P102" s="152">
        <v>5456.2</v>
      </c>
      <c r="Q102" s="152">
        <v>6723.82</v>
      </c>
      <c r="R102" s="152">
        <v>4808</v>
      </c>
      <c r="S102" s="152">
        <v>4504.3900000000003</v>
      </c>
      <c r="T102" s="152">
        <v>4444</v>
      </c>
      <c r="U102" s="152">
        <v>3839</v>
      </c>
      <c r="V102" s="152">
        <v>4788.5600000000004</v>
      </c>
      <c r="W102" s="152">
        <v>4562.55</v>
      </c>
      <c r="X102" s="152">
        <v>4203</v>
      </c>
      <c r="Y102" s="152">
        <v>4591.59</v>
      </c>
      <c r="Z102" s="152">
        <v>4738.59</v>
      </c>
      <c r="AA102" s="152">
        <f>SUM(O102:Z102)</f>
        <v>81437.849999999991</v>
      </c>
      <c r="AB102" s="153" t="str">
        <f ca="1">IF(AA102=0,"",IFERROR(AA102/AA$19,""))</f>
        <v/>
      </c>
      <c r="AD102" s="152">
        <v>62595.07</v>
      </c>
      <c r="AE102" s="153" t="str">
        <f ca="1">IF(AD102=0,"",IFERROR(AD102/AD$19,""))</f>
        <v/>
      </c>
      <c r="AF102" s="154">
        <f>IF(AND($AA102="",AD102=""),"",$AA102-AD102)</f>
        <v>18842.779999999992</v>
      </c>
      <c r="AG102" s="152">
        <v>1648522.75</v>
      </c>
      <c r="AH102" s="153" t="str">
        <f ca="1">IF(AG102=0,"",IFERROR(AG102/AG$19,""))</f>
        <v/>
      </c>
      <c r="AI102" s="154">
        <f>IF(AND($AA102="",AG102=""),"",$AA102-AG102)</f>
        <v>-1567084.9</v>
      </c>
    </row>
    <row r="103" spans="3:35" x14ac:dyDescent="0.2">
      <c r="C103" s="23"/>
      <c r="H103" s="133" t="s">
        <v>767</v>
      </c>
      <c r="I103" s="25" t="e">
        <f ca="1">_xll.EVPRO($B$1,$H103,"STYLE")</f>
        <v>#NAME?</v>
      </c>
      <c r="J103" s="25" t="e">
        <f ca="1">_xll.EVPRO($B$1,$H103,"CALC")</f>
        <v>#NAME?</v>
      </c>
      <c r="L103" s="24" t="e">
        <f ca="1">_xll.EVPRO($B$1,H103,"JDEID")</f>
        <v>#NAME?</v>
      </c>
      <c r="M103" s="24" t="e">
        <f ca="1">IF(AND(I103="N",J103="N"),_xll.EVPRO($B$1,H103,"PSFTID"),"")</f>
        <v>#NAME?</v>
      </c>
      <c r="N103" s="24" t="e">
        <f ca="1">IF(_xll.EVDES(H103,$B$1)="#NODATA","",_xll.EVDES(H103,$B$1))</f>
        <v>#NAME?</v>
      </c>
      <c r="O103" s="152">
        <v>115</v>
      </c>
      <c r="P103" s="152"/>
      <c r="Q103" s="152"/>
      <c r="R103" s="152"/>
      <c r="S103" s="152"/>
      <c r="T103" s="152"/>
      <c r="U103" s="152"/>
      <c r="V103" s="152"/>
      <c r="W103" s="152"/>
      <c r="X103" s="152"/>
      <c r="Y103" s="152"/>
      <c r="Z103" s="152"/>
      <c r="AA103" s="152">
        <f>SUM(O103:Z103)</f>
        <v>115</v>
      </c>
      <c r="AB103" s="153"/>
      <c r="AD103" s="152"/>
      <c r="AE103" s="153"/>
      <c r="AF103" s="154">
        <f>IF(AND($AA103="",AD103=""),"",$AA103-AD103)</f>
        <v>115</v>
      </c>
      <c r="AG103" s="152">
        <v>1265</v>
      </c>
      <c r="AH103" s="153"/>
      <c r="AI103" s="154">
        <f>IF(AND($AA103="",AG103=""),"",$AA103-AG103)</f>
        <v>-1150</v>
      </c>
    </row>
    <row r="104" spans="3:35" x14ac:dyDescent="0.2">
      <c r="C104" s="23"/>
      <c r="H104" s="133" t="s">
        <v>331</v>
      </c>
      <c r="I104" s="25" t="e">
        <f ca="1">_xll.EVPRO($B$1,$H104,"STYLE")</f>
        <v>#NAME?</v>
      </c>
      <c r="J104" s="25" t="e">
        <f ca="1">_xll.EVPRO($B$1,$H104,"CALC")</f>
        <v>#NAME?</v>
      </c>
      <c r="L104" s="24" t="e">
        <f ca="1">_xll.EVPRO($B$1,H104,"JDEID")</f>
        <v>#NAME?</v>
      </c>
      <c r="M104" s="24" t="e">
        <f ca="1">IF(AND(I104="N",J104="N"),_xll.EVPRO($B$1,H104,"PSFTID"),"")</f>
        <v>#NAME?</v>
      </c>
      <c r="N104" s="24" t="e">
        <f ca="1">IF(_xll.EVDES(H104,$B$1)="#NODATA","",_xll.EVDES(H104,$B$1))&amp;" (excl Mini Bar)"</f>
        <v>#NAME?</v>
      </c>
      <c r="O104" s="152">
        <v>731</v>
      </c>
      <c r="P104" s="152"/>
      <c r="Q104" s="152"/>
      <c r="R104" s="152"/>
      <c r="S104" s="152"/>
      <c r="T104" s="152"/>
      <c r="U104" s="152"/>
      <c r="V104" s="152"/>
      <c r="W104" s="152"/>
      <c r="X104" s="152"/>
      <c r="Y104" s="152"/>
      <c r="Z104" s="152"/>
      <c r="AA104" s="152">
        <f>SUM(O104:Z104)</f>
        <v>731</v>
      </c>
      <c r="AB104" s="153" t="str">
        <f ca="1">IF(AA104=0,"",IFERROR(AA104/AA$20,""))</f>
        <v/>
      </c>
      <c r="AD104" s="152"/>
      <c r="AE104" s="153" t="str">
        <f>IF(AD104=0,"",IFERROR(AD104/AD$20,""))</f>
        <v/>
      </c>
      <c r="AF104" s="154">
        <f>IF(AND($AA104="",AD104=""),"",$AA104-AD104)</f>
        <v>731</v>
      </c>
      <c r="AG104" s="152">
        <v>49723</v>
      </c>
      <c r="AH104" s="153" t="str">
        <f ca="1">IF(AG104=0,"",IFERROR(AG104/AG$20,""))</f>
        <v/>
      </c>
      <c r="AI104" s="154">
        <f>IF(AND($AA104="",AG104=""),"",$AA104-AG104)</f>
        <v>-48992</v>
      </c>
    </row>
    <row r="105" spans="3:35" x14ac:dyDescent="0.2">
      <c r="C105" s="23"/>
      <c r="H105" s="133" t="s">
        <v>311</v>
      </c>
      <c r="I105" s="25" t="e">
        <f ca="1">_xll.EVPRO($B$1,$H105,"STYLE")</f>
        <v>#NAME?</v>
      </c>
      <c r="J105" s="25" t="e">
        <f ca="1">_xll.EVPRO($B$1,$H105,"CALC")</f>
        <v>#NAME?</v>
      </c>
      <c r="L105" s="24"/>
      <c r="M105" s="24"/>
      <c r="N105" s="24" t="e">
        <f ca="1">IF(_xll.EVDES(H105,$B$1)="#NODATA","",_xll.EVDES(H105,$B$1))&amp;" (excl Mini Bar)"</f>
        <v>#NAME?</v>
      </c>
      <c r="O105" s="157">
        <v>32.412571819425402</v>
      </c>
      <c r="P105" s="157"/>
      <c r="Q105" s="157"/>
      <c r="R105" s="157"/>
      <c r="S105" s="157"/>
      <c r="T105" s="157"/>
      <c r="U105" s="157"/>
      <c r="V105" s="157"/>
      <c r="W105" s="157"/>
      <c r="X105" s="157"/>
      <c r="Y105" s="157"/>
      <c r="Z105" s="157"/>
      <c r="AA105" s="157">
        <f>IFERROR(AA102/AA104,"")</f>
        <v>111.40608755129958</v>
      </c>
      <c r="AB105" s="157"/>
      <c r="AD105" s="157"/>
      <c r="AE105" s="157"/>
      <c r="AF105" s="158">
        <f>IF(AND($AA105="",AD105=""),"",$AA105-AD105)</f>
        <v>111.40608755129958</v>
      </c>
      <c r="AG105" s="157">
        <v>31.815515153952902</v>
      </c>
      <c r="AH105" s="157"/>
      <c r="AI105" s="158">
        <f>IF(AND($AA105="",AG105=""),"",$AA105-AG105)</f>
        <v>79.590572397346676</v>
      </c>
    </row>
    <row r="106" spans="3:35" x14ac:dyDescent="0.2">
      <c r="C106" s="23"/>
      <c r="H106" s="133"/>
      <c r="I106" s="25"/>
      <c r="J106" s="25"/>
      <c r="L106" s="24"/>
      <c r="M106" s="24"/>
      <c r="N106" s="24"/>
      <c r="O106" s="38"/>
      <c r="P106" s="42"/>
      <c r="Q106" s="42"/>
      <c r="R106" s="42"/>
      <c r="S106" s="42"/>
      <c r="T106" s="42"/>
      <c r="U106" s="42"/>
      <c r="V106" s="42"/>
      <c r="W106" s="42"/>
      <c r="X106" s="42"/>
      <c r="Y106" s="42"/>
      <c r="Z106" s="42"/>
      <c r="AA106" s="42"/>
      <c r="AB106" s="39"/>
      <c r="AD106" s="38"/>
      <c r="AE106" s="42"/>
      <c r="AF106" s="39"/>
      <c r="AG106" s="38"/>
      <c r="AH106" s="42"/>
      <c r="AI106" s="39"/>
    </row>
    <row r="107" spans="3:35" x14ac:dyDescent="0.2">
      <c r="C107" s="23"/>
      <c r="H107" s="133"/>
      <c r="I107" s="25"/>
      <c r="J107" s="25"/>
      <c r="L107" s="24"/>
      <c r="M107" s="24"/>
      <c r="N107" s="8" t="s">
        <v>334</v>
      </c>
      <c r="O107" s="40"/>
      <c r="P107" s="43"/>
      <c r="Q107" s="43"/>
      <c r="R107" s="43"/>
      <c r="S107" s="43"/>
      <c r="T107" s="43"/>
      <c r="U107" s="43"/>
      <c r="V107" s="43"/>
      <c r="W107" s="43"/>
      <c r="X107" s="43"/>
      <c r="Y107" s="43"/>
      <c r="Z107" s="43"/>
      <c r="AA107" s="43"/>
      <c r="AB107" s="41"/>
      <c r="AD107" s="40"/>
      <c r="AE107" s="43"/>
      <c r="AF107" s="41"/>
      <c r="AG107" s="40"/>
      <c r="AH107" s="43"/>
      <c r="AI107" s="41"/>
    </row>
    <row r="108" spans="3:35" hidden="1" outlineLevel="1" x14ac:dyDescent="0.2">
      <c r="C108" s="23"/>
      <c r="H108" s="133" t="s">
        <v>332</v>
      </c>
      <c r="I108" s="25" t="e">
        <f ca="1">_xll.EVPRO($B$1,$H108,"STYLE")</f>
        <v>#NAME?</v>
      </c>
      <c r="J108" s="25" t="e">
        <f ca="1">_xll.EVPRO($B$1,$H108,"CALC")</f>
        <v>#NAME?</v>
      </c>
      <c r="L108" s="24"/>
      <c r="M108" s="24"/>
      <c r="N108" s="24" t="e">
        <f ca="1">IF(_xll.EVDES(H108,$B$1)="#NODATA","",_xll.EVDES(H108,$B$1))</f>
        <v>#NAME?</v>
      </c>
      <c r="O108" s="19">
        <v>45.32</v>
      </c>
      <c r="P108" s="19"/>
      <c r="Q108" s="19"/>
      <c r="R108" s="19"/>
      <c r="S108" s="19"/>
      <c r="T108" s="19"/>
      <c r="U108" s="19"/>
      <c r="V108" s="19"/>
      <c r="W108" s="19"/>
      <c r="X108" s="19"/>
      <c r="Y108" s="19"/>
      <c r="Z108" s="19"/>
      <c r="AA108" s="19">
        <f>SUM(O108:Z108)</f>
        <v>45.32</v>
      </c>
      <c r="AB108" s="15"/>
      <c r="AD108" s="19"/>
      <c r="AE108" s="15"/>
      <c r="AF108" s="47">
        <f>IF(AND($AA108="",AD108=""),"",$AA108-AD108)</f>
        <v>45.32</v>
      </c>
      <c r="AG108" s="19">
        <v>2351.9499999999998</v>
      </c>
      <c r="AH108" s="15"/>
      <c r="AI108" s="47">
        <f>IF(AND($AA108="",AG108=""),"",$AA108-AG108)</f>
        <v>-2306.6299999999997</v>
      </c>
    </row>
    <row r="109" spans="3:35" hidden="1" outlineLevel="1" x14ac:dyDescent="0.2">
      <c r="C109" s="23"/>
      <c r="H109" s="133" t="s">
        <v>333</v>
      </c>
      <c r="I109" s="25" t="e">
        <f ca="1">_xll.EVPRO($B$1,$H109,"STYLE")</f>
        <v>#NAME?</v>
      </c>
      <c r="J109" s="25" t="e">
        <f ca="1">_xll.EVPRO($B$1,$H109,"CALC")</f>
        <v>#NAME?</v>
      </c>
      <c r="L109" s="24"/>
      <c r="M109" s="24"/>
      <c r="N109" s="24" t="e">
        <f ca="1">IF(_xll.EVDES(H109,$B$1)="#NODATA","",_xll.EVDES(H109,$B$1))</f>
        <v>#NAME?</v>
      </c>
      <c r="O109" s="19">
        <v>125.93</v>
      </c>
      <c r="P109" s="19"/>
      <c r="Q109" s="19"/>
      <c r="R109" s="19"/>
      <c r="S109" s="19"/>
      <c r="T109" s="19"/>
      <c r="U109" s="19"/>
      <c r="V109" s="19"/>
      <c r="W109" s="19"/>
      <c r="X109" s="19"/>
      <c r="Y109" s="19"/>
      <c r="Z109" s="19"/>
      <c r="AA109" s="19">
        <f>SUM(O109:Z109)</f>
        <v>125.93</v>
      </c>
      <c r="AB109" s="15"/>
      <c r="AD109" s="19"/>
      <c r="AE109" s="15"/>
      <c r="AF109" s="47">
        <f>IF(AND($AA109="",AD109=""),"",$AA109-AD109)</f>
        <v>125.93</v>
      </c>
      <c r="AG109" s="19">
        <v>8882.4699999999993</v>
      </c>
      <c r="AH109" s="15"/>
      <c r="AI109" s="47">
        <f>IF(AND($AA109="",AG109=""),"",$AA109-AG109)</f>
        <v>-8756.5399999999991</v>
      </c>
    </row>
    <row r="110" spans="3:35" collapsed="1" x14ac:dyDescent="0.2">
      <c r="C110" s="23"/>
      <c r="H110" s="133"/>
      <c r="I110" s="25"/>
      <c r="J110" s="25"/>
      <c r="L110" s="24"/>
      <c r="M110" s="24"/>
      <c r="N110" s="24" t="s">
        <v>335</v>
      </c>
      <c r="O110" s="159">
        <f t="shared" ref="O110:AA110" si="34">IFERROR(O$104/O108,"")</f>
        <v>16.129744042365402</v>
      </c>
      <c r="P110" s="159" t="str">
        <f t="shared" si="34"/>
        <v/>
      </c>
      <c r="Q110" s="159" t="str">
        <f t="shared" si="34"/>
        <v/>
      </c>
      <c r="R110" s="159" t="str">
        <f t="shared" si="34"/>
        <v/>
      </c>
      <c r="S110" s="159" t="str">
        <f t="shared" si="34"/>
        <v/>
      </c>
      <c r="T110" s="159" t="str">
        <f t="shared" si="34"/>
        <v/>
      </c>
      <c r="U110" s="159" t="str">
        <f t="shared" si="34"/>
        <v/>
      </c>
      <c r="V110" s="159" t="str">
        <f t="shared" si="34"/>
        <v/>
      </c>
      <c r="W110" s="159" t="str">
        <f t="shared" si="34"/>
        <v/>
      </c>
      <c r="X110" s="159" t="str">
        <f t="shared" si="34"/>
        <v/>
      </c>
      <c r="Y110" s="159" t="str">
        <f t="shared" si="34"/>
        <v/>
      </c>
      <c r="Z110" s="159" t="str">
        <f t="shared" si="34"/>
        <v/>
      </c>
      <c r="AA110" s="159">
        <f t="shared" si="34"/>
        <v>16.129744042365402</v>
      </c>
      <c r="AB110" s="124"/>
      <c r="AD110" s="159" t="str">
        <f>IFERROR(AD$104/AD108,"")</f>
        <v/>
      </c>
      <c r="AE110" s="124"/>
      <c r="AF110" s="125" t="e">
        <f>IF(AND($AA110="",AD110=""),"",$AA110-AD110)</f>
        <v>#VALUE!</v>
      </c>
      <c r="AG110" s="159">
        <f>IFERROR(AG$104/AG108,"")</f>
        <v>21.141180722379303</v>
      </c>
      <c r="AH110" s="124"/>
      <c r="AI110" s="125">
        <f>IF(AND($AA110="",AG110=""),"",$AA110-AG110)</f>
        <v>-5.011436680013901</v>
      </c>
    </row>
    <row r="111" spans="3:35" x14ac:dyDescent="0.2">
      <c r="C111" s="23"/>
      <c r="H111" s="133"/>
      <c r="I111" s="25"/>
      <c r="J111" s="25"/>
      <c r="L111" s="24"/>
      <c r="M111" s="24"/>
      <c r="N111" s="24" t="s">
        <v>336</v>
      </c>
      <c r="O111" s="159">
        <f t="shared" ref="O111:AA111" si="35">IFERROR(O$104/O109,"")</f>
        <v>5.8048121972524411</v>
      </c>
      <c r="P111" s="159" t="str">
        <f t="shared" si="35"/>
        <v/>
      </c>
      <c r="Q111" s="159" t="str">
        <f t="shared" si="35"/>
        <v/>
      </c>
      <c r="R111" s="159" t="str">
        <f t="shared" si="35"/>
        <v/>
      </c>
      <c r="S111" s="159" t="str">
        <f t="shared" si="35"/>
        <v/>
      </c>
      <c r="T111" s="159" t="str">
        <f t="shared" si="35"/>
        <v/>
      </c>
      <c r="U111" s="159" t="str">
        <f t="shared" si="35"/>
        <v/>
      </c>
      <c r="V111" s="159" t="str">
        <f t="shared" si="35"/>
        <v/>
      </c>
      <c r="W111" s="159" t="str">
        <f t="shared" si="35"/>
        <v/>
      </c>
      <c r="X111" s="159" t="str">
        <f t="shared" si="35"/>
        <v/>
      </c>
      <c r="Y111" s="159" t="str">
        <f t="shared" si="35"/>
        <v/>
      </c>
      <c r="Z111" s="159" t="str">
        <f t="shared" si="35"/>
        <v/>
      </c>
      <c r="AA111" s="159">
        <f t="shared" si="35"/>
        <v>5.8048121972524411</v>
      </c>
      <c r="AB111" s="124"/>
      <c r="AD111" s="159" t="str">
        <f>IFERROR(AD$104/AD109,"")</f>
        <v/>
      </c>
      <c r="AE111" s="124"/>
      <c r="AF111" s="125" t="e">
        <f>IF(AND($AA111="",AD111=""),"",$AA111-AD111)</f>
        <v>#VALUE!</v>
      </c>
      <c r="AG111" s="159">
        <f>IFERROR(AG$104/AG109,"")</f>
        <v>5.5978798690004021</v>
      </c>
      <c r="AH111" s="124"/>
      <c r="AI111" s="125">
        <f>IF(AND($AA111="",AG111=""),"",$AA111-AG111)</f>
        <v>0.206932328252039</v>
      </c>
    </row>
    <row r="112" spans="3:35" x14ac:dyDescent="0.2">
      <c r="C112" s="23"/>
      <c r="H112" s="133"/>
      <c r="I112" s="25"/>
      <c r="J112" s="25"/>
      <c r="L112" s="24"/>
      <c r="M112" s="24"/>
      <c r="N112" s="24"/>
      <c r="O112" s="144"/>
      <c r="P112" s="147"/>
      <c r="Q112" s="147"/>
      <c r="R112" s="147"/>
      <c r="S112" s="147"/>
      <c r="T112" s="147"/>
      <c r="U112" s="147"/>
      <c r="V112" s="147"/>
      <c r="W112" s="147"/>
      <c r="X112" s="147"/>
      <c r="Y112" s="147"/>
      <c r="Z112" s="147"/>
      <c r="AA112" s="147"/>
      <c r="AB112" s="51"/>
      <c r="AD112" s="50"/>
      <c r="AF112" s="51"/>
      <c r="AI112" s="51"/>
    </row>
    <row r="113" spans="3:35" x14ac:dyDescent="0.2">
      <c r="C113" s="23"/>
      <c r="H113" s="133"/>
      <c r="I113" s="25"/>
      <c r="J113" s="25"/>
      <c r="L113" s="24"/>
      <c r="M113" s="24"/>
      <c r="N113" s="8" t="s">
        <v>343</v>
      </c>
      <c r="O113" s="50"/>
      <c r="AB113" s="149"/>
      <c r="AD113" s="148"/>
      <c r="AE113" s="150"/>
      <c r="AF113" s="51"/>
      <c r="AH113" s="150"/>
      <c r="AI113" s="51"/>
    </row>
    <row r="114" spans="3:35" x14ac:dyDescent="0.2">
      <c r="C114" s="23"/>
      <c r="H114" s="133"/>
      <c r="I114" s="25"/>
      <c r="J114" s="25"/>
      <c r="L114" s="24"/>
      <c r="M114" s="24"/>
      <c r="N114" s="8" t="s">
        <v>337</v>
      </c>
      <c r="O114" s="40"/>
      <c r="P114" s="43"/>
      <c r="Q114" s="43"/>
      <c r="R114" s="43"/>
      <c r="S114" s="43"/>
      <c r="T114" s="43"/>
      <c r="U114" s="43"/>
      <c r="V114" s="43"/>
      <c r="W114" s="43"/>
      <c r="X114" s="43"/>
      <c r="Y114" s="43"/>
      <c r="Z114" s="43"/>
      <c r="AA114" s="43"/>
      <c r="AB114" s="41"/>
      <c r="AD114" s="40"/>
      <c r="AE114" s="43"/>
      <c r="AF114" s="41"/>
      <c r="AG114" s="43"/>
      <c r="AH114" s="43"/>
      <c r="AI114" s="41"/>
    </row>
    <row r="115" spans="3:35" x14ac:dyDescent="0.2">
      <c r="C115" s="23"/>
      <c r="H115" s="133" t="s">
        <v>294</v>
      </c>
      <c r="I115" s="25"/>
      <c r="J115" s="25"/>
      <c r="L115" s="24" t="e">
        <f ca="1">_xll.EVPRO($B$1,H115,"JDEID")</f>
        <v>#NAME?</v>
      </c>
      <c r="M115" s="24" t="str">
        <f>IF(AND(I115="N",J115="N"),_xll.EVPRO($B$1,H115,"PSFTID"),"")</f>
        <v/>
      </c>
      <c r="N115" s="24" t="e">
        <f ca="1">IF(_xll.EVDES(H115,$B$1)="#NODATA","",_xll.EVDES(H115,$B$1))</f>
        <v>#NAME?</v>
      </c>
      <c r="O115" s="19">
        <v>210</v>
      </c>
      <c r="P115" s="19"/>
      <c r="Q115" s="19"/>
      <c r="R115" s="19"/>
      <c r="S115" s="19"/>
      <c r="T115" s="19"/>
      <c r="U115" s="19"/>
      <c r="V115" s="19"/>
      <c r="W115" s="19"/>
      <c r="X115" s="19"/>
      <c r="Y115" s="19"/>
      <c r="Z115" s="19"/>
      <c r="AA115" s="19">
        <f t="shared" ref="AA115:AA121" si="36">SUM(O115:Z115)</f>
        <v>210</v>
      </c>
      <c r="AB115" s="15" t="str">
        <f t="shared" ref="AB115:AB121" ca="1" si="37">IF(AA115=0,"",IFERROR(AA115/AA$19,""))</f>
        <v/>
      </c>
      <c r="AD115" s="19"/>
      <c r="AE115" s="15" t="str">
        <f t="shared" ref="AE115:AE121" si="38">IF(AD115=0,"",IFERROR(AD115/AD$19,""))</f>
        <v/>
      </c>
      <c r="AF115" s="47">
        <f t="shared" ref="AF115:AF121" si="39">IF(AND($AA115="",AD115=""),"",$AA115-AD115)</f>
        <v>210</v>
      </c>
      <c r="AG115" s="19">
        <v>27149.88</v>
      </c>
      <c r="AH115" s="15" t="str">
        <f t="shared" ref="AH115:AH121" ca="1" si="40">IF(AG115=0,"",IFERROR(AG115/AG$19,""))</f>
        <v/>
      </c>
      <c r="AI115" s="47">
        <f t="shared" ref="AI115:AI121" si="41">IF(AND($AA115="",AG115=""),"",$AA115-AG115)</f>
        <v>-26939.88</v>
      </c>
    </row>
    <row r="116" spans="3:35" x14ac:dyDescent="0.2">
      <c r="C116" s="23"/>
      <c r="H116" s="133" t="s">
        <v>301</v>
      </c>
      <c r="I116" s="25"/>
      <c r="J116" s="25"/>
      <c r="L116" s="24" t="e">
        <f ca="1">_xll.EVPRO($B$1,H116,"JDEID")</f>
        <v>#NAME?</v>
      </c>
      <c r="M116" s="24" t="str">
        <f>IF(AND(I116="N",J116="N"),_xll.EVPRO($B$1,H116,"PSFTID"),"")</f>
        <v/>
      </c>
      <c r="N116" s="24" t="e">
        <f ca="1">IF(_xll.EVDES(H116,$B$1)="#NODATA","",_xll.EVDES(H116,$B$1))</f>
        <v>#NAME?</v>
      </c>
      <c r="O116" s="19">
        <v>1325</v>
      </c>
      <c r="P116" s="19"/>
      <c r="Q116" s="19"/>
      <c r="R116" s="19"/>
      <c r="S116" s="19"/>
      <c r="T116" s="19"/>
      <c r="U116" s="19"/>
      <c r="V116" s="19"/>
      <c r="W116" s="19"/>
      <c r="X116" s="19"/>
      <c r="Y116" s="19"/>
      <c r="Z116" s="19"/>
      <c r="AA116" s="19">
        <f t="shared" si="36"/>
        <v>1325</v>
      </c>
      <c r="AB116" s="15" t="str">
        <f t="shared" ca="1" si="37"/>
        <v/>
      </c>
      <c r="AD116" s="19"/>
      <c r="AE116" s="15" t="str">
        <f t="shared" si="38"/>
        <v/>
      </c>
      <c r="AF116" s="47">
        <f t="shared" si="39"/>
        <v>1325</v>
      </c>
      <c r="AG116" s="19">
        <v>150733.72</v>
      </c>
      <c r="AH116" s="15" t="str">
        <f t="shared" ca="1" si="40"/>
        <v/>
      </c>
      <c r="AI116" s="47">
        <f t="shared" si="41"/>
        <v>-149408.72</v>
      </c>
    </row>
    <row r="117" spans="3:35" x14ac:dyDescent="0.2">
      <c r="C117" s="23"/>
      <c r="H117" s="133" t="s">
        <v>302</v>
      </c>
      <c r="I117" s="25"/>
      <c r="J117" s="25"/>
      <c r="L117" s="24" t="e">
        <f ca="1">_xll.EVPRO($B$1,H117,"JDEID")</f>
        <v>#NAME?</v>
      </c>
      <c r="M117" s="24" t="str">
        <f>IF(AND(I117="N",J117="N"),_xll.EVPRO($B$1,H117,"PSFTID"),"")</f>
        <v/>
      </c>
      <c r="N117" s="24" t="e">
        <f ca="1">IF(_xll.EVDES(H117,$B$1)="#NODATA","",_xll.EVDES(H117,$B$1))</f>
        <v>#NAME?</v>
      </c>
      <c r="O117" s="19"/>
      <c r="P117" s="19"/>
      <c r="Q117" s="19"/>
      <c r="R117" s="19"/>
      <c r="S117" s="19"/>
      <c r="T117" s="19"/>
      <c r="U117" s="19"/>
      <c r="V117" s="19"/>
      <c r="W117" s="19"/>
      <c r="X117" s="19"/>
      <c r="Y117" s="19"/>
      <c r="Z117" s="19"/>
      <c r="AA117" s="19">
        <f t="shared" si="36"/>
        <v>0</v>
      </c>
      <c r="AB117" s="15" t="str">
        <f t="shared" si="37"/>
        <v/>
      </c>
      <c r="AD117" s="19"/>
      <c r="AE117" s="15" t="str">
        <f t="shared" si="38"/>
        <v/>
      </c>
      <c r="AF117" s="47">
        <f t="shared" si="39"/>
        <v>0</v>
      </c>
      <c r="AG117" s="19">
        <v>28726.2</v>
      </c>
      <c r="AH117" s="15" t="str">
        <f t="shared" ca="1" si="40"/>
        <v/>
      </c>
      <c r="AI117" s="47">
        <f t="shared" si="41"/>
        <v>-28726.2</v>
      </c>
    </row>
    <row r="118" spans="3:35" x14ac:dyDescent="0.2">
      <c r="C118" s="23"/>
      <c r="H118" s="133" t="s">
        <v>308</v>
      </c>
      <c r="I118" s="25"/>
      <c r="J118" s="25"/>
      <c r="L118" s="24" t="e">
        <f ca="1">_xll.EVPRO($B$1,H118,"JDEID")</f>
        <v>#NAME?</v>
      </c>
      <c r="M118" s="24" t="str">
        <f>IF(AND(I118="N",J118="N"),_xll.EVPRO($B$1,H118,"PSFTID"),"")</f>
        <v/>
      </c>
      <c r="N118" s="24" t="e">
        <f ca="1">IF(_xll.EVDES(H118,$B$1)="#NODATA","",_xll.EVDES(H118,$B$1))</f>
        <v>#NAME?</v>
      </c>
      <c r="O118" s="19">
        <v>3457</v>
      </c>
      <c r="P118" s="19"/>
      <c r="Q118" s="19"/>
      <c r="R118" s="19"/>
      <c r="S118" s="19"/>
      <c r="T118" s="19"/>
      <c r="U118" s="19"/>
      <c r="V118" s="19"/>
      <c r="W118" s="19"/>
      <c r="X118" s="19"/>
      <c r="Y118" s="19"/>
      <c r="Z118" s="19"/>
      <c r="AA118" s="19">
        <f t="shared" si="36"/>
        <v>3457</v>
      </c>
      <c r="AB118" s="15" t="str">
        <f t="shared" ca="1" si="37"/>
        <v/>
      </c>
      <c r="AD118" s="19"/>
      <c r="AE118" s="15" t="str">
        <f t="shared" si="38"/>
        <v/>
      </c>
      <c r="AF118" s="47">
        <f t="shared" si="39"/>
        <v>3457</v>
      </c>
      <c r="AG118" s="19">
        <v>206365.51</v>
      </c>
      <c r="AH118" s="15" t="str">
        <f t="shared" ca="1" si="40"/>
        <v/>
      </c>
      <c r="AI118" s="47">
        <f t="shared" si="41"/>
        <v>-202908.51</v>
      </c>
    </row>
    <row r="119" spans="3:35" x14ac:dyDescent="0.2">
      <c r="C119" s="23"/>
      <c r="H119" s="133" t="s">
        <v>321</v>
      </c>
      <c r="I119" s="25"/>
      <c r="J119" s="25"/>
      <c r="L119" s="24" t="e">
        <f ca="1">_xll.EVPRO($B$1,H119,"JDEID")</f>
        <v>#NAME?</v>
      </c>
      <c r="M119" s="24" t="str">
        <f>IF(AND(I119="N",J119="N"),_xll.EVPRO($B$1,H119,"PSFTID"),"")</f>
        <v/>
      </c>
      <c r="N119" s="24" t="e">
        <f ca="1">IF(_xll.EVDES(H119,$B$1)="#NODATA","",_xll.EVDES(H119,$B$1))</f>
        <v>#NAME?</v>
      </c>
      <c r="O119" s="19"/>
      <c r="P119" s="19"/>
      <c r="Q119" s="19"/>
      <c r="R119" s="19"/>
      <c r="S119" s="19"/>
      <c r="T119" s="19"/>
      <c r="U119" s="19"/>
      <c r="V119" s="19"/>
      <c r="W119" s="19"/>
      <c r="X119" s="19"/>
      <c r="Y119" s="19"/>
      <c r="Z119" s="19"/>
      <c r="AA119" s="19">
        <f t="shared" si="36"/>
        <v>0</v>
      </c>
      <c r="AB119" s="15" t="str">
        <f t="shared" si="37"/>
        <v/>
      </c>
      <c r="AD119" s="19"/>
      <c r="AE119" s="15" t="str">
        <f t="shared" si="38"/>
        <v/>
      </c>
      <c r="AF119" s="47">
        <f t="shared" si="39"/>
        <v>0</v>
      </c>
      <c r="AG119" s="19"/>
      <c r="AH119" s="15" t="str">
        <f t="shared" si="40"/>
        <v/>
      </c>
      <c r="AI119" s="47">
        <f>IF(AND($AA119="",AG119=""),"",$AA119-AG119)</f>
        <v>0</v>
      </c>
    </row>
    <row r="120" spans="3:35" x14ac:dyDescent="0.2">
      <c r="C120" s="23"/>
      <c r="H120" s="133" t="s">
        <v>808</v>
      </c>
      <c r="I120" s="25"/>
      <c r="J120" s="25"/>
      <c r="L120" s="24" t="e">
        <f ca="1">_xll.EVPRO($B$1,H120,"JDEID")</f>
        <v>#NAME?</v>
      </c>
      <c r="M120" s="24" t="str">
        <f>IF(AND(I120="N",J120="N"),_xll.EVPRO($B$1,H120,"PSFTID"),"")</f>
        <v/>
      </c>
      <c r="N120" s="24" t="e">
        <f ca="1">IF(_xll.EVDES(H120,$B$1)="#NODATA","",_xll.EVDES(H120,$B$1))</f>
        <v>#NAME?</v>
      </c>
      <c r="O120" s="19"/>
      <c r="P120" s="19"/>
      <c r="Q120" s="19"/>
      <c r="R120" s="19"/>
      <c r="S120" s="19"/>
      <c r="T120" s="19"/>
      <c r="U120" s="19"/>
      <c r="V120" s="19"/>
      <c r="W120" s="19"/>
      <c r="X120" s="19"/>
      <c r="Y120" s="19"/>
      <c r="Z120" s="19"/>
      <c r="AA120" s="19">
        <f t="shared" si="36"/>
        <v>0</v>
      </c>
      <c r="AB120" s="15" t="str">
        <f t="shared" si="37"/>
        <v/>
      </c>
      <c r="AD120" s="19"/>
      <c r="AE120" s="15" t="str">
        <f t="shared" si="38"/>
        <v/>
      </c>
      <c r="AF120" s="47">
        <f t="shared" si="39"/>
        <v>0</v>
      </c>
      <c r="AG120" s="19">
        <v>9492.9599999999991</v>
      </c>
      <c r="AH120" s="15" t="str">
        <f t="shared" ca="1" si="40"/>
        <v/>
      </c>
      <c r="AI120" s="47">
        <f t="shared" si="41"/>
        <v>-9492.9599999999991</v>
      </c>
    </row>
    <row r="121" spans="3:35" x14ac:dyDescent="0.2">
      <c r="C121" s="23"/>
      <c r="H121" s="133" t="s">
        <v>340</v>
      </c>
      <c r="I121" s="25"/>
      <c r="J121" s="25"/>
      <c r="L121" s="24" t="e">
        <f ca="1">_xll.EVPRO($B$1,H121,"JDEID")</f>
        <v>#NAME?</v>
      </c>
      <c r="M121" s="24" t="str">
        <f>IF(AND(I121="N",J121="N"),_xll.EVPRO($B$1,H121,"PSFTID"),"")</f>
        <v/>
      </c>
      <c r="N121" s="23" t="e">
        <f ca="1">IF(_xll.EVDES(H121,$B$1)="#NODATA","",_xll.EVDES(H121,$B$1))</f>
        <v>#NAME?</v>
      </c>
      <c r="O121" s="145">
        <v>4992</v>
      </c>
      <c r="P121" s="145"/>
      <c r="Q121" s="145"/>
      <c r="R121" s="145"/>
      <c r="S121" s="145"/>
      <c r="T121" s="145"/>
      <c r="U121" s="145"/>
      <c r="V121" s="145"/>
      <c r="W121" s="145"/>
      <c r="X121" s="145"/>
      <c r="Y121" s="145"/>
      <c r="Z121" s="145"/>
      <c r="AA121" s="145">
        <f t="shared" si="36"/>
        <v>4992</v>
      </c>
      <c r="AB121" s="156" t="str">
        <f t="shared" ca="1" si="37"/>
        <v/>
      </c>
      <c r="AD121" s="145"/>
      <c r="AE121" s="156" t="str">
        <f t="shared" si="38"/>
        <v/>
      </c>
      <c r="AF121" s="146">
        <f t="shared" si="39"/>
        <v>4992</v>
      </c>
      <c r="AG121" s="145">
        <v>422468.27</v>
      </c>
      <c r="AH121" s="156" t="str">
        <f t="shared" ca="1" si="40"/>
        <v/>
      </c>
      <c r="AI121" s="146">
        <f t="shared" si="41"/>
        <v>-417476.27</v>
      </c>
    </row>
    <row r="122" spans="3:35" x14ac:dyDescent="0.2">
      <c r="C122" s="23"/>
      <c r="H122" s="133"/>
      <c r="I122" s="25"/>
      <c r="J122" s="25"/>
      <c r="L122" s="24"/>
      <c r="M122" s="24"/>
      <c r="N122" s="8"/>
      <c r="O122" s="38"/>
      <c r="P122" s="42"/>
      <c r="Q122" s="42"/>
      <c r="R122" s="42"/>
      <c r="S122" s="42"/>
      <c r="T122" s="42"/>
      <c r="U122" s="42"/>
      <c r="V122" s="42"/>
      <c r="W122" s="42"/>
      <c r="X122" s="42"/>
      <c r="Y122" s="42"/>
      <c r="Z122" s="42"/>
      <c r="AA122" s="42"/>
      <c r="AB122" s="39"/>
      <c r="AD122" s="38"/>
      <c r="AE122" s="42"/>
      <c r="AF122" s="39"/>
      <c r="AG122" s="38"/>
      <c r="AH122" s="42"/>
      <c r="AI122" s="39"/>
    </row>
    <row r="123" spans="3:35" x14ac:dyDescent="0.2">
      <c r="C123" s="23"/>
      <c r="H123" s="133"/>
      <c r="I123" s="25"/>
      <c r="J123" s="25"/>
      <c r="L123" s="24"/>
      <c r="M123" s="24"/>
      <c r="N123" s="8" t="s">
        <v>339</v>
      </c>
      <c r="O123" s="40"/>
      <c r="P123" s="43"/>
      <c r="Q123" s="43"/>
      <c r="R123" s="43"/>
      <c r="S123" s="43"/>
      <c r="T123" s="43"/>
      <c r="U123" s="43"/>
      <c r="V123" s="43"/>
      <c r="W123" s="43"/>
      <c r="X123" s="43"/>
      <c r="Y123" s="43"/>
      <c r="Z123" s="43"/>
      <c r="AA123" s="43"/>
      <c r="AB123" s="41"/>
      <c r="AD123" s="40"/>
      <c r="AE123" s="43"/>
      <c r="AF123" s="41"/>
      <c r="AG123" s="40"/>
      <c r="AH123" s="43"/>
      <c r="AI123" s="41"/>
    </row>
    <row r="124" spans="3:35" x14ac:dyDescent="0.2">
      <c r="C124" s="23"/>
      <c r="H124" s="133" t="s">
        <v>295</v>
      </c>
      <c r="I124" s="25"/>
      <c r="J124" s="25"/>
      <c r="L124" s="24" t="e">
        <f ca="1">_xll.EVPRO($B$1,H124,"JDEID")</f>
        <v>#NAME?</v>
      </c>
      <c r="M124" s="24" t="str">
        <f>IF(AND(I124="N",J124="N"),_xll.EVPRO($B$1,H124,"PSFTID"),"")</f>
        <v/>
      </c>
      <c r="N124" s="24" t="e">
        <f ca="1">IF(_xll.EVDES(H124,$B$1)="#NODATA","",_xll.EVDES(H124,$B$1))</f>
        <v>#NAME?</v>
      </c>
      <c r="O124" s="19">
        <v>28</v>
      </c>
      <c r="P124" s="19"/>
      <c r="Q124" s="19"/>
      <c r="R124" s="19"/>
      <c r="S124" s="19"/>
      <c r="T124" s="19"/>
      <c r="U124" s="19"/>
      <c r="V124" s="19"/>
      <c r="W124" s="19"/>
      <c r="X124" s="19"/>
      <c r="Y124" s="19"/>
      <c r="Z124" s="19"/>
      <c r="AA124" s="19">
        <f t="shared" ref="AA124:AA130" si="42">SUM(O124:Z124)</f>
        <v>28</v>
      </c>
      <c r="AB124" s="15" t="str">
        <f t="shared" ref="AB124:AB130" ca="1" si="43">IF(AA124=0,"",IFERROR(AA124/AA$19,""))</f>
        <v/>
      </c>
      <c r="AD124" s="19"/>
      <c r="AE124" s="15" t="str">
        <f t="shared" ref="AE124:AE130" si="44">IF(AD124=0,"",IFERROR(AD124/AD$19,""))</f>
        <v/>
      </c>
      <c r="AF124" s="47">
        <f t="shared" ref="AF124:AF130" si="45">IF(AND($AA124="",AD124=""),"",$AA124-AD124)</f>
        <v>28</v>
      </c>
      <c r="AG124" s="19">
        <v>2996.8</v>
      </c>
      <c r="AH124" s="15" t="str">
        <f t="shared" ref="AH124:AH130" ca="1" si="46">IF(AG124=0,"",IFERROR(AG124/AG$19,""))</f>
        <v/>
      </c>
      <c r="AI124" s="47">
        <f t="shared" ref="AI124:AI130" si="47">IF(AND($AA124="",AG124=""),"",$AA124-AG124)</f>
        <v>-2968.8</v>
      </c>
    </row>
    <row r="125" spans="3:35" x14ac:dyDescent="0.2">
      <c r="C125" s="23"/>
      <c r="H125" s="133" t="s">
        <v>305</v>
      </c>
      <c r="I125" s="25"/>
      <c r="J125" s="25"/>
      <c r="L125" s="24" t="e">
        <f ca="1">_xll.EVPRO($B$1,H125,"JDEID")</f>
        <v>#NAME?</v>
      </c>
      <c r="M125" s="24" t="str">
        <f>IF(AND(I125="N",J125="N"),_xll.EVPRO($B$1,H125,"PSFTID"),"")</f>
        <v/>
      </c>
      <c r="N125" s="24" t="e">
        <f ca="1">IF(_xll.EVDES(H125,$B$1)="#NODATA","",_xll.EVDES(H125,$B$1))</f>
        <v>#NAME?</v>
      </c>
      <c r="O125" s="19">
        <v>448</v>
      </c>
      <c r="P125" s="19"/>
      <c r="Q125" s="19"/>
      <c r="R125" s="19"/>
      <c r="S125" s="19"/>
      <c r="T125" s="19"/>
      <c r="U125" s="19"/>
      <c r="V125" s="19"/>
      <c r="W125" s="19"/>
      <c r="X125" s="19"/>
      <c r="Y125" s="19"/>
      <c r="Z125" s="19"/>
      <c r="AA125" s="19">
        <f t="shared" si="42"/>
        <v>448</v>
      </c>
      <c r="AB125" s="15" t="str">
        <f t="shared" ca="1" si="43"/>
        <v/>
      </c>
      <c r="AD125" s="19"/>
      <c r="AE125" s="15" t="str">
        <f t="shared" si="44"/>
        <v/>
      </c>
      <c r="AF125" s="47">
        <f t="shared" si="45"/>
        <v>448</v>
      </c>
      <c r="AG125" s="19">
        <v>34431.300000000003</v>
      </c>
      <c r="AH125" s="15" t="str">
        <f t="shared" ca="1" si="46"/>
        <v/>
      </c>
      <c r="AI125" s="47">
        <f t="shared" si="47"/>
        <v>-33983.300000000003</v>
      </c>
    </row>
    <row r="126" spans="3:35" x14ac:dyDescent="0.2">
      <c r="C126" s="23"/>
      <c r="H126" s="133" t="s">
        <v>306</v>
      </c>
      <c r="I126" s="25"/>
      <c r="J126" s="25"/>
      <c r="L126" s="24" t="e">
        <f ca="1">_xll.EVPRO($B$1,H126,"JDEID")</f>
        <v>#NAME?</v>
      </c>
      <c r="M126" s="24" t="str">
        <f>IF(AND(I126="N",J126="N"),_xll.EVPRO($B$1,H126,"PSFTID"),"")</f>
        <v/>
      </c>
      <c r="N126" s="24" t="e">
        <f ca="1">IF(_xll.EVDES(H126,$B$1)="#NODATA","",_xll.EVDES(H126,$B$1))</f>
        <v>#NAME?</v>
      </c>
      <c r="O126" s="19"/>
      <c r="P126" s="19"/>
      <c r="Q126" s="19"/>
      <c r="R126" s="19"/>
      <c r="S126" s="19"/>
      <c r="T126" s="19"/>
      <c r="U126" s="19"/>
      <c r="V126" s="19"/>
      <c r="W126" s="19"/>
      <c r="X126" s="19"/>
      <c r="Y126" s="19"/>
      <c r="Z126" s="19"/>
      <c r="AA126" s="19">
        <f t="shared" si="42"/>
        <v>0</v>
      </c>
      <c r="AB126" s="15" t="str">
        <f t="shared" si="43"/>
        <v/>
      </c>
      <c r="AD126" s="19"/>
      <c r="AE126" s="15" t="str">
        <f t="shared" si="44"/>
        <v/>
      </c>
      <c r="AF126" s="47">
        <f t="shared" si="45"/>
        <v>0</v>
      </c>
      <c r="AG126" s="19">
        <v>6158.12</v>
      </c>
      <c r="AH126" s="15" t="str">
        <f t="shared" ca="1" si="46"/>
        <v/>
      </c>
      <c r="AI126" s="47">
        <f t="shared" si="47"/>
        <v>-6158.12</v>
      </c>
    </row>
    <row r="127" spans="3:35" x14ac:dyDescent="0.2">
      <c r="C127" s="23"/>
      <c r="H127" s="133" t="s">
        <v>310</v>
      </c>
      <c r="I127" s="25"/>
      <c r="J127" s="25"/>
      <c r="L127" s="24" t="e">
        <f ca="1">_xll.EVPRO($B$1,H127,"JDEID")</f>
        <v>#NAME?</v>
      </c>
      <c r="M127" s="24" t="str">
        <f>IF(AND(I127="N",J127="N"),_xll.EVPRO($B$1,H127,"PSFTID"),"")</f>
        <v/>
      </c>
      <c r="N127" s="24" t="e">
        <f ca="1">IF(_xll.EVDES(H127,$B$1)="#NODATA","",_xll.EVDES(H127,$B$1))</f>
        <v>#NAME?</v>
      </c>
      <c r="O127" s="19">
        <v>772</v>
      </c>
      <c r="P127" s="19"/>
      <c r="Q127" s="19"/>
      <c r="R127" s="19"/>
      <c r="S127" s="19"/>
      <c r="T127" s="19"/>
      <c r="U127" s="19"/>
      <c r="V127" s="19"/>
      <c r="W127" s="19"/>
      <c r="X127" s="19"/>
      <c r="Y127" s="19"/>
      <c r="Z127" s="19"/>
      <c r="AA127" s="19">
        <f t="shared" si="42"/>
        <v>772</v>
      </c>
      <c r="AB127" s="15" t="str">
        <f t="shared" ca="1" si="43"/>
        <v/>
      </c>
      <c r="AD127" s="19"/>
      <c r="AE127" s="15" t="str">
        <f t="shared" si="44"/>
        <v/>
      </c>
      <c r="AF127" s="47">
        <f t="shared" si="45"/>
        <v>772</v>
      </c>
      <c r="AG127" s="19">
        <v>34482.199999999997</v>
      </c>
      <c r="AH127" s="15" t="str">
        <f t="shared" ca="1" si="46"/>
        <v/>
      </c>
      <c r="AI127" s="47">
        <f t="shared" si="47"/>
        <v>-33710.199999999997</v>
      </c>
    </row>
    <row r="128" spans="3:35" x14ac:dyDescent="0.2">
      <c r="C128" s="23"/>
      <c r="H128" s="133" t="s">
        <v>323</v>
      </c>
      <c r="I128" s="25"/>
      <c r="J128" s="25"/>
      <c r="L128" s="24" t="e">
        <f ca="1">_xll.EVPRO($B$1,H128,"JDEID")</f>
        <v>#NAME?</v>
      </c>
      <c r="M128" s="24" t="str">
        <f>IF(AND(I128="N",J128="N"),_xll.EVPRO($B$1,H128,"PSFTID"),"")</f>
        <v/>
      </c>
      <c r="N128" s="24" t="e">
        <f ca="1">IF(_xll.EVDES(H128,$B$1)="#NODATA","",_xll.EVDES(H128,$B$1))</f>
        <v>#NAME?</v>
      </c>
      <c r="O128" s="19"/>
      <c r="P128" s="19"/>
      <c r="Q128" s="19"/>
      <c r="R128" s="19"/>
      <c r="S128" s="19"/>
      <c r="T128" s="19"/>
      <c r="U128" s="19"/>
      <c r="V128" s="19"/>
      <c r="W128" s="19"/>
      <c r="X128" s="19"/>
      <c r="Y128" s="19"/>
      <c r="Z128" s="19"/>
      <c r="AA128" s="19">
        <f t="shared" si="42"/>
        <v>0</v>
      </c>
      <c r="AB128" s="15" t="str">
        <f t="shared" si="43"/>
        <v/>
      </c>
      <c r="AD128" s="19"/>
      <c r="AE128" s="15" t="str">
        <f t="shared" si="44"/>
        <v/>
      </c>
      <c r="AF128" s="47">
        <f t="shared" si="45"/>
        <v>0</v>
      </c>
      <c r="AG128" s="19"/>
      <c r="AH128" s="15" t="str">
        <f>IF(AG128=0,"",IFERROR(AG128/AG$19,""))</f>
        <v/>
      </c>
      <c r="AI128" s="47">
        <f>IF(AND($AA128="",AG128=""),"",$AA128-AG128)</f>
        <v>0</v>
      </c>
    </row>
    <row r="129" spans="3:35" x14ac:dyDescent="0.2">
      <c r="C129" s="23"/>
      <c r="H129" s="133" t="s">
        <v>809</v>
      </c>
      <c r="I129" s="25"/>
      <c r="J129" s="25"/>
      <c r="L129" s="24" t="e">
        <f ca="1">_xll.EVPRO($B$1,H129,"JDEID")</f>
        <v>#NAME?</v>
      </c>
      <c r="M129" s="24" t="str">
        <f>IF(AND(I129="N",J129="N"),_xll.EVPRO($B$1,H129,"PSFTID"),"")</f>
        <v/>
      </c>
      <c r="N129" s="24" t="e">
        <f ca="1">IF(_xll.EVDES(H129,$B$1)="#NODATA","",_xll.EVDES(H129,$B$1))</f>
        <v>#NAME?</v>
      </c>
      <c r="O129" s="19"/>
      <c r="P129" s="19"/>
      <c r="Q129" s="19"/>
      <c r="R129" s="19"/>
      <c r="S129" s="19"/>
      <c r="T129" s="19"/>
      <c r="U129" s="19"/>
      <c r="V129" s="19"/>
      <c r="W129" s="19"/>
      <c r="X129" s="19"/>
      <c r="Y129" s="19"/>
      <c r="Z129" s="19"/>
      <c r="AA129" s="19">
        <f t="shared" si="42"/>
        <v>0</v>
      </c>
      <c r="AB129" s="15" t="str">
        <f t="shared" si="43"/>
        <v/>
      </c>
      <c r="AD129" s="19"/>
      <c r="AE129" s="15" t="str">
        <f t="shared" si="44"/>
        <v/>
      </c>
      <c r="AF129" s="47">
        <f t="shared" si="45"/>
        <v>0</v>
      </c>
      <c r="AG129" s="19">
        <v>530</v>
      </c>
      <c r="AH129" s="15" t="str">
        <f t="shared" ca="1" si="46"/>
        <v/>
      </c>
      <c r="AI129" s="47">
        <f t="shared" si="47"/>
        <v>-530</v>
      </c>
    </row>
    <row r="130" spans="3:35" x14ac:dyDescent="0.2">
      <c r="C130" s="23"/>
      <c r="H130" s="133" t="s">
        <v>342</v>
      </c>
      <c r="I130" s="25"/>
      <c r="J130" s="25"/>
      <c r="L130" s="24" t="e">
        <f ca="1">_xll.EVPRO($B$1,H130,"JDEID")</f>
        <v>#NAME?</v>
      </c>
      <c r="M130" s="24" t="str">
        <f>IF(AND(I130="N",J130="N"),_xll.EVPRO($B$1,H130,"PSFTID"),"")</f>
        <v/>
      </c>
      <c r="N130" s="23" t="e">
        <f ca="1">IF(_xll.EVDES(H130,$B$1)="#NODATA","",_xll.EVDES(H130,$B$1))</f>
        <v>#NAME?</v>
      </c>
      <c r="O130" s="145">
        <v>1248</v>
      </c>
      <c r="P130" s="145"/>
      <c r="Q130" s="145"/>
      <c r="R130" s="145"/>
      <c r="S130" s="145"/>
      <c r="T130" s="145"/>
      <c r="U130" s="145"/>
      <c r="V130" s="145"/>
      <c r="W130" s="145"/>
      <c r="X130" s="145"/>
      <c r="Y130" s="145"/>
      <c r="Z130" s="145"/>
      <c r="AA130" s="145">
        <f t="shared" si="42"/>
        <v>1248</v>
      </c>
      <c r="AB130" s="156" t="str">
        <f t="shared" ca="1" si="43"/>
        <v/>
      </c>
      <c r="AD130" s="145"/>
      <c r="AE130" s="156" t="str">
        <f t="shared" si="44"/>
        <v/>
      </c>
      <c r="AF130" s="146">
        <f t="shared" si="45"/>
        <v>1248</v>
      </c>
      <c r="AG130" s="145">
        <v>78598.42</v>
      </c>
      <c r="AH130" s="156" t="str">
        <f t="shared" ca="1" si="46"/>
        <v/>
      </c>
      <c r="AI130" s="146">
        <f t="shared" si="47"/>
        <v>-77350.42</v>
      </c>
    </row>
    <row r="131" spans="3:35" x14ac:dyDescent="0.2">
      <c r="C131" s="23"/>
      <c r="H131" s="133"/>
      <c r="I131" s="25"/>
      <c r="J131" s="25"/>
      <c r="L131" s="24"/>
      <c r="M131" s="24"/>
      <c r="N131" s="8"/>
      <c r="O131" s="38"/>
      <c r="P131" s="42"/>
      <c r="Q131" s="42"/>
      <c r="R131" s="42"/>
      <c r="S131" s="42"/>
      <c r="T131" s="42"/>
      <c r="U131" s="42"/>
      <c r="V131" s="42"/>
      <c r="W131" s="42"/>
      <c r="X131" s="42"/>
      <c r="Y131" s="42"/>
      <c r="Z131" s="42"/>
      <c r="AA131" s="42"/>
      <c r="AB131" s="39"/>
      <c r="AD131" s="38"/>
      <c r="AE131" s="42"/>
      <c r="AF131" s="39"/>
      <c r="AG131" s="38"/>
      <c r="AH131" s="42"/>
      <c r="AI131" s="39"/>
    </row>
    <row r="132" spans="3:35" x14ac:dyDescent="0.2">
      <c r="C132" s="23"/>
      <c r="H132" s="133"/>
      <c r="I132" s="25"/>
      <c r="J132" s="25"/>
      <c r="L132" s="24"/>
      <c r="M132" s="24"/>
      <c r="N132" s="8" t="s">
        <v>338</v>
      </c>
      <c r="O132" s="40"/>
      <c r="P132" s="43"/>
      <c r="Q132" s="43"/>
      <c r="R132" s="43"/>
      <c r="S132" s="43"/>
      <c r="T132" s="43"/>
      <c r="U132" s="43"/>
      <c r="V132" s="43"/>
      <c r="W132" s="43"/>
      <c r="X132" s="43"/>
      <c r="Y132" s="43"/>
      <c r="Z132" s="43"/>
      <c r="AA132" s="43"/>
      <c r="AB132" s="41"/>
      <c r="AD132" s="40"/>
      <c r="AE132" s="43"/>
      <c r="AF132" s="41"/>
      <c r="AG132" s="40"/>
      <c r="AH132" s="43"/>
      <c r="AI132" s="41"/>
    </row>
    <row r="133" spans="3:35" x14ac:dyDescent="0.2">
      <c r="C133" s="23"/>
      <c r="H133" s="133" t="s">
        <v>296</v>
      </c>
      <c r="I133" s="25"/>
      <c r="J133" s="25"/>
      <c r="L133" s="24" t="e">
        <f ca="1">_xll.EVPRO($B$1,H133,"JDEID")</f>
        <v>#NAME?</v>
      </c>
      <c r="M133" s="24" t="str">
        <f>IF(AND(I133="N",J133="N"),_xll.EVPRO($B$1,H133,"PSFTID"),"")</f>
        <v/>
      </c>
      <c r="N133" s="24" t="e">
        <f ca="1">IF(_xll.EVDES(H133,$B$1)="#NODATA","",_xll.EVDES(H133,$B$1))</f>
        <v>#NAME?</v>
      </c>
      <c r="O133" s="19">
        <v>78</v>
      </c>
      <c r="P133" s="19"/>
      <c r="Q133" s="19"/>
      <c r="R133" s="19"/>
      <c r="S133" s="19"/>
      <c r="T133" s="19"/>
      <c r="U133" s="19"/>
      <c r="V133" s="19"/>
      <c r="W133" s="19"/>
      <c r="X133" s="19"/>
      <c r="Y133" s="19"/>
      <c r="Z133" s="19"/>
      <c r="AA133" s="19">
        <f t="shared" ref="AA133:AA139" si="48">SUM(O133:Z133)</f>
        <v>78</v>
      </c>
      <c r="AB133" s="15" t="str">
        <f t="shared" ref="AB133:AB139" ca="1" si="49">IF(AA133=0,"",IFERROR(AA133/AA$19,""))</f>
        <v/>
      </c>
      <c r="AD133" s="19"/>
      <c r="AE133" s="15" t="str">
        <f t="shared" ref="AE133:AE139" si="50">IF(AD133=0,"",IFERROR(AD133/AD$19,""))</f>
        <v/>
      </c>
      <c r="AF133" s="47">
        <f t="shared" ref="AF133:AF139" si="51">IF(AND($AA133="",AD133=""),"",$AA133-AD133)</f>
        <v>78</v>
      </c>
      <c r="AG133" s="19">
        <v>18482.34</v>
      </c>
      <c r="AH133" s="15" t="str">
        <f t="shared" ref="AH133:AH139" ca="1" si="52">IF(AG133=0,"",IFERROR(AG133/AG$19,""))</f>
        <v/>
      </c>
      <c r="AI133" s="47">
        <f t="shared" ref="AI133:AI139" si="53">IF(AND($AA133="",AG133=""),"",$AA133-AG133)</f>
        <v>-18404.34</v>
      </c>
    </row>
    <row r="134" spans="3:35" x14ac:dyDescent="0.2">
      <c r="C134" s="23"/>
      <c r="H134" s="133" t="s">
        <v>303</v>
      </c>
      <c r="I134" s="25"/>
      <c r="J134" s="25"/>
      <c r="L134" s="24" t="e">
        <f ca="1">_xll.EVPRO($B$1,H134,"JDEID")</f>
        <v>#NAME?</v>
      </c>
      <c r="M134" s="24" t="str">
        <f>IF(AND(I134="N",J134="N"),_xll.EVPRO($B$1,H134,"PSFTID"),"")</f>
        <v/>
      </c>
      <c r="N134" s="24" t="e">
        <f ca="1">IF(_xll.EVDES(H134,$B$1)="#NODATA","",_xll.EVDES(H134,$B$1))</f>
        <v>#NAME?</v>
      </c>
      <c r="O134" s="19">
        <v>330</v>
      </c>
      <c r="P134" s="19"/>
      <c r="Q134" s="19"/>
      <c r="R134" s="19"/>
      <c r="S134" s="19"/>
      <c r="T134" s="19"/>
      <c r="U134" s="19"/>
      <c r="V134" s="19"/>
      <c r="W134" s="19"/>
      <c r="X134" s="19"/>
      <c r="Y134" s="19"/>
      <c r="Z134" s="19"/>
      <c r="AA134" s="19">
        <f t="shared" si="48"/>
        <v>330</v>
      </c>
      <c r="AB134" s="15" t="str">
        <f t="shared" ca="1" si="49"/>
        <v/>
      </c>
      <c r="AD134" s="19"/>
      <c r="AE134" s="15" t="str">
        <f t="shared" si="50"/>
        <v/>
      </c>
      <c r="AF134" s="47">
        <f t="shared" si="51"/>
        <v>330</v>
      </c>
      <c r="AG134" s="19">
        <v>17711.2</v>
      </c>
      <c r="AH134" s="15" t="str">
        <f t="shared" ca="1" si="52"/>
        <v/>
      </c>
      <c r="AI134" s="47">
        <f t="shared" si="53"/>
        <v>-17381.2</v>
      </c>
    </row>
    <row r="135" spans="3:35" x14ac:dyDescent="0.2">
      <c r="C135" s="23"/>
      <c r="H135" s="133" t="s">
        <v>304</v>
      </c>
      <c r="I135" s="25"/>
      <c r="J135" s="25"/>
      <c r="L135" s="24" t="e">
        <f ca="1">_xll.EVPRO($B$1,H135,"JDEID")</f>
        <v>#NAME?</v>
      </c>
      <c r="M135" s="24" t="str">
        <f>IF(AND(I135="N",J135="N"),_xll.EVPRO($B$1,H135,"PSFTID"),"")</f>
        <v/>
      </c>
      <c r="N135" s="24" t="e">
        <f ca="1">IF(_xll.EVDES(H135,$B$1)="#NODATA","",_xll.EVDES(H135,$B$1))</f>
        <v>#NAME?</v>
      </c>
      <c r="O135" s="19"/>
      <c r="P135" s="19"/>
      <c r="Q135" s="19"/>
      <c r="R135" s="19"/>
      <c r="S135" s="19"/>
      <c r="T135" s="19"/>
      <c r="U135" s="19"/>
      <c r="V135" s="19"/>
      <c r="W135" s="19"/>
      <c r="X135" s="19"/>
      <c r="Y135" s="19"/>
      <c r="Z135" s="19"/>
      <c r="AA135" s="19">
        <f t="shared" si="48"/>
        <v>0</v>
      </c>
      <c r="AB135" s="15" t="str">
        <f t="shared" si="49"/>
        <v/>
      </c>
      <c r="AD135" s="19"/>
      <c r="AE135" s="15" t="str">
        <f t="shared" si="50"/>
        <v/>
      </c>
      <c r="AF135" s="47">
        <f t="shared" si="51"/>
        <v>0</v>
      </c>
      <c r="AG135" s="19">
        <v>16683.900000000001</v>
      </c>
      <c r="AH135" s="15" t="str">
        <f t="shared" ca="1" si="52"/>
        <v/>
      </c>
      <c r="AI135" s="47">
        <f t="shared" si="53"/>
        <v>-16683.900000000001</v>
      </c>
    </row>
    <row r="136" spans="3:35" x14ac:dyDescent="0.2">
      <c r="C136" s="23"/>
      <c r="H136" s="133" t="s">
        <v>309</v>
      </c>
      <c r="I136" s="25"/>
      <c r="J136" s="25"/>
      <c r="L136" s="24" t="e">
        <f ca="1">_xll.EVPRO($B$1,H136,"JDEID")</f>
        <v>#NAME?</v>
      </c>
      <c r="M136" s="24" t="str">
        <f>IF(AND(I136="N",J136="N"),_xll.EVPRO($B$1,H136,"PSFTID"),"")</f>
        <v/>
      </c>
      <c r="N136" s="24" t="e">
        <f ca="1">IF(_xll.EVDES(H136,$B$1)="#NODATA","",_xll.EVDES(H136,$B$1))</f>
        <v>#NAME?</v>
      </c>
      <c r="O136" s="19">
        <v>1114</v>
      </c>
      <c r="P136" s="19"/>
      <c r="Q136" s="19"/>
      <c r="R136" s="19"/>
      <c r="S136" s="19"/>
      <c r="T136" s="19"/>
      <c r="U136" s="19"/>
      <c r="V136" s="19"/>
      <c r="W136" s="19"/>
      <c r="X136" s="19"/>
      <c r="Y136" s="19"/>
      <c r="Z136" s="19"/>
      <c r="AA136" s="19">
        <f t="shared" si="48"/>
        <v>1114</v>
      </c>
      <c r="AB136" s="15" t="str">
        <f t="shared" ca="1" si="49"/>
        <v/>
      </c>
      <c r="AD136" s="19"/>
      <c r="AE136" s="15" t="str">
        <f t="shared" si="50"/>
        <v/>
      </c>
      <c r="AF136" s="47">
        <f t="shared" si="51"/>
        <v>1114</v>
      </c>
      <c r="AG136" s="19">
        <v>43558.03</v>
      </c>
      <c r="AH136" s="15" t="str">
        <f t="shared" ca="1" si="52"/>
        <v/>
      </c>
      <c r="AI136" s="47">
        <f t="shared" si="53"/>
        <v>-42444.03</v>
      </c>
    </row>
    <row r="137" spans="3:35" x14ac:dyDescent="0.2">
      <c r="C137" s="23"/>
      <c r="H137" s="133" t="s">
        <v>322</v>
      </c>
      <c r="I137" s="25"/>
      <c r="J137" s="25"/>
      <c r="L137" s="24" t="e">
        <f ca="1">_xll.EVPRO($B$1,H137,"JDEID")</f>
        <v>#NAME?</v>
      </c>
      <c r="M137" s="24" t="str">
        <f>IF(AND(I137="N",J137="N"),_xll.EVPRO($B$1,H137,"PSFTID"),"")</f>
        <v/>
      </c>
      <c r="N137" s="24" t="e">
        <f ca="1">IF(_xll.EVDES(H137,$B$1)="#NODATA","",_xll.EVDES(H137,$B$1))</f>
        <v>#NAME?</v>
      </c>
      <c r="O137" s="19"/>
      <c r="P137" s="19"/>
      <c r="Q137" s="19"/>
      <c r="R137" s="19"/>
      <c r="S137" s="19"/>
      <c r="T137" s="19"/>
      <c r="U137" s="19"/>
      <c r="V137" s="19"/>
      <c r="W137" s="19"/>
      <c r="X137" s="19"/>
      <c r="Y137" s="19"/>
      <c r="Z137" s="19"/>
      <c r="AA137" s="19">
        <f t="shared" si="48"/>
        <v>0</v>
      </c>
      <c r="AB137" s="15" t="str">
        <f t="shared" si="49"/>
        <v/>
      </c>
      <c r="AD137" s="19"/>
      <c r="AE137" s="15" t="str">
        <f t="shared" si="50"/>
        <v/>
      </c>
      <c r="AF137" s="47">
        <f t="shared" si="51"/>
        <v>0</v>
      </c>
      <c r="AG137" s="19"/>
      <c r="AH137" s="15" t="str">
        <f>IF(AG137=0,"",IFERROR(AG137/AG$19,""))</f>
        <v/>
      </c>
      <c r="AI137" s="47">
        <f>IF(AND($AA137="",AG137=""),"",$AA137-AG137)</f>
        <v>0</v>
      </c>
    </row>
    <row r="138" spans="3:35" x14ac:dyDescent="0.2">
      <c r="C138" s="23"/>
      <c r="H138" s="133" t="s">
        <v>810</v>
      </c>
      <c r="I138" s="25"/>
      <c r="J138" s="25"/>
      <c r="L138" s="24" t="e">
        <f ca="1">_xll.EVPRO($B$1,H138,"JDEID")</f>
        <v>#NAME?</v>
      </c>
      <c r="M138" s="24" t="str">
        <f>IF(AND(I138="N",J138="N"),_xll.EVPRO($B$1,H138,"PSFTID"),"")</f>
        <v/>
      </c>
      <c r="N138" s="24" t="e">
        <f ca="1">IF(_xll.EVDES(H138,$B$1)="#NODATA","",_xll.EVDES(H138,$B$1))</f>
        <v>#NAME?</v>
      </c>
      <c r="O138" s="19"/>
      <c r="P138" s="19"/>
      <c r="Q138" s="19"/>
      <c r="R138" s="19"/>
      <c r="S138" s="19"/>
      <c r="T138" s="19"/>
      <c r="U138" s="19"/>
      <c r="V138" s="19"/>
      <c r="W138" s="19"/>
      <c r="X138" s="19"/>
      <c r="Y138" s="19"/>
      <c r="Z138" s="19"/>
      <c r="AA138" s="19">
        <f t="shared" si="48"/>
        <v>0</v>
      </c>
      <c r="AB138" s="15" t="str">
        <f t="shared" si="49"/>
        <v/>
      </c>
      <c r="AD138" s="19"/>
      <c r="AE138" s="15" t="str">
        <f t="shared" si="50"/>
        <v/>
      </c>
      <c r="AF138" s="47">
        <f t="shared" si="51"/>
        <v>0</v>
      </c>
      <c r="AG138" s="19">
        <v>2554</v>
      </c>
      <c r="AH138" s="15" t="str">
        <f t="shared" ca="1" si="52"/>
        <v/>
      </c>
      <c r="AI138" s="47">
        <f t="shared" si="53"/>
        <v>-2554</v>
      </c>
    </row>
    <row r="139" spans="3:35" x14ac:dyDescent="0.2">
      <c r="C139" s="23"/>
      <c r="H139" s="133" t="s">
        <v>341</v>
      </c>
      <c r="I139" s="25"/>
      <c r="J139" s="25"/>
      <c r="L139" s="24" t="e">
        <f ca="1">_xll.EVPRO($B$1,H139,"JDEID")</f>
        <v>#NAME?</v>
      </c>
      <c r="M139" s="24" t="str">
        <f>IF(AND(I139="N",J139="N"),_xll.EVPRO($B$1,H139,"PSFTID"),"")</f>
        <v/>
      </c>
      <c r="N139" s="23" t="e">
        <f ca="1">IF(_xll.EVDES(H139,$B$1)="#NODATA","",_xll.EVDES(H139,$B$1))</f>
        <v>#NAME?</v>
      </c>
      <c r="O139" s="145">
        <v>1522</v>
      </c>
      <c r="P139" s="145"/>
      <c r="Q139" s="145"/>
      <c r="R139" s="145"/>
      <c r="S139" s="145"/>
      <c r="T139" s="145"/>
      <c r="U139" s="145"/>
      <c r="V139" s="145"/>
      <c r="W139" s="145"/>
      <c r="X139" s="145"/>
      <c r="Y139" s="145"/>
      <c r="Z139" s="145"/>
      <c r="AA139" s="145">
        <f t="shared" si="48"/>
        <v>1522</v>
      </c>
      <c r="AB139" s="156" t="str">
        <f t="shared" ca="1" si="49"/>
        <v/>
      </c>
      <c r="AD139" s="145"/>
      <c r="AE139" s="156" t="str">
        <f t="shared" si="50"/>
        <v/>
      </c>
      <c r="AF139" s="146">
        <f t="shared" si="51"/>
        <v>1522</v>
      </c>
      <c r="AG139" s="145">
        <v>98989.47</v>
      </c>
      <c r="AH139" s="156" t="str">
        <f t="shared" ca="1" si="52"/>
        <v/>
      </c>
      <c r="AI139" s="146">
        <f t="shared" si="53"/>
        <v>-97467.47</v>
      </c>
    </row>
    <row r="140" spans="3:35" x14ac:dyDescent="0.2">
      <c r="C140" s="23"/>
      <c r="H140" s="133"/>
      <c r="I140" s="25"/>
      <c r="J140" s="25"/>
      <c r="L140" s="24"/>
      <c r="M140" s="24"/>
      <c r="O140" s="38"/>
      <c r="P140" s="42"/>
      <c r="Q140" s="42"/>
      <c r="R140" s="42"/>
      <c r="S140" s="42"/>
      <c r="T140" s="42"/>
      <c r="U140" s="42"/>
      <c r="V140" s="42"/>
      <c r="W140" s="42"/>
      <c r="X140" s="42"/>
      <c r="Y140" s="42"/>
      <c r="Z140" s="42"/>
      <c r="AA140" s="42"/>
      <c r="AB140" s="39"/>
      <c r="AD140" s="38"/>
      <c r="AE140" s="42"/>
      <c r="AF140" s="39"/>
      <c r="AG140" s="38"/>
      <c r="AH140" s="42"/>
      <c r="AI140" s="39"/>
    </row>
    <row r="141" spans="3:35" x14ac:dyDescent="0.2">
      <c r="C141" s="23"/>
      <c r="H141" s="10" t="s">
        <v>267</v>
      </c>
      <c r="I141" s="25"/>
      <c r="J141" s="25"/>
      <c r="L141" s="24" t="e">
        <f ca="1">_xll.EVPRO($B$1,H141,"JDEID")</f>
        <v>#NAME?</v>
      </c>
      <c r="M141" s="24" t="str">
        <f>IF(AND(I141="N",J141="N"),_xll.EVPRO($B$1,H141,"PSFTID"),"")</f>
        <v/>
      </c>
      <c r="N141" s="24" t="e">
        <f ca="1">IF(_xll.EVDES(H141,$B$1)="#NODATA","",_xll.EVDES(H141,$B$1))</f>
        <v>#NAME?</v>
      </c>
      <c r="O141" s="19">
        <f t="shared" ref="O141:Z141" si="54">O115+O124+O133</f>
        <v>316</v>
      </c>
      <c r="P141" s="19">
        <f t="shared" si="54"/>
        <v>0</v>
      </c>
      <c r="Q141" s="19">
        <f t="shared" si="54"/>
        <v>0</v>
      </c>
      <c r="R141" s="19">
        <f t="shared" si="54"/>
        <v>0</v>
      </c>
      <c r="S141" s="19">
        <f t="shared" si="54"/>
        <v>0</v>
      </c>
      <c r="T141" s="19">
        <f t="shared" si="54"/>
        <v>0</v>
      </c>
      <c r="U141" s="19">
        <f t="shared" si="54"/>
        <v>0</v>
      </c>
      <c r="V141" s="19">
        <f t="shared" si="54"/>
        <v>0</v>
      </c>
      <c r="W141" s="19">
        <f t="shared" si="54"/>
        <v>0</v>
      </c>
      <c r="X141" s="19">
        <f t="shared" si="54"/>
        <v>0</v>
      </c>
      <c r="Y141" s="19">
        <f t="shared" si="54"/>
        <v>0</v>
      </c>
      <c r="Z141" s="19">
        <f t="shared" si="54"/>
        <v>0</v>
      </c>
      <c r="AA141" s="19">
        <f t="shared" ref="AA141:AA148" si="55">SUM(O141:Z141)</f>
        <v>316</v>
      </c>
      <c r="AB141" s="15" t="str">
        <f t="shared" ref="AB141:AB148" ca="1" si="56">IF(AA141=0,"",IFERROR(AA141/AA$19,""))</f>
        <v/>
      </c>
      <c r="AD141" s="19">
        <f t="shared" ref="AD141:AD146" si="57">AD115+AD124+AD133</f>
        <v>0</v>
      </c>
      <c r="AE141" s="15" t="str">
        <f t="shared" ref="AE141:AE148" si="58">IF(AD141=0,"",IFERROR(AD141/AD$19,""))</f>
        <v/>
      </c>
      <c r="AF141" s="47">
        <f t="shared" ref="AF141:AF148" si="59">IF(AND($AA141="",AD141=""),"",$AA141-AD141)</f>
        <v>316</v>
      </c>
      <c r="AG141" s="19">
        <f t="shared" ref="AG141:AG146" si="60">AG115+AG124+AG133</f>
        <v>48629.020000000004</v>
      </c>
      <c r="AH141" s="15" t="str">
        <f t="shared" ref="AH141:AH148" ca="1" si="61">IF(AG141=0,"",IFERROR(AG141/AG$19,""))</f>
        <v/>
      </c>
      <c r="AI141" s="47">
        <f t="shared" ref="AI141:AI148" si="62">IF(AND($AA141="",AG141=""),"",$AA141-AG141)</f>
        <v>-48313.020000000004</v>
      </c>
    </row>
    <row r="142" spans="3:35" x14ac:dyDescent="0.2">
      <c r="C142" s="23"/>
      <c r="H142" s="10" t="s">
        <v>268</v>
      </c>
      <c r="I142" s="25"/>
      <c r="J142" s="25"/>
      <c r="L142" s="24" t="e">
        <f ca="1">_xll.EVPRO($B$1,H142,"JDEID")</f>
        <v>#NAME?</v>
      </c>
      <c r="M142" s="24" t="str">
        <f>IF(AND(I142="N",J142="N"),_xll.EVPRO($B$1,H142,"PSFTID"),"")</f>
        <v/>
      </c>
      <c r="N142" s="24" t="e">
        <f ca="1">IF(_xll.EVDES(H142,$B$1)="#NODATA","",_xll.EVDES(H142,$B$1))</f>
        <v>#NAME?</v>
      </c>
      <c r="O142" s="19">
        <f t="shared" ref="O142:Z142" si="63">O116+O125+O134</f>
        <v>2103</v>
      </c>
      <c r="P142" s="19">
        <f t="shared" si="63"/>
        <v>0</v>
      </c>
      <c r="Q142" s="19">
        <f t="shared" si="63"/>
        <v>0</v>
      </c>
      <c r="R142" s="19">
        <f t="shared" si="63"/>
        <v>0</v>
      </c>
      <c r="S142" s="19">
        <f t="shared" si="63"/>
        <v>0</v>
      </c>
      <c r="T142" s="19">
        <f t="shared" si="63"/>
        <v>0</v>
      </c>
      <c r="U142" s="19">
        <f t="shared" si="63"/>
        <v>0</v>
      </c>
      <c r="V142" s="19">
        <f t="shared" si="63"/>
        <v>0</v>
      </c>
      <c r="W142" s="19">
        <f t="shared" si="63"/>
        <v>0</v>
      </c>
      <c r="X142" s="19">
        <f t="shared" si="63"/>
        <v>0</v>
      </c>
      <c r="Y142" s="19">
        <f t="shared" si="63"/>
        <v>0</v>
      </c>
      <c r="Z142" s="19">
        <f t="shared" si="63"/>
        <v>0</v>
      </c>
      <c r="AA142" s="19">
        <f t="shared" si="55"/>
        <v>2103</v>
      </c>
      <c r="AB142" s="15" t="str">
        <f t="shared" ca="1" si="56"/>
        <v/>
      </c>
      <c r="AD142" s="19">
        <f t="shared" si="57"/>
        <v>0</v>
      </c>
      <c r="AE142" s="15" t="str">
        <f t="shared" si="58"/>
        <v/>
      </c>
      <c r="AF142" s="47">
        <f t="shared" si="59"/>
        <v>2103</v>
      </c>
      <c r="AG142" s="19">
        <f t="shared" si="60"/>
        <v>202876.22000000003</v>
      </c>
      <c r="AH142" s="15" t="str">
        <f t="shared" ca="1" si="61"/>
        <v/>
      </c>
      <c r="AI142" s="47">
        <f t="shared" si="62"/>
        <v>-200773.22000000003</v>
      </c>
    </row>
    <row r="143" spans="3:35" x14ac:dyDescent="0.2">
      <c r="C143" s="23"/>
      <c r="H143" s="133" t="s">
        <v>269</v>
      </c>
      <c r="I143" s="25"/>
      <c r="J143" s="25"/>
      <c r="L143" s="24" t="e">
        <f ca="1">_xll.EVPRO($B$1,H143,"JDEID")</f>
        <v>#NAME?</v>
      </c>
      <c r="M143" s="24" t="str">
        <f>IF(AND(I143="N",J143="N"),_xll.EVPRO($B$1,H143,"PSFTID"),"")</f>
        <v/>
      </c>
      <c r="N143" s="24" t="e">
        <f ca="1">IF(_xll.EVDES(H143,$B$1)="#NODATA","",_xll.EVDES(H143,$B$1))</f>
        <v>#NAME?</v>
      </c>
      <c r="O143" s="19">
        <f t="shared" ref="O143:Z143" si="64">O117+O126+O135</f>
        <v>0</v>
      </c>
      <c r="P143" s="19">
        <f t="shared" si="64"/>
        <v>0</v>
      </c>
      <c r="Q143" s="19">
        <f t="shared" si="64"/>
        <v>0</v>
      </c>
      <c r="R143" s="19">
        <f t="shared" si="64"/>
        <v>0</v>
      </c>
      <c r="S143" s="19">
        <f t="shared" si="64"/>
        <v>0</v>
      </c>
      <c r="T143" s="19">
        <f t="shared" si="64"/>
        <v>0</v>
      </c>
      <c r="U143" s="19">
        <f t="shared" si="64"/>
        <v>0</v>
      </c>
      <c r="V143" s="19">
        <f t="shared" si="64"/>
        <v>0</v>
      </c>
      <c r="W143" s="19">
        <f t="shared" si="64"/>
        <v>0</v>
      </c>
      <c r="X143" s="19">
        <f t="shared" si="64"/>
        <v>0</v>
      </c>
      <c r="Y143" s="19">
        <f t="shared" si="64"/>
        <v>0</v>
      </c>
      <c r="Z143" s="19">
        <f t="shared" si="64"/>
        <v>0</v>
      </c>
      <c r="AA143" s="19">
        <f t="shared" si="55"/>
        <v>0</v>
      </c>
      <c r="AB143" s="15" t="str">
        <f t="shared" si="56"/>
        <v/>
      </c>
      <c r="AD143" s="19">
        <f t="shared" si="57"/>
        <v>0</v>
      </c>
      <c r="AE143" s="15" t="str">
        <f t="shared" si="58"/>
        <v/>
      </c>
      <c r="AF143" s="47">
        <f t="shared" si="59"/>
        <v>0</v>
      </c>
      <c r="AG143" s="19">
        <f t="shared" si="60"/>
        <v>51568.22</v>
      </c>
      <c r="AH143" s="15" t="str">
        <f t="shared" ca="1" si="61"/>
        <v/>
      </c>
      <c r="AI143" s="47">
        <f t="shared" si="62"/>
        <v>-51568.22</v>
      </c>
    </row>
    <row r="144" spans="3:35" x14ac:dyDescent="0.2">
      <c r="C144" s="23"/>
      <c r="H144" s="133" t="s">
        <v>270</v>
      </c>
      <c r="I144" s="25"/>
      <c r="J144" s="25"/>
      <c r="L144" s="24" t="e">
        <f ca="1">_xll.EVPRO($B$1,H144,"JDEID")</f>
        <v>#NAME?</v>
      </c>
      <c r="M144" s="24" t="str">
        <f>IF(AND(I144="N",J144="N"),_xll.EVPRO($B$1,H144,"PSFTID"),"")</f>
        <v/>
      </c>
      <c r="N144" s="24" t="e">
        <f ca="1">IF(_xll.EVDES(H144,$B$1)="#NODATA","",_xll.EVDES(H144,$B$1))</f>
        <v>#NAME?</v>
      </c>
      <c r="O144" s="19">
        <f t="shared" ref="O144:Z144" si="65">O118+O127+O136</f>
        <v>5343</v>
      </c>
      <c r="P144" s="19">
        <f t="shared" si="65"/>
        <v>0</v>
      </c>
      <c r="Q144" s="19">
        <f t="shared" si="65"/>
        <v>0</v>
      </c>
      <c r="R144" s="19">
        <f t="shared" si="65"/>
        <v>0</v>
      </c>
      <c r="S144" s="19">
        <f t="shared" si="65"/>
        <v>0</v>
      </c>
      <c r="T144" s="19">
        <f t="shared" si="65"/>
        <v>0</v>
      </c>
      <c r="U144" s="19">
        <f t="shared" si="65"/>
        <v>0</v>
      </c>
      <c r="V144" s="19">
        <f t="shared" si="65"/>
        <v>0</v>
      </c>
      <c r="W144" s="19">
        <f t="shared" si="65"/>
        <v>0</v>
      </c>
      <c r="X144" s="19">
        <f t="shared" si="65"/>
        <v>0</v>
      </c>
      <c r="Y144" s="19">
        <f t="shared" si="65"/>
        <v>0</v>
      </c>
      <c r="Z144" s="19">
        <f t="shared" si="65"/>
        <v>0</v>
      </c>
      <c r="AA144" s="19">
        <f t="shared" si="55"/>
        <v>5343</v>
      </c>
      <c r="AB144" s="15" t="str">
        <f t="shared" ca="1" si="56"/>
        <v/>
      </c>
      <c r="AD144" s="19">
        <f t="shared" si="57"/>
        <v>0</v>
      </c>
      <c r="AE144" s="15" t="str">
        <f t="shared" si="58"/>
        <v/>
      </c>
      <c r="AF144" s="47">
        <f t="shared" si="59"/>
        <v>5343</v>
      </c>
      <c r="AG144" s="19">
        <f t="shared" si="60"/>
        <v>284405.74</v>
      </c>
      <c r="AH144" s="15" t="str">
        <f t="shared" ca="1" si="61"/>
        <v/>
      </c>
      <c r="AI144" s="47">
        <f t="shared" si="62"/>
        <v>-279062.74</v>
      </c>
    </row>
    <row r="145" spans="3:35" x14ac:dyDescent="0.2">
      <c r="C145" s="23"/>
      <c r="H145" s="133" t="s">
        <v>271</v>
      </c>
      <c r="I145" s="25"/>
      <c r="J145" s="25"/>
      <c r="L145" s="24" t="e">
        <f ca="1">_xll.EVPRO($B$1,H145,"JDEID")</f>
        <v>#NAME?</v>
      </c>
      <c r="M145" s="24" t="str">
        <f>IF(AND(I145="N",J145="N"),_xll.EVPRO($B$1,H145,"PSFTID"),"")</f>
        <v/>
      </c>
      <c r="N145" s="24" t="e">
        <f ca="1">IF(_xll.EVDES(H145,$B$1)="#NODATA","",_xll.EVDES(H145,$B$1))</f>
        <v>#NAME?</v>
      </c>
      <c r="O145" s="19">
        <f t="shared" ref="O145:Z145" si="66">O119+O128+O137</f>
        <v>0</v>
      </c>
      <c r="P145" s="19">
        <f t="shared" si="66"/>
        <v>0</v>
      </c>
      <c r="Q145" s="19">
        <f t="shared" si="66"/>
        <v>0</v>
      </c>
      <c r="R145" s="19">
        <f t="shared" si="66"/>
        <v>0</v>
      </c>
      <c r="S145" s="19">
        <f t="shared" si="66"/>
        <v>0</v>
      </c>
      <c r="T145" s="19">
        <f t="shared" si="66"/>
        <v>0</v>
      </c>
      <c r="U145" s="19">
        <f t="shared" si="66"/>
        <v>0</v>
      </c>
      <c r="V145" s="19">
        <f t="shared" si="66"/>
        <v>0</v>
      </c>
      <c r="W145" s="19">
        <f t="shared" si="66"/>
        <v>0</v>
      </c>
      <c r="X145" s="19">
        <f t="shared" si="66"/>
        <v>0</v>
      </c>
      <c r="Y145" s="19">
        <f t="shared" si="66"/>
        <v>0</v>
      </c>
      <c r="Z145" s="19">
        <f t="shared" si="66"/>
        <v>0</v>
      </c>
      <c r="AA145" s="19">
        <f t="shared" si="55"/>
        <v>0</v>
      </c>
      <c r="AB145" s="15" t="str">
        <f t="shared" si="56"/>
        <v/>
      </c>
      <c r="AD145" s="19">
        <f t="shared" si="57"/>
        <v>0</v>
      </c>
      <c r="AE145" s="15" t="str">
        <f t="shared" si="58"/>
        <v/>
      </c>
      <c r="AF145" s="47">
        <f t="shared" si="59"/>
        <v>0</v>
      </c>
      <c r="AG145" s="19">
        <f t="shared" si="60"/>
        <v>0</v>
      </c>
      <c r="AH145" s="15" t="str">
        <f t="shared" si="61"/>
        <v/>
      </c>
      <c r="AI145" s="47">
        <f t="shared" si="62"/>
        <v>0</v>
      </c>
    </row>
    <row r="146" spans="3:35" x14ac:dyDescent="0.2">
      <c r="C146" s="23"/>
      <c r="H146" s="133" t="s">
        <v>811</v>
      </c>
      <c r="I146" s="25"/>
      <c r="J146" s="25"/>
      <c r="L146" s="24" t="e">
        <f ca="1">_xll.EVPRO($B$1,H146,"JDEID")</f>
        <v>#NAME?</v>
      </c>
      <c r="M146" s="24" t="str">
        <f>IF(AND(I146="N",J146="N"),_xll.EVPRO($B$1,H146,"PSFTID"),"")</f>
        <v/>
      </c>
      <c r="N146" s="24" t="e">
        <f ca="1">IF(_xll.EVDES(H146,$B$1)="#NODATA","",_xll.EVDES(H146,$B$1))</f>
        <v>#NAME?</v>
      </c>
      <c r="O146" s="19">
        <f t="shared" ref="O146:Z146" si="67">O120+O129+O138</f>
        <v>0</v>
      </c>
      <c r="P146" s="19">
        <f t="shared" si="67"/>
        <v>0</v>
      </c>
      <c r="Q146" s="19">
        <f t="shared" si="67"/>
        <v>0</v>
      </c>
      <c r="R146" s="19">
        <f t="shared" si="67"/>
        <v>0</v>
      </c>
      <c r="S146" s="19">
        <f t="shared" si="67"/>
        <v>0</v>
      </c>
      <c r="T146" s="19">
        <f t="shared" si="67"/>
        <v>0</v>
      </c>
      <c r="U146" s="19">
        <f t="shared" si="67"/>
        <v>0</v>
      </c>
      <c r="V146" s="19">
        <f t="shared" si="67"/>
        <v>0</v>
      </c>
      <c r="W146" s="19">
        <f t="shared" si="67"/>
        <v>0</v>
      </c>
      <c r="X146" s="19">
        <f t="shared" si="67"/>
        <v>0</v>
      </c>
      <c r="Y146" s="19">
        <f t="shared" si="67"/>
        <v>0</v>
      </c>
      <c r="Z146" s="19">
        <f t="shared" si="67"/>
        <v>0</v>
      </c>
      <c r="AA146" s="19">
        <f t="shared" si="55"/>
        <v>0</v>
      </c>
      <c r="AB146" s="15" t="str">
        <f t="shared" si="56"/>
        <v/>
      </c>
      <c r="AD146" s="19">
        <f t="shared" si="57"/>
        <v>0</v>
      </c>
      <c r="AE146" s="15" t="str">
        <f t="shared" si="58"/>
        <v/>
      </c>
      <c r="AF146" s="47">
        <f t="shared" si="59"/>
        <v>0</v>
      </c>
      <c r="AG146" s="19">
        <f t="shared" si="60"/>
        <v>12576.96</v>
      </c>
      <c r="AH146" s="15" t="str">
        <f ca="1">IF(AG146=0,"",IFERROR(AG146/AG$19,""))</f>
        <v/>
      </c>
      <c r="AI146" s="47">
        <f>IF(AND($AA146="",AG146=""),"",$AA146-AG146)</f>
        <v>-12576.96</v>
      </c>
    </row>
    <row r="147" spans="3:35" x14ac:dyDescent="0.2">
      <c r="C147" s="23"/>
      <c r="H147" s="133" t="s">
        <v>351</v>
      </c>
      <c r="I147" s="25"/>
      <c r="J147" s="25"/>
      <c r="L147" s="24" t="e">
        <f ca="1">_xll.EVPRO($B$1,H147,"JDEID")</f>
        <v>#NAME?</v>
      </c>
      <c r="M147" s="24" t="str">
        <f>IF(AND(I147="N",J147="N"),_xll.EVPRO($B$1,H147,"PSFTID"),"")</f>
        <v/>
      </c>
      <c r="N147" s="24" t="e">
        <f ca="1">IF(_xll.EVDES(H147,$B$1)="#NODATA","",_xll.EVDES(H147,$B$1))</f>
        <v>#NAME?</v>
      </c>
      <c r="O147" s="19">
        <f t="shared" ref="O147:Z147" si="68">O96</f>
        <v>3178.56</v>
      </c>
      <c r="P147" s="19">
        <f t="shared" si="68"/>
        <v>2964.11</v>
      </c>
      <c r="Q147" s="19">
        <f t="shared" si="68"/>
        <v>3587</v>
      </c>
      <c r="R147" s="19">
        <f t="shared" si="68"/>
        <v>2374</v>
      </c>
      <c r="S147" s="19">
        <f t="shared" si="68"/>
        <v>2132</v>
      </c>
      <c r="T147" s="19">
        <f t="shared" si="68"/>
        <v>2257</v>
      </c>
      <c r="U147" s="19">
        <f t="shared" si="68"/>
        <v>1868</v>
      </c>
      <c r="V147" s="19">
        <f t="shared" si="68"/>
        <v>2547</v>
      </c>
      <c r="W147" s="19">
        <f t="shared" si="68"/>
        <v>2433</v>
      </c>
      <c r="X147" s="19">
        <f t="shared" si="68"/>
        <v>1908</v>
      </c>
      <c r="Y147" s="19">
        <f t="shared" si="68"/>
        <v>2758.63</v>
      </c>
      <c r="Z147" s="19">
        <f t="shared" si="68"/>
        <v>2850.94</v>
      </c>
      <c r="AA147" s="19">
        <f t="shared" si="55"/>
        <v>30858.239999999998</v>
      </c>
      <c r="AB147" s="15" t="str">
        <f t="shared" ca="1" si="56"/>
        <v/>
      </c>
      <c r="AD147" s="19">
        <f>AD96</f>
        <v>32989.42</v>
      </c>
      <c r="AE147" s="15" t="str">
        <f t="shared" ca="1" si="58"/>
        <v/>
      </c>
      <c r="AF147" s="47">
        <f t="shared" si="59"/>
        <v>-2131.1800000000003</v>
      </c>
      <c r="AG147" s="19">
        <f>AG96</f>
        <v>35674.29</v>
      </c>
      <c r="AH147" s="15" t="str">
        <f ca="1">IF(AG147=0,"",IFERROR(AG147/AG$19,""))</f>
        <v/>
      </c>
      <c r="AI147" s="47">
        <f t="shared" si="62"/>
        <v>-4816.0500000000029</v>
      </c>
    </row>
    <row r="148" spans="3:35" x14ac:dyDescent="0.2">
      <c r="C148" s="23"/>
      <c r="H148" s="10" t="s">
        <v>272</v>
      </c>
      <c r="I148" s="25"/>
      <c r="J148" s="25"/>
      <c r="L148" s="24" t="e">
        <f ca="1">_xll.EVPRO($B$1,H148,"JDEID")</f>
        <v>#NAME?</v>
      </c>
      <c r="M148" s="24" t="str">
        <f>IF(AND(I148="N",J148="N"),_xll.EVPRO($B$1,H148,"PSFTID"),"")</f>
        <v/>
      </c>
      <c r="N148" s="23" t="e">
        <f ca="1">IF(_xll.EVDES(H148,$B$1)="#NODATA","",_xll.EVDES(H148,$B$1))</f>
        <v>#NAME?</v>
      </c>
      <c r="O148" s="145">
        <f t="shared" ref="O148:Z148" si="69">SUM(O141:O147)</f>
        <v>10940.56</v>
      </c>
      <c r="P148" s="145">
        <f t="shared" si="69"/>
        <v>2964.11</v>
      </c>
      <c r="Q148" s="145">
        <f t="shared" si="69"/>
        <v>3587</v>
      </c>
      <c r="R148" s="145">
        <f t="shared" si="69"/>
        <v>2374</v>
      </c>
      <c r="S148" s="145">
        <f t="shared" si="69"/>
        <v>2132</v>
      </c>
      <c r="T148" s="145">
        <f t="shared" si="69"/>
        <v>2257</v>
      </c>
      <c r="U148" s="145">
        <f t="shared" si="69"/>
        <v>1868</v>
      </c>
      <c r="V148" s="145">
        <f t="shared" si="69"/>
        <v>2547</v>
      </c>
      <c r="W148" s="145">
        <f t="shared" si="69"/>
        <v>2433</v>
      </c>
      <c r="X148" s="145">
        <f t="shared" si="69"/>
        <v>1908</v>
      </c>
      <c r="Y148" s="145">
        <f t="shared" si="69"/>
        <v>2758.63</v>
      </c>
      <c r="Z148" s="145">
        <f t="shared" si="69"/>
        <v>2850.94</v>
      </c>
      <c r="AA148" s="145">
        <f t="shared" si="55"/>
        <v>38620.239999999998</v>
      </c>
      <c r="AB148" s="156" t="str">
        <f t="shared" ca="1" si="56"/>
        <v/>
      </c>
      <c r="AD148" s="145">
        <f>SUM(AD141:AD147)</f>
        <v>32989.42</v>
      </c>
      <c r="AE148" s="156" t="str">
        <f t="shared" ca="1" si="58"/>
        <v/>
      </c>
      <c r="AF148" s="146">
        <f t="shared" si="59"/>
        <v>5630.82</v>
      </c>
      <c r="AG148" s="145">
        <f>SUM(AG141:AG147)</f>
        <v>635730.45000000007</v>
      </c>
      <c r="AH148" s="156" t="str">
        <f t="shared" ca="1" si="61"/>
        <v/>
      </c>
      <c r="AI148" s="146">
        <f t="shared" si="62"/>
        <v>-597110.21000000008</v>
      </c>
    </row>
    <row r="149" spans="3:35" x14ac:dyDescent="0.2">
      <c r="C149" s="23"/>
      <c r="H149" s="133"/>
      <c r="I149" s="25"/>
      <c r="J149" s="25"/>
      <c r="O149" s="38"/>
      <c r="P149" s="42"/>
      <c r="Q149" s="42"/>
      <c r="R149" s="42"/>
      <c r="S149" s="42"/>
      <c r="T149" s="42"/>
      <c r="U149" s="42"/>
      <c r="V149" s="42"/>
      <c r="W149" s="42"/>
      <c r="X149" s="42"/>
      <c r="Y149" s="42"/>
      <c r="Z149" s="42"/>
      <c r="AA149" s="42"/>
      <c r="AB149" s="39"/>
      <c r="AD149" s="38"/>
      <c r="AE149" s="42"/>
      <c r="AF149" s="39"/>
      <c r="AG149" s="38"/>
      <c r="AH149" s="42"/>
      <c r="AI149" s="39"/>
    </row>
    <row r="150" spans="3:35" x14ac:dyDescent="0.2">
      <c r="C150" s="23"/>
      <c r="H150" s="133"/>
      <c r="I150" s="25"/>
      <c r="J150" s="25"/>
      <c r="O150" s="40"/>
      <c r="P150" s="43"/>
      <c r="Q150" s="43"/>
      <c r="R150" s="43"/>
      <c r="S150" s="43"/>
      <c r="T150" s="43"/>
      <c r="U150" s="43"/>
      <c r="V150" s="43"/>
      <c r="W150" s="43"/>
      <c r="X150" s="43"/>
      <c r="Y150" s="43"/>
      <c r="Z150" s="43"/>
      <c r="AA150" s="43"/>
      <c r="AB150" s="41"/>
      <c r="AD150" s="40"/>
      <c r="AE150" s="43"/>
      <c r="AF150" s="41"/>
      <c r="AG150" s="40"/>
      <c r="AH150" s="43"/>
      <c r="AI150" s="41"/>
    </row>
    <row r="151" spans="3:35" ht="15" customHeight="1" x14ac:dyDescent="0.2">
      <c r="C151" s="23"/>
      <c r="H151" s="133" t="s">
        <v>281</v>
      </c>
      <c r="I151" s="25"/>
      <c r="J151" s="25"/>
      <c r="N151" s="155" t="e">
        <f ca="1">IF(_xll.EVDES(H151,$B$1)="#NODATA","",_xll.EVDES(H151,$B$1))</f>
        <v>#NAME?</v>
      </c>
      <c r="O151" s="436"/>
      <c r="P151" s="438"/>
      <c r="Q151" s="438"/>
      <c r="R151" s="438"/>
      <c r="S151" s="438"/>
      <c r="T151" s="438"/>
      <c r="U151" s="438"/>
      <c r="V151" s="438"/>
      <c r="W151" s="438"/>
      <c r="X151" s="438"/>
      <c r="Y151" s="438"/>
      <c r="Z151" s="438"/>
      <c r="AA151" s="438"/>
      <c r="AB151" s="437"/>
      <c r="AD151" s="436"/>
      <c r="AE151" s="438"/>
      <c r="AF151" s="438"/>
      <c r="AG151" s="438"/>
      <c r="AH151" s="438"/>
      <c r="AI151" s="437"/>
    </row>
    <row r="152" spans="3:35" x14ac:dyDescent="0.2">
      <c r="C152" s="23"/>
      <c r="H152" s="133">
        <v>561100</v>
      </c>
      <c r="I152" s="25"/>
      <c r="J152" s="25"/>
      <c r="L152" s="24" t="e">
        <f ca="1">_xll.EVPRO($B$1,H152,"JDEID")</f>
        <v>#NAME?</v>
      </c>
      <c r="M152" s="24" t="str">
        <f>IF(AND(I152="N",J152="N"),_xll.EVPRO($B$1,H152,"PSFTID"),"")</f>
        <v/>
      </c>
      <c r="N152" s="24" t="e">
        <f ca="1">IF(_xll.EVDES(H152,$B$1)="#NODATA","",_xll.EVDES(H152,$B$1))</f>
        <v>#NAME?</v>
      </c>
      <c r="O152" s="19">
        <v>5096.7700000000004</v>
      </c>
      <c r="P152" s="19">
        <v>6281.48</v>
      </c>
      <c r="Q152" s="19">
        <v>264.04000000000002</v>
      </c>
      <c r="R152" s="19">
        <v>1295.3499999999999</v>
      </c>
      <c r="S152" s="19">
        <v>991.11</v>
      </c>
      <c r="T152" s="19">
        <v>810.22</v>
      </c>
      <c r="U152" s="19">
        <v>1072.01</v>
      </c>
      <c r="V152" s="19">
        <v>634.54999999999995</v>
      </c>
      <c r="W152" s="19">
        <v>670.58</v>
      </c>
      <c r="X152" s="19">
        <v>906.25</v>
      </c>
      <c r="Y152" s="19">
        <v>956.16</v>
      </c>
      <c r="Z152" s="19">
        <v>757.85</v>
      </c>
      <c r="AA152" s="19">
        <f>SUM(O152:Z152)</f>
        <v>19736.370000000003</v>
      </c>
      <c r="AB152" s="284" t="str">
        <f ca="1">IF(AA152=0,"",IFERROR(AA152/_xll.EVGTS($B$1,1,_xll.EVPRO($B$1,$H152,"COSBASIS"),$B$3,$B$5,$B$6,$B$7,$B$9,AA$16,AA$17,AA$11),""))</f>
        <v/>
      </c>
      <c r="AD152" s="19">
        <v>7431.0181499999999</v>
      </c>
      <c r="AE152" s="284" t="str">
        <f ca="1">IF(AD152=0,"",IFERROR(AD152/_xll.EVGTS($B$1,1,_xll.EVPRO($B$1,$H152,"COSBASIS"),$B$3,$B$5,$B$6,$B$7,$B$9,AD$16,AD$17,AD$18),""))</f>
        <v/>
      </c>
      <c r="AF152" s="47">
        <f t="shared" ref="AF152:AF157" si="70">IF(AND($AA152="",AD152=""),"",$AA152-AD152)</f>
        <v>12305.351850000003</v>
      </c>
      <c r="AG152" s="19">
        <v>290721.15999999997</v>
      </c>
      <c r="AH152" s="284" t="str">
        <f ca="1">IF(AG152=0,"",IFERROR(AG152/_xll.EVGTS($B$1,1,_xll.EVPRO($B$1,$H152,"COSBASIS"),$B$3,$B$5,$B$6,$B$7,$B$9,AG$16,AG$17,AG$18),""))</f>
        <v/>
      </c>
      <c r="AI152" s="47">
        <f t="shared" ref="AI152:AI167" si="71">IF(AND($AA152="",AG152=""),"",$AA152-AG152)</f>
        <v>-270984.78999999998</v>
      </c>
    </row>
    <row r="153" spans="3:35" x14ac:dyDescent="0.2">
      <c r="C153" s="23"/>
      <c r="H153" s="133" t="s">
        <v>756</v>
      </c>
      <c r="I153" s="25"/>
      <c r="J153" s="25"/>
      <c r="L153" s="24" t="e">
        <f ca="1">_xll.EVPRO($B$1,H153,"JDEID")</f>
        <v>#NAME?</v>
      </c>
      <c r="M153" s="24" t="str">
        <f>IF(AND(I153="N",J153="N"),_xll.EVPRO($B$1,H153,"PSFTID"),"")</f>
        <v/>
      </c>
      <c r="N153" s="439" t="e">
        <f ca="1">IF(_xll.EVDES(H153,$B$1)="#NODATA","",_xll.EVDES(H153,$B$1))</f>
        <v>#NAME?</v>
      </c>
      <c r="O153" s="153">
        <v>0.28573198509439901</v>
      </c>
      <c r="P153" s="153">
        <v>2.5205670742228401</v>
      </c>
      <c r="Q153" s="153">
        <v>8.3031446540880502E-2</v>
      </c>
      <c r="R153" s="153">
        <v>0.53218981101068197</v>
      </c>
      <c r="S153" s="153">
        <v>0.41776857936511302</v>
      </c>
      <c r="T153" s="153">
        <v>0.37047096479195202</v>
      </c>
      <c r="U153" s="153">
        <v>0.54389142567224802</v>
      </c>
      <c r="V153" s="153">
        <v>0.28308410214315</v>
      </c>
      <c r="W153" s="153">
        <v>0.31489281773144601</v>
      </c>
      <c r="X153" s="153">
        <v>0.394880174291939</v>
      </c>
      <c r="Y153" s="153">
        <v>0.52164804469273696</v>
      </c>
      <c r="Z153" s="153">
        <v>0.40147802823616702</v>
      </c>
      <c r="AA153" s="153">
        <v>0.46047611348274298</v>
      </c>
      <c r="AB153" s="284"/>
      <c r="AD153" s="153">
        <v>0.251</v>
      </c>
      <c r="AE153" s="284"/>
      <c r="AF153" s="440">
        <f t="shared" si="70"/>
        <v>0.20947611348274298</v>
      </c>
      <c r="AG153" s="153">
        <v>0.28645073525182202</v>
      </c>
      <c r="AH153" s="284"/>
      <c r="AI153" s="440">
        <f t="shared" si="71"/>
        <v>0.17402537823092096</v>
      </c>
    </row>
    <row r="154" spans="3:35" x14ac:dyDescent="0.2">
      <c r="C154" s="23"/>
      <c r="H154" s="133" t="s">
        <v>770</v>
      </c>
      <c r="I154" s="25"/>
      <c r="J154" s="25"/>
      <c r="L154" s="24" t="e">
        <f ca="1">_xll.EVPRO($B$1,H154,"JDEID")</f>
        <v>#NAME?</v>
      </c>
      <c r="M154" s="24" t="str">
        <f>IF(AND(I154="N",J154="N"),_xll.EVPRO($B$1,H154,"PSFTID"),"")</f>
        <v/>
      </c>
      <c r="N154" s="24" t="e">
        <f ca="1">IF(_xll.EVDES(H154,$B$1)="#NODATA","",_xll.EVDES(H154,$B$1))</f>
        <v>#NAME?</v>
      </c>
      <c r="O154" s="19">
        <v>4475.3599999999997</v>
      </c>
      <c r="P154" s="19">
        <v>5666.16</v>
      </c>
      <c r="Q154" s="19">
        <v>-656.01</v>
      </c>
      <c r="R154" s="19">
        <v>0</v>
      </c>
      <c r="S154" s="19">
        <v>0</v>
      </c>
      <c r="T154" s="19">
        <v>0</v>
      </c>
      <c r="U154" s="19">
        <v>0</v>
      </c>
      <c r="V154" s="19">
        <v>0</v>
      </c>
      <c r="W154" s="19">
        <v>0</v>
      </c>
      <c r="X154" s="19">
        <v>149.06</v>
      </c>
      <c r="Y154" s="19">
        <v>0</v>
      </c>
      <c r="Z154" s="19">
        <v>235.41</v>
      </c>
      <c r="AA154" s="19">
        <f>SUM(O154:Z154)</f>
        <v>9869.98</v>
      </c>
      <c r="AB154" s="284" t="str">
        <f ca="1">IF(AA154=0,"",IFERROR(AA154/_xll.EVGTS($B$1,1,_xll.EVPRO($B$1,$H154,"COSBASIS"),$B$3,$B$5,$B$6,$B$7,$B$9,AA$16,AA$17,AA$11),""))</f>
        <v/>
      </c>
      <c r="AD154" s="19">
        <v>0</v>
      </c>
      <c r="AE154" s="284" t="str">
        <f>IF(AD154=0,"",IFERROR(AD154/_xll.EVGTS($B$1,1,_xll.EVPRO($B$1,$H154,"COSBASIS"),$B$3,$B$5,$B$6,$B$7,$B$9,AD$16,AD$17,AD$18),""))</f>
        <v/>
      </c>
      <c r="AF154" s="47">
        <f t="shared" si="70"/>
        <v>9869.98</v>
      </c>
      <c r="AG154" s="19">
        <v>282331.90000000002</v>
      </c>
      <c r="AH154" s="284" t="str">
        <f ca="1">IF(AG154=0,"",IFERROR(AG154/_xll.EVGTS($B$1,1,_xll.EVPRO($B$1,$H154,"COSBASIS"),$B$3,$B$5,$B$6,$B$7,$B$9,AG$16,AG$17,AG$18),""))</f>
        <v/>
      </c>
      <c r="AI154" s="47">
        <f>IF(AND($AA154="",AG154=""),"",$AA154-AG154)</f>
        <v>-272461.92000000004</v>
      </c>
    </row>
    <row r="155" spans="3:35" x14ac:dyDescent="0.2">
      <c r="C155" s="23"/>
      <c r="H155" s="133" t="s">
        <v>771</v>
      </c>
      <c r="I155" s="25"/>
      <c r="J155" s="25"/>
      <c r="L155" s="24" t="e">
        <f ca="1">_xll.EVPRO($B$1,H155,"JDEID")</f>
        <v>#NAME?</v>
      </c>
      <c r="M155" s="24" t="str">
        <f>IF(AND(I155="N",J155="N"),_xll.EVPRO($B$1,H155,"PSFTID"),"")</f>
        <v/>
      </c>
      <c r="N155" s="439" t="e">
        <f ca="1">IF(_xll.EVDES(H155,$B$1)="#NODATA","",_xll.EVDES(H155,$B$1))</f>
        <v>#NAME?</v>
      </c>
      <c r="O155" s="153">
        <v>0.28091107039535901</v>
      </c>
      <c r="P155" s="153"/>
      <c r="Q155" s="153"/>
      <c r="R155" s="153"/>
      <c r="S155" s="153"/>
      <c r="T155" s="153"/>
      <c r="U155" s="153"/>
      <c r="V155" s="153"/>
      <c r="W155" s="153"/>
      <c r="X155" s="153"/>
      <c r="Y155" s="153">
        <v>0</v>
      </c>
      <c r="Z155" s="153">
        <v>-0.18437500000000001</v>
      </c>
      <c r="AA155" s="153">
        <v>0.71785901569474297</v>
      </c>
      <c r="AB155" s="284"/>
      <c r="AD155" s="153"/>
      <c r="AE155" s="284"/>
      <c r="AF155" s="440">
        <f t="shared" si="70"/>
        <v>0.71785901569474297</v>
      </c>
      <c r="AG155" s="153">
        <v>0.28691611368301501</v>
      </c>
      <c r="AH155" s="284"/>
      <c r="AI155" s="440">
        <f>IF(AND($AA155="",AG155=""),"",$AA155-AG155)</f>
        <v>0.43094290201172797</v>
      </c>
    </row>
    <row r="156" spans="3:35" x14ac:dyDescent="0.2">
      <c r="C156" s="23"/>
      <c r="H156" s="441">
        <v>567100</v>
      </c>
      <c r="I156" s="25"/>
      <c r="J156" s="25"/>
      <c r="L156" s="24" t="e">
        <f ca="1">_xll.EVPRO($B$1,H156,"JDEID")</f>
        <v>#NAME?</v>
      </c>
      <c r="M156" s="24" t="str">
        <f>IF(AND(I156="N",J156="N"),_xll.EVPRO($B$1,H156,"PSFTID"),"")</f>
        <v/>
      </c>
      <c r="N156" s="24" t="e">
        <f ca="1">IF(_xll.EVDES(H156,$B$1)="#NODATA","",_xll.EVDES(H156,$B$1))</f>
        <v>#NAME?</v>
      </c>
      <c r="O156" s="19">
        <v>621.41</v>
      </c>
      <c r="P156" s="19">
        <v>615.32000000000005</v>
      </c>
      <c r="Q156" s="19">
        <v>920.05</v>
      </c>
      <c r="R156" s="19">
        <v>1295.3499999999999</v>
      </c>
      <c r="S156" s="19">
        <v>991.11</v>
      </c>
      <c r="T156" s="19">
        <v>810.22</v>
      </c>
      <c r="U156" s="19">
        <v>1072.01</v>
      </c>
      <c r="V156" s="19">
        <v>634.54999999999995</v>
      </c>
      <c r="W156" s="19">
        <v>670.58</v>
      </c>
      <c r="X156" s="19">
        <v>757.19</v>
      </c>
      <c r="Y156" s="19">
        <v>956.16</v>
      </c>
      <c r="Z156" s="19">
        <v>522.44000000000005</v>
      </c>
      <c r="AA156" s="19">
        <f>SUM(O156:Z156)</f>
        <v>9866.3900000000012</v>
      </c>
      <c r="AB156" s="284" t="str">
        <f ca="1">IF(AA156=0,"",IFERROR(AA156/_xll.EVGTS($B$1,1,_xll.EVPRO($B$1,$H156,"COSBASIS"),$B$3,$B$5,$B$6,$B$7,$B$9,AA$16,AA$17,AA$11),""))</f>
        <v/>
      </c>
      <c r="AD156" s="19">
        <v>7431.0181499999999</v>
      </c>
      <c r="AE156" s="284" t="str">
        <f ca="1">IF(AD156=0,"",IFERROR(AD156/_xll.EVGTS($B$1,1,_xll.EVPRO($B$1,$H156,"COSBASIS"),$B$3,$B$5,$B$6,$B$7,$B$9,AD$16,AD$17,AD$18),""))</f>
        <v/>
      </c>
      <c r="AF156" s="47">
        <f t="shared" si="70"/>
        <v>2435.3718500000014</v>
      </c>
      <c r="AG156" s="19">
        <v>8389.26</v>
      </c>
      <c r="AH156" s="284" t="str">
        <f ca="1">IF(AG156=0,"",IFERROR(AG156/_xll.EVGTS($B$1,1,_xll.EVPRO($B$1,$H156,"COSBASIS"),$B$3,$B$5,$B$6,$B$7,$B$9,AG$16,AG$17,AG$18),""))</f>
        <v/>
      </c>
      <c r="AI156" s="47">
        <f>IF(AND($AA156="",AG156=""),"",$AA156-AG156)</f>
        <v>1477.130000000001</v>
      </c>
    </row>
    <row r="157" spans="3:35" x14ac:dyDescent="0.2">
      <c r="C157" s="23"/>
      <c r="H157" s="133" t="s">
        <v>772</v>
      </c>
      <c r="I157" s="25"/>
      <c r="J157" s="25"/>
      <c r="L157" s="24" t="e">
        <f ca="1">_xll.EVPRO($B$1,H157,"JDEID")</f>
        <v>#NAME?</v>
      </c>
      <c r="M157" s="24" t="str">
        <f>IF(AND(I157="N",J157="N"),_xll.EVPRO($B$1,H157,"PSFTID"),"")</f>
        <v/>
      </c>
      <c r="N157" s="439" t="e">
        <f ca="1">IF(_xll.EVDES(H157,$B$1)="#NODATA","",_xll.EVDES(H157,$B$1))</f>
        <v>#NAME?</v>
      </c>
      <c r="O157" s="153">
        <v>0.32602833158446998</v>
      </c>
      <c r="P157" s="153">
        <v>0.24690922077453101</v>
      </c>
      <c r="Q157" s="153">
        <v>0.289323899371069</v>
      </c>
      <c r="R157" s="153">
        <v>0.53218981101068197</v>
      </c>
      <c r="S157" s="153">
        <v>0.41776857936511302</v>
      </c>
      <c r="T157" s="153">
        <v>0.37047096479195202</v>
      </c>
      <c r="U157" s="153">
        <v>0.54389142567224802</v>
      </c>
      <c r="V157" s="153">
        <v>0.28308410214315</v>
      </c>
      <c r="W157" s="153">
        <v>0.31489281773144601</v>
      </c>
      <c r="X157" s="153">
        <v>0.32993028322440099</v>
      </c>
      <c r="Y157" s="153">
        <v>0.34914699696190699</v>
      </c>
      <c r="Z157" s="153">
        <v>0.16509662026576499</v>
      </c>
      <c r="AA157" s="153">
        <v>0.33891610217232998</v>
      </c>
      <c r="AB157" s="284"/>
      <c r="AD157" s="153">
        <v>0.251</v>
      </c>
      <c r="AE157" s="284"/>
      <c r="AF157" s="440">
        <f t="shared" si="70"/>
        <v>8.791610217232998E-2</v>
      </c>
      <c r="AG157" s="153">
        <v>0.27162366928277298</v>
      </c>
      <c r="AH157" s="284"/>
      <c r="AI157" s="440">
        <f>IF(AND($AA157="",AG157=""),"",$AA157-AG157)</f>
        <v>6.7292432889556997E-2</v>
      </c>
    </row>
    <row r="158" spans="3:35" x14ac:dyDescent="0.2">
      <c r="C158" s="23"/>
      <c r="H158" s="133"/>
      <c r="I158" s="25"/>
      <c r="J158" s="25"/>
      <c r="L158" s="24"/>
      <c r="M158" s="24"/>
      <c r="N158" s="439"/>
      <c r="O158" s="436"/>
      <c r="P158" s="438"/>
      <c r="Q158" s="438"/>
      <c r="R158" s="438"/>
      <c r="S158" s="438"/>
      <c r="T158" s="438"/>
      <c r="U158" s="438"/>
      <c r="V158" s="438"/>
      <c r="W158" s="438"/>
      <c r="X158" s="438"/>
      <c r="Y158" s="438"/>
      <c r="Z158" s="438"/>
      <c r="AA158" s="438"/>
      <c r="AB158" s="437"/>
      <c r="AD158" s="436"/>
      <c r="AE158" s="438"/>
      <c r="AF158" s="438"/>
      <c r="AG158" s="438"/>
      <c r="AH158" s="438"/>
      <c r="AI158" s="437"/>
    </row>
    <row r="159" spans="3:35" x14ac:dyDescent="0.2">
      <c r="C159" s="23"/>
      <c r="H159" s="133" t="s">
        <v>636</v>
      </c>
      <c r="I159" s="25"/>
      <c r="J159" s="25"/>
      <c r="L159" s="24" t="e">
        <f ca="1">_xll.EVPRO($B$1,H159,"JDEID")</f>
        <v>#NAME?</v>
      </c>
      <c r="M159" s="24" t="str">
        <f>IF(AND(I159="N",J159="N"),_xll.EVPRO($B$1,H159,"PSFTID"),"")</f>
        <v/>
      </c>
      <c r="N159" s="24" t="e">
        <f ca="1">IF(_xll.EVDES(H159,$B$1)="#NODATA","",_xll.EVDES(H159,$B$1))</f>
        <v>#NAME?</v>
      </c>
      <c r="O159" s="19">
        <v>2566.2199999999998</v>
      </c>
      <c r="P159" s="19">
        <v>1061.5899999999999</v>
      </c>
      <c r="Q159" s="19">
        <v>1558.46</v>
      </c>
      <c r="R159" s="19">
        <v>594.16999999999996</v>
      </c>
      <c r="S159" s="19">
        <v>613.57000000000005</v>
      </c>
      <c r="T159" s="19">
        <v>639.04</v>
      </c>
      <c r="U159" s="19">
        <v>540</v>
      </c>
      <c r="V159" s="19">
        <v>712.49</v>
      </c>
      <c r="W159" s="19">
        <v>646.96</v>
      </c>
      <c r="X159" s="19">
        <v>460.92</v>
      </c>
      <c r="Y159" s="19">
        <v>591.6</v>
      </c>
      <c r="Z159" s="19">
        <v>-1029.26</v>
      </c>
      <c r="AA159" s="19">
        <f>SUM(O159:Z159)</f>
        <v>8955.76</v>
      </c>
      <c r="AB159" s="284" t="str">
        <f ca="1">IF(AA159=0,"",IFERROR(AA159/_xll.EVGTS($B$1,1,_xll.EVPRO($B$1,$H159,"COSBASIS"),$B$3,$B$5,$B$6,$B$7,$B$9,AA$16,AA$17,AA$11),""))</f>
        <v/>
      </c>
      <c r="AD159" s="19">
        <v>9072.0905000000002</v>
      </c>
      <c r="AE159" s="284" t="str">
        <f ca="1">IF(AD159=0,"",IFERROR(AD159/_xll.EVGTS($B$1,1,_xll.EVPRO($B$1,$H159,"COSBASIS"),$B$3,$B$5,$B$6,$B$7,$B$9,AD$16,AD$17,AD$18),""))</f>
        <v/>
      </c>
      <c r="AF159" s="47">
        <f t="shared" ref="AF159:AF168" si="72">IF(AND($AA159="",AD159=""),"",$AA159-AD159)</f>
        <v>-116.33050000000003</v>
      </c>
      <c r="AG159" s="19">
        <v>139366.54999999999</v>
      </c>
      <c r="AH159" s="284" t="str">
        <f ca="1">IF(AG159=0,"",IFERROR(AG159/_xll.EVGTS($B$1,1,_xll.EVPRO($B$1,$H159,"COSBASIS"),$B$3,$B$5,$B$6,$B$7,$B$9,AG$16,AG$17,AG$18),""))</f>
        <v/>
      </c>
      <c r="AI159" s="47">
        <f t="shared" si="71"/>
        <v>-130410.79</v>
      </c>
    </row>
    <row r="160" spans="3:35" x14ac:dyDescent="0.2">
      <c r="C160" s="23"/>
      <c r="H160" s="133" t="s">
        <v>757</v>
      </c>
      <c r="I160" s="25"/>
      <c r="J160" s="25"/>
      <c r="L160" s="24" t="e">
        <f ca="1">_xll.EVPRO($B$1,H160,"JDEID")</f>
        <v>#NAME?</v>
      </c>
      <c r="M160" s="24" t="str">
        <f>IF(AND(I160="N",J160="N"),_xll.EVPRO($B$1,H160,"PSFTID"),"")</f>
        <v/>
      </c>
      <c r="N160" s="439" t="e">
        <f ca="1">IF(_xll.EVDES(H160,$B$1)="#NODATA","",_xll.EVDES(H160,$B$1))</f>
        <v>#NAME?</v>
      </c>
      <c r="O160" s="153">
        <v>0.234560205327698</v>
      </c>
      <c r="P160" s="153">
        <v>0.35814797696441802</v>
      </c>
      <c r="Q160" s="153">
        <v>0.43447449121828802</v>
      </c>
      <c r="R160" s="153">
        <v>0.25028222409435602</v>
      </c>
      <c r="S160" s="153">
        <v>0.28779080675422097</v>
      </c>
      <c r="T160" s="153">
        <v>0.283136907399202</v>
      </c>
      <c r="U160" s="153">
        <v>0.28907922912205603</v>
      </c>
      <c r="V160" s="153">
        <v>0.27973694542599098</v>
      </c>
      <c r="W160" s="153">
        <v>0.26591039868475103</v>
      </c>
      <c r="X160" s="153">
        <v>0.24157232704402501</v>
      </c>
      <c r="Y160" s="153">
        <v>0.21445427621681801</v>
      </c>
      <c r="Z160" s="153">
        <v>-0.36102478480781802</v>
      </c>
      <c r="AA160" s="153">
        <v>0.23189291418178701</v>
      </c>
      <c r="AB160" s="284"/>
      <c r="AD160" s="153">
        <v>0.27500000000000002</v>
      </c>
      <c r="AE160" s="284"/>
      <c r="AF160" s="440">
        <f t="shared" si="72"/>
        <v>-4.3107085818213015E-2</v>
      </c>
      <c r="AG160" s="153">
        <v>0.21922270673050201</v>
      </c>
      <c r="AH160" s="284"/>
      <c r="AI160" s="440">
        <f t="shared" si="71"/>
        <v>1.2670207451284998E-2</v>
      </c>
    </row>
    <row r="161" spans="3:35" x14ac:dyDescent="0.2">
      <c r="C161" s="23"/>
      <c r="H161" s="133" t="s">
        <v>755</v>
      </c>
      <c r="I161" s="25"/>
      <c r="J161" s="25"/>
      <c r="L161" s="24" t="e">
        <f ca="1">_xll.EVPRO($B$1,H161,"JDEID")</f>
        <v>#NAME?</v>
      </c>
      <c r="M161" s="24" t="str">
        <f>IF(AND(I161="N",J161="N"),_xll.EVPRO($B$1,H161,"PSFTID"),"")</f>
        <v/>
      </c>
      <c r="N161" s="24" t="e">
        <f ca="1">IF(_xll.EVDES(H161,$B$1)="#NODATA","",_xll.EVDES(H161,$B$1))</f>
        <v>#NAME?</v>
      </c>
      <c r="O161" s="19">
        <v>957.78</v>
      </c>
      <c r="P161" s="19"/>
      <c r="Q161" s="19"/>
      <c r="R161" s="19"/>
      <c r="S161" s="19"/>
      <c r="T161" s="19"/>
      <c r="U161" s="19"/>
      <c r="V161" s="19"/>
      <c r="W161" s="19"/>
      <c r="X161" s="19"/>
      <c r="Y161" s="19"/>
      <c r="Z161" s="19"/>
      <c r="AA161" s="19">
        <f>SUM(O161:Z161)</f>
        <v>957.78</v>
      </c>
      <c r="AB161" s="284" t="str">
        <f ca="1">IF(AA161=0,"",IFERROR(AA161/_xll.EVGTS($B$1,1,_xll.EVPRO($B$1,$H161,"COSBASIS"),$B$3,$B$5,$B$6,$B$7,$B$9,AA$16,AA$17,AA$11),""))</f>
        <v/>
      </c>
      <c r="AD161" s="19"/>
      <c r="AE161" s="284" t="str">
        <f>IF(AD161=0,"",IFERROR(AD161/_xll.EVGTS($B$1,1,_xll.EVPRO($B$1,$H161,"COSBASIS"),$B$3,$B$5,$B$6,$B$7,$B$9,AD$16,AD$17,AD$18),""))</f>
        <v/>
      </c>
      <c r="AF161" s="47">
        <f t="shared" si="72"/>
        <v>957.78</v>
      </c>
      <c r="AG161" s="19">
        <v>87106.78</v>
      </c>
      <c r="AH161" s="284" t="str">
        <f ca="1">IF(AG161=0,"",IFERROR(AG161/_xll.EVGTS($B$1,1,_xll.EVPRO($B$1,$H161,"COSBASIS"),$B$3,$B$5,$B$6,$B$7,$B$9,AG$16,AG$17,AG$18),""))</f>
        <v/>
      </c>
      <c r="AI161" s="47">
        <f t="shared" si="71"/>
        <v>-86149</v>
      </c>
    </row>
    <row r="162" spans="3:35" x14ac:dyDescent="0.2">
      <c r="C162" s="23"/>
      <c r="H162" s="133" t="s">
        <v>758</v>
      </c>
      <c r="I162" s="25"/>
      <c r="J162" s="25"/>
      <c r="L162" s="24" t="e">
        <f ca="1">_xll.EVPRO($B$1,H162,"JDEID")</f>
        <v>#NAME?</v>
      </c>
      <c r="M162" s="24" t="str">
        <f>IF(AND(I162="N",J162="N"),_xll.EVPRO($B$1,H162,"PSFTID"),"")</f>
        <v/>
      </c>
      <c r="N162" s="439" t="e">
        <f ca="1">IF(_xll.EVDES(H162,$B$1)="#NODATA","",_xll.EVDES(H162,$B$1))</f>
        <v>#NAME?</v>
      </c>
      <c r="O162" s="153">
        <v>0.191862980769231</v>
      </c>
      <c r="P162" s="153"/>
      <c r="Q162" s="153"/>
      <c r="R162" s="153"/>
      <c r="S162" s="153"/>
      <c r="T162" s="153"/>
      <c r="U162" s="153"/>
      <c r="V162" s="153"/>
      <c r="W162" s="153"/>
      <c r="X162" s="153"/>
      <c r="Y162" s="153"/>
      <c r="Z162" s="153"/>
      <c r="AA162" s="153">
        <v>0.191862980769231</v>
      </c>
      <c r="AB162" s="284"/>
      <c r="AD162" s="153"/>
      <c r="AE162" s="284"/>
      <c r="AF162" s="440">
        <f t="shared" si="72"/>
        <v>0.191862980769231</v>
      </c>
      <c r="AG162" s="153">
        <v>0.20618537813502499</v>
      </c>
      <c r="AH162" s="284"/>
      <c r="AI162" s="440">
        <f t="shared" si="71"/>
        <v>-1.4322397365793993E-2</v>
      </c>
    </row>
    <row r="163" spans="3:35" x14ac:dyDescent="0.2">
      <c r="C163" s="23"/>
      <c r="H163" s="133">
        <v>561400</v>
      </c>
      <c r="I163" s="25"/>
      <c r="J163" s="25"/>
      <c r="L163" s="24" t="e">
        <f ca="1">_xll.EVPRO($B$1,H163,"JDEID")</f>
        <v>#NAME?</v>
      </c>
      <c r="M163" s="24" t="str">
        <f>IF(AND(I163="N",J163="N"),_xll.EVPRO($B$1,H163,"PSFTID"),"")</f>
        <v/>
      </c>
      <c r="N163" s="24" t="e">
        <f ca="1">IF(_xll.EVDES(H163,$B$1)="#NODATA","",_xll.EVDES(H163,$B$1))</f>
        <v>#NAME?</v>
      </c>
      <c r="O163" s="19">
        <v>352.6</v>
      </c>
      <c r="P163" s="19"/>
      <c r="Q163" s="19"/>
      <c r="R163" s="19"/>
      <c r="S163" s="19"/>
      <c r="T163" s="19"/>
      <c r="U163" s="19"/>
      <c r="V163" s="19"/>
      <c r="W163" s="19"/>
      <c r="X163" s="19"/>
      <c r="Y163" s="19"/>
      <c r="Z163" s="19"/>
      <c r="AA163" s="19">
        <f>SUM(O163:Z163)</f>
        <v>352.6</v>
      </c>
      <c r="AB163" s="284" t="str">
        <f ca="1">IF(AA163=0,"",IFERROR(AA163/_xll.EVGTS($B$1,1,_xll.EVPRO($B$1,$H163,"COSBASIS"),$B$3,$B$5,$B$6,$B$7,$B$9,AA$16,AA$17,AA$11),""))</f>
        <v/>
      </c>
      <c r="AD163" s="19"/>
      <c r="AE163" s="284" t="str">
        <f>IF(AD163=0,"",IFERROR(AD163/_xll.EVGTS($B$1,1,_xll.EVPRO($B$1,$H163,"COSBASIS"),$B$3,$B$5,$B$6,$B$7,$B$9,AD$16,AD$17,AD$18),""))</f>
        <v/>
      </c>
      <c r="AF163" s="47">
        <f t="shared" si="72"/>
        <v>352.6</v>
      </c>
      <c r="AG163" s="19">
        <v>14668.18</v>
      </c>
      <c r="AH163" s="284" t="str">
        <f ca="1">IF(AG163=0,"",IFERROR(AG163/_xll.EVGTS($B$1,1,_xll.EVPRO($B$1,$H163,"COSBASIS"),$B$3,$B$5,$B$6,$B$7,$B$9,AG$16,AG$17,AG$18),""))</f>
        <v/>
      </c>
      <c r="AI163" s="47">
        <f t="shared" si="71"/>
        <v>-14315.58</v>
      </c>
    </row>
    <row r="164" spans="3:35" x14ac:dyDescent="0.2">
      <c r="C164" s="23"/>
      <c r="H164" s="133" t="s">
        <v>759</v>
      </c>
      <c r="I164" s="25"/>
      <c r="J164" s="25"/>
      <c r="L164" s="24" t="e">
        <f ca="1">_xll.EVPRO($B$1,H164,"JDEID")</f>
        <v>#NAME?</v>
      </c>
      <c r="M164" s="24" t="str">
        <f>IF(AND(I164="N",J164="N"),_xll.EVPRO($B$1,H164,"PSFTID"),"")</f>
        <v/>
      </c>
      <c r="N164" s="439" t="e">
        <f ca="1">IF(_xll.EVDES(H164,$B$1)="#NODATA","",_xll.EVDES(H164,$B$1))</f>
        <v>#NAME?</v>
      </c>
      <c r="O164" s="153">
        <v>0.282532051282051</v>
      </c>
      <c r="P164" s="153"/>
      <c r="Q164" s="153"/>
      <c r="R164" s="153"/>
      <c r="S164" s="153"/>
      <c r="T164" s="153"/>
      <c r="U164" s="153"/>
      <c r="V164" s="153"/>
      <c r="W164" s="153"/>
      <c r="X164" s="153"/>
      <c r="Y164" s="153"/>
      <c r="Z164" s="153"/>
      <c r="AA164" s="153">
        <v>0.282532051282051</v>
      </c>
      <c r="AB164" s="284"/>
      <c r="AD164" s="153"/>
      <c r="AE164" s="284"/>
      <c r="AF164" s="440">
        <f t="shared" si="72"/>
        <v>0.282532051282051</v>
      </c>
      <c r="AG164" s="153">
        <v>0.1866218175887</v>
      </c>
      <c r="AH164" s="284"/>
      <c r="AI164" s="440">
        <f t="shared" si="71"/>
        <v>9.5910233693350999E-2</v>
      </c>
    </row>
    <row r="165" spans="3:35" x14ac:dyDescent="0.2">
      <c r="C165" s="23"/>
      <c r="H165" s="133">
        <v>561500</v>
      </c>
      <c r="I165" s="25"/>
      <c r="J165" s="25"/>
      <c r="L165" s="24" t="e">
        <f ca="1">_xll.EVPRO($B$1,H165,"JDEID")</f>
        <v>#NAME?</v>
      </c>
      <c r="M165" s="24" t="str">
        <f>IF(AND(I165="N",J165="N"),_xll.EVPRO($B$1,H165,"PSFTID"),"")</f>
        <v/>
      </c>
      <c r="N165" s="24" t="e">
        <f ca="1">IF(_xll.EVDES(H165,$B$1)="#NODATA","",_xll.EVDES(H165,$B$1))</f>
        <v>#NAME?</v>
      </c>
      <c r="O165" s="19">
        <v>555.9</v>
      </c>
      <c r="P165" s="19"/>
      <c r="Q165" s="19"/>
      <c r="R165" s="19"/>
      <c r="S165" s="19"/>
      <c r="T165" s="19"/>
      <c r="U165" s="19"/>
      <c r="V165" s="19"/>
      <c r="W165" s="19"/>
      <c r="X165" s="19"/>
      <c r="Y165" s="19"/>
      <c r="Z165" s="19"/>
      <c r="AA165" s="19">
        <f>SUM(O165:Z165)</f>
        <v>555.9</v>
      </c>
      <c r="AB165" s="284" t="str">
        <f ca="1">IF(AA165=0,"",IFERROR(AA165/_xll.EVGTS($B$1,1,_xll.EVPRO($B$1,$H165,"COSBASIS"),$B$3,$B$5,$B$6,$B$7,$B$9,AA$16,AA$17,AA$11),""))</f>
        <v/>
      </c>
      <c r="AD165" s="19"/>
      <c r="AE165" s="284" t="str">
        <f>IF(AD165=0,"",IFERROR(AD165/_xll.EVGTS($B$1,1,_xll.EVPRO($B$1,$H165,"COSBASIS"),$B$3,$B$5,$B$6,$B$7,$B$9,AD$16,AD$17,AD$18),""))</f>
        <v/>
      </c>
      <c r="AF165" s="47">
        <f t="shared" si="72"/>
        <v>555.9</v>
      </c>
      <c r="AG165" s="19">
        <v>27129.86</v>
      </c>
      <c r="AH165" s="284" t="str">
        <f ca="1">IF(AG165=0,"",IFERROR(AG165/_xll.EVGTS($B$1,1,_xll.EVPRO($B$1,$H165,"COSBASIS"),$B$3,$B$5,$B$6,$B$7,$B$9,AG$16,AG$17,AG$18),""))</f>
        <v/>
      </c>
      <c r="AI165" s="47">
        <f t="shared" si="71"/>
        <v>-26573.96</v>
      </c>
    </row>
    <row r="166" spans="3:35" x14ac:dyDescent="0.2">
      <c r="C166" s="23"/>
      <c r="H166" s="133" t="s">
        <v>760</v>
      </c>
      <c r="I166" s="25"/>
      <c r="J166" s="25"/>
      <c r="L166" s="24" t="e">
        <f ca="1">_xll.EVPRO($B$1,H166,"JDEID")</f>
        <v>#NAME?</v>
      </c>
      <c r="M166" s="24" t="str">
        <f>IF(AND(I166="N",J166="N"),_xll.EVPRO($B$1,H166,"PSFTID"),"")</f>
        <v/>
      </c>
      <c r="N166" s="439" t="e">
        <f ca="1">IF(_xll.EVDES(H166,$B$1)="#NODATA","",_xll.EVDES(H166,$B$1))</f>
        <v>#NAME?</v>
      </c>
      <c r="O166" s="153">
        <v>0.36524310118265402</v>
      </c>
      <c r="P166" s="153"/>
      <c r="Q166" s="153"/>
      <c r="R166" s="153"/>
      <c r="S166" s="153"/>
      <c r="T166" s="153"/>
      <c r="U166" s="153"/>
      <c r="V166" s="153"/>
      <c r="W166" s="153"/>
      <c r="X166" s="153"/>
      <c r="Y166" s="153"/>
      <c r="Z166" s="153"/>
      <c r="AA166" s="153">
        <v>0.36524310118265402</v>
      </c>
      <c r="AB166" s="284"/>
      <c r="AD166" s="153"/>
      <c r="AE166" s="284"/>
      <c r="AF166" s="440">
        <f t="shared" si="72"/>
        <v>0.36524310118265402</v>
      </c>
      <c r="AG166" s="153">
        <v>0.27406814078305503</v>
      </c>
      <c r="AH166" s="284"/>
      <c r="AI166" s="440">
        <f t="shared" si="71"/>
        <v>9.1174960399598992E-2</v>
      </c>
    </row>
    <row r="167" spans="3:35" x14ac:dyDescent="0.2">
      <c r="C167" s="23"/>
      <c r="H167" s="133">
        <v>567200</v>
      </c>
      <c r="I167" s="25"/>
      <c r="J167" s="25"/>
      <c r="L167" s="24" t="e">
        <f ca="1">_xll.EVPRO($B$1,H167,"JDEID")</f>
        <v>#NAME?</v>
      </c>
      <c r="M167" s="24" t="str">
        <f>IF(AND(I167="N",J167="N"),_xll.EVPRO($B$1,H167,"PSFTID"),"")</f>
        <v/>
      </c>
      <c r="N167" s="24" t="e">
        <f ca="1">IF(_xll.EVDES(H167,$B$1)="#NODATA","",_xll.EVDES(H167,$B$1))</f>
        <v>#NAME?</v>
      </c>
      <c r="O167" s="19">
        <v>699.94</v>
      </c>
      <c r="P167" s="19">
        <v>1061.5899999999999</v>
      </c>
      <c r="Q167" s="19">
        <v>1558.46</v>
      </c>
      <c r="R167" s="19">
        <v>594.16999999999996</v>
      </c>
      <c r="S167" s="19">
        <v>613.57000000000005</v>
      </c>
      <c r="T167" s="19">
        <v>639.04</v>
      </c>
      <c r="U167" s="19">
        <v>540</v>
      </c>
      <c r="V167" s="19">
        <v>712.49</v>
      </c>
      <c r="W167" s="19">
        <v>646.96</v>
      </c>
      <c r="X167" s="19">
        <v>460.92</v>
      </c>
      <c r="Y167" s="19">
        <v>591.6</v>
      </c>
      <c r="Z167" s="19">
        <v>-1029.26</v>
      </c>
      <c r="AA167" s="19">
        <f>SUM(O167:Z167)</f>
        <v>7089.48</v>
      </c>
      <c r="AB167" s="284" t="str">
        <f ca="1">IF(AA167=0,"",IFERROR(AA167/_xll.EVGTS($B$1,1,_xll.EVPRO($B$1,$H167,"COSBASIS"),$B$3,$B$5,$B$6,$B$7,$B$9,AA$16,AA$17,AA$11),""))</f>
        <v/>
      </c>
      <c r="AD167" s="19">
        <v>9072.0905000000002</v>
      </c>
      <c r="AE167" s="284" t="str">
        <f ca="1">IF(AD167=0,"",IFERROR(AD167/_xll.EVGTS($B$1,1,_xll.EVPRO($B$1,$H167,"COSBASIS"),$B$3,$B$5,$B$6,$B$7,$B$9,AD$16,AD$17,AD$18),""))</f>
        <v/>
      </c>
      <c r="AF167" s="47">
        <f t="shared" si="72"/>
        <v>-1982.6105000000007</v>
      </c>
      <c r="AG167" s="19">
        <v>10461.73</v>
      </c>
      <c r="AH167" s="284" t="str">
        <f ca="1">IF(AG167=0,"",IFERROR(AG167/_xll.EVGTS($B$1,1,_xll.EVPRO($B$1,$H167,"COSBASIS"),$B$3,$B$5,$B$6,$B$7,$B$9,AG$16,AG$17,AG$18),""))</f>
        <v/>
      </c>
      <c r="AI167" s="47">
        <f t="shared" si="71"/>
        <v>-3372.25</v>
      </c>
    </row>
    <row r="168" spans="3:35" x14ac:dyDescent="0.2">
      <c r="C168" s="23"/>
      <c r="H168" s="133"/>
      <c r="I168" s="25"/>
      <c r="J168" s="25"/>
      <c r="L168" s="24"/>
      <c r="M168" s="24"/>
      <c r="N168" s="439" t="s">
        <v>761</v>
      </c>
      <c r="O168" s="153">
        <f t="shared" ref="O168:AA168" si="73">IFERROR(O167/O96,"")</f>
        <v>0.22020663445082053</v>
      </c>
      <c r="P168" s="153">
        <f t="shared" si="73"/>
        <v>0.35814797696441758</v>
      </c>
      <c r="Q168" s="153">
        <f t="shared" si="73"/>
        <v>0.43447449121828829</v>
      </c>
      <c r="R168" s="153">
        <f t="shared" si="73"/>
        <v>0.25028222409435552</v>
      </c>
      <c r="S168" s="153">
        <f t="shared" si="73"/>
        <v>0.28779080675422142</v>
      </c>
      <c r="T168" s="153">
        <f t="shared" si="73"/>
        <v>0.28313690739920244</v>
      </c>
      <c r="U168" s="153">
        <f t="shared" si="73"/>
        <v>0.28907922912205569</v>
      </c>
      <c r="V168" s="153">
        <f t="shared" si="73"/>
        <v>0.27973694542599137</v>
      </c>
      <c r="W168" s="153">
        <f t="shared" si="73"/>
        <v>0.26591039868475136</v>
      </c>
      <c r="X168" s="153">
        <f t="shared" si="73"/>
        <v>0.24157232704402518</v>
      </c>
      <c r="Y168" s="153">
        <f t="shared" si="73"/>
        <v>0.21445427621681776</v>
      </c>
      <c r="Z168" s="153">
        <f t="shared" si="73"/>
        <v>-0.36102478480781774</v>
      </c>
      <c r="AA168" s="153">
        <f t="shared" si="73"/>
        <v>0.22974349800895968</v>
      </c>
      <c r="AB168" s="284"/>
      <c r="AD168" s="153">
        <f>IFERROR(AD167/AD96,"")</f>
        <v>0.27500000000000002</v>
      </c>
      <c r="AE168" s="284"/>
      <c r="AF168" s="440">
        <f t="shared" si="72"/>
        <v>-4.5256501991040338E-2</v>
      </c>
      <c r="AG168" s="153">
        <f>IFERROR(AG167/AG96,"")</f>
        <v>0.29325685248395972</v>
      </c>
      <c r="AH168" s="284"/>
      <c r="AI168" s="440">
        <f>IF(AND($AA168="",AG168=""),"",$AA168-AG168)</f>
        <v>-6.3513354475000033E-2</v>
      </c>
    </row>
    <row r="169" spans="3:35" x14ac:dyDescent="0.2">
      <c r="C169" s="23"/>
      <c r="H169" s="133"/>
      <c r="I169" s="25"/>
      <c r="J169" s="25"/>
      <c r="L169" s="24"/>
      <c r="M169" s="24"/>
      <c r="N169" s="439"/>
      <c r="O169" s="436"/>
      <c r="P169" s="438"/>
      <c r="Q169" s="438"/>
      <c r="R169" s="438"/>
      <c r="S169" s="438"/>
      <c r="T169" s="438"/>
      <c r="U169" s="438"/>
      <c r="V169" s="438"/>
      <c r="W169" s="438"/>
      <c r="X169" s="438"/>
      <c r="Y169" s="438"/>
      <c r="Z169" s="438"/>
      <c r="AA169" s="438"/>
      <c r="AB169" s="437"/>
      <c r="AD169" s="436"/>
      <c r="AE169" s="438"/>
      <c r="AF169" s="438"/>
      <c r="AG169" s="438"/>
      <c r="AH169" s="438"/>
      <c r="AI169" s="437"/>
    </row>
    <row r="170" spans="3:35" x14ac:dyDescent="0.2">
      <c r="C170" s="23"/>
      <c r="H170" s="133" t="s">
        <v>286</v>
      </c>
      <c r="I170" s="25"/>
      <c r="J170" s="25"/>
      <c r="L170" s="24" t="e">
        <f ca="1">_xll.EVPRO($B$1,H170,"JDEID")</f>
        <v>#NAME?</v>
      </c>
      <c r="M170" s="24" t="str">
        <f>IF(AND(I170="N",J170="N"),_xll.EVPRO($B$1,H170,"PSFTID"),"")</f>
        <v/>
      </c>
      <c r="N170" s="24" t="e">
        <f ca="1">IF(_xll.EVDES(H170,$B$1)="#NODATA","",_xll.EVDES(H170,$B$1))</f>
        <v>#NAME?</v>
      </c>
      <c r="O170" s="19">
        <v>7662.99</v>
      </c>
      <c r="P170" s="19">
        <v>7343.07</v>
      </c>
      <c r="Q170" s="19">
        <v>1822.5</v>
      </c>
      <c r="R170" s="19">
        <v>1889.52</v>
      </c>
      <c r="S170" s="19">
        <v>1604.68</v>
      </c>
      <c r="T170" s="19">
        <v>1449.26</v>
      </c>
      <c r="U170" s="19">
        <v>1612.01</v>
      </c>
      <c r="V170" s="19">
        <v>1347.04</v>
      </c>
      <c r="W170" s="19">
        <v>1317.54</v>
      </c>
      <c r="X170" s="19">
        <v>1367.17</v>
      </c>
      <c r="Y170" s="19">
        <v>1547.76</v>
      </c>
      <c r="Z170" s="19">
        <v>-271.41000000000003</v>
      </c>
      <c r="AA170" s="19">
        <f>SUM(O170:Z170)</f>
        <v>28692.129999999997</v>
      </c>
      <c r="AB170" s="284" t="str">
        <f ca="1">IF(AA170=0,"",IFERROR(AA170/_xll.EVGTS($B$1,1,_xll.EVPRO($B$1,$H170,"COSBASIS"),$B$3,$B$5,$B$6,$B$7,$B$9,AA$16,AA$17,AA$11),""))</f>
        <v/>
      </c>
      <c r="AD170" s="19">
        <v>16503.108649999998</v>
      </c>
      <c r="AE170" s="284" t="str">
        <f ca="1">IF(AD170=0,"",IFERROR(AD170/_xll.EVGTS($B$1,1,_xll.EVPRO($B$1,$H170,"COSBASIS"),$B$3,$B$5,$B$6,$B$7,$B$9,AD$16,AD$17,AD$18),""))</f>
        <v/>
      </c>
      <c r="AF170" s="47">
        <f>IF(AND($AA170="",AD170=""),"",$AA170-AD170)</f>
        <v>12189.021349999999</v>
      </c>
      <c r="AG170" s="19">
        <v>430087.71</v>
      </c>
      <c r="AH170" s="284" t="str">
        <f ca="1">IF(AG170=0,"",IFERROR(AG170/_xll.EVGTS($B$1,1,_xll.EVPRO($B$1,$H170,"COSBASIS"),$B$3,$B$5,$B$6,$B$7,$B$9,AG$16,AG$17,AG$18),""))</f>
        <v/>
      </c>
      <c r="AI170" s="47">
        <f>IF(AND($AA170="",AG170=""),"",$AA170-AG170)</f>
        <v>-401395.58</v>
      </c>
    </row>
    <row r="171" spans="3:35" x14ac:dyDescent="0.2">
      <c r="C171" s="23"/>
      <c r="H171" s="133"/>
      <c r="I171" s="25"/>
      <c r="J171" s="25"/>
      <c r="L171" s="24"/>
      <c r="M171" s="24"/>
      <c r="N171" s="439" t="s">
        <v>762</v>
      </c>
      <c r="O171" s="153">
        <f t="shared" ref="O171:AA171" si="74">IFERROR(O170/O102,"")</f>
        <v>0.26627806165441487</v>
      </c>
      <c r="P171" s="153">
        <f t="shared" si="74"/>
        <v>1.3458212675488435</v>
      </c>
      <c r="Q171" s="153">
        <f t="shared" si="74"/>
        <v>0.27105127739885959</v>
      </c>
      <c r="R171" s="153">
        <f t="shared" si="74"/>
        <v>0.39299500831946754</v>
      </c>
      <c r="S171" s="153">
        <f t="shared" si="74"/>
        <v>0.35624801582456223</v>
      </c>
      <c r="T171" s="153">
        <f t="shared" si="74"/>
        <v>0.32611611161116111</v>
      </c>
      <c r="U171" s="153">
        <f t="shared" si="74"/>
        <v>0.41990362073456627</v>
      </c>
      <c r="V171" s="153">
        <f t="shared" si="74"/>
        <v>0.28130377399468731</v>
      </c>
      <c r="W171" s="153">
        <f t="shared" si="74"/>
        <v>0.28877272577834762</v>
      </c>
      <c r="X171" s="153">
        <f t="shared" si="74"/>
        <v>0.32528432072329289</v>
      </c>
      <c r="Y171" s="153">
        <f t="shared" si="74"/>
        <v>0.33708584607946268</v>
      </c>
      <c r="Z171" s="153">
        <f t="shared" si="74"/>
        <v>-5.7276531626496492E-2</v>
      </c>
      <c r="AA171" s="153">
        <f t="shared" si="74"/>
        <v>0.35231934536582193</v>
      </c>
      <c r="AB171" s="284"/>
      <c r="AD171" s="153">
        <f>IFERROR(AD170/AD102,"")</f>
        <v>0.26364869709387656</v>
      </c>
      <c r="AE171" s="284"/>
      <c r="AF171" s="440">
        <f>IF(AND($AA171="",AD171=""),"",$AA171-AD171)</f>
        <v>8.8670648271945374E-2</v>
      </c>
      <c r="AG171" s="153">
        <f>IFERROR(AG170/AG102,"")</f>
        <v>0.2608927962929235</v>
      </c>
      <c r="AH171" s="284"/>
      <c r="AI171" s="440">
        <f>IF(AND($AA171="",AG171=""),"",$AA171-AG171)</f>
        <v>9.1426549072898433E-2</v>
      </c>
    </row>
    <row r="173" spans="3:35" x14ac:dyDescent="0.2">
      <c r="C173" s="23"/>
      <c r="H173" s="133"/>
      <c r="I173" s="25"/>
      <c r="J173" s="25"/>
      <c r="N173" s="24" t="e">
        <f ca="1">N102&amp;" - Check"</f>
        <v>#NAME?</v>
      </c>
      <c r="O173" s="124">
        <f>O39+O48+O57+O66+O75+O84+O90+O97+O99-O102</f>
        <v>0</v>
      </c>
      <c r="P173" s="124">
        <f t="shared" ref="P173:Z173" si="75">P39+P48+P57+P66+P75+P84+P90+P97+P99-P102</f>
        <v>0</v>
      </c>
      <c r="Q173" s="124">
        <f t="shared" si="75"/>
        <v>0</v>
      </c>
      <c r="R173" s="124">
        <f t="shared" si="75"/>
        <v>0</v>
      </c>
      <c r="S173" s="124">
        <f t="shared" si="75"/>
        <v>0</v>
      </c>
      <c r="T173" s="124">
        <f t="shared" si="75"/>
        <v>0</v>
      </c>
      <c r="U173" s="124">
        <f t="shared" si="75"/>
        <v>0</v>
      </c>
      <c r="V173" s="124">
        <f t="shared" si="75"/>
        <v>0</v>
      </c>
      <c r="W173" s="124">
        <f t="shared" si="75"/>
        <v>0</v>
      </c>
      <c r="X173" s="124">
        <f t="shared" si="75"/>
        <v>0</v>
      </c>
      <c r="Y173" s="124">
        <f t="shared" si="75"/>
        <v>0</v>
      </c>
      <c r="Z173" s="124">
        <f t="shared" si="75"/>
        <v>0</v>
      </c>
      <c r="AA173" s="124">
        <f t="shared" ref="AA173" si="76">AA39+AA48+AA57+AA66+AA75+AA84+AA90+AA97+AA99-AA102</f>
        <v>0</v>
      </c>
      <c r="AB173" s="15"/>
      <c r="AD173" s="124">
        <f>AD39+AD48+AD57+AD66+AD75+AD97+AD99-AD102</f>
        <v>0</v>
      </c>
      <c r="AE173" s="15"/>
      <c r="AF173" s="19"/>
      <c r="AG173" s="124">
        <f>AG39+AG48+AG57+AG66+AG75+AG97+AG99-AG102</f>
        <v>-50836.360000000102</v>
      </c>
      <c r="AH173" s="15"/>
      <c r="AI173" s="19"/>
    </row>
    <row r="174" spans="3:35" x14ac:dyDescent="0.2">
      <c r="C174" s="23"/>
      <c r="H174" s="133"/>
      <c r="I174" s="25"/>
      <c r="J174" s="25"/>
      <c r="N174" s="24" t="e">
        <f ca="1">N104&amp;" - Check"</f>
        <v>#NAME?</v>
      </c>
      <c r="O174" s="124">
        <f>O40+O49+O58+O67+O76+O85+O91-O104</f>
        <v>0</v>
      </c>
      <c r="P174" s="124">
        <f t="shared" ref="P174:Z174" si="77">P40+P49+P58+P67+P76+P85+P91-P104</f>
        <v>0</v>
      </c>
      <c r="Q174" s="124">
        <f t="shared" si="77"/>
        <v>0</v>
      </c>
      <c r="R174" s="124">
        <f t="shared" si="77"/>
        <v>0</v>
      </c>
      <c r="S174" s="124">
        <f t="shared" si="77"/>
        <v>0</v>
      </c>
      <c r="T174" s="124">
        <f t="shared" si="77"/>
        <v>0</v>
      </c>
      <c r="U174" s="124">
        <f t="shared" si="77"/>
        <v>0</v>
      </c>
      <c r="V174" s="124">
        <f t="shared" si="77"/>
        <v>0</v>
      </c>
      <c r="W174" s="124">
        <f t="shared" si="77"/>
        <v>0</v>
      </c>
      <c r="X174" s="124">
        <f t="shared" si="77"/>
        <v>0</v>
      </c>
      <c r="Y174" s="124">
        <f t="shared" si="77"/>
        <v>0</v>
      </c>
      <c r="Z174" s="124">
        <f t="shared" si="77"/>
        <v>0</v>
      </c>
      <c r="AA174" s="124">
        <f t="shared" ref="AA174" si="78">AA40+AA49+AA58+AA67+AA76+AA85+AA91-AA104</f>
        <v>0</v>
      </c>
      <c r="AB174" s="15"/>
      <c r="AD174" s="124">
        <f>AD40+AD49+AD58+AD67+AD76-AD104</f>
        <v>0</v>
      </c>
      <c r="AE174" s="15"/>
      <c r="AF174" s="19"/>
      <c r="AG174" s="124">
        <f>AG40+AG49+AG58+AG67+AG76-AG104</f>
        <v>-579</v>
      </c>
      <c r="AH174" s="15"/>
      <c r="AI174" s="19"/>
    </row>
    <row r="175" spans="3:35" x14ac:dyDescent="0.2">
      <c r="H175" s="133"/>
      <c r="I175" s="25"/>
      <c r="J175" s="25"/>
      <c r="N175" s="24" t="s">
        <v>768</v>
      </c>
      <c r="O175" s="124">
        <f>(O152+O159)-O170</f>
        <v>0</v>
      </c>
      <c r="P175" s="124">
        <f t="shared" ref="P175:Z175" si="79">(P152+P159)-P170</f>
        <v>0</v>
      </c>
      <c r="Q175" s="124">
        <f t="shared" si="79"/>
        <v>0</v>
      </c>
      <c r="R175" s="124">
        <f t="shared" si="79"/>
        <v>0</v>
      </c>
      <c r="S175" s="124">
        <f t="shared" si="79"/>
        <v>0</v>
      </c>
      <c r="T175" s="124">
        <f t="shared" si="79"/>
        <v>0</v>
      </c>
      <c r="U175" s="124">
        <f t="shared" si="79"/>
        <v>0</v>
      </c>
      <c r="V175" s="124">
        <f t="shared" si="79"/>
        <v>0</v>
      </c>
      <c r="W175" s="124">
        <f t="shared" si="79"/>
        <v>0</v>
      </c>
      <c r="X175" s="124">
        <f t="shared" si="79"/>
        <v>0</v>
      </c>
      <c r="Y175" s="124">
        <f t="shared" si="79"/>
        <v>0</v>
      </c>
      <c r="Z175" s="124">
        <f t="shared" si="79"/>
        <v>0</v>
      </c>
      <c r="AA175" s="124">
        <f t="shared" ref="AA175" si="80">(AA152+AA159)-AA170</f>
        <v>0</v>
      </c>
      <c r="AB175" s="15"/>
      <c r="AD175" s="124">
        <f>(AD152+AD159)-AD170</f>
        <v>0</v>
      </c>
      <c r="AE175" s="15"/>
      <c r="AF175" s="19"/>
      <c r="AG175" s="124">
        <f>(AG152+AG159)-AG170</f>
        <v>0</v>
      </c>
      <c r="AH175" s="15"/>
      <c r="AI175" s="19"/>
    </row>
    <row r="185" spans="9:34" x14ac:dyDescent="0.2">
      <c r="I185" s="72"/>
      <c r="J185" s="1"/>
      <c r="K185" s="72"/>
      <c r="L185" s="72"/>
      <c r="M185" s="72"/>
      <c r="O185" s="72"/>
      <c r="P185" s="72"/>
      <c r="Q185" s="72"/>
      <c r="R185" s="72"/>
      <c r="S185" s="72"/>
      <c r="T185" s="72"/>
      <c r="U185" s="72"/>
      <c r="V185" s="72"/>
      <c r="W185" s="72"/>
      <c r="X185" s="72"/>
      <c r="Y185" s="72"/>
      <c r="Z185" s="72"/>
      <c r="AA185" s="72"/>
      <c r="AD185" s="72"/>
      <c r="AF185" s="72"/>
      <c r="AH185" s="72"/>
    </row>
    <row r="189" spans="9:34" x14ac:dyDescent="0.2">
      <c r="I189" s="72"/>
      <c r="J189" s="1"/>
      <c r="K189" s="72"/>
      <c r="L189" s="72"/>
      <c r="M189" s="72"/>
      <c r="O189" s="72"/>
      <c r="P189" s="72"/>
      <c r="Q189" s="72"/>
      <c r="R189" s="72"/>
      <c r="S189" s="72"/>
      <c r="T189" s="72"/>
      <c r="U189" s="72"/>
      <c r="V189" s="72"/>
      <c r="W189" s="72"/>
      <c r="X189" s="72"/>
      <c r="Y189" s="72"/>
      <c r="Z189" s="72"/>
      <c r="AA189" s="72"/>
      <c r="AD189" s="72"/>
      <c r="AF189" s="72"/>
      <c r="AH189" s="72"/>
    </row>
    <row r="226" spans="5:5" x14ac:dyDescent="0.2">
      <c r="E226" s="72"/>
    </row>
    <row r="230" spans="5:5" x14ac:dyDescent="0.2">
      <c r="E230" s="72"/>
    </row>
  </sheetData>
  <mergeCells count="2">
    <mergeCell ref="AD31:AE31"/>
    <mergeCell ref="AG31:AH31"/>
  </mergeCells>
  <conditionalFormatting sqref="N42">
    <cfRule type="expression" dxfId="176" priority="17">
      <formula>$G42&lt;&gt;0</formula>
    </cfRule>
  </conditionalFormatting>
  <conditionalFormatting sqref="N51">
    <cfRule type="expression" dxfId="175" priority="21">
      <formula>$G51&lt;&gt;0</formula>
    </cfRule>
  </conditionalFormatting>
  <conditionalFormatting sqref="N60">
    <cfRule type="expression" dxfId="174" priority="25">
      <formula>$G60&lt;&gt;0</formula>
    </cfRule>
  </conditionalFormatting>
  <conditionalFormatting sqref="N69">
    <cfRule type="expression" dxfId="173" priority="28">
      <formula>$G69&lt;&gt;0</formula>
    </cfRule>
  </conditionalFormatting>
  <conditionalFormatting sqref="N78">
    <cfRule type="expression" dxfId="172" priority="5">
      <formula>$G78&lt;&gt;0</formula>
    </cfRule>
  </conditionalFormatting>
  <conditionalFormatting sqref="N87">
    <cfRule type="expression" dxfId="171" priority="2">
      <formula>$G87&lt;&gt;0</formula>
    </cfRule>
  </conditionalFormatting>
  <conditionalFormatting sqref="N93">
    <cfRule type="expression" dxfId="170" priority="30">
      <formula>$G93&lt;&gt;0</formula>
    </cfRule>
  </conditionalFormatting>
  <conditionalFormatting sqref="O42:AA42 AD42 AF42:AG42">
    <cfRule type="expression" dxfId="169" priority="19">
      <formula>ROUND(O41,2)&lt;&gt;ROUND(O42,2)</formula>
    </cfRule>
  </conditionalFormatting>
  <conditionalFormatting sqref="O51:AA51 AD51 AF51:AG51">
    <cfRule type="expression" dxfId="168" priority="24">
      <formula>ROUND(O50,2)&lt;&gt;ROUND(O51,2)</formula>
    </cfRule>
  </conditionalFormatting>
  <conditionalFormatting sqref="O60:AA60 AD60 AF60:AG60">
    <cfRule type="expression" dxfId="167" priority="26">
      <formula>ROUND(O59,2)&lt;&gt;ROUND(O60,2)</formula>
    </cfRule>
  </conditionalFormatting>
  <conditionalFormatting sqref="O69:AA69 AD69 AF69:AG69">
    <cfRule type="expression" dxfId="166" priority="29">
      <formula>ROUND(O68,2)&lt;&gt;ROUND(O69,2)</formula>
    </cfRule>
  </conditionalFormatting>
  <conditionalFormatting sqref="O78:AA78 AD78 AF78:AG78">
    <cfRule type="expression" dxfId="165" priority="6">
      <formula>ROUND(O77,2)&lt;&gt;ROUND(O78,2)</formula>
    </cfRule>
  </conditionalFormatting>
  <conditionalFormatting sqref="O87:AA87 AD87 AF87:AG87">
    <cfRule type="expression" dxfId="164" priority="3">
      <formula>ROUND(O86,2)&lt;&gt;ROUND(O87,2)</formula>
    </cfRule>
  </conditionalFormatting>
  <conditionalFormatting sqref="O93:AA93 AD93 AF93:AG93">
    <cfRule type="expression" dxfId="163" priority="31">
      <formula>ROUND(O77,2)&lt;&gt;ROUND(O93,2)</formula>
    </cfRule>
  </conditionalFormatting>
  <conditionalFormatting sqref="AI42">
    <cfRule type="expression" dxfId="162" priority="15">
      <formula>ROUND(AI41,2)&lt;&gt;ROUND(AI42,2)</formula>
    </cfRule>
  </conditionalFormatting>
  <conditionalFormatting sqref="AI51">
    <cfRule type="expression" dxfId="161" priority="14">
      <formula>ROUND(AI50,2)&lt;&gt;ROUND(AI51,2)</formula>
    </cfRule>
  </conditionalFormatting>
  <conditionalFormatting sqref="AI60">
    <cfRule type="expression" dxfId="160" priority="13">
      <formula>ROUND(AI59,2)&lt;&gt;ROUND(AI60,2)</formula>
    </cfRule>
  </conditionalFormatting>
  <conditionalFormatting sqref="AI69">
    <cfRule type="expression" dxfId="159" priority="12">
      <formula>ROUND(AI68,2)&lt;&gt;ROUND(AI69,2)</formula>
    </cfRule>
  </conditionalFormatting>
  <conditionalFormatting sqref="AI78">
    <cfRule type="expression" dxfId="158" priority="4">
      <formula>ROUND(AI77,2)&lt;&gt;ROUND(AI78,2)</formula>
    </cfRule>
  </conditionalFormatting>
  <conditionalFormatting sqref="AI87">
    <cfRule type="expression" dxfId="157" priority="1">
      <formula>ROUND(AI86,2)&lt;&gt;ROUND(AI87,2)</formula>
    </cfRule>
  </conditionalFormatting>
  <conditionalFormatting sqref="AI93">
    <cfRule type="expression" dxfId="156" priority="11">
      <formula>ROUND(AI77,2)&lt;&gt;ROUND(AI93,2)</formula>
    </cfRule>
  </conditionalFormatting>
  <dataValidations disablePrompts="1" count="2">
    <dataValidation type="list" allowBlank="1" sqref="B28" xr:uid="{00000000-0002-0000-0C00-000000000000}">
      <formula1>"ACCOUNT,BUSINESSUNIT,CATEGORY,DATASRC,DEPARTMENT,INTCO,MEASURES,RPTCURRENCY,TIME"</formula1>
    </dataValidation>
    <dataValidation type="list" allowBlank="1" sqref="B29" xr:uid="{00000000-0002-0000-0C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6" tint="0.39997558519241921"/>
    <pageSetUpPr fitToPage="1"/>
  </sheetPr>
  <dimension ref="A1:AO199"/>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G1" s="319" t="s">
        <v>22</v>
      </c>
      <c r="H1" s="46" t="s">
        <v>728</v>
      </c>
      <c r="I1" s="1"/>
      <c r="J1" s="1"/>
      <c r="N1" s="16" t="e">
        <f ca="1">IF(OR(_xll.EVCGT($B$1,$B$6,$H$1,$H$2,$H$3,$H$4,$H$5,$H$6,$H$7,$H$8)="#RFR",_xll.EVCGT($B$1,$B$6,$H$1,$H$2,$H$3,$H$4,$H$5,$H$6,$H$7,$H$8)="#NODATA"),"",_xll.EVCGT($B$1,$B$6,$H$1,$H$2,$H$3,$H$4,$H$5,$H$6,$H$7,$H$8))</f>
        <v>#NAME?</v>
      </c>
      <c r="O1" s="1" t="s">
        <v>731</v>
      </c>
    </row>
    <row r="2" spans="1:35" hidden="1" outlineLevel="1" x14ac:dyDescent="0.2">
      <c r="A2" s="8" t="s">
        <v>22</v>
      </c>
      <c r="B2" s="12" t="s">
        <v>56</v>
      </c>
      <c r="C2" s="1" t="e">
        <f ca="1">_xll.EVDES(B2,$B$1)</f>
        <v>#NAME?</v>
      </c>
      <c r="G2" s="319" t="s">
        <v>50</v>
      </c>
      <c r="H2" s="46" t="e">
        <f ca="1">"BU"&amp;RIGHT(B3,4)</f>
        <v>#NAME?</v>
      </c>
      <c r="I2" s="1"/>
      <c r="J2" s="1"/>
    </row>
    <row r="3" spans="1:35" hidden="1" outlineLevel="1" x14ac:dyDescent="0.2">
      <c r="A3" s="8" t="s">
        <v>50</v>
      </c>
      <c r="B3" s="9" t="e">
        <f ca="1">_xll.EVCVW($B$1,A3)</f>
        <v>#NAME?</v>
      </c>
      <c r="C3" s="1" t="e">
        <f ca="1">_xll.EVDES(B3,$B$1)</f>
        <v>#NAME?</v>
      </c>
      <c r="G3" s="319" t="s">
        <v>19</v>
      </c>
      <c r="H3" s="46" t="s">
        <v>683</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c r="G4" s="319" t="s">
        <v>51</v>
      </c>
      <c r="H4" s="46" t="s">
        <v>730</v>
      </c>
    </row>
    <row r="5" spans="1:35" hidden="1" outlineLevel="1" x14ac:dyDescent="0.2">
      <c r="A5" s="8" t="s">
        <v>51</v>
      </c>
      <c r="B5" s="12" t="s">
        <v>59</v>
      </c>
      <c r="C5" s="1" t="e">
        <f ca="1">_xll.EVDES(B5,$B$1)</f>
        <v>#NAME?</v>
      </c>
      <c r="G5" s="319" t="s">
        <v>53</v>
      </c>
      <c r="H5" s="46" t="s">
        <v>729</v>
      </c>
    </row>
    <row r="6" spans="1:35" hidden="1" outlineLevel="1" x14ac:dyDescent="0.2">
      <c r="A6" s="8" t="s">
        <v>52</v>
      </c>
      <c r="B6" s="12" t="s">
        <v>725</v>
      </c>
      <c r="C6" s="1" t="e">
        <f ca="1">_xll.EVDES(B6,$B$1)</f>
        <v>#NAME?</v>
      </c>
      <c r="E6" s="46" t="e">
        <f ca="1">_xll.EVPRO($B$1,$B$6,$F$6)</f>
        <v>#NAME?</v>
      </c>
      <c r="F6" s="1" t="s">
        <v>278</v>
      </c>
      <c r="G6" s="319" t="s">
        <v>20</v>
      </c>
      <c r="H6" s="46" t="s">
        <v>55</v>
      </c>
    </row>
    <row r="7" spans="1:35" hidden="1" outlineLevel="1" x14ac:dyDescent="0.2">
      <c r="A7" s="8" t="s">
        <v>53</v>
      </c>
      <c r="B7" s="12" t="s">
        <v>61</v>
      </c>
      <c r="C7" s="1" t="e">
        <f ca="1">_xll.EVDES(B7,$B$1)</f>
        <v>#NAME?</v>
      </c>
      <c r="G7" s="319" t="s">
        <v>54</v>
      </c>
      <c r="H7" s="46" t="s">
        <v>62</v>
      </c>
    </row>
    <row r="8" spans="1:35" hidden="1" outlineLevel="1" x14ac:dyDescent="0.2">
      <c r="A8" s="8" t="s">
        <v>20</v>
      </c>
      <c r="B8" s="12" t="s">
        <v>63</v>
      </c>
      <c r="C8" s="1" t="e">
        <f ca="1">_xll.EVDES(B8,$B$1)</f>
        <v>#NAME?</v>
      </c>
      <c r="G8" s="319" t="s">
        <v>18</v>
      </c>
      <c r="H8" s="46" t="s">
        <v>727</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_xll.EVRNG(H35:H58)</f>
        <v>#NAME?</v>
      </c>
      <c r="G19" s="16" t="str">
        <f>$B$6</f>
        <v>D2140</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tr">
        <f>$B$6</f>
        <v>D2140</v>
      </c>
      <c r="H20" s="16">
        <v>946000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I21" s="1"/>
      <c r="J21" s="1"/>
    </row>
    <row r="22" spans="1:40" hidden="1" outlineLevel="1" x14ac:dyDescent="0.2">
      <c r="A22" s="6" t="s">
        <v>7</v>
      </c>
      <c r="B22" s="7" t="e">
        <f ca="1">_xll.EVRNG(A36:F44)</f>
        <v>#NAME?</v>
      </c>
      <c r="I22" s="1"/>
      <c r="J22" s="1"/>
    </row>
    <row r="23" spans="1:40" hidden="1" outlineLevel="1" x14ac:dyDescent="0.2">
      <c r="A23" s="6" t="s">
        <v>47</v>
      </c>
      <c r="B23" s="7" t="e">
        <f ca="1">_xll.EVRNG($A$125:$B$146)</f>
        <v>#NAME?</v>
      </c>
      <c r="K23" s="53"/>
      <c r="L23" s="53"/>
      <c r="M23" s="53"/>
      <c r="AD23" s="136"/>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IF($N$1="",IF(_xll.EVDES(B6,$B$1)="#NODATA","",_xll.EVDES(B6,$B$1)&amp;" Department"),$N$1)</f>
        <v>#NAME?</v>
      </c>
    </row>
    <row r="28" spans="1:40" ht="16" x14ac:dyDescent="0.2">
      <c r="A28" s="6" t="s">
        <v>12</v>
      </c>
      <c r="B28" s="7" t="s">
        <v>22</v>
      </c>
      <c r="N28" s="67" t="e">
        <f ca="1">"For the Period ended"&amp;" "&amp;IF(_xll.EVDES($B$10,$B$1)="#NODATA","",_xll.EVDES($B$10,$B$1))</f>
        <v>#NAME?</v>
      </c>
    </row>
    <row r="29" spans="1:40" ht="15" customHeight="1" x14ac:dyDescent="0.2">
      <c r="A29" s="6" t="s">
        <v>13</v>
      </c>
      <c r="B29" s="7" t="e">
        <f ca="1">"DEP(REV_F) AND "&amp;$E$6&amp;"=Y,REV_F,BEV,DEP(REV_BEV) AND "&amp;$E$6&amp;"=Y,REV_BEV,ALLOW_FB,REV_FB,OTHR_REV,DEP(REV_OTHR) AND "&amp;$E$6&amp;"=Y,REV_OTHR,400000"</f>
        <v>#NAME?</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751</v>
      </c>
      <c r="AK30" s="209"/>
      <c r="AL30" s="210"/>
      <c r="AM30" s="209" t="s">
        <v>750</v>
      </c>
      <c r="AN30" s="209"/>
    </row>
    <row r="31" spans="1:40" x14ac:dyDescent="0.2">
      <c r="A31" s="6" t="s">
        <v>15</v>
      </c>
      <c r="B31" s="7"/>
      <c r="G31" s="13"/>
      <c r="K31" s="11"/>
      <c r="L31" s="11"/>
      <c r="M31" s="1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69</v>
      </c>
      <c r="I33" s="11" t="e">
        <f ca="1">_xll.EVPRO($B$1,$H33,"STYLE")</f>
        <v>#NAME?</v>
      </c>
      <c r="J33" s="11" t="e">
        <f ca="1">_xll.EVPRO($B$1,$H33,"CALC")</f>
        <v>#NAME?</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0" x14ac:dyDescent="0.2">
      <c r="H34" s="1" t="s">
        <v>259</v>
      </c>
      <c r="I34" s="11" t="e">
        <f ca="1">_xll.EVPRO($B$1,$H34,"STYLE")</f>
        <v>#NAME?</v>
      </c>
      <c r="J34" s="11" t="e">
        <f ca="1">_xll.EVPRO($B$1,$H34,"CALC")</f>
        <v>#NAME?</v>
      </c>
      <c r="L34" s="175" t="s">
        <v>364</v>
      </c>
      <c r="M34" s="175" t="s">
        <v>782</v>
      </c>
      <c r="N34" s="8" t="e">
        <f ca="1">IF(_xll.EVDES(H34,$B$1)="#NODATA","",_xll.EVDES(H34,$B$1))</f>
        <v>#NAME?</v>
      </c>
      <c r="O34" s="50"/>
      <c r="AB34" s="51"/>
      <c r="AD34" s="50"/>
      <c r="AF34" s="51"/>
      <c r="AG34" s="50"/>
      <c r="AI34" s="51"/>
    </row>
    <row r="35" spans="1:40" x14ac:dyDescent="0.2">
      <c r="A35" s="20" t="s">
        <v>92</v>
      </c>
      <c r="B35" s="21" t="s">
        <v>93</v>
      </c>
      <c r="C35" s="21" t="s">
        <v>94</v>
      </c>
      <c r="D35" s="21" t="s">
        <v>95</v>
      </c>
      <c r="E35" s="21" t="s">
        <v>96</v>
      </c>
      <c r="F35" s="22" t="s">
        <v>97</v>
      </c>
      <c r="H35" s="10" t="s">
        <v>260</v>
      </c>
      <c r="I35" s="25" t="e">
        <f ca="1">_xll.EVPRO($B$1,$H35,"STYLE")</f>
        <v>#NAME?</v>
      </c>
      <c r="J35" s="25" t="e">
        <f ca="1">_xll.EVPRO($B$1,$H35,"CALC")</f>
        <v>#NAME?</v>
      </c>
      <c r="K35" s="64" t="e">
        <f ca="1">IF(AND(I35&gt;="T5"),"&gt;","")</f>
        <v>#NAME?</v>
      </c>
      <c r="L35" s="24" t="e">
        <f ca="1">_xll.EVPRO($B$1,H35,"JDEID")</f>
        <v>#NAME?</v>
      </c>
      <c r="M35" s="24" t="e">
        <f ca="1">IF(AND(I35="N",J35="N"),_xll.EVPRO($B$1,H35,"PSFTID"),"")</f>
        <v>#NAME?</v>
      </c>
      <c r="N35" s="24" t="e">
        <f ca="1">IF(_xll.EVDES(H35,$B$1)="#NODATA","",_xll.EVDES(H35,$B$1))</f>
        <v>#NAME?</v>
      </c>
      <c r="O35" s="282">
        <v>5039.88</v>
      </c>
      <c r="P35" s="283"/>
      <c r="Q35" s="283"/>
      <c r="R35" s="283"/>
      <c r="S35" s="283"/>
      <c r="T35" s="283"/>
      <c r="U35" s="283"/>
      <c r="V35" s="283"/>
      <c r="W35" s="283"/>
      <c r="X35" s="283"/>
      <c r="Y35" s="283"/>
      <c r="Z35" s="283"/>
      <c r="AA35" s="283" t="e">
        <f t="shared" ref="AA35:AA58" ca="1" si="0">IF($I35="B1","",SUM(O35:Z35))</f>
        <v>#NAME?</v>
      </c>
      <c r="AB35" s="284" t="e">
        <f t="shared" ref="AB35:AB58" ca="1" si="1">IF(AA35=0,"",IFERROR(AA35/AA$19,""))</f>
        <v>#NAME?</v>
      </c>
      <c r="AC35" s="300"/>
      <c r="AD35" s="283"/>
      <c r="AE35" s="284" t="str">
        <f t="shared" ref="AE35:AE58" si="2">IF(AD35=0,"",IFERROR(AD35/AD$19,""))</f>
        <v/>
      </c>
      <c r="AF35" s="285" t="e">
        <f t="shared" ref="AF35:AF58" ca="1" si="3">IF(AND($AA35="",AD35=""),"",$AA35-AD35)</f>
        <v>#NAME?</v>
      </c>
      <c r="AG35" s="283">
        <v>399931.45</v>
      </c>
      <c r="AH35" s="284" t="str">
        <f ca="1">IF(AG35=0,"",IFERROR(AG35/AG$19,""))</f>
        <v/>
      </c>
      <c r="AI35" s="286" t="e">
        <f ca="1">IF(AND($AA35="",AG35=""),"",$AA35-AG35)</f>
        <v>#NAME?</v>
      </c>
      <c r="AJ35" s="371">
        <f ca="1">IFERROR(AA35/AA$20,0)</f>
        <v>0</v>
      </c>
      <c r="AK35" s="372">
        <f ca="1">IFERROR(AD35/AD$20,0)</f>
        <v>0</v>
      </c>
      <c r="AL35" s="373">
        <f ca="1">IFERROR(AG35/AG$20,0)</f>
        <v>0</v>
      </c>
      <c r="AM35" s="374">
        <f ca="1">+IFERROR(ROUND(($AB35-AE35)*100,2)&amp;" pts.",0)</f>
        <v>0</v>
      </c>
      <c r="AN35" s="375">
        <f ca="1">+IFERROR(ROUND(($AB35-AH35)*100,2)&amp;" pts.",0)</f>
        <v>0</v>
      </c>
    </row>
    <row r="36" spans="1:40" x14ac:dyDescent="0.2">
      <c r="H36" s="10" t="s">
        <v>261</v>
      </c>
      <c r="I36" s="25" t="e">
        <f ca="1">_xll.EVPRO($B$1,$H36,"STYLE")</f>
        <v>#NAME?</v>
      </c>
      <c r="J36" s="25" t="e">
        <f ca="1">_xll.EVPRO($B$1,$H36,"CALC")</f>
        <v>#NAME?</v>
      </c>
      <c r="K36" s="64" t="e">
        <f t="shared" ref="K36:K58" ca="1" si="4">IF(AND(I36&gt;="T5"),"&gt;","")</f>
        <v>#NAME?</v>
      </c>
      <c r="L36" s="24" t="e">
        <f ca="1">_xll.EVPRO($B$1,H36,"JDEID")</f>
        <v>#NAME?</v>
      </c>
      <c r="M36" s="24" t="e">
        <f ca="1">IF(AND(I36="N",J36="N"),_xll.EVPRO($B$1,H36,"PSFTID"),"")</f>
        <v>#NAME?</v>
      </c>
      <c r="N36" s="24" t="e">
        <f ca="1">IF(_xll.EVDES(H36,$B$1)="#NODATA","",_xll.EVDES(H36,$B$1))</f>
        <v>#NAME?</v>
      </c>
      <c r="O36" s="282"/>
      <c r="P36" s="283"/>
      <c r="Q36" s="283"/>
      <c r="R36" s="283"/>
      <c r="S36" s="283"/>
      <c r="T36" s="283"/>
      <c r="U36" s="283"/>
      <c r="V36" s="283"/>
      <c r="W36" s="283"/>
      <c r="X36" s="283"/>
      <c r="Y36" s="283"/>
      <c r="Z36" s="283"/>
      <c r="AA36" s="283" t="e">
        <f t="shared" ca="1" si="0"/>
        <v>#NAME?</v>
      </c>
      <c r="AB36" s="284" t="e">
        <f t="shared" ca="1" si="1"/>
        <v>#NAME?</v>
      </c>
      <c r="AC36" s="300"/>
      <c r="AD36" s="283"/>
      <c r="AE36" s="284" t="str">
        <f t="shared" si="2"/>
        <v/>
      </c>
      <c r="AF36" s="285" t="e">
        <f t="shared" ca="1" si="3"/>
        <v>#NAME?</v>
      </c>
      <c r="AG36" s="283"/>
      <c r="AH36" s="284" t="str">
        <f t="shared" ref="AH36:AH58" si="5">IF(AG36=0,"",IFERROR(AG36/AG$19,""))</f>
        <v/>
      </c>
      <c r="AI36" s="286" t="e">
        <f t="shared" ref="AI36:AI58" ca="1" si="6">IF(AND($AA36="",AG36=""),"",$AA36-AG36)</f>
        <v>#NAME?</v>
      </c>
      <c r="AJ36" s="371">
        <f t="shared" ref="AJ36:AJ58" ca="1" si="7">IFERROR(AA36/AA$20,0)</f>
        <v>0</v>
      </c>
      <c r="AK36" s="372">
        <f t="shared" ref="AK36:AK58" ca="1" si="8">IFERROR(AD36/AD$20,0)</f>
        <v>0</v>
      </c>
      <c r="AL36" s="373">
        <f t="shared" ref="AL36:AL58" ca="1" si="9">IFERROR(AG36/AG$20,0)</f>
        <v>0</v>
      </c>
      <c r="AM36" s="374">
        <f t="shared" ref="AM36:AM58" ca="1" si="10">+IFERROR(ROUND(($AB36-AE36)*100,2)&amp;" pts.",0)</f>
        <v>0</v>
      </c>
      <c r="AN36" s="375">
        <f t="shared" ref="AN36:AN58" ca="1" si="11">+IFERROR(ROUND(($AB36-AH36)*100,2)&amp;" pts.",0)</f>
        <v>0</v>
      </c>
    </row>
    <row r="37" spans="1:40" x14ac:dyDescent="0.2">
      <c r="A37" s="1" t="s">
        <v>209</v>
      </c>
      <c r="B37" s="1" t="s">
        <v>21</v>
      </c>
      <c r="C37" s="70"/>
      <c r="D37" s="1" t="s">
        <v>590</v>
      </c>
      <c r="F37" s="1" t="s">
        <v>99</v>
      </c>
      <c r="H37" s="10" t="s">
        <v>262</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282">
        <v>0</v>
      </c>
      <c r="P37" s="283">
        <v>0</v>
      </c>
      <c r="Q37" s="283">
        <v>0</v>
      </c>
      <c r="R37" s="283">
        <v>0</v>
      </c>
      <c r="S37" s="283">
        <v>0</v>
      </c>
      <c r="T37" s="283">
        <v>0</v>
      </c>
      <c r="U37" s="283">
        <v>0</v>
      </c>
      <c r="V37" s="283">
        <v>0</v>
      </c>
      <c r="W37" s="283">
        <v>0</v>
      </c>
      <c r="X37" s="283">
        <v>0</v>
      </c>
      <c r="Y37" s="283">
        <v>-905.6</v>
      </c>
      <c r="Z37" s="283">
        <v>-1276.8</v>
      </c>
      <c r="AA37" s="283" t="e">
        <f t="shared" ca="1" si="0"/>
        <v>#NAME?</v>
      </c>
      <c r="AB37" s="284" t="e">
        <f t="shared" ca="1" si="1"/>
        <v>#NAME?</v>
      </c>
      <c r="AC37" s="300"/>
      <c r="AD37" s="283"/>
      <c r="AE37" s="284" t="str">
        <f t="shared" si="2"/>
        <v/>
      </c>
      <c r="AF37" s="285" t="e">
        <f t="shared" ca="1" si="3"/>
        <v>#NAME?</v>
      </c>
      <c r="AG37" s="283">
        <v>109066.77</v>
      </c>
      <c r="AH37" s="284" t="str">
        <f t="shared" ca="1" si="5"/>
        <v/>
      </c>
      <c r="AI37" s="286" t="e">
        <f t="shared" ca="1" si="6"/>
        <v>#NAME?</v>
      </c>
      <c r="AJ37" s="371">
        <f t="shared" ca="1" si="7"/>
        <v>0</v>
      </c>
      <c r="AK37" s="372">
        <f t="shared" ca="1" si="8"/>
        <v>0</v>
      </c>
      <c r="AL37" s="373">
        <f t="shared" ca="1" si="9"/>
        <v>0</v>
      </c>
      <c r="AM37" s="374">
        <f t="shared" ca="1" si="10"/>
        <v>0</v>
      </c>
      <c r="AN37" s="375">
        <f t="shared" ca="1" si="11"/>
        <v>0</v>
      </c>
    </row>
    <row r="38" spans="1:40" x14ac:dyDescent="0.2">
      <c r="A38" s="1" t="s">
        <v>105</v>
      </c>
      <c r="C38" s="24" t="s">
        <v>101</v>
      </c>
      <c r="D38" s="1" t="s">
        <v>106</v>
      </c>
      <c r="F38" s="1" t="s">
        <v>98</v>
      </c>
      <c r="H38" s="10" t="s">
        <v>263</v>
      </c>
      <c r="I38" s="25" t="e">
        <f ca="1">_xll.EVPRO($B$1,$H38,"STYLE")</f>
        <v>#NAME?</v>
      </c>
      <c r="J38" s="25" t="e">
        <f ca="1">_xll.EVPRO($B$1,$H38,"CALC")</f>
        <v>#NAME?</v>
      </c>
      <c r="K38" s="64" t="e">
        <f t="shared" ca="1" si="4"/>
        <v>#NAME?</v>
      </c>
      <c r="L38" s="24" t="e">
        <f ca="1">_xll.EVPRO($B$1,H38,"JDEID")</f>
        <v>#NAME?</v>
      </c>
      <c r="M38" s="24" t="e">
        <f ca="1">IF(AND(I38="N",J38="N"),_xll.EVPRO($B$1,H38,"PSFTID"),"")</f>
        <v>#NAME?</v>
      </c>
      <c r="N38" s="24" t="e">
        <f ca="1">IF(_xll.EVDES(H38,$B$1)="#NODATA","",_xll.EVDES(H38,$B$1))</f>
        <v>#NAME?</v>
      </c>
      <c r="O38" s="282"/>
      <c r="P38" s="283"/>
      <c r="Q38" s="283"/>
      <c r="R38" s="283"/>
      <c r="S38" s="283"/>
      <c r="T38" s="283"/>
      <c r="U38" s="283"/>
      <c r="V38" s="283"/>
      <c r="W38" s="283"/>
      <c r="X38" s="283"/>
      <c r="Y38" s="283"/>
      <c r="Z38" s="283"/>
      <c r="AA38" s="283" t="e">
        <f t="shared" ca="1" si="0"/>
        <v>#NAME?</v>
      </c>
      <c r="AB38" s="284" t="e">
        <f t="shared" ca="1" si="1"/>
        <v>#NAME?</v>
      </c>
      <c r="AC38" s="300"/>
      <c r="AD38" s="283"/>
      <c r="AE38" s="284" t="str">
        <f t="shared" si="2"/>
        <v/>
      </c>
      <c r="AF38" s="285" t="e">
        <f t="shared" ca="1" si="3"/>
        <v>#NAME?</v>
      </c>
      <c r="AG38" s="283"/>
      <c r="AH38" s="284" t="str">
        <f t="shared" si="5"/>
        <v/>
      </c>
      <c r="AI38" s="286" t="e">
        <f t="shared" ca="1" si="6"/>
        <v>#NAME?</v>
      </c>
      <c r="AJ38" s="371">
        <f t="shared" ca="1" si="7"/>
        <v>0</v>
      </c>
      <c r="AK38" s="372">
        <f t="shared" ca="1" si="8"/>
        <v>0</v>
      </c>
      <c r="AL38" s="373">
        <f t="shared" ca="1" si="9"/>
        <v>0</v>
      </c>
      <c r="AM38" s="374">
        <f t="shared" ca="1" si="10"/>
        <v>0</v>
      </c>
      <c r="AN38" s="375">
        <f t="shared" ca="1" si="11"/>
        <v>0</v>
      </c>
    </row>
    <row r="39" spans="1:40" x14ac:dyDescent="0.2">
      <c r="A39" s="1" t="s">
        <v>104</v>
      </c>
      <c r="C39" s="24" t="s">
        <v>101</v>
      </c>
      <c r="D39" s="1" t="s">
        <v>106</v>
      </c>
      <c r="F39" s="1" t="s">
        <v>98</v>
      </c>
      <c r="H39" s="10" t="s">
        <v>264</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295"/>
      <c r="P39" s="296"/>
      <c r="Q39" s="296"/>
      <c r="R39" s="296"/>
      <c r="S39" s="296"/>
      <c r="T39" s="296"/>
      <c r="U39" s="296"/>
      <c r="V39" s="296"/>
      <c r="W39" s="296"/>
      <c r="X39" s="296"/>
      <c r="Y39" s="296"/>
      <c r="Z39" s="296"/>
      <c r="AA39" s="296" t="e">
        <f t="shared" ca="1" si="0"/>
        <v>#NAME?</v>
      </c>
      <c r="AB39" s="297" t="e">
        <f t="shared" ca="1" si="1"/>
        <v>#NAME?</v>
      </c>
      <c r="AC39" s="263"/>
      <c r="AD39" s="296"/>
      <c r="AE39" s="297" t="str">
        <f t="shared" si="2"/>
        <v/>
      </c>
      <c r="AF39" s="298" t="e">
        <f t="shared" ca="1" si="3"/>
        <v>#NAME?</v>
      </c>
      <c r="AG39" s="296"/>
      <c r="AH39" s="297" t="str">
        <f t="shared" si="5"/>
        <v/>
      </c>
      <c r="AI39" s="299" t="e">
        <f t="shared" ca="1" si="6"/>
        <v>#NAME?</v>
      </c>
      <c r="AJ39" s="381">
        <f t="shared" ca="1" si="7"/>
        <v>0</v>
      </c>
      <c r="AK39" s="382">
        <f t="shared" ca="1" si="8"/>
        <v>0</v>
      </c>
      <c r="AL39" s="383">
        <f t="shared" ca="1" si="9"/>
        <v>0</v>
      </c>
      <c r="AM39" s="384">
        <f t="shared" ca="1" si="10"/>
        <v>0</v>
      </c>
      <c r="AN39" s="385">
        <f t="shared" ca="1" si="11"/>
        <v>0</v>
      </c>
    </row>
    <row r="40" spans="1:40" x14ac:dyDescent="0.2">
      <c r="A40" s="1" t="s">
        <v>100</v>
      </c>
      <c r="C40" s="8" t="s">
        <v>101</v>
      </c>
      <c r="D40" s="1" t="s">
        <v>106</v>
      </c>
      <c r="F40" s="1" t="s">
        <v>98</v>
      </c>
      <c r="H40" s="10" t="s">
        <v>265</v>
      </c>
      <c r="I40" s="447" t="e">
        <f ca="1">_xll.EVPRO($B$1,$H40,"STYLE")</f>
        <v>#NAME?</v>
      </c>
      <c r="J40" s="447" t="e">
        <f ca="1">_xll.EVPRO($B$1,$H40,"CALC")</f>
        <v>#NAME?</v>
      </c>
      <c r="K40" s="448" t="e">
        <f t="shared" ca="1" si="4"/>
        <v>#NAME?</v>
      </c>
      <c r="L40" s="151" t="e">
        <f ca="1">_xll.EVPRO($B$1,H40,"JDEID")</f>
        <v>#NAME?</v>
      </c>
      <c r="M40" s="151" t="e">
        <f ca="1">IF(AND(I40="N",J40="N"),_xll.EVPRO($B$1,H40,"PSFTID"),"")</f>
        <v>#NAME?</v>
      </c>
      <c r="N40" s="151" t="e">
        <f ca="1">IF(_xll.EVDES(H40,$B$1)="#NODATA","",_xll.EVDES(H40,$B$1))</f>
        <v>#NAME?</v>
      </c>
      <c r="O40" s="202">
        <v>5039.88</v>
      </c>
      <c r="P40" s="120">
        <v>0</v>
      </c>
      <c r="Q40" s="120">
        <v>0</v>
      </c>
      <c r="R40" s="120">
        <v>0</v>
      </c>
      <c r="S40" s="120">
        <v>0</v>
      </c>
      <c r="T40" s="120">
        <v>0</v>
      </c>
      <c r="U40" s="120">
        <v>0</v>
      </c>
      <c r="V40" s="120">
        <v>0</v>
      </c>
      <c r="W40" s="120">
        <v>0</v>
      </c>
      <c r="X40" s="120">
        <v>0</v>
      </c>
      <c r="Y40" s="120">
        <v>-905.6</v>
      </c>
      <c r="Z40" s="120">
        <v>-1276.8</v>
      </c>
      <c r="AA40" s="120" t="e">
        <f t="shared" ca="1" si="0"/>
        <v>#NAME?</v>
      </c>
      <c r="AB40" s="121" t="e">
        <f t="shared" ca="1" si="1"/>
        <v>#NAME?</v>
      </c>
      <c r="AC40" s="123"/>
      <c r="AD40" s="120"/>
      <c r="AE40" s="121" t="str">
        <f t="shared" si="2"/>
        <v/>
      </c>
      <c r="AF40" s="122" t="e">
        <f t="shared" ca="1" si="3"/>
        <v>#NAME?</v>
      </c>
      <c r="AG40" s="120">
        <v>508998.22</v>
      </c>
      <c r="AH40" s="121" t="str">
        <f t="shared" ca="1" si="5"/>
        <v/>
      </c>
      <c r="AI40" s="264" t="e">
        <f t="shared" ca="1" si="6"/>
        <v>#NAME?</v>
      </c>
      <c r="AJ40" s="332">
        <f t="shared" ca="1" si="7"/>
        <v>0</v>
      </c>
      <c r="AK40" s="333">
        <f t="shared" ca="1" si="8"/>
        <v>0</v>
      </c>
      <c r="AL40" s="335">
        <f t="shared" ca="1" si="9"/>
        <v>0</v>
      </c>
      <c r="AM40" s="377">
        <f t="shared" ca="1" si="10"/>
        <v>0</v>
      </c>
      <c r="AN40" s="378">
        <f t="shared" ca="1" si="11"/>
        <v>0</v>
      </c>
    </row>
    <row r="41" spans="1:40" x14ac:dyDescent="0.2">
      <c r="A41" s="1" t="s">
        <v>102</v>
      </c>
      <c r="C41" s="23" t="s">
        <v>101</v>
      </c>
      <c r="D41" s="1" t="s">
        <v>106</v>
      </c>
      <c r="F41" s="1" t="s">
        <v>98</v>
      </c>
      <c r="H41" s="10" t="s">
        <v>266</v>
      </c>
      <c r="I41" s="447" t="e">
        <f ca="1">_xll.EVPRO($B$1,$H41,"STYLE")</f>
        <v>#NAME?</v>
      </c>
      <c r="J41" s="447" t="e">
        <f ca="1">_xll.EVPRO($B$1,$H41,"CALC")</f>
        <v>#NAME?</v>
      </c>
      <c r="K41" s="448" t="e">
        <f t="shared" ca="1" si="4"/>
        <v>#NAME?</v>
      </c>
      <c r="L41" s="151" t="e">
        <f ca="1">_xll.EVPRO($B$1,H41,"JDEID")</f>
        <v>#NAME?</v>
      </c>
      <c r="M41" s="151" t="e">
        <f ca="1">IF(AND(I41="N",J41="N"),_xll.EVPRO($B$1,H41,"PSFTID"),"")</f>
        <v>#NAME?</v>
      </c>
      <c r="N41" s="151" t="e">
        <f ca="1">IF(_xll.EVDES(H41,$B$1)="#NODATA","",_xll.EVDES(H41,$B$1))</f>
        <v>#NAME?</v>
      </c>
      <c r="O41" s="287"/>
      <c r="P41" s="288"/>
      <c r="Q41" s="288"/>
      <c r="R41" s="288"/>
      <c r="S41" s="288"/>
      <c r="T41" s="288"/>
      <c r="U41" s="288"/>
      <c r="V41" s="288"/>
      <c r="W41" s="288"/>
      <c r="X41" s="288"/>
      <c r="Y41" s="288"/>
      <c r="Z41" s="288"/>
      <c r="AA41" s="288" t="e">
        <f t="shared" ca="1" si="0"/>
        <v>#NAME?</v>
      </c>
      <c r="AB41" s="289" t="e">
        <f t="shared" ca="1" si="1"/>
        <v>#NAME?</v>
      </c>
      <c r="AC41" s="301"/>
      <c r="AD41" s="288"/>
      <c r="AE41" s="289" t="str">
        <f t="shared" si="2"/>
        <v/>
      </c>
      <c r="AF41" s="290" t="e">
        <f t="shared" ca="1" si="3"/>
        <v>#NAME?</v>
      </c>
      <c r="AG41" s="288"/>
      <c r="AH41" s="289" t="str">
        <f t="shared" si="5"/>
        <v/>
      </c>
      <c r="AI41" s="291" t="e">
        <f t="shared" ca="1" si="6"/>
        <v>#NAME?</v>
      </c>
      <c r="AJ41" s="325">
        <f t="shared" ca="1" si="7"/>
        <v>0</v>
      </c>
      <c r="AK41" s="326">
        <f t="shared" ca="1" si="8"/>
        <v>0</v>
      </c>
      <c r="AL41" s="328">
        <f t="shared" ca="1" si="9"/>
        <v>0</v>
      </c>
      <c r="AM41" s="362">
        <f t="shared" ca="1" si="10"/>
        <v>0</v>
      </c>
      <c r="AN41" s="376">
        <f t="shared" ca="1" si="11"/>
        <v>0</v>
      </c>
    </row>
    <row r="42" spans="1:40" x14ac:dyDescent="0.2">
      <c r="A42" s="1" t="s">
        <v>102</v>
      </c>
      <c r="C42" s="135" t="s">
        <v>101</v>
      </c>
      <c r="D42" s="1" t="s">
        <v>107</v>
      </c>
      <c r="F42" s="1" t="s">
        <v>99</v>
      </c>
      <c r="H42" s="10" t="s">
        <v>267</v>
      </c>
      <c r="I42" s="25" t="e">
        <f ca="1">_xll.EVPRO($B$1,$H42,"STYLE")</f>
        <v>#NAME?</v>
      </c>
      <c r="J42" s="25" t="e">
        <f ca="1">_xll.EVPRO($B$1,$H42,"CALC")</f>
        <v>#NAME?</v>
      </c>
      <c r="K42" s="64" t="e">
        <f t="shared" ca="1" si="4"/>
        <v>#NAME?</v>
      </c>
      <c r="L42" s="24" t="e">
        <f ca="1">_xll.EVPRO($B$1,H42,"JDEID")</f>
        <v>#NAME?</v>
      </c>
      <c r="M42" s="24" t="e">
        <f ca="1">IF(AND(I42="N",J42="N"),_xll.EVPRO($B$1,H42,"PSFTID"),"")</f>
        <v>#NAME?</v>
      </c>
      <c r="N42" s="24" t="e">
        <f ca="1">IF(_xll.EVDES(H42,$B$1)="#NODATA","",_xll.EVDES(H42,$B$1))</f>
        <v>#NAME?</v>
      </c>
      <c r="O42" s="282">
        <v>316</v>
      </c>
      <c r="P42" s="283"/>
      <c r="Q42" s="283"/>
      <c r="R42" s="283"/>
      <c r="S42" s="283"/>
      <c r="T42" s="283"/>
      <c r="U42" s="283"/>
      <c r="V42" s="283"/>
      <c r="W42" s="283"/>
      <c r="X42" s="283"/>
      <c r="Y42" s="283"/>
      <c r="Z42" s="283"/>
      <c r="AA42" s="283" t="e">
        <f t="shared" ca="1" si="0"/>
        <v>#NAME?</v>
      </c>
      <c r="AB42" s="284" t="e">
        <f t="shared" ca="1" si="1"/>
        <v>#NAME?</v>
      </c>
      <c r="AC42" s="300"/>
      <c r="AD42" s="283"/>
      <c r="AE42" s="284" t="str">
        <f t="shared" si="2"/>
        <v/>
      </c>
      <c r="AF42" s="285" t="e">
        <f t="shared" ca="1" si="3"/>
        <v>#NAME?</v>
      </c>
      <c r="AG42" s="283">
        <v>45728.02</v>
      </c>
      <c r="AH42" s="284" t="str">
        <f t="shared" ca="1" si="5"/>
        <v/>
      </c>
      <c r="AI42" s="286" t="e">
        <f t="shared" ca="1" si="6"/>
        <v>#NAME?</v>
      </c>
      <c r="AJ42" s="371">
        <f t="shared" ca="1" si="7"/>
        <v>0</v>
      </c>
      <c r="AK42" s="372">
        <f t="shared" ca="1" si="8"/>
        <v>0</v>
      </c>
      <c r="AL42" s="373">
        <f t="shared" ca="1" si="9"/>
        <v>0</v>
      </c>
      <c r="AM42" s="374">
        <f t="shared" ca="1" si="10"/>
        <v>0</v>
      </c>
      <c r="AN42" s="375">
        <f t="shared" ca="1" si="11"/>
        <v>0</v>
      </c>
    </row>
    <row r="43" spans="1:40" x14ac:dyDescent="0.2">
      <c r="A43" s="1" t="s">
        <v>108</v>
      </c>
      <c r="C43" s="23" t="s">
        <v>101</v>
      </c>
      <c r="D43" s="1" t="s">
        <v>106</v>
      </c>
      <c r="F43" s="1" t="s">
        <v>98</v>
      </c>
      <c r="H43" s="10" t="s">
        <v>268</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282"/>
      <c r="P43" s="283"/>
      <c r="Q43" s="283"/>
      <c r="R43" s="283"/>
      <c r="S43" s="283"/>
      <c r="T43" s="283"/>
      <c r="U43" s="283"/>
      <c r="V43" s="283"/>
      <c r="W43" s="283"/>
      <c r="X43" s="283"/>
      <c r="Y43" s="283"/>
      <c r="Z43" s="283"/>
      <c r="AA43" s="283" t="e">
        <f t="shared" ca="1" si="0"/>
        <v>#NAME?</v>
      </c>
      <c r="AB43" s="284" t="e">
        <f t="shared" ca="1" si="1"/>
        <v>#NAME?</v>
      </c>
      <c r="AC43" s="300"/>
      <c r="AD43" s="283"/>
      <c r="AE43" s="284" t="str">
        <f t="shared" si="2"/>
        <v/>
      </c>
      <c r="AF43" s="285" t="e">
        <f t="shared" ca="1" si="3"/>
        <v>#NAME?</v>
      </c>
      <c r="AG43" s="283"/>
      <c r="AH43" s="284" t="str">
        <f t="shared" si="5"/>
        <v/>
      </c>
      <c r="AI43" s="286" t="e">
        <f t="shared" ca="1" si="6"/>
        <v>#NAME?</v>
      </c>
      <c r="AJ43" s="371">
        <f t="shared" ca="1" si="7"/>
        <v>0</v>
      </c>
      <c r="AK43" s="372">
        <f t="shared" ca="1" si="8"/>
        <v>0</v>
      </c>
      <c r="AL43" s="373">
        <f t="shared" ca="1" si="9"/>
        <v>0</v>
      </c>
      <c r="AM43" s="374">
        <f t="shared" ca="1" si="10"/>
        <v>0</v>
      </c>
      <c r="AN43" s="375">
        <f t="shared" ca="1" si="11"/>
        <v>0</v>
      </c>
    </row>
    <row r="44" spans="1:40" x14ac:dyDescent="0.2">
      <c r="A44" s="1" t="s">
        <v>108</v>
      </c>
      <c r="C44" s="135" t="s">
        <v>101</v>
      </c>
      <c r="D44" s="1" t="s">
        <v>107</v>
      </c>
      <c r="F44" s="1" t="s">
        <v>99</v>
      </c>
      <c r="H44" s="10" t="s">
        <v>269</v>
      </c>
      <c r="I44" s="25" t="e">
        <f ca="1">_xll.EVPRO($B$1,$H44,"STYLE")</f>
        <v>#NAME?</v>
      </c>
      <c r="J44" s="25" t="e">
        <f ca="1">_xll.EVPRO($B$1,$H44,"CALC")</f>
        <v>#NAME?</v>
      </c>
      <c r="K44" s="64" t="e">
        <f t="shared" ca="1" si="4"/>
        <v>#NAME?</v>
      </c>
      <c r="L44" s="24" t="e">
        <f ca="1">_xll.EVPRO($B$1,H44,"JDEID")</f>
        <v>#NAME?</v>
      </c>
      <c r="M44" s="24" t="e">
        <f ca="1">IF(AND(I44="N",J44="N"),_xll.EVPRO($B$1,H44,"PSFTID"),"")</f>
        <v>#NAME?</v>
      </c>
      <c r="N44" s="24" t="e">
        <f ca="1">IF(_xll.EVDES(H44,$B$1)="#NODATA","",_xll.EVDES(H44,$B$1))</f>
        <v>#NAME?</v>
      </c>
      <c r="O44" s="282"/>
      <c r="P44" s="283"/>
      <c r="Q44" s="283"/>
      <c r="R44" s="283"/>
      <c r="S44" s="283"/>
      <c r="T44" s="283"/>
      <c r="U44" s="283"/>
      <c r="V44" s="283"/>
      <c r="W44" s="283"/>
      <c r="X44" s="283"/>
      <c r="Y44" s="283"/>
      <c r="Z44" s="283"/>
      <c r="AA44" s="283" t="e">
        <f t="shared" ca="1" si="0"/>
        <v>#NAME?</v>
      </c>
      <c r="AB44" s="284" t="e">
        <f t="shared" ca="1" si="1"/>
        <v>#NAME?</v>
      </c>
      <c r="AC44" s="300"/>
      <c r="AD44" s="283"/>
      <c r="AE44" s="284" t="str">
        <f t="shared" si="2"/>
        <v/>
      </c>
      <c r="AF44" s="285" t="e">
        <f t="shared" ca="1" si="3"/>
        <v>#NAME?</v>
      </c>
      <c r="AG44" s="283">
        <v>33198.43</v>
      </c>
      <c r="AH44" s="284" t="str">
        <f t="shared" ca="1" si="5"/>
        <v/>
      </c>
      <c r="AI44" s="286" t="e">
        <f t="shared" ca="1" si="6"/>
        <v>#NAME?</v>
      </c>
      <c r="AJ44" s="371">
        <f t="shared" ca="1" si="7"/>
        <v>0</v>
      </c>
      <c r="AK44" s="372">
        <f t="shared" ca="1" si="8"/>
        <v>0</v>
      </c>
      <c r="AL44" s="373">
        <f t="shared" ca="1" si="9"/>
        <v>0</v>
      </c>
      <c r="AM44" s="374">
        <f t="shared" ca="1" si="10"/>
        <v>0</v>
      </c>
      <c r="AN44" s="375">
        <f t="shared" ca="1" si="11"/>
        <v>0</v>
      </c>
    </row>
    <row r="45" spans="1:40" x14ac:dyDescent="0.2">
      <c r="H45" s="10" t="s">
        <v>270</v>
      </c>
      <c r="I45" s="25" t="e">
        <f ca="1">_xll.EVPRO($B$1,$H45,"STYLE")</f>
        <v>#NAME?</v>
      </c>
      <c r="J45" s="25" t="e">
        <f ca="1">_xll.EVPRO($B$1,$H45,"CALC")</f>
        <v>#NAME?</v>
      </c>
      <c r="K45" s="64" t="e">
        <f t="shared" ca="1" si="4"/>
        <v>#NAME?</v>
      </c>
      <c r="L45" s="24" t="e">
        <f ca="1">_xll.EVPRO($B$1,H45,"JDEID")</f>
        <v>#NAME?</v>
      </c>
      <c r="M45" s="24" t="e">
        <f ca="1">IF(AND(I45="N",J45="N"),_xll.EVPRO($B$1,H45,"PSFTID"),"")</f>
        <v>#NAME?</v>
      </c>
      <c r="N45" s="24" t="e">
        <f ca="1">IF(_xll.EVDES(H45,$B$1)="#NODATA","",_xll.EVDES(H45,$B$1))</f>
        <v>#NAME?</v>
      </c>
      <c r="O45" s="282"/>
      <c r="P45" s="283"/>
      <c r="Q45" s="283"/>
      <c r="R45" s="283"/>
      <c r="S45" s="283"/>
      <c r="T45" s="283"/>
      <c r="U45" s="283"/>
      <c r="V45" s="283"/>
      <c r="W45" s="283"/>
      <c r="X45" s="283"/>
      <c r="Y45" s="283"/>
      <c r="Z45" s="283"/>
      <c r="AA45" s="283" t="e">
        <f t="shared" ca="1" si="0"/>
        <v>#NAME?</v>
      </c>
      <c r="AB45" s="284" t="e">
        <f t="shared" ca="1" si="1"/>
        <v>#NAME?</v>
      </c>
      <c r="AC45" s="300"/>
      <c r="AD45" s="283"/>
      <c r="AE45" s="284" t="str">
        <f t="shared" si="2"/>
        <v/>
      </c>
      <c r="AF45" s="285" t="e">
        <f t="shared" ca="1" si="3"/>
        <v>#NAME?</v>
      </c>
      <c r="AG45" s="283"/>
      <c r="AH45" s="284" t="str">
        <f t="shared" si="5"/>
        <v/>
      </c>
      <c r="AI45" s="286" t="e">
        <f t="shared" ca="1" si="6"/>
        <v>#NAME?</v>
      </c>
      <c r="AJ45" s="371">
        <f t="shared" ca="1" si="7"/>
        <v>0</v>
      </c>
      <c r="AK45" s="372">
        <f t="shared" ca="1" si="8"/>
        <v>0</v>
      </c>
      <c r="AL45" s="373">
        <f t="shared" ca="1" si="9"/>
        <v>0</v>
      </c>
      <c r="AM45" s="374">
        <f t="shared" ca="1" si="10"/>
        <v>0</v>
      </c>
      <c r="AN45" s="375">
        <f t="shared" ca="1" si="11"/>
        <v>0</v>
      </c>
    </row>
    <row r="46" spans="1:40" x14ac:dyDescent="0.2">
      <c r="H46" s="10" t="s">
        <v>271</v>
      </c>
      <c r="I46" s="25" t="e">
        <f ca="1">_xll.EVPRO($B$1,$H46,"STYLE")</f>
        <v>#NAME?</v>
      </c>
      <c r="J46" s="25" t="e">
        <f ca="1">_xll.EVPRO($B$1,$H46,"CALC")</f>
        <v>#NAME?</v>
      </c>
      <c r="K46" s="64" t="e">
        <f t="shared" ca="1" si="4"/>
        <v>#NAME?</v>
      </c>
      <c r="L46" s="24" t="e">
        <f ca="1">_xll.EVPRO($B$1,H46,"JDEID")</f>
        <v>#NAME?</v>
      </c>
      <c r="M46" s="24" t="e">
        <f ca="1">IF(AND(I46="N",J46="N"),_xll.EVPRO($B$1,H46,"PSFTID"),"")</f>
        <v>#NAME?</v>
      </c>
      <c r="N46" s="24" t="e">
        <f ca="1">IF(_xll.EVDES(H46,$B$1)="#NODATA","",_xll.EVDES(H46,$B$1))</f>
        <v>#NAME?</v>
      </c>
      <c r="O46" s="295"/>
      <c r="P46" s="296"/>
      <c r="Q46" s="296"/>
      <c r="R46" s="296"/>
      <c r="S46" s="296"/>
      <c r="T46" s="296"/>
      <c r="U46" s="296"/>
      <c r="V46" s="296"/>
      <c r="W46" s="296"/>
      <c r="X46" s="296"/>
      <c r="Y46" s="296"/>
      <c r="Z46" s="296"/>
      <c r="AA46" s="296" t="e">
        <f t="shared" ca="1" si="0"/>
        <v>#NAME?</v>
      </c>
      <c r="AB46" s="297" t="e">
        <f t="shared" ca="1" si="1"/>
        <v>#NAME?</v>
      </c>
      <c r="AC46" s="263"/>
      <c r="AD46" s="296"/>
      <c r="AE46" s="297" t="str">
        <f t="shared" si="2"/>
        <v/>
      </c>
      <c r="AF46" s="298" t="e">
        <f t="shared" ca="1" si="3"/>
        <v>#NAME?</v>
      </c>
      <c r="AG46" s="296"/>
      <c r="AH46" s="297" t="str">
        <f t="shared" si="5"/>
        <v/>
      </c>
      <c r="AI46" s="299" t="e">
        <f t="shared" ca="1" si="6"/>
        <v>#NAME?</v>
      </c>
      <c r="AJ46" s="381">
        <f t="shared" ca="1" si="7"/>
        <v>0</v>
      </c>
      <c r="AK46" s="382">
        <f t="shared" ca="1" si="8"/>
        <v>0</v>
      </c>
      <c r="AL46" s="383">
        <f t="shared" ca="1" si="9"/>
        <v>0</v>
      </c>
      <c r="AM46" s="384">
        <f t="shared" ca="1" si="10"/>
        <v>0</v>
      </c>
      <c r="AN46" s="385">
        <f t="shared" ca="1" si="11"/>
        <v>0</v>
      </c>
    </row>
    <row r="47" spans="1:40" x14ac:dyDescent="0.2">
      <c r="A47" s="4" t="e">
        <f ca="1">_xll.EVDRE($B$1,A50:B57,A60:B66)</f>
        <v>#NAME?</v>
      </c>
      <c r="H47" s="10" t="s">
        <v>272</v>
      </c>
      <c r="I47" s="447" t="e">
        <f ca="1">_xll.EVPRO($B$1,$H47,"STYLE")</f>
        <v>#NAME?</v>
      </c>
      <c r="J47" s="447" t="e">
        <f ca="1">_xll.EVPRO($B$1,$H47,"CALC")</f>
        <v>#NAME?</v>
      </c>
      <c r="K47" s="448" t="e">
        <f t="shared" ca="1" si="4"/>
        <v>#NAME?</v>
      </c>
      <c r="L47" s="151" t="e">
        <f ca="1">_xll.EVPRO($B$1,H47,"JDEID")</f>
        <v>#NAME?</v>
      </c>
      <c r="M47" s="151" t="e">
        <f ca="1">IF(AND(I47="N",J47="N"),_xll.EVPRO($B$1,H47,"PSFTID"),"")</f>
        <v>#NAME?</v>
      </c>
      <c r="N47" s="151" t="e">
        <f ca="1">IF(_xll.EVDES(H47,$B$1)="#NODATA","",_xll.EVDES(H47,$B$1))</f>
        <v>#NAME?</v>
      </c>
      <c r="O47" s="202">
        <v>316</v>
      </c>
      <c r="P47" s="120"/>
      <c r="Q47" s="120"/>
      <c r="R47" s="120"/>
      <c r="S47" s="120"/>
      <c r="T47" s="120"/>
      <c r="U47" s="120"/>
      <c r="V47" s="120"/>
      <c r="W47" s="120"/>
      <c r="X47" s="120"/>
      <c r="Y47" s="120"/>
      <c r="Z47" s="120"/>
      <c r="AA47" s="120" t="e">
        <f t="shared" ca="1" si="0"/>
        <v>#NAME?</v>
      </c>
      <c r="AB47" s="121" t="e">
        <f t="shared" ca="1" si="1"/>
        <v>#NAME?</v>
      </c>
      <c r="AC47" s="123"/>
      <c r="AD47" s="120"/>
      <c r="AE47" s="121" t="str">
        <f t="shared" si="2"/>
        <v/>
      </c>
      <c r="AF47" s="122" t="e">
        <f t="shared" ca="1" si="3"/>
        <v>#NAME?</v>
      </c>
      <c r="AG47" s="120">
        <v>78926.45</v>
      </c>
      <c r="AH47" s="121" t="str">
        <f t="shared" ca="1" si="5"/>
        <v/>
      </c>
      <c r="AI47" s="264" t="e">
        <f t="shared" ca="1" si="6"/>
        <v>#NAME?</v>
      </c>
      <c r="AJ47" s="332">
        <f t="shared" ca="1" si="7"/>
        <v>0</v>
      </c>
      <c r="AK47" s="333">
        <f t="shared" ca="1" si="8"/>
        <v>0</v>
      </c>
      <c r="AL47" s="335">
        <f t="shared" ca="1" si="9"/>
        <v>0</v>
      </c>
      <c r="AM47" s="377">
        <f t="shared" ca="1" si="10"/>
        <v>0</v>
      </c>
      <c r="AN47" s="378">
        <f t="shared" ca="1" si="11"/>
        <v>0</v>
      </c>
    </row>
    <row r="48" spans="1:40" x14ac:dyDescent="0.2">
      <c r="H48" s="10" t="s">
        <v>486</v>
      </c>
      <c r="I48" s="25" t="e">
        <f ca="1">_xll.EVPRO($B$1,$H48,"STYLE")</f>
        <v>#NAME?</v>
      </c>
      <c r="J48" s="25" t="e">
        <f ca="1">_xll.EVPRO($B$1,$H48,"CALC")</f>
        <v>#NAME?</v>
      </c>
      <c r="K48" s="64" t="e">
        <f t="shared" ca="1" si="4"/>
        <v>#NAME?</v>
      </c>
      <c r="L48" s="24" t="e">
        <f ca="1">_xll.EVPRO($B$1,H48,"JDEID")</f>
        <v>#NAME?</v>
      </c>
      <c r="M48" s="24" t="e">
        <f ca="1">IF(AND(I48="N",J48="N"),_xll.EVPRO($B$1,H48,"PSFTID"),"")</f>
        <v>#NAME?</v>
      </c>
      <c r="N48" s="24" t="e">
        <f ca="1">IF(_xll.EVDES(H48,$B$1)="#NODATA","",_xll.EVDES(H48,$B$1))</f>
        <v>#NAME?</v>
      </c>
      <c r="O48" s="302"/>
      <c r="P48" s="44"/>
      <c r="Q48" s="44"/>
      <c r="R48" s="44"/>
      <c r="S48" s="44"/>
      <c r="T48" s="44"/>
      <c r="U48" s="44"/>
      <c r="V48" s="44"/>
      <c r="W48" s="44"/>
      <c r="X48" s="44"/>
      <c r="Y48" s="44"/>
      <c r="Z48" s="44"/>
      <c r="AA48" s="44" t="e">
        <f t="shared" ca="1" si="0"/>
        <v>#NAME?</v>
      </c>
      <c r="AB48" s="45" t="e">
        <f t="shared" ca="1" si="1"/>
        <v>#NAME?</v>
      </c>
      <c r="AD48" s="44"/>
      <c r="AE48" s="45" t="str">
        <f t="shared" si="2"/>
        <v/>
      </c>
      <c r="AF48" s="134" t="e">
        <f t="shared" ca="1" si="3"/>
        <v>#NAME?</v>
      </c>
      <c r="AG48" s="44">
        <v>-833.66</v>
      </c>
      <c r="AH48" s="45" t="str">
        <f t="shared" ca="1" si="5"/>
        <v/>
      </c>
      <c r="AI48" s="303" t="e">
        <f t="shared" ca="1" si="6"/>
        <v>#NAME?</v>
      </c>
      <c r="AJ48" s="392">
        <f t="shared" ca="1" si="7"/>
        <v>0</v>
      </c>
      <c r="AK48" s="393">
        <f t="shared" ca="1" si="8"/>
        <v>0</v>
      </c>
      <c r="AL48" s="394">
        <f t="shared" ca="1" si="9"/>
        <v>0</v>
      </c>
      <c r="AM48" s="395">
        <f t="shared" ca="1" si="10"/>
        <v>0</v>
      </c>
      <c r="AN48" s="396">
        <f t="shared" ca="1" si="11"/>
        <v>0</v>
      </c>
    </row>
    <row r="49" spans="1:40" x14ac:dyDescent="0.2">
      <c r="A49" s="3" t="s">
        <v>0</v>
      </c>
      <c r="B49" s="5" t="s">
        <v>1</v>
      </c>
      <c r="H49" s="10" t="s">
        <v>273</v>
      </c>
      <c r="I49" s="447" t="e">
        <f ca="1">_xll.EVPRO($B$1,$H49,"STYLE")</f>
        <v>#NAME?</v>
      </c>
      <c r="J49" s="447" t="e">
        <f ca="1">_xll.EVPRO($B$1,$H49,"CALC")</f>
        <v>#NAME?</v>
      </c>
      <c r="K49" s="448" t="e">
        <f t="shared" ca="1" si="4"/>
        <v>#NAME?</v>
      </c>
      <c r="L49" s="151" t="e">
        <f ca="1">_xll.EVPRO($B$1,H49,"JDEID")</f>
        <v>#NAME?</v>
      </c>
      <c r="M49" s="151" t="e">
        <f ca="1">IF(AND(I49="N",J49="N"),_xll.EVPRO($B$1,H49,"PSFTID"),"")</f>
        <v>#NAME?</v>
      </c>
      <c r="N49" s="151" t="e">
        <f ca="1">IF(_xll.EVDES(H49,$B$1)="#NODATA","",_xll.EVDES(H49,$B$1))</f>
        <v>#NAME?</v>
      </c>
      <c r="O49" s="202">
        <v>5355.88</v>
      </c>
      <c r="P49" s="120">
        <v>0</v>
      </c>
      <c r="Q49" s="120">
        <v>0</v>
      </c>
      <c r="R49" s="120">
        <v>0</v>
      </c>
      <c r="S49" s="120">
        <v>0</v>
      </c>
      <c r="T49" s="120">
        <v>0</v>
      </c>
      <c r="U49" s="120">
        <v>0</v>
      </c>
      <c r="V49" s="120">
        <v>0</v>
      </c>
      <c r="W49" s="120">
        <v>0</v>
      </c>
      <c r="X49" s="120">
        <v>0</v>
      </c>
      <c r="Y49" s="120">
        <v>-905.6</v>
      </c>
      <c r="Z49" s="120">
        <v>-1276.8</v>
      </c>
      <c r="AA49" s="120" t="e">
        <f t="shared" ca="1" si="0"/>
        <v>#NAME?</v>
      </c>
      <c r="AB49" s="121" t="e">
        <f t="shared" ca="1" si="1"/>
        <v>#NAME?</v>
      </c>
      <c r="AC49" s="123"/>
      <c r="AD49" s="120"/>
      <c r="AE49" s="121" t="str">
        <f t="shared" si="2"/>
        <v/>
      </c>
      <c r="AF49" s="122" t="e">
        <f t="shared" ca="1" si="3"/>
        <v>#NAME?</v>
      </c>
      <c r="AG49" s="120">
        <v>587091.01</v>
      </c>
      <c r="AH49" s="121" t="str">
        <f t="shared" ca="1" si="5"/>
        <v/>
      </c>
      <c r="AI49" s="264" t="e">
        <f t="shared" ca="1" si="6"/>
        <v>#NAME?</v>
      </c>
      <c r="AJ49" s="332">
        <f t="shared" ca="1" si="7"/>
        <v>0</v>
      </c>
      <c r="AK49" s="333">
        <f t="shared" ca="1" si="8"/>
        <v>0</v>
      </c>
      <c r="AL49" s="335">
        <f t="shared" ca="1" si="9"/>
        <v>0</v>
      </c>
      <c r="AM49" s="377">
        <f t="shared" ca="1" si="10"/>
        <v>0</v>
      </c>
      <c r="AN49" s="378">
        <f t="shared" ca="1" si="11"/>
        <v>0</v>
      </c>
    </row>
    <row r="50" spans="1:40" x14ac:dyDescent="0.2">
      <c r="A50" s="6" t="s">
        <v>2</v>
      </c>
      <c r="B50" s="7" t="e">
        <f ca="1">_xll.EVRNG($B$2:$B$10)</f>
        <v>#NAME?</v>
      </c>
      <c r="H50" s="10" t="s">
        <v>279</v>
      </c>
      <c r="I50" s="447" t="e">
        <f ca="1">_xll.EVPRO($B$1,$H50,"STYLE")</f>
        <v>#NAME?</v>
      </c>
      <c r="J50" s="447" t="e">
        <f ca="1">_xll.EVPRO($B$1,$H50,"CALC")</f>
        <v>#NAME?</v>
      </c>
      <c r="K50" s="448" t="e">
        <f t="shared" ca="1" si="4"/>
        <v>#NAME?</v>
      </c>
      <c r="L50" s="151" t="e">
        <f ca="1">_xll.EVPRO($B$1,H50,"JDEID")</f>
        <v>#NAME?</v>
      </c>
      <c r="M50" s="151" t="e">
        <f ca="1">IF(AND(I50="N",J50="N"),_xll.EVPRO($B$1,H50,"PSFTID"),"")</f>
        <v>#NAME?</v>
      </c>
      <c r="N50" s="151" t="e">
        <f ca="1">IF(_xll.EVDES(H50,$B$1)="#NODATA","",_xll.EVDES(H50,$B$1))</f>
        <v>#NAME?</v>
      </c>
      <c r="O50" s="287"/>
      <c r="P50" s="288"/>
      <c r="Q50" s="288"/>
      <c r="R50" s="288"/>
      <c r="S50" s="288"/>
      <c r="T50" s="288"/>
      <c r="U50" s="288"/>
      <c r="V50" s="288"/>
      <c r="W50" s="288"/>
      <c r="X50" s="288"/>
      <c r="Y50" s="288"/>
      <c r="Z50" s="288"/>
      <c r="AA50" s="288" t="e">
        <f t="shared" ca="1" si="0"/>
        <v>#NAME?</v>
      </c>
      <c r="AB50" s="289" t="e">
        <f t="shared" ca="1" si="1"/>
        <v>#NAME?</v>
      </c>
      <c r="AC50" s="301"/>
      <c r="AD50" s="288"/>
      <c r="AE50" s="289" t="str">
        <f t="shared" si="2"/>
        <v/>
      </c>
      <c r="AF50" s="290" t="e">
        <f t="shared" ca="1" si="3"/>
        <v>#NAME?</v>
      </c>
      <c r="AG50" s="288"/>
      <c r="AH50" s="289" t="str">
        <f t="shared" si="5"/>
        <v/>
      </c>
      <c r="AI50" s="291" t="e">
        <f t="shared" ca="1" si="6"/>
        <v>#NAME?</v>
      </c>
      <c r="AJ50" s="325">
        <f t="shared" ca="1" si="7"/>
        <v>0</v>
      </c>
      <c r="AK50" s="326">
        <f t="shared" ca="1" si="8"/>
        <v>0</v>
      </c>
      <c r="AL50" s="328">
        <f t="shared" ca="1" si="9"/>
        <v>0</v>
      </c>
      <c r="AM50" s="362">
        <f t="shared" ca="1" si="10"/>
        <v>0</v>
      </c>
      <c r="AN50" s="376">
        <f t="shared" ca="1" si="11"/>
        <v>0</v>
      </c>
    </row>
    <row r="51" spans="1:40" x14ac:dyDescent="0.2">
      <c r="A51" s="6" t="s">
        <v>3</v>
      </c>
      <c r="B51" s="7" t="e">
        <f ca="1">_xll.EVRNG($O$16:$AN$18)</f>
        <v>#NAME?</v>
      </c>
      <c r="H51" s="10" t="s">
        <v>274</v>
      </c>
      <c r="I51" s="25" t="e">
        <f ca="1">_xll.EVPRO($B$1,$H51,"STYLE")</f>
        <v>#NAME?</v>
      </c>
      <c r="J51" s="25" t="e">
        <f ca="1">_xll.EVPRO($B$1,$H51,"CALC")</f>
        <v>#NAME?</v>
      </c>
      <c r="K51" s="64" t="e">
        <f t="shared" ca="1" si="4"/>
        <v>#NAME?</v>
      </c>
      <c r="L51" s="24" t="e">
        <f ca="1">_xll.EVPRO($B$1,H51,"JDEID")</f>
        <v>#NAME?</v>
      </c>
      <c r="M51" s="24" t="e">
        <f ca="1">IF(AND(I51="N",J51="N"),_xll.EVPRO($B$1,H51,"PSFTID"),"")</f>
        <v>#NAME?</v>
      </c>
      <c r="N51" s="24" t="e">
        <f ca="1">IF(_xll.EVDES(H51,$B$1)="#NODATA","",_xll.EVDES(H51,$B$1))</f>
        <v>#NAME?</v>
      </c>
      <c r="O51" s="282"/>
      <c r="P51" s="283"/>
      <c r="Q51" s="283"/>
      <c r="R51" s="283"/>
      <c r="S51" s="283"/>
      <c r="T51" s="283"/>
      <c r="U51" s="283"/>
      <c r="V51" s="283"/>
      <c r="W51" s="283"/>
      <c r="X51" s="283"/>
      <c r="Y51" s="283"/>
      <c r="Z51" s="283"/>
      <c r="AA51" s="283" t="e">
        <f t="shared" ca="1" si="0"/>
        <v>#NAME?</v>
      </c>
      <c r="AB51" s="284" t="e">
        <f t="shared" ca="1" si="1"/>
        <v>#NAME?</v>
      </c>
      <c r="AC51" s="300"/>
      <c r="AD51" s="283"/>
      <c r="AE51" s="284" t="str">
        <f t="shared" si="2"/>
        <v/>
      </c>
      <c r="AF51" s="285" t="e">
        <f t="shared" ca="1" si="3"/>
        <v>#NAME?</v>
      </c>
      <c r="AG51" s="283"/>
      <c r="AH51" s="284" t="str">
        <f t="shared" si="5"/>
        <v/>
      </c>
      <c r="AI51" s="286" t="e">
        <f t="shared" ca="1" si="6"/>
        <v>#NAME?</v>
      </c>
      <c r="AJ51" s="371">
        <f t="shared" ca="1" si="7"/>
        <v>0</v>
      </c>
      <c r="AK51" s="372">
        <f t="shared" ca="1" si="8"/>
        <v>0</v>
      </c>
      <c r="AL51" s="373">
        <f t="shared" ca="1" si="9"/>
        <v>0</v>
      </c>
      <c r="AM51" s="374">
        <f t="shared" ca="1" si="10"/>
        <v>0</v>
      </c>
      <c r="AN51" s="375">
        <f t="shared" ca="1" si="11"/>
        <v>0</v>
      </c>
    </row>
    <row r="52" spans="1:40" x14ac:dyDescent="0.2">
      <c r="A52" s="6" t="s">
        <v>4</v>
      </c>
      <c r="B52" s="7" t="e">
        <f ca="1">_xll.EVRNG(H62:H70)</f>
        <v>#NAME?</v>
      </c>
      <c r="H52" s="10" t="s">
        <v>275</v>
      </c>
      <c r="I52" s="25" t="e">
        <f ca="1">_xll.EVPRO($B$1,$H52,"STYLE")</f>
        <v>#NAME?</v>
      </c>
      <c r="J52" s="25" t="e">
        <f ca="1">_xll.EVPRO($B$1,$H52,"CALC")</f>
        <v>#NAME?</v>
      </c>
      <c r="K52" s="64" t="e">
        <f t="shared" ca="1" si="4"/>
        <v>#NAME?</v>
      </c>
      <c r="L52" s="24" t="e">
        <f ca="1">_xll.EVPRO($B$1,H52,"JDEID")</f>
        <v>#NAME?</v>
      </c>
      <c r="M52" s="24" t="e">
        <f ca="1">IF(AND(I52="N",J52="N"),_xll.EVPRO($B$1,H52,"PSFTID"),"")</f>
        <v>#NAME?</v>
      </c>
      <c r="N52" s="24" t="e">
        <f ca="1">IF(_xll.EVDES(H52,$B$1)="#NODATA","",_xll.EVDES(H52,$B$1))</f>
        <v>#NAME?</v>
      </c>
      <c r="O52" s="282"/>
      <c r="P52" s="283"/>
      <c r="Q52" s="283"/>
      <c r="R52" s="283"/>
      <c r="S52" s="283"/>
      <c r="T52" s="283"/>
      <c r="U52" s="283"/>
      <c r="V52" s="283"/>
      <c r="W52" s="283"/>
      <c r="X52" s="283"/>
      <c r="Y52" s="283"/>
      <c r="Z52" s="283"/>
      <c r="AA52" s="283" t="e">
        <f t="shared" ca="1" si="0"/>
        <v>#NAME?</v>
      </c>
      <c r="AB52" s="284" t="e">
        <f t="shared" ca="1" si="1"/>
        <v>#NAME?</v>
      </c>
      <c r="AC52" s="300"/>
      <c r="AD52" s="283"/>
      <c r="AE52" s="284" t="str">
        <f t="shared" si="2"/>
        <v/>
      </c>
      <c r="AF52" s="285" t="e">
        <f t="shared" ca="1" si="3"/>
        <v>#NAME?</v>
      </c>
      <c r="AG52" s="283"/>
      <c r="AH52" s="284" t="str">
        <f t="shared" si="5"/>
        <v/>
      </c>
      <c r="AI52" s="286" t="e">
        <f t="shared" ca="1" si="6"/>
        <v>#NAME?</v>
      </c>
      <c r="AJ52" s="371">
        <f t="shared" ca="1" si="7"/>
        <v>0</v>
      </c>
      <c r="AK52" s="372">
        <f t="shared" ca="1" si="8"/>
        <v>0</v>
      </c>
      <c r="AL52" s="373">
        <f t="shared" ca="1" si="9"/>
        <v>0</v>
      </c>
      <c r="AM52" s="374">
        <f t="shared" ca="1" si="10"/>
        <v>0</v>
      </c>
      <c r="AN52" s="375">
        <f t="shared" ca="1" si="11"/>
        <v>0</v>
      </c>
    </row>
    <row r="53" spans="1:40" x14ac:dyDescent="0.2">
      <c r="A53" s="6" t="s">
        <v>5</v>
      </c>
      <c r="B53" s="7"/>
      <c r="F53" s="136"/>
      <c r="H53" s="10" t="s">
        <v>276</v>
      </c>
      <c r="I53" s="25" t="e">
        <f ca="1">_xll.EVPRO($B$1,$H53,"STYLE")</f>
        <v>#NAME?</v>
      </c>
      <c r="J53" s="25" t="e">
        <f ca="1">_xll.EVPRO($B$1,$H53,"CALC")</f>
        <v>#NAME?</v>
      </c>
      <c r="K53" s="64" t="e">
        <f t="shared" ca="1" si="4"/>
        <v>#NAME?</v>
      </c>
      <c r="L53" s="24" t="e">
        <f ca="1">_xll.EVPRO($B$1,H53,"JDEID")</f>
        <v>#NAME?</v>
      </c>
      <c r="M53" s="24" t="e">
        <f ca="1">IF(AND(I53="N",J53="N"),_xll.EVPRO($B$1,H53,"PSFTID"),"")</f>
        <v>#NAME?</v>
      </c>
      <c r="N53" s="24" t="e">
        <f ca="1">IF(_xll.EVDES(H53,$B$1)="#NODATA","",_xll.EVDES(H53,$B$1))</f>
        <v>#NAME?</v>
      </c>
      <c r="O53" s="282"/>
      <c r="P53" s="283"/>
      <c r="Q53" s="283"/>
      <c r="R53" s="283"/>
      <c r="S53" s="283"/>
      <c r="T53" s="283"/>
      <c r="U53" s="283"/>
      <c r="V53" s="283"/>
      <c r="W53" s="283"/>
      <c r="X53" s="283"/>
      <c r="Y53" s="283"/>
      <c r="Z53" s="283"/>
      <c r="AA53" s="283" t="e">
        <f t="shared" ca="1" si="0"/>
        <v>#NAME?</v>
      </c>
      <c r="AB53" s="284" t="e">
        <f t="shared" ca="1" si="1"/>
        <v>#NAME?</v>
      </c>
      <c r="AC53" s="300"/>
      <c r="AD53" s="283"/>
      <c r="AE53" s="284" t="str">
        <f t="shared" si="2"/>
        <v/>
      </c>
      <c r="AF53" s="285" t="e">
        <f t="shared" ca="1" si="3"/>
        <v>#NAME?</v>
      </c>
      <c r="AG53" s="283"/>
      <c r="AH53" s="284" t="str">
        <f t="shared" si="5"/>
        <v/>
      </c>
      <c r="AI53" s="286" t="e">
        <f t="shared" ca="1" si="6"/>
        <v>#NAME?</v>
      </c>
      <c r="AJ53" s="371">
        <f t="shared" ca="1" si="7"/>
        <v>0</v>
      </c>
      <c r="AK53" s="372">
        <f t="shared" ca="1" si="8"/>
        <v>0</v>
      </c>
      <c r="AL53" s="373">
        <f t="shared" ca="1" si="9"/>
        <v>0</v>
      </c>
      <c r="AM53" s="374">
        <f t="shared" ca="1" si="10"/>
        <v>0</v>
      </c>
      <c r="AN53" s="375">
        <f t="shared" ca="1" si="11"/>
        <v>0</v>
      </c>
    </row>
    <row r="54" spans="1:40" x14ac:dyDescent="0.2">
      <c r="A54" s="6" t="s">
        <v>6</v>
      </c>
      <c r="B54" s="7"/>
      <c r="F54" s="136"/>
      <c r="H54" s="10" t="s">
        <v>282</v>
      </c>
      <c r="I54" s="25" t="e">
        <f ca="1">_xll.EVPRO($B$1,$H54,"STYLE")</f>
        <v>#NAME?</v>
      </c>
      <c r="J54" s="25" t="e">
        <f ca="1">_xll.EVPRO($B$1,$H54,"CALC")</f>
        <v>#NAME?</v>
      </c>
      <c r="K54" s="64" t="e">
        <f t="shared" ca="1" si="4"/>
        <v>#NAME?</v>
      </c>
      <c r="L54" s="24" t="e">
        <f ca="1">_xll.EVPRO($B$1,H54,"JDEID")</f>
        <v>#NAME?</v>
      </c>
      <c r="M54" s="24" t="e">
        <f ca="1">IF(AND(I54="N",J54="N"),_xll.EVPRO($B$1,H54,"PSFTID"),"")</f>
        <v>#NAME?</v>
      </c>
      <c r="N54" s="24" t="e">
        <f ca="1">IF(_xll.EVDES(H54,$B$1)="#NODATA","",_xll.EVDES(H54,$B$1))</f>
        <v>#NAME?</v>
      </c>
      <c r="O54" s="282">
        <v>1115.8800000000001</v>
      </c>
      <c r="P54" s="283"/>
      <c r="Q54" s="283"/>
      <c r="R54" s="283"/>
      <c r="S54" s="283"/>
      <c r="T54" s="283"/>
      <c r="U54" s="283"/>
      <c r="V54" s="283"/>
      <c r="W54" s="283"/>
      <c r="X54" s="283"/>
      <c r="Y54" s="283"/>
      <c r="Z54" s="283"/>
      <c r="AA54" s="283" t="e">
        <f t="shared" ca="1" si="0"/>
        <v>#NAME?</v>
      </c>
      <c r="AB54" s="284" t="e">
        <f t="shared" ca="1" si="1"/>
        <v>#NAME?</v>
      </c>
      <c r="AC54" s="300"/>
      <c r="AD54" s="283"/>
      <c r="AE54" s="284" t="str">
        <f t="shared" si="2"/>
        <v/>
      </c>
      <c r="AF54" s="285" t="e">
        <f t="shared" ca="1" si="3"/>
        <v>#NAME?</v>
      </c>
      <c r="AG54" s="283">
        <v>114267.39</v>
      </c>
      <c r="AH54" s="284" t="str">
        <f t="shared" ca="1" si="5"/>
        <v/>
      </c>
      <c r="AI54" s="286" t="e">
        <f t="shared" ca="1" si="6"/>
        <v>#NAME?</v>
      </c>
      <c r="AJ54" s="371">
        <f t="shared" ca="1" si="7"/>
        <v>0</v>
      </c>
      <c r="AK54" s="372">
        <f t="shared" ca="1" si="8"/>
        <v>0</v>
      </c>
      <c r="AL54" s="373">
        <f t="shared" ca="1" si="9"/>
        <v>0</v>
      </c>
      <c r="AM54" s="374">
        <f t="shared" ca="1" si="10"/>
        <v>0</v>
      </c>
      <c r="AN54" s="375">
        <f t="shared" ca="1" si="11"/>
        <v>0</v>
      </c>
    </row>
    <row r="55" spans="1:40" x14ac:dyDescent="0.2">
      <c r="A55" s="6" t="s">
        <v>7</v>
      </c>
      <c r="B55" s="7" t="e">
        <f ca="1">_xll.EVRNG(A69:F77)</f>
        <v>#NAME?</v>
      </c>
      <c r="F55" s="136"/>
      <c r="H55" s="10" t="s">
        <v>283</v>
      </c>
      <c r="I55" s="25" t="e">
        <f ca="1">_xll.EVPRO($B$1,$H55,"STYLE")</f>
        <v>#NAME?</v>
      </c>
      <c r="J55" s="25" t="e">
        <f ca="1">_xll.EVPRO($B$1,$H55,"CALC")</f>
        <v>#NAME?</v>
      </c>
      <c r="K55" s="64" t="e">
        <f t="shared" ca="1" si="4"/>
        <v>#NAME?</v>
      </c>
      <c r="L55" s="24" t="e">
        <f ca="1">_xll.EVPRO($B$1,H55,"JDEID")</f>
        <v>#NAME?</v>
      </c>
      <c r="M55" s="24" t="e">
        <f ca="1">IF(AND(I55="N",J55="N"),_xll.EVPRO($B$1,H55,"PSFTID"),"")</f>
        <v>#NAME?</v>
      </c>
      <c r="N55" s="24" t="e">
        <f ca="1">IF(_xll.EVDES(H55,$B$1)="#NODATA","",_xll.EVDES(H55,$B$1))</f>
        <v>#NAME?</v>
      </c>
      <c r="O55" s="282">
        <v>30</v>
      </c>
      <c r="P55" s="283"/>
      <c r="Q55" s="283"/>
      <c r="R55" s="283"/>
      <c r="S55" s="283"/>
      <c r="T55" s="283"/>
      <c r="U55" s="283"/>
      <c r="V55" s="283"/>
      <c r="W55" s="283"/>
      <c r="X55" s="283"/>
      <c r="Y55" s="283"/>
      <c r="Z55" s="283"/>
      <c r="AA55" s="283" t="e">
        <f t="shared" ca="1" si="0"/>
        <v>#NAME?</v>
      </c>
      <c r="AB55" s="284" t="e">
        <f t="shared" ca="1" si="1"/>
        <v>#NAME?</v>
      </c>
      <c r="AC55" s="300"/>
      <c r="AD55" s="283"/>
      <c r="AE55" s="284" t="str">
        <f t="shared" si="2"/>
        <v/>
      </c>
      <c r="AF55" s="285" t="e">
        <f t="shared" ca="1" si="3"/>
        <v>#NAME?</v>
      </c>
      <c r="AG55" s="283">
        <v>2589</v>
      </c>
      <c r="AH55" s="284" t="str">
        <f t="shared" ca="1" si="5"/>
        <v/>
      </c>
      <c r="AI55" s="286" t="e">
        <f t="shared" ca="1" si="6"/>
        <v>#NAME?</v>
      </c>
      <c r="AJ55" s="371">
        <f t="shared" ca="1" si="7"/>
        <v>0</v>
      </c>
      <c r="AK55" s="372">
        <f t="shared" ca="1" si="8"/>
        <v>0</v>
      </c>
      <c r="AL55" s="373">
        <f t="shared" ca="1" si="9"/>
        <v>0</v>
      </c>
      <c r="AM55" s="374">
        <f t="shared" ca="1" si="10"/>
        <v>0</v>
      </c>
      <c r="AN55" s="375">
        <f t="shared" ca="1" si="11"/>
        <v>0</v>
      </c>
    </row>
    <row r="56" spans="1:40" x14ac:dyDescent="0.2">
      <c r="A56" s="6" t="s">
        <v>47</v>
      </c>
      <c r="B56" s="7" t="e">
        <f ca="1">_xll.EVRNG($A$125:$B$146)</f>
        <v>#NAME?</v>
      </c>
      <c r="H56" s="10" t="s">
        <v>473</v>
      </c>
      <c r="I56" s="25" t="e">
        <f ca="1">_xll.EVPRO($B$1,$H56,"STYLE")</f>
        <v>#NAME?</v>
      </c>
      <c r="J56" s="25" t="e">
        <f ca="1">_xll.EVPRO($B$1,$H56,"CALC")</f>
        <v>#NAME?</v>
      </c>
      <c r="K56" s="64" t="e">
        <f t="shared" ca="1" si="4"/>
        <v>#NAME?</v>
      </c>
      <c r="L56" s="24" t="e">
        <f ca="1">_xll.EVPRO($B$1,H56,"JDEID")</f>
        <v>#NAME?</v>
      </c>
      <c r="M56" s="24" t="e">
        <f ca="1">IF(AND(I56="N",J56="N"),_xll.EVPRO($B$1,H56,"PSFTID"),"")</f>
        <v>#NAME?</v>
      </c>
      <c r="N56" s="24" t="e">
        <f ca="1">IF(_xll.EVDES(H56,$B$1)="#NODATA","",_xll.EVDES(H56,$B$1))</f>
        <v>#NAME?</v>
      </c>
      <c r="O56" s="295"/>
      <c r="P56" s="296"/>
      <c r="Q56" s="296"/>
      <c r="R56" s="296"/>
      <c r="S56" s="296"/>
      <c r="T56" s="296"/>
      <c r="U56" s="296"/>
      <c r="V56" s="296"/>
      <c r="W56" s="296"/>
      <c r="X56" s="296"/>
      <c r="Y56" s="296"/>
      <c r="Z56" s="296"/>
      <c r="AA56" s="296" t="e">
        <f t="shared" ca="1" si="0"/>
        <v>#NAME?</v>
      </c>
      <c r="AB56" s="297" t="e">
        <f t="shared" ca="1" si="1"/>
        <v>#NAME?</v>
      </c>
      <c r="AC56" s="263"/>
      <c r="AD56" s="296"/>
      <c r="AE56" s="297" t="str">
        <f t="shared" si="2"/>
        <v/>
      </c>
      <c r="AF56" s="298" t="e">
        <f t="shared" ca="1" si="3"/>
        <v>#NAME?</v>
      </c>
      <c r="AG56" s="296"/>
      <c r="AH56" s="297" t="str">
        <f t="shared" si="5"/>
        <v/>
      </c>
      <c r="AI56" s="299" t="e">
        <f t="shared" ca="1" si="6"/>
        <v>#NAME?</v>
      </c>
      <c r="AJ56" s="381">
        <f t="shared" ca="1" si="7"/>
        <v>0</v>
      </c>
      <c r="AK56" s="382">
        <f t="shared" ca="1" si="8"/>
        <v>0</v>
      </c>
      <c r="AL56" s="383">
        <f t="shared" ca="1" si="9"/>
        <v>0</v>
      </c>
      <c r="AM56" s="384">
        <f t="shared" ca="1" si="10"/>
        <v>0</v>
      </c>
      <c r="AN56" s="385">
        <f t="shared" ca="1" si="11"/>
        <v>0</v>
      </c>
    </row>
    <row r="57" spans="1:40" x14ac:dyDescent="0.2">
      <c r="A57" s="6" t="s">
        <v>8</v>
      </c>
      <c r="B57" s="7"/>
      <c r="H57" s="10" t="s">
        <v>277</v>
      </c>
      <c r="I57" s="447" t="e">
        <f ca="1">_xll.EVPRO($B$1,$H57,"STYLE")</f>
        <v>#NAME?</v>
      </c>
      <c r="J57" s="447" t="e">
        <f ca="1">_xll.EVPRO($B$1,$H57,"CALC")</f>
        <v>#NAME?</v>
      </c>
      <c r="K57" s="448" t="e">
        <f t="shared" ca="1" si="4"/>
        <v>#NAME?</v>
      </c>
      <c r="L57" s="151" t="e">
        <f ca="1">_xll.EVPRO($B$1,H57,"JDEID")</f>
        <v>#NAME?</v>
      </c>
      <c r="M57" s="151" t="e">
        <f ca="1">IF(AND(I57="N",J57="N"),_xll.EVPRO($B$1,H57,"PSFTID"),"")</f>
        <v>#NAME?</v>
      </c>
      <c r="N57" s="151" t="e">
        <f ca="1">IF(_xll.EVDES(H57,$B$1)="#NODATA","",_xll.EVDES(H57,$B$1))</f>
        <v>#NAME?</v>
      </c>
      <c r="O57" s="203">
        <v>1145.8800000000001</v>
      </c>
      <c r="P57" s="33"/>
      <c r="Q57" s="33"/>
      <c r="R57" s="33"/>
      <c r="S57" s="33"/>
      <c r="T57" s="33"/>
      <c r="U57" s="33"/>
      <c r="V57" s="33"/>
      <c r="W57" s="33"/>
      <c r="X57" s="33"/>
      <c r="Y57" s="33"/>
      <c r="Z57" s="33"/>
      <c r="AA57" s="33" t="e">
        <f t="shared" ca="1" si="0"/>
        <v>#NAME?</v>
      </c>
      <c r="AB57" s="34" t="e">
        <f t="shared" ca="1" si="1"/>
        <v>#NAME?</v>
      </c>
      <c r="AC57" s="32"/>
      <c r="AD57" s="33"/>
      <c r="AE57" s="34" t="str">
        <f t="shared" si="2"/>
        <v/>
      </c>
      <c r="AF57" s="54" t="e">
        <f t="shared" ca="1" si="3"/>
        <v>#NAME?</v>
      </c>
      <c r="AG57" s="33">
        <v>116856.39</v>
      </c>
      <c r="AH57" s="34" t="str">
        <f t="shared" ca="1" si="5"/>
        <v/>
      </c>
      <c r="AI57" s="265" t="e">
        <f t="shared" ca="1" si="6"/>
        <v>#NAME?</v>
      </c>
      <c r="AJ57" s="344">
        <f t="shared" ca="1" si="7"/>
        <v>0</v>
      </c>
      <c r="AK57" s="345">
        <f t="shared" ca="1" si="8"/>
        <v>0</v>
      </c>
      <c r="AL57" s="347">
        <f t="shared" ca="1" si="9"/>
        <v>0</v>
      </c>
      <c r="AM57" s="379">
        <f t="shared" ca="1" si="10"/>
        <v>0</v>
      </c>
      <c r="AN57" s="380">
        <f t="shared" ca="1" si="11"/>
        <v>0</v>
      </c>
    </row>
    <row r="58" spans="1:40" x14ac:dyDescent="0.2">
      <c r="G58" s="13"/>
      <c r="H58" s="10" t="s">
        <v>280</v>
      </c>
      <c r="I58" s="447" t="e">
        <f ca="1">_xll.EVPRO($B$1,$H58,"STYLE")</f>
        <v>#NAME?</v>
      </c>
      <c r="J58" s="447" t="e">
        <f ca="1">_xll.EVPRO($B$1,$H58,"CALC")</f>
        <v>#NAME?</v>
      </c>
      <c r="K58" s="448" t="e">
        <f t="shared" ca="1" si="4"/>
        <v>#NAME?</v>
      </c>
      <c r="L58" s="151" t="e">
        <f ca="1">_xll.EVPRO($B$1,H58,"JDEID")</f>
        <v>#NAME?</v>
      </c>
      <c r="M58" s="151" t="e">
        <f ca="1">IF(AND(I58="N",J58="N"),_xll.EVPRO($B$1,H58,"PSFTID"),"")</f>
        <v>#NAME?</v>
      </c>
      <c r="N58" s="151" t="e">
        <f ca="1">IF(_xll.EVDES(H58,$B$1)="#NODATA","",_xll.EVDES(H58,$B$1))</f>
        <v>#NAME?</v>
      </c>
      <c r="O58" s="202">
        <v>6501.76</v>
      </c>
      <c r="P58" s="120">
        <v>0</v>
      </c>
      <c r="Q58" s="120">
        <v>0</v>
      </c>
      <c r="R58" s="120">
        <v>0</v>
      </c>
      <c r="S58" s="120">
        <v>0</v>
      </c>
      <c r="T58" s="120">
        <v>0</v>
      </c>
      <c r="U58" s="120">
        <v>0</v>
      </c>
      <c r="V58" s="120">
        <v>0</v>
      </c>
      <c r="W58" s="120">
        <v>0</v>
      </c>
      <c r="X58" s="120">
        <v>0</v>
      </c>
      <c r="Y58" s="120">
        <v>-905.6</v>
      </c>
      <c r="Z58" s="120">
        <v>-1276.8</v>
      </c>
      <c r="AA58" s="120" t="e">
        <f t="shared" ca="1" si="0"/>
        <v>#NAME?</v>
      </c>
      <c r="AB58" s="121" t="e">
        <f t="shared" ca="1" si="1"/>
        <v>#NAME?</v>
      </c>
      <c r="AC58" s="123"/>
      <c r="AD58" s="120"/>
      <c r="AE58" s="121" t="str">
        <f t="shared" si="2"/>
        <v/>
      </c>
      <c r="AF58" s="122" t="e">
        <f t="shared" ca="1" si="3"/>
        <v>#NAME?</v>
      </c>
      <c r="AG58" s="120">
        <v>703947.4</v>
      </c>
      <c r="AH58" s="121" t="str">
        <f t="shared" ca="1" si="5"/>
        <v/>
      </c>
      <c r="AI58" s="264" t="e">
        <f t="shared" ca="1" si="6"/>
        <v>#NAME?</v>
      </c>
      <c r="AJ58" s="332">
        <f t="shared" ca="1" si="7"/>
        <v>0</v>
      </c>
      <c r="AK58" s="333">
        <f t="shared" ca="1" si="8"/>
        <v>0</v>
      </c>
      <c r="AL58" s="335">
        <f t="shared" ca="1" si="9"/>
        <v>0</v>
      </c>
      <c r="AM58" s="377">
        <f t="shared" ca="1" si="10"/>
        <v>0</v>
      </c>
      <c r="AN58" s="378">
        <f t="shared" ca="1" si="11"/>
        <v>0</v>
      </c>
    </row>
    <row r="59" spans="1:40" x14ac:dyDescent="0.2">
      <c r="A59" s="3" t="s">
        <v>9</v>
      </c>
      <c r="B59" s="5" t="s">
        <v>10</v>
      </c>
      <c r="O59" s="50"/>
      <c r="AB59" s="51"/>
      <c r="AD59" s="50"/>
      <c r="AF59" s="51"/>
      <c r="AG59" s="50"/>
      <c r="AI59" s="51"/>
    </row>
    <row r="60" spans="1:40" x14ac:dyDescent="0.2">
      <c r="A60" s="6" t="s">
        <v>11</v>
      </c>
      <c r="B60" s="7" t="s">
        <v>21</v>
      </c>
      <c r="H60" s="1" t="s">
        <v>281</v>
      </c>
      <c r="I60" s="11" t="e">
        <f ca="1">_xll.EVPRO($B$1,$H60,"STYLE")</f>
        <v>#NAME?</v>
      </c>
      <c r="J60" s="11" t="e">
        <f ca="1">_xll.EVPRO($B$1,$H60,"CALC")</f>
        <v>#NAME?</v>
      </c>
      <c r="N60" s="37" t="e">
        <f ca="1">IF(_xll.EVDES(H60,$B$1)="#NODATA","",_xll.EVDES(H60,$B$1))</f>
        <v>#NAME?</v>
      </c>
      <c r="O60" s="50"/>
      <c r="AB60" s="51"/>
      <c r="AD60" s="50"/>
      <c r="AF60" s="51"/>
      <c r="AG60" s="50"/>
      <c r="AI60" s="51"/>
    </row>
    <row r="61" spans="1:40" x14ac:dyDescent="0.2">
      <c r="A61" s="6" t="s">
        <v>12</v>
      </c>
      <c r="B61" s="7" t="s">
        <v>22</v>
      </c>
      <c r="H61" s="1" t="s">
        <v>284</v>
      </c>
      <c r="I61" s="11" t="e">
        <f ca="1">_xll.EVPRO($B$1,$H61,"STYLE")</f>
        <v>#NAME?</v>
      </c>
      <c r="J61" s="11" t="e">
        <f ca="1">_xll.EVPRO($B$1,$H61,"CALC")</f>
        <v>#NAME?</v>
      </c>
      <c r="N61" s="8" t="e">
        <f ca="1">IF(_xll.EVDES(H61,$B$1)="#NODATA","",_xll.EVDES(H61,$B$1))</f>
        <v>#NAME?</v>
      </c>
      <c r="O61" s="50"/>
      <c r="AB61" s="51"/>
      <c r="AD61" s="50"/>
      <c r="AF61" s="51"/>
      <c r="AG61" s="50"/>
      <c r="AI61" s="51"/>
    </row>
    <row r="62" spans="1:40" x14ac:dyDescent="0.2">
      <c r="A62" s="6" t="s">
        <v>13</v>
      </c>
      <c r="B62" s="7" t="e">
        <f ca="1">"DEP(COS_FB) AND "&amp;$E$6&amp;"=Y,COS_FB,COSOTH,DEP(COS_OTHR) AND "&amp;$E$6&amp;"=Y,COS_OTHR,500001"</f>
        <v>#NAME?</v>
      </c>
      <c r="H62" s="10" t="s">
        <v>285</v>
      </c>
      <c r="I62" s="25" t="e">
        <f ca="1">_xll.EVPRO($B$1,$H62,"STYLE")</f>
        <v>#NAME?</v>
      </c>
      <c r="J62" s="25" t="e">
        <f ca="1">_xll.EVPRO($B$1,$H62,"CALC")</f>
        <v>#NAME?</v>
      </c>
      <c r="K62" s="64" t="e">
        <f ca="1">IF(AND(I62&gt;="T5"),"&gt;","")</f>
        <v>#NAME?</v>
      </c>
      <c r="L62" s="24" t="e">
        <f ca="1">_xll.EVPRO($B$1,H62,"JDEID")</f>
        <v>#NAME?</v>
      </c>
      <c r="M62" s="24" t="e">
        <f ca="1">IF(AND(I62="N",J62="N"),_xll.EVPRO($B$1,H62,"PSFTID"),"")</f>
        <v>#NAME?</v>
      </c>
      <c r="N62" s="24" t="e">
        <f ca="1">IF(_xll.EVDES(H62,$B$1)="#NODATA","",_xll.EVDES(H62,$B$1))</f>
        <v>#NAME?</v>
      </c>
      <c r="O62" s="282">
        <v>2177.35</v>
      </c>
      <c r="P62" s="283">
        <v>5707.46</v>
      </c>
      <c r="Q62" s="283">
        <v>-594.05999999999995</v>
      </c>
      <c r="R62" s="283"/>
      <c r="S62" s="283"/>
      <c r="T62" s="283"/>
      <c r="U62" s="283"/>
      <c r="V62" s="283"/>
      <c r="W62" s="283"/>
      <c r="X62" s="283">
        <v>149.06</v>
      </c>
      <c r="Y62" s="283"/>
      <c r="Z62" s="283">
        <v>235.41</v>
      </c>
      <c r="AA62" s="283" t="e">
        <f t="shared" ref="AA62:AA70" ca="1" si="12">IF($I62="B1","",SUM(O62:Z62))</f>
        <v>#NAME?</v>
      </c>
      <c r="AB62" s="284" t="e">
        <f ca="1">IF(AA62=0,"",IFERROR(AA62/_xll.EVGTS($B$1,1,_xll.EVPRO($B$1,$H62,"COSBASIS"),$B$3,$B$5,$B$6,$B$7,$B$9,AA$16,AA$17,AA$11),""))</f>
        <v>#NAME?</v>
      </c>
      <c r="AC62" s="300"/>
      <c r="AD62" s="283"/>
      <c r="AE62" s="284" t="str">
        <f>IF(AD62=0,"",IFERROR(AD62/_xll.EVGTS($B$1,1,_xll.EVPRO($B$1,$H62,"COSBASIS"),$B$3,$B$5,$B$6,$B$7,$B$9,AD$16,AD$17,AD$18),""))</f>
        <v/>
      </c>
      <c r="AF62" s="285" t="e">
        <f t="shared" ref="AF62:AF70" ca="1" si="13">IF(AND($AA62="",AD62=""),"",$AA62-AD62)</f>
        <v>#NAME?</v>
      </c>
      <c r="AG62" s="283">
        <v>176270.66</v>
      </c>
      <c r="AH62" s="284" t="str">
        <f ca="1">IF(AG62=0,"",IFERROR(AG62/_xll.EVGTS($B$1,1,_xll.EVPRO($B$1,$H62,"COSBASIS"),$B$3,$B$5,$B$6,$B$7,$B$9,AG$16,AG$17,AG$18),""))</f>
        <v/>
      </c>
      <c r="AI62" s="286" t="e">
        <f ca="1">IF(AND($AA62="",AG62=""),"",$AA62-AG62)</f>
        <v>#NAME?</v>
      </c>
      <c r="AJ62" s="371">
        <f ca="1">IFERROR(AA62/AA$20,0)</f>
        <v>0</v>
      </c>
      <c r="AK62" s="372">
        <f ca="1">IFERROR(AD62/AD$20,0)</f>
        <v>0</v>
      </c>
      <c r="AL62" s="373">
        <f ca="1">IFERROR(AG62/AG$20,0)</f>
        <v>0</v>
      </c>
      <c r="AM62" s="374">
        <f ca="1">+IFERROR(ROUND(($AB62-AE62)*100,2)&amp;" pts.",0)</f>
        <v>0</v>
      </c>
      <c r="AN62" s="375">
        <f ca="1">+IFERROR(ROUND(($AB62-AH62)*100,2)&amp;" pts.",0)</f>
        <v>0</v>
      </c>
    </row>
    <row r="63" spans="1:40" x14ac:dyDescent="0.2">
      <c r="A63" s="6" t="s">
        <v>14</v>
      </c>
      <c r="B63" s="7"/>
      <c r="H63" s="10" t="s">
        <v>636</v>
      </c>
      <c r="I63" s="25" t="e">
        <f ca="1">_xll.EVPRO($B$1,$H63,"STYLE")</f>
        <v>#NAME?</v>
      </c>
      <c r="J63" s="25" t="e">
        <f ca="1">_xll.EVPRO($B$1,$H63,"CALC")</f>
        <v>#NAME?</v>
      </c>
      <c r="K63" s="64" t="e">
        <f t="shared" ref="K63:K70" ca="1" si="14">IF(AND(I63&gt;="T5"),"&gt;","")</f>
        <v>#NAME?</v>
      </c>
      <c r="L63" s="24" t="e">
        <f ca="1">_xll.EVPRO($B$1,H63,"JDEID")</f>
        <v>#NAME?</v>
      </c>
      <c r="M63" s="24" t="e">
        <f ca="1">IF(AND(I63="N",J63="N"),_xll.EVPRO($B$1,H63,"PSFTID"),"")</f>
        <v>#NAME?</v>
      </c>
      <c r="N63" s="24" t="e">
        <f ca="1">IF(_xll.EVDES(H63,$B$1)="#NODATA","",_xll.EVDES(H63,$B$1))</f>
        <v>#NAME?</v>
      </c>
      <c r="O63" s="295">
        <v>424.86</v>
      </c>
      <c r="P63" s="296"/>
      <c r="Q63" s="296"/>
      <c r="R63" s="296"/>
      <c r="S63" s="296"/>
      <c r="T63" s="296"/>
      <c r="U63" s="296"/>
      <c r="V63" s="296"/>
      <c r="W63" s="296"/>
      <c r="X63" s="296"/>
      <c r="Y63" s="296"/>
      <c r="Z63" s="296"/>
      <c r="AA63" s="296" t="e">
        <f t="shared" ca="1" si="12"/>
        <v>#NAME?</v>
      </c>
      <c r="AB63" s="297" t="e">
        <f ca="1">IF(AA63=0,"",IFERROR(AA63/_xll.EVGTS($B$1,1,_xll.EVPRO($B$1,$H63,"COSBASIS"),$B$3,$B$5,$B$6,$B$7,$B$9,AA$16,AA$17,AA$11),""))</f>
        <v>#NAME?</v>
      </c>
      <c r="AC63" s="263"/>
      <c r="AD63" s="296"/>
      <c r="AE63" s="297" t="str">
        <f>IF(AD63=0,"",IFERROR(AD63/_xll.EVGTS($B$1,1,_xll.EVPRO($B$1,$H63,"COSBASIS"),$B$3,$B$5,$B$6,$B$7,$B$9,AD$16,AD$17,AD$18),""))</f>
        <v/>
      </c>
      <c r="AF63" s="298" t="e">
        <f t="shared" ca="1" si="13"/>
        <v>#NAME?</v>
      </c>
      <c r="AG63" s="296">
        <v>25236.33</v>
      </c>
      <c r="AH63" s="297" t="str">
        <f ca="1">IF(AG63=0,"",IFERROR(AG63/_xll.EVGTS($B$1,1,_xll.EVPRO($B$1,$H63,"COSBASIS"),$B$3,$B$5,$B$6,$B$7,$B$9,AG$16,AG$17,AG$18),""))</f>
        <v/>
      </c>
      <c r="AI63" s="299" t="e">
        <f t="shared" ref="AI63:AI70" ca="1" si="15">IF(AND($AA63="",AG63=""),"",$AA63-AG63)</f>
        <v>#NAME?</v>
      </c>
      <c r="AJ63" s="381">
        <f t="shared" ref="AJ63:AJ70" ca="1" si="16">IFERROR(AA63/AA$20,0)</f>
        <v>0</v>
      </c>
      <c r="AK63" s="382">
        <f t="shared" ref="AK63:AK70" ca="1" si="17">IFERROR(AD63/AD$20,0)</f>
        <v>0</v>
      </c>
      <c r="AL63" s="383">
        <f t="shared" ref="AL63:AL70" ca="1" si="18">IFERROR(AG63/AG$20,0)</f>
        <v>0</v>
      </c>
      <c r="AM63" s="384">
        <f t="shared" ref="AM63:AM70" ca="1" si="19">+IFERROR(ROUND(($AB63-AE63)*100,2)&amp;" pts.",0)</f>
        <v>0</v>
      </c>
      <c r="AN63" s="385">
        <f t="shared" ref="AN63:AN70" ca="1" si="20">+IFERROR(ROUND(($AB63-AH63)*100,2)&amp;" pts.",0)</f>
        <v>0</v>
      </c>
    </row>
    <row r="64" spans="1:40" x14ac:dyDescent="0.2">
      <c r="A64" s="6" t="s">
        <v>15</v>
      </c>
      <c r="B64" s="7"/>
      <c r="H64" s="10" t="s">
        <v>286</v>
      </c>
      <c r="I64" s="447" t="e">
        <f ca="1">_xll.EVPRO($B$1,$H64,"STYLE")</f>
        <v>#NAME?</v>
      </c>
      <c r="J64" s="447" t="e">
        <f ca="1">_xll.EVPRO($B$1,$H64,"CALC")</f>
        <v>#NAME?</v>
      </c>
      <c r="K64" s="448" t="e">
        <f t="shared" ca="1" si="14"/>
        <v>#NAME?</v>
      </c>
      <c r="L64" s="151" t="e">
        <f ca="1">_xll.EVPRO($B$1,H64,"JDEID")</f>
        <v>#NAME?</v>
      </c>
      <c r="M64" s="151" t="e">
        <f ca="1">IF(AND(I64="N",J64="N"),_xll.EVPRO($B$1,H64,"PSFTID"),"")</f>
        <v>#NAME?</v>
      </c>
      <c r="N64" s="151" t="e">
        <f ca="1">IF(_xll.EVDES(H64,$B$1)="#NODATA","",_xll.EVDES(H64,$B$1))</f>
        <v>#NAME?</v>
      </c>
      <c r="O64" s="202">
        <v>2602.21</v>
      </c>
      <c r="P64" s="120">
        <v>5707.46</v>
      </c>
      <c r="Q64" s="120">
        <v>-594.05999999999995</v>
      </c>
      <c r="R64" s="120"/>
      <c r="S64" s="120"/>
      <c r="T64" s="120"/>
      <c r="U64" s="120"/>
      <c r="V64" s="120"/>
      <c r="W64" s="120"/>
      <c r="X64" s="120">
        <v>149.06</v>
      </c>
      <c r="Y64" s="120"/>
      <c r="Z64" s="120">
        <v>235.41</v>
      </c>
      <c r="AA64" s="120" t="e">
        <f t="shared" ca="1" si="12"/>
        <v>#NAME?</v>
      </c>
      <c r="AB64" s="121" t="e">
        <f ca="1">IF(AA64=0,"",IFERROR(AA64/_xll.EVGTS($B$1,1,_xll.EVPRO($B$1,$H64,"COSBASIS"),$B$3,$B$5,$B$6,$B$7,$B$9,AA$16,AA$17,AA$11),""))</f>
        <v>#NAME?</v>
      </c>
      <c r="AC64" s="123"/>
      <c r="AD64" s="120"/>
      <c r="AE64" s="121" t="str">
        <f>IF(AD64=0,"",IFERROR(AD64/_xll.EVGTS($B$1,1,_xll.EVPRO($B$1,$H64,"COSBASIS"),$B$3,$B$5,$B$6,$B$7,$B$9,AD$16,AD$17,AD$18),""))</f>
        <v/>
      </c>
      <c r="AF64" s="122" t="e">
        <f t="shared" ca="1" si="13"/>
        <v>#NAME?</v>
      </c>
      <c r="AG64" s="120">
        <v>201506.99</v>
      </c>
      <c r="AH64" s="121" t="str">
        <f ca="1">IF(AG64=0,"",IFERROR(AG64/_xll.EVGTS($B$1,1,_xll.EVPRO($B$1,$H64,"COSBASIS"),$B$3,$B$5,$B$6,$B$7,$B$9,AG$16,AG$17,AG$18),""))</f>
        <v/>
      </c>
      <c r="AI64" s="264" t="e">
        <f t="shared" ca="1" si="15"/>
        <v>#NAME?</v>
      </c>
      <c r="AJ64" s="332">
        <f t="shared" ca="1" si="16"/>
        <v>0</v>
      </c>
      <c r="AK64" s="333">
        <f t="shared" ca="1" si="17"/>
        <v>0</v>
      </c>
      <c r="AL64" s="335">
        <f t="shared" ca="1" si="18"/>
        <v>0</v>
      </c>
      <c r="AM64" s="377">
        <f t="shared" ca="1" si="19"/>
        <v>0</v>
      </c>
      <c r="AN64" s="378">
        <f t="shared" ca="1" si="20"/>
        <v>0</v>
      </c>
    </row>
    <row r="65" spans="1:40" x14ac:dyDescent="0.2">
      <c r="A65" s="6" t="s">
        <v>16</v>
      </c>
      <c r="B65" s="7"/>
      <c r="H65" s="10" t="s">
        <v>287</v>
      </c>
      <c r="I65" s="447" t="e">
        <f ca="1">_xll.EVPRO($B$1,$H65,"STYLE")</f>
        <v>#NAME?</v>
      </c>
      <c r="J65" s="447" t="e">
        <f ca="1">_xll.EVPRO($B$1,$H65,"CALC")</f>
        <v>#NAME?</v>
      </c>
      <c r="K65" s="448" t="e">
        <f t="shared" ca="1" si="14"/>
        <v>#NAME?</v>
      </c>
      <c r="L65" s="151" t="e">
        <f ca="1">_xll.EVPRO($B$1,H65,"JDEID")</f>
        <v>#NAME?</v>
      </c>
      <c r="M65" s="151" t="e">
        <f ca="1">IF(AND(I65="N",J65="N"),_xll.EVPRO($B$1,H65,"PSFTID"),"")</f>
        <v>#NAME?</v>
      </c>
      <c r="N65" s="151" t="e">
        <f ca="1">IF(_xll.EVDES(H65,$B$1)="#NODATA","",_xll.EVDES(H65,$B$1))</f>
        <v>#NAME?</v>
      </c>
      <c r="O65" s="287"/>
      <c r="P65" s="288"/>
      <c r="Q65" s="288"/>
      <c r="R65" s="288"/>
      <c r="S65" s="288"/>
      <c r="T65" s="288"/>
      <c r="U65" s="288"/>
      <c r="V65" s="288"/>
      <c r="W65" s="288"/>
      <c r="X65" s="288"/>
      <c r="Y65" s="288"/>
      <c r="Z65" s="288"/>
      <c r="AA65" s="288" t="e">
        <f t="shared" ca="1" si="12"/>
        <v>#NAME?</v>
      </c>
      <c r="AB65" s="289" t="e">
        <f ca="1">IF(AA65=0,"",IFERROR(AA65/_xll.EVGTS($B$1,1,_xll.EVPRO($B$1,$H65,"COSBASIS"),$B$3,$B$5,$B$6,$B$7,$B$9,AA$16,AA$17,AA$11),""))</f>
        <v>#NAME?</v>
      </c>
      <c r="AC65" s="301"/>
      <c r="AD65" s="288"/>
      <c r="AE65" s="289" t="str">
        <f>IF(AD65=0,"",IFERROR(AD65/_xll.EVGTS($B$1,1,_xll.EVPRO($B$1,$H65,"COSBASIS"),$B$3,$B$5,$B$6,$B$7,$B$9,AD$16,AD$17,AD$18),""))</f>
        <v/>
      </c>
      <c r="AF65" s="290" t="e">
        <f t="shared" ca="1" si="13"/>
        <v>#NAME?</v>
      </c>
      <c r="AG65" s="288"/>
      <c r="AH65" s="289" t="str">
        <f>IF(AG65=0,"",IFERROR(AG65/_xll.EVGTS($B$1,1,_xll.EVPRO($B$1,$H65,"COSBASIS"),$B$3,$B$5,$B$6,$B$7,$B$9,AG$16,AG$17,AG$18),""))</f>
        <v/>
      </c>
      <c r="AI65" s="291" t="e">
        <f t="shared" ca="1" si="15"/>
        <v>#NAME?</v>
      </c>
      <c r="AJ65" s="325">
        <f t="shared" ca="1" si="16"/>
        <v>0</v>
      </c>
      <c r="AK65" s="326">
        <f t="shared" ca="1" si="17"/>
        <v>0</v>
      </c>
      <c r="AL65" s="328">
        <f t="shared" ca="1" si="18"/>
        <v>0</v>
      </c>
      <c r="AM65" s="362">
        <f t="shared" ca="1" si="19"/>
        <v>0</v>
      </c>
      <c r="AN65" s="376">
        <f t="shared" ca="1" si="20"/>
        <v>0</v>
      </c>
    </row>
    <row r="66" spans="1:40" x14ac:dyDescent="0.2">
      <c r="A66" s="6" t="s">
        <v>17</v>
      </c>
      <c r="B66" s="7"/>
      <c r="H66" s="10" t="s">
        <v>637</v>
      </c>
      <c r="I66" s="25" t="e">
        <f ca="1">_xll.EVPRO($B$1,$H66,"STYLE")</f>
        <v>#NAME?</v>
      </c>
      <c r="J66" s="25" t="e">
        <f ca="1">_xll.EVPRO($B$1,$H66,"CALC")</f>
        <v>#NAME?</v>
      </c>
      <c r="K66" s="64" t="e">
        <f t="shared" ca="1" si="14"/>
        <v>#NAME?</v>
      </c>
      <c r="L66" s="24" t="e">
        <f ca="1">_xll.EVPRO($B$1,H66,"JDEID")</f>
        <v>#NAME?</v>
      </c>
      <c r="M66" s="24" t="e">
        <f ca="1">IF(AND(I66="N",J66="N"),_xll.EVPRO($B$1,H66,"PSFTID"),"")</f>
        <v>#NAME?</v>
      </c>
      <c r="N66" s="24" t="e">
        <f ca="1">IF(_xll.EVDES(H66,$B$1)="#NODATA","",_xll.EVDES(H66,$B$1))</f>
        <v>#NAME?</v>
      </c>
      <c r="O66" s="282"/>
      <c r="P66" s="283"/>
      <c r="Q66" s="283"/>
      <c r="R66" s="283"/>
      <c r="S66" s="283"/>
      <c r="T66" s="283"/>
      <c r="U66" s="283"/>
      <c r="V66" s="283"/>
      <c r="W66" s="283"/>
      <c r="X66" s="283"/>
      <c r="Y66" s="283"/>
      <c r="Z66" s="283"/>
      <c r="AA66" s="283" t="e">
        <f t="shared" ca="1" si="12"/>
        <v>#NAME?</v>
      </c>
      <c r="AB66" s="284" t="e">
        <f ca="1">IF(AA66=0,"",IFERROR(AA66/_xll.EVGTS($B$1,1,_xll.EVPRO($B$1,$H66,"COSBASIS"),$B$3,$B$5,$B$6,$B$7,$B$9,AA$16,AA$17,AA$11),""))</f>
        <v>#NAME?</v>
      </c>
      <c r="AC66" s="300"/>
      <c r="AD66" s="283"/>
      <c r="AE66" s="284" t="str">
        <f>IF(AD66=0,"",IFERROR(AD66/_xll.EVGTS($B$1,1,_xll.EVPRO($B$1,$H66,"COSBASIS"),$B$3,$B$5,$B$6,$B$7,$B$9,AD$16,AD$17,AD$18),""))</f>
        <v/>
      </c>
      <c r="AF66" s="285" t="e">
        <f t="shared" ca="1" si="13"/>
        <v>#NAME?</v>
      </c>
      <c r="AG66" s="283"/>
      <c r="AH66" s="284" t="str">
        <f>IF(AG66=0,"",IFERROR(AG66/_xll.EVGTS($B$1,1,_xll.EVPRO($B$1,$H66,"COSBASIS"),$B$3,$B$5,$B$6,$B$7,$B$9,AG$16,AG$17,AG$18),""))</f>
        <v/>
      </c>
      <c r="AI66" s="286" t="e">
        <f t="shared" ca="1" si="15"/>
        <v>#NAME?</v>
      </c>
      <c r="AJ66" s="371">
        <f t="shared" ca="1" si="16"/>
        <v>0</v>
      </c>
      <c r="AK66" s="372">
        <f t="shared" ca="1" si="17"/>
        <v>0</v>
      </c>
      <c r="AL66" s="373">
        <f t="shared" ca="1" si="18"/>
        <v>0</v>
      </c>
      <c r="AM66" s="374">
        <f t="shared" ca="1" si="19"/>
        <v>0</v>
      </c>
      <c r="AN66" s="375">
        <f t="shared" ca="1" si="20"/>
        <v>0</v>
      </c>
    </row>
    <row r="67" spans="1:40" x14ac:dyDescent="0.2">
      <c r="H67" s="10" t="s">
        <v>638</v>
      </c>
      <c r="I67" s="25" t="e">
        <f ca="1">_xll.EVPRO($B$1,$H67,"STYLE")</f>
        <v>#NAME?</v>
      </c>
      <c r="J67" s="25" t="e">
        <f ca="1">_xll.EVPRO($B$1,$H67,"CALC")</f>
        <v>#NAME?</v>
      </c>
      <c r="K67" s="64" t="e">
        <f t="shared" ca="1" si="14"/>
        <v>#NAME?</v>
      </c>
      <c r="L67" s="24" t="e">
        <f ca="1">_xll.EVPRO($B$1,H67,"JDEID")</f>
        <v>#NAME?</v>
      </c>
      <c r="M67" s="24" t="e">
        <f ca="1">IF(AND(I67="N",J67="N"),_xll.EVPRO($B$1,H67,"PSFTID"),"")</f>
        <v>#NAME?</v>
      </c>
      <c r="N67" s="24" t="e">
        <f ca="1">IF(_xll.EVDES(H67,$B$1)="#NODATA","",_xll.EVDES(H67,$B$1))</f>
        <v>#NAME?</v>
      </c>
      <c r="O67" s="282"/>
      <c r="P67" s="283"/>
      <c r="Q67" s="283"/>
      <c r="R67" s="283"/>
      <c r="S67" s="283"/>
      <c r="T67" s="283"/>
      <c r="U67" s="283"/>
      <c r="V67" s="283"/>
      <c r="W67" s="283"/>
      <c r="X67" s="283"/>
      <c r="Y67" s="283"/>
      <c r="Z67" s="283"/>
      <c r="AA67" s="283" t="e">
        <f t="shared" ca="1" si="12"/>
        <v>#NAME?</v>
      </c>
      <c r="AB67" s="284" t="e">
        <f ca="1">IF(AA67=0,"",IFERROR(AA67/_xll.EVGTS($B$1,1,_xll.EVPRO($B$1,$H67,"COSBASIS"),$B$3,$B$5,$B$6,$B$7,$B$9,AA$16,AA$17,AA$11),""))</f>
        <v>#NAME?</v>
      </c>
      <c r="AC67" s="300"/>
      <c r="AD67" s="283"/>
      <c r="AE67" s="284" t="str">
        <f>IF(AD67=0,"",IFERROR(AD67/_xll.EVGTS($B$1,1,_xll.EVPRO($B$1,$H67,"COSBASIS"),$B$3,$B$5,$B$6,$B$7,$B$9,AD$16,AD$17,AD$18),""))</f>
        <v/>
      </c>
      <c r="AF67" s="285" t="e">
        <f t="shared" ca="1" si="13"/>
        <v>#NAME?</v>
      </c>
      <c r="AG67" s="283"/>
      <c r="AH67" s="284" t="str">
        <f>IF(AG67=0,"",IFERROR(AG67/_xll.EVGTS($B$1,1,_xll.EVPRO($B$1,$H67,"COSBASIS"),$B$3,$B$5,$B$6,$B$7,$B$9,AG$16,AG$17,AG$18),""))</f>
        <v/>
      </c>
      <c r="AI67" s="286" t="e">
        <f t="shared" ca="1" si="15"/>
        <v>#NAME?</v>
      </c>
      <c r="AJ67" s="371">
        <f t="shared" ca="1" si="16"/>
        <v>0</v>
      </c>
      <c r="AK67" s="372">
        <f t="shared" ca="1" si="17"/>
        <v>0</v>
      </c>
      <c r="AL67" s="373">
        <f t="shared" ca="1" si="18"/>
        <v>0</v>
      </c>
      <c r="AM67" s="374">
        <f t="shared" ca="1" si="19"/>
        <v>0</v>
      </c>
      <c r="AN67" s="375">
        <f t="shared" ca="1" si="20"/>
        <v>0</v>
      </c>
    </row>
    <row r="68" spans="1:40" x14ac:dyDescent="0.2">
      <c r="A68" s="20" t="s">
        <v>92</v>
      </c>
      <c r="B68" s="21" t="s">
        <v>93</v>
      </c>
      <c r="C68" s="21" t="s">
        <v>94</v>
      </c>
      <c r="D68" s="21" t="s">
        <v>95</v>
      </c>
      <c r="E68" s="21" t="s">
        <v>96</v>
      </c>
      <c r="F68" s="22" t="s">
        <v>97</v>
      </c>
      <c r="H68" s="10" t="s">
        <v>639</v>
      </c>
      <c r="I68" s="25" t="e">
        <f ca="1">_xll.EVPRO($B$1,$H68,"STYLE")</f>
        <v>#NAME?</v>
      </c>
      <c r="J68" s="25" t="e">
        <f ca="1">_xll.EVPRO($B$1,$H68,"CALC")</f>
        <v>#NAME?</v>
      </c>
      <c r="K68" s="64" t="e">
        <f t="shared" ca="1" si="14"/>
        <v>#NAME?</v>
      </c>
      <c r="L68" s="24" t="e">
        <f ca="1">_xll.EVPRO($B$1,H68,"JDEID")</f>
        <v>#NAME?</v>
      </c>
      <c r="M68" s="24" t="e">
        <f ca="1">IF(AND(I68="N",J68="N"),_xll.EVPRO($B$1,H68,"PSFTID"),"")</f>
        <v>#NAME?</v>
      </c>
      <c r="N68" s="24" t="e">
        <f ca="1">IF(_xll.EVDES(H68,$B$1)="#NODATA","",_xll.EVDES(H68,$B$1))</f>
        <v>#NAME?</v>
      </c>
      <c r="O68" s="295"/>
      <c r="P68" s="296"/>
      <c r="Q68" s="296"/>
      <c r="R68" s="296"/>
      <c r="S68" s="296"/>
      <c r="T68" s="296"/>
      <c r="U68" s="296"/>
      <c r="V68" s="296"/>
      <c r="W68" s="296"/>
      <c r="X68" s="296"/>
      <c r="Y68" s="296"/>
      <c r="Z68" s="296">
        <v>875</v>
      </c>
      <c r="AA68" s="296" t="e">
        <f t="shared" ca="1" si="12"/>
        <v>#NAME?</v>
      </c>
      <c r="AB68" s="297" t="e">
        <f ca="1">IF(AA68=0,"",IFERROR(AA68/_xll.EVGTS($B$1,1,_xll.EVPRO($B$1,$H68,"COSBASIS"),$B$3,$B$5,$B$6,$B$7,$B$9,AA$16,AA$17,AA$11),""))</f>
        <v>#NAME?</v>
      </c>
      <c r="AC68" s="263"/>
      <c r="AD68" s="296"/>
      <c r="AE68" s="297" t="str">
        <f>IF(AD68=0,"",IFERROR(AD68/_xll.EVGTS($B$1,1,_xll.EVPRO($B$1,$H68,"COSBASIS"),$B$3,$B$5,$B$6,$B$7,$B$9,AD$16,AD$17,AD$18),""))</f>
        <v/>
      </c>
      <c r="AF68" s="298" t="e">
        <f t="shared" ca="1" si="13"/>
        <v>#NAME?</v>
      </c>
      <c r="AG68" s="296"/>
      <c r="AH68" s="297" t="str">
        <f>IF(AG68=0,"",IFERROR(AG68/_xll.EVGTS($B$1,1,_xll.EVPRO($B$1,$H68,"COSBASIS"),$B$3,$B$5,$B$6,$B$7,$B$9,AG$16,AG$17,AG$18),""))</f>
        <v/>
      </c>
      <c r="AI68" s="299" t="e">
        <f t="shared" ca="1" si="15"/>
        <v>#NAME?</v>
      </c>
      <c r="AJ68" s="381">
        <f t="shared" ca="1" si="16"/>
        <v>0</v>
      </c>
      <c r="AK68" s="382">
        <f t="shared" ca="1" si="17"/>
        <v>0</v>
      </c>
      <c r="AL68" s="383">
        <f t="shared" ca="1" si="18"/>
        <v>0</v>
      </c>
      <c r="AM68" s="384">
        <f t="shared" ca="1" si="19"/>
        <v>0</v>
      </c>
      <c r="AN68" s="385">
        <f t="shared" ca="1" si="20"/>
        <v>0</v>
      </c>
    </row>
    <row r="69" spans="1:40" x14ac:dyDescent="0.2">
      <c r="H69" s="10" t="s">
        <v>288</v>
      </c>
      <c r="I69" s="447" t="e">
        <f ca="1">_xll.EVPRO($B$1,$H69,"STYLE")</f>
        <v>#NAME?</v>
      </c>
      <c r="J69" s="447" t="e">
        <f ca="1">_xll.EVPRO($B$1,$H69,"CALC")</f>
        <v>#NAME?</v>
      </c>
      <c r="K69" s="448" t="e">
        <f t="shared" ca="1" si="14"/>
        <v>#NAME?</v>
      </c>
      <c r="L69" s="151" t="e">
        <f ca="1">_xll.EVPRO($B$1,H69,"JDEID")</f>
        <v>#NAME?</v>
      </c>
      <c r="M69" s="151" t="e">
        <f ca="1">IF(AND(I69="N",J69="N"),_xll.EVPRO($B$1,H69,"PSFTID"),"")</f>
        <v>#NAME?</v>
      </c>
      <c r="N69" s="151" t="e">
        <f ca="1">IF(_xll.EVDES(H69,$B$1)="#NODATA","",_xll.EVDES(H69,$B$1))</f>
        <v>#NAME?</v>
      </c>
      <c r="O69" s="203"/>
      <c r="P69" s="33"/>
      <c r="Q69" s="33"/>
      <c r="R69" s="33"/>
      <c r="S69" s="33"/>
      <c r="T69" s="33"/>
      <c r="U69" s="33"/>
      <c r="V69" s="33"/>
      <c r="W69" s="33"/>
      <c r="X69" s="33"/>
      <c r="Y69" s="33"/>
      <c r="Z69" s="33">
        <v>875</v>
      </c>
      <c r="AA69" s="33" t="e">
        <f t="shared" ca="1" si="12"/>
        <v>#NAME?</v>
      </c>
      <c r="AB69" s="34" t="e">
        <f ca="1">IF(AA69=0,"",IFERROR(AA69/_xll.EVGTS($B$1,1,_xll.EVPRO($B$1,$H69,"COSBASIS"),$B$3,$B$5,$B$6,$B$7,$B$9,AA$16,AA$17,AA$11),""))</f>
        <v>#NAME?</v>
      </c>
      <c r="AC69" s="32"/>
      <c r="AD69" s="33"/>
      <c r="AE69" s="34" t="str">
        <f>IF(AD69=0,"",IFERROR(AD69/_xll.EVGTS($B$1,1,_xll.EVPRO($B$1,$H69,"COSBASIS"),$B$3,$B$5,$B$6,$B$7,$B$9,AD$16,AD$17,AD$18),""))</f>
        <v/>
      </c>
      <c r="AF69" s="54" t="e">
        <f t="shared" ca="1" si="13"/>
        <v>#NAME?</v>
      </c>
      <c r="AG69" s="33"/>
      <c r="AH69" s="34" t="str">
        <f>IF(AG69=0,"",IFERROR(AG69/_xll.EVGTS($B$1,1,_xll.EVPRO($B$1,$H69,"COSBASIS"),$B$3,$B$5,$B$6,$B$7,$B$9,AG$16,AG$17,AG$18),""))</f>
        <v/>
      </c>
      <c r="AI69" s="265" t="e">
        <f t="shared" ca="1" si="15"/>
        <v>#NAME?</v>
      </c>
      <c r="AJ69" s="344">
        <f t="shared" ca="1" si="16"/>
        <v>0</v>
      </c>
      <c r="AK69" s="345">
        <f t="shared" ca="1" si="17"/>
        <v>0</v>
      </c>
      <c r="AL69" s="347">
        <f t="shared" ca="1" si="18"/>
        <v>0</v>
      </c>
      <c r="AM69" s="379">
        <f t="shared" ca="1" si="19"/>
        <v>0</v>
      </c>
      <c r="AN69" s="380">
        <f t="shared" ca="1" si="20"/>
        <v>0</v>
      </c>
    </row>
    <row r="70" spans="1:40" x14ac:dyDescent="0.2">
      <c r="A70" s="1" t="s">
        <v>209</v>
      </c>
      <c r="B70" s="1" t="s">
        <v>21</v>
      </c>
      <c r="C70" s="70"/>
      <c r="D70" s="1" t="s">
        <v>590</v>
      </c>
      <c r="F70" s="1" t="s">
        <v>99</v>
      </c>
      <c r="H70" s="10" t="s">
        <v>289</v>
      </c>
      <c r="I70" s="447" t="e">
        <f ca="1">_xll.EVPRO($B$1,$H70,"STYLE")</f>
        <v>#NAME?</v>
      </c>
      <c r="J70" s="447" t="e">
        <f ca="1">_xll.EVPRO($B$1,$H70,"CALC")</f>
        <v>#NAME?</v>
      </c>
      <c r="K70" s="448" t="e">
        <f t="shared" ca="1" si="14"/>
        <v>#NAME?</v>
      </c>
      <c r="L70" s="151" t="e">
        <f ca="1">_xll.EVPRO($B$1,H70,"JDEID")</f>
        <v>#NAME?</v>
      </c>
      <c r="M70" s="151" t="e">
        <f ca="1">IF(AND(I70="N",J70="N"),_xll.EVPRO($B$1,H70,"PSFTID"),"")</f>
        <v>#NAME?</v>
      </c>
      <c r="N70" s="151" t="e">
        <f ca="1">IF(_xll.EVDES(H70,$B$1)="#NODATA","",_xll.EVDES(H70,$B$1))</f>
        <v>#NAME?</v>
      </c>
      <c r="O70" s="202">
        <v>2602.21</v>
      </c>
      <c r="P70" s="120">
        <v>5707.46</v>
      </c>
      <c r="Q70" s="120">
        <v>-594.05999999999995</v>
      </c>
      <c r="R70" s="120"/>
      <c r="S70" s="120"/>
      <c r="T70" s="120"/>
      <c r="U70" s="120"/>
      <c r="V70" s="120"/>
      <c r="W70" s="120"/>
      <c r="X70" s="120">
        <v>149.06</v>
      </c>
      <c r="Y70" s="120"/>
      <c r="Z70" s="120">
        <v>1110.4100000000001</v>
      </c>
      <c r="AA70" s="120" t="e">
        <f t="shared" ca="1" si="12"/>
        <v>#NAME?</v>
      </c>
      <c r="AB70" s="121" t="e">
        <f ca="1">IF(AA70=0,"",IFERROR(AA70/_xll.EVGTS($B$1,1,_xll.EVPRO($B$1,$H70,"COSBASIS"),$B$3,$B$5,$B$6,$B$7,$B$9,AA$16,AA$17,AA$11),""))</f>
        <v>#NAME?</v>
      </c>
      <c r="AC70" s="123"/>
      <c r="AD70" s="120"/>
      <c r="AE70" s="121" t="str">
        <f>IF(AD70=0,"",IFERROR(AD70/_xll.EVGTS($B$1,1,_xll.EVPRO($B$1,$H70,"COSBASIS"),$B$3,$B$5,$B$6,$B$7,$B$9,AD$16,AD$17,AD$18),""))</f>
        <v/>
      </c>
      <c r="AF70" s="122" t="e">
        <f t="shared" ca="1" si="13"/>
        <v>#NAME?</v>
      </c>
      <c r="AG70" s="120">
        <v>201506.99</v>
      </c>
      <c r="AH70" s="121" t="str">
        <f ca="1">IF(AG70=0,"",IFERROR(AG70/_xll.EVGTS($B$1,1,_xll.EVPRO($B$1,$H70,"COSBASIS"),$B$3,$B$5,$B$6,$B$7,$B$9,AG$16,AG$17,AG$18),""))</f>
        <v/>
      </c>
      <c r="AI70" s="264" t="e">
        <f t="shared" ca="1" si="15"/>
        <v>#NAME?</v>
      </c>
      <c r="AJ70" s="332">
        <f t="shared" ca="1" si="16"/>
        <v>0</v>
      </c>
      <c r="AK70" s="333">
        <f t="shared" ca="1" si="17"/>
        <v>0</v>
      </c>
      <c r="AL70" s="335">
        <f t="shared" ca="1" si="18"/>
        <v>0</v>
      </c>
      <c r="AM70" s="377">
        <f t="shared" ca="1" si="19"/>
        <v>0</v>
      </c>
      <c r="AN70" s="378">
        <f t="shared" ca="1" si="20"/>
        <v>0</v>
      </c>
    </row>
    <row r="71" spans="1:40" x14ac:dyDescent="0.2">
      <c r="A71" s="1" t="s">
        <v>105</v>
      </c>
      <c r="C71" s="24" t="s">
        <v>101</v>
      </c>
      <c r="D71" s="1" t="s">
        <v>106</v>
      </c>
      <c r="F71" s="1" t="s">
        <v>98</v>
      </c>
      <c r="H71" s="133" t="s">
        <v>175</v>
      </c>
      <c r="I71" s="26" t="e">
        <f ca="1">_xll.EVPRO($B$1,$H71,"STYLE")</f>
        <v>#NAME?</v>
      </c>
      <c r="J71" s="26" t="e">
        <f ca="1">_xll.EVPRO($B$1,$H71,"CALC")</f>
        <v>#NAME?</v>
      </c>
      <c r="K71" s="65" t="e">
        <f ca="1">IF(AND(I71&gt;="T5"),"&gt;","")</f>
        <v>#NAME?</v>
      </c>
      <c r="L71" s="65"/>
      <c r="M71" s="65"/>
      <c r="N71" s="23" t="e">
        <f ca="1">IF(_xll.EVDES(H71,$B$1)="#NODATA","",_xll.EVDES(H71,$B$1))</f>
        <v>#NAME?</v>
      </c>
      <c r="O71" s="44"/>
      <c r="P71" s="44"/>
      <c r="Q71" s="44"/>
      <c r="R71" s="44"/>
      <c r="S71" s="44"/>
      <c r="T71" s="44"/>
      <c r="U71" s="44"/>
      <c r="V71" s="44"/>
      <c r="W71" s="44"/>
      <c r="X71" s="44"/>
      <c r="Y71" s="44"/>
      <c r="Z71" s="44"/>
      <c r="AA71" s="44"/>
      <c r="AB71" s="45" t="str">
        <f>IF(O71=0,"",IFERROR(O71/_xll.EVGTS($B$1,1,INDEX($C$152:$C$175,MATCH($H71,$A$152:$A$175,0)),$B$3,$B$5,$B$6,$B$7,$B$9,O$16,O$17,O$18),""))</f>
        <v/>
      </c>
      <c r="AD71" s="44"/>
      <c r="AE71" s="45" t="str">
        <f>IF(AD71=0,"",IFERROR(AD71/_xll.EVGTS($B$1,1,INDEX($C$152:$C$175,MATCH($H71,$A$152:$A$175,0)),$B$3,$B$5,$B$6,$B$7,$B$9,AD$16,AD$17,AD$18),""))</f>
        <v/>
      </c>
      <c r="AF71" s="134" t="str">
        <f t="shared" ref="AF71:AF72" si="21">IF(AND($AA71="",AD71=""),"",$AA71-AD71)</f>
        <v/>
      </c>
      <c r="AG71" s="44"/>
      <c r="AH71" s="45" t="str">
        <f>IF(AG71=0,"",IFERROR(AG71/_xll.EVGTS($B$1,1,INDEX($C$152:$C$175,MATCH($H71,$A$152:$A$175,0)),$B$3,$B$5,$B$6,$B$7,$B$9,AG$16,AG$17,AG$18),""))</f>
        <v/>
      </c>
      <c r="AI71" s="134" t="str">
        <f>IF(AND($AA71="",AG71=""),"",$AA71-AG71)</f>
        <v/>
      </c>
    </row>
    <row r="72" spans="1:40" x14ac:dyDescent="0.2">
      <c r="A72" s="1" t="s">
        <v>104</v>
      </c>
      <c r="C72" s="24" t="s">
        <v>101</v>
      </c>
      <c r="D72" s="1" t="s">
        <v>106</v>
      </c>
      <c r="F72" s="1" t="s">
        <v>98</v>
      </c>
      <c r="H72" s="133" t="s">
        <v>292</v>
      </c>
      <c r="I72" s="26" t="e">
        <f ca="1">_xll.EVPRO($B$1,$H72,"STYLE")</f>
        <v>#NAME?</v>
      </c>
      <c r="J72" s="26" t="e">
        <f ca="1">_xll.EVPRO($B$1,$H72,"CALC")</f>
        <v>#NAME?</v>
      </c>
      <c r="K72" s="65" t="e">
        <f ca="1">IF(AND(I72&gt;="T5"),"&gt;","")</f>
        <v>#NAME?</v>
      </c>
      <c r="L72" s="65"/>
      <c r="M72" s="65"/>
      <c r="N72" s="23" t="e">
        <f ca="1">IF(_xll.EVDES(H72,$B$1)="#NODATA","",_xll.EVDES(H72,$B$1))</f>
        <v>#NAME?</v>
      </c>
      <c r="O72" s="145">
        <f>SUMIF($H$35:$H$70,"400000",O35:O70)-SUMIF($H$35:$H$70,"500001",O35:O70)</f>
        <v>3899.55</v>
      </c>
      <c r="P72" s="145">
        <f t="shared" ref="P72:Y72" si="22">SUMIF($H$35:$H$70,"400000",P35:P70)-SUMIF($H$35:$H$70,"500001",P35:P70)</f>
        <v>-5707.46</v>
      </c>
      <c r="Q72" s="145">
        <f t="shared" si="22"/>
        <v>594.05999999999995</v>
      </c>
      <c r="R72" s="145">
        <f t="shared" si="22"/>
        <v>0</v>
      </c>
      <c r="S72" s="145">
        <f t="shared" si="22"/>
        <v>0</v>
      </c>
      <c r="T72" s="145">
        <f t="shared" si="22"/>
        <v>0</v>
      </c>
      <c r="U72" s="145">
        <f t="shared" si="22"/>
        <v>0</v>
      </c>
      <c r="V72" s="145">
        <f t="shared" si="22"/>
        <v>0</v>
      </c>
      <c r="W72" s="145">
        <f t="shared" si="22"/>
        <v>0</v>
      </c>
      <c r="X72" s="145">
        <f t="shared" si="22"/>
        <v>-149.06</v>
      </c>
      <c r="Y72" s="145">
        <f t="shared" si="22"/>
        <v>-905.6</v>
      </c>
      <c r="Z72" s="145">
        <f>SUMIF($H$35:$H$70,"400000",Z35:Z70)-SUMIF($H$35:$H$70,"500001",Z35:Z70)</f>
        <v>-2387.21</v>
      </c>
      <c r="AA72" s="120" t="e">
        <f ca="1">IF($I72="B1","",SUM(O72:Z72))</f>
        <v>#NAME?</v>
      </c>
      <c r="AB72" s="121" t="e">
        <f ca="1">IF(AA72=0,"",IFERROR(AA72/AA$19,""))</f>
        <v>#NAME?</v>
      </c>
      <c r="AD72" s="145">
        <f>SUMIF($H$35:$H$70,"400000",AD35:AD70)-SUMIF($H$35:$H$70,"500001",AD35:AD70)</f>
        <v>0</v>
      </c>
      <c r="AE72" s="121" t="str">
        <f>IF(AD72=0,"",IFERROR(AD72/AD$19,""))</f>
        <v/>
      </c>
      <c r="AF72" s="146" t="e">
        <f t="shared" ca="1" si="21"/>
        <v>#NAME?</v>
      </c>
      <c r="AG72" s="145">
        <f>SUMIF($H$35:$H$70,"400000",AG35:AG70)-SUMIF($H$35:$H$70,"500001",AG35:AG70)</f>
        <v>502440.41000000003</v>
      </c>
      <c r="AH72" s="121" t="str">
        <f ca="1">IF(AG72=0,"",IFERROR(AG72/AG$19,""))</f>
        <v/>
      </c>
      <c r="AI72" s="146" t="e">
        <f ca="1">IF(AND($AA72="",AG72=""),"",$AA72-AG72)</f>
        <v>#NAME?</v>
      </c>
      <c r="AJ72" s="332">
        <f ca="1">IFERROR(AA72/AA$20,0)</f>
        <v>0</v>
      </c>
      <c r="AK72" s="333">
        <f ca="1">IFERROR(AD72/AD$20,0)</f>
        <v>0</v>
      </c>
      <c r="AL72" s="335">
        <f ca="1">IFERROR(AG72/AG$20,0)</f>
        <v>0</v>
      </c>
      <c r="AM72" s="377">
        <f ca="1">+IFERROR(ROUND(($AB72-AE72)*100,2)&amp;" pts.",0)</f>
        <v>0</v>
      </c>
      <c r="AN72" s="378">
        <f ca="1">+IFERROR(ROUND(($AB72-AH72)*100,2)&amp;" pts.",0)</f>
        <v>0</v>
      </c>
    </row>
    <row r="73" spans="1:40" x14ac:dyDescent="0.2">
      <c r="A73" s="1" t="s">
        <v>100</v>
      </c>
      <c r="C73" s="8" t="s">
        <v>101</v>
      </c>
      <c r="D73" s="1" t="s">
        <v>106</v>
      </c>
      <c r="F73" s="1" t="s">
        <v>98</v>
      </c>
      <c r="O73" s="144"/>
      <c r="P73" s="147"/>
      <c r="Q73" s="147"/>
      <c r="R73" s="147"/>
      <c r="S73" s="147"/>
      <c r="T73" s="147"/>
      <c r="U73" s="147"/>
      <c r="V73" s="147"/>
      <c r="W73" s="147"/>
      <c r="X73" s="147"/>
      <c r="Y73" s="147"/>
      <c r="Z73" s="147"/>
      <c r="AA73" s="147"/>
      <c r="AB73" s="51"/>
      <c r="AD73" s="50"/>
      <c r="AF73" s="51"/>
      <c r="AI73" s="51"/>
    </row>
    <row r="74" spans="1:40" x14ac:dyDescent="0.2">
      <c r="A74" s="1" t="s">
        <v>102</v>
      </c>
      <c r="C74" s="23" t="s">
        <v>101</v>
      </c>
      <c r="D74" s="1" t="s">
        <v>106</v>
      </c>
      <c r="F74" s="1" t="s">
        <v>98</v>
      </c>
      <c r="H74" s="1" t="s">
        <v>73</v>
      </c>
      <c r="I74" s="11" t="e">
        <f ca="1">_xll.EVPRO($B$1,$H74,"STYLE")</f>
        <v>#NAME?</v>
      </c>
      <c r="J74" s="11" t="e">
        <f ca="1">_xll.EVPRO($B$1,$H74,"CALC")</f>
        <v>#NAME?</v>
      </c>
      <c r="N74" s="37" t="e">
        <f ca="1">IF(_xll.EVDES(H74,$B$1)="#NODATA","",_xll.EVDES(H74,$B$1))</f>
        <v>#NAME?</v>
      </c>
      <c r="O74" s="50"/>
      <c r="AB74" s="149"/>
      <c r="AD74" s="148"/>
      <c r="AE74" s="150"/>
      <c r="AF74" s="51"/>
      <c r="AH74" s="150"/>
      <c r="AI74" s="51"/>
    </row>
    <row r="75" spans="1:40" x14ac:dyDescent="0.2">
      <c r="A75" s="1" t="s">
        <v>102</v>
      </c>
      <c r="C75" s="135" t="s">
        <v>101</v>
      </c>
      <c r="D75" s="1" t="s">
        <v>107</v>
      </c>
      <c r="F75" s="1" t="s">
        <v>99</v>
      </c>
      <c r="H75" s="1" t="s">
        <v>74</v>
      </c>
      <c r="I75" s="11" t="e">
        <f ca="1">_xll.EVPRO($B$1,$H75,"STYLE")</f>
        <v>#NAME?</v>
      </c>
      <c r="J75" s="11" t="e">
        <f ca="1">_xll.EVPRO($B$1,$H75,"CALC")</f>
        <v>#NAME?</v>
      </c>
      <c r="N75" s="8" t="e">
        <f ca="1">IF(_xll.EVDES(H75,$B$1)="#NODATA","",_xll.EVDES(H75,$B$1))</f>
        <v>#NAME?</v>
      </c>
      <c r="O75" s="40"/>
      <c r="P75" s="43"/>
      <c r="Q75" s="43"/>
      <c r="R75" s="43"/>
      <c r="S75" s="43"/>
      <c r="T75" s="43"/>
      <c r="U75" s="43"/>
      <c r="V75" s="43"/>
      <c r="W75" s="43"/>
      <c r="X75" s="43"/>
      <c r="Y75" s="43"/>
      <c r="Z75" s="43"/>
      <c r="AA75" s="43"/>
      <c r="AB75" s="41"/>
      <c r="AD75" s="40"/>
      <c r="AE75" s="43"/>
      <c r="AF75" s="41"/>
      <c r="AG75" s="43"/>
      <c r="AH75" s="43"/>
      <c r="AI75" s="41"/>
    </row>
    <row r="76" spans="1:40" x14ac:dyDescent="0.2">
      <c r="A76" s="1" t="s">
        <v>108</v>
      </c>
      <c r="C76" s="23" t="s">
        <v>101</v>
      </c>
      <c r="D76" s="1" t="s">
        <v>106</v>
      </c>
      <c r="F76" s="1" t="s">
        <v>98</v>
      </c>
      <c r="H76" s="10" t="s">
        <v>883</v>
      </c>
      <c r="I76" s="25" t="e">
        <f ca="1">_xll.EVPRO($B$1,$H76,"STYLE")</f>
        <v>#NAME?</v>
      </c>
      <c r="J76" s="25" t="e">
        <f ca="1">_xll.EVPRO($B$1,$H76,"CALC")</f>
        <v>#NAME?</v>
      </c>
      <c r="K76" s="64" t="e">
        <f ca="1">IF(AND(I76&gt;="T3"),"&gt;","")</f>
        <v>#NAME?</v>
      </c>
      <c r="L76" s="24" t="e">
        <f ca="1">_xll.EVPRO($B$1,H76,"JDEID")</f>
        <v>#NAME?</v>
      </c>
      <c r="M76" s="24" t="e">
        <f ca="1">IF(AND(I76="N",J76="N"),_xll.EVPRO($B$1,H76,"PSFTID"),"")</f>
        <v>#NAME?</v>
      </c>
      <c r="N76" s="24" t="e">
        <f ca="1">IF(_xll.EVDES(H76,$B$1)="#NODATA","",_xll.EVDES(H76,$B$1))</f>
        <v>#NAME?</v>
      </c>
      <c r="O76" s="35"/>
      <c r="P76" s="35"/>
      <c r="Q76" s="35"/>
      <c r="R76" s="35"/>
      <c r="S76" s="35"/>
      <c r="T76" s="35"/>
      <c r="U76" s="35"/>
      <c r="V76" s="35"/>
      <c r="W76" s="35"/>
      <c r="X76" s="35"/>
      <c r="Y76" s="35"/>
      <c r="Z76" s="35"/>
      <c r="AA76" s="283" t="e">
        <f t="shared" ref="AA76:AA90" ca="1" si="23">IF($I76="B1","",SUM(O76:Z76))</f>
        <v>#NAME?</v>
      </c>
      <c r="AB76" s="36" t="e">
        <f t="shared" ref="AB76:AB90" ca="1" si="24">IF(AA76=0,"",IFERROR(AA76/AA$19,""))</f>
        <v>#NAME?</v>
      </c>
      <c r="AD76" s="35"/>
      <c r="AE76" s="36" t="str">
        <f t="shared" ref="AE76:AE90" si="25">IF(AD76=0,"",IFERROR(AD76/AD$19,""))</f>
        <v/>
      </c>
      <c r="AF76" s="118" t="e">
        <f t="shared" ref="AF76:AF90" ca="1" si="26">IF(AND($AA76="",AD76=""),"",$AA76-AD76)</f>
        <v>#NAME?</v>
      </c>
      <c r="AG76" s="35">
        <v>136806.29999999999</v>
      </c>
      <c r="AH76" s="36" t="str">
        <f ca="1">IF(AG76=0,"",IFERROR(AG76/AG$19,""))</f>
        <v/>
      </c>
      <c r="AI76" s="118" t="e">
        <f ca="1">IF(AND($AA76="",AG76=""),"",$AA76-AG76)</f>
        <v>#NAME?</v>
      </c>
      <c r="AJ76" s="322">
        <f ca="1">IFERROR(AA76/AA$20,0)</f>
        <v>0</v>
      </c>
      <c r="AK76" s="323">
        <f ca="1">IFERROR(AD76/AD$20,0)</f>
        <v>0</v>
      </c>
      <c r="AL76" s="324">
        <f ca="1">IFERROR(AG76/AG$20,0)</f>
        <v>0</v>
      </c>
      <c r="AM76" s="359">
        <f ca="1">+IFERROR(ROUND(($AB76-AE76)*100,2)&amp;" pts.",0)</f>
        <v>0</v>
      </c>
      <c r="AN76" s="358">
        <f ca="1">+IFERROR(ROUND(($AB76-AH76)*100,2)&amp;" pts.",0)</f>
        <v>0</v>
      </c>
    </row>
    <row r="77" spans="1:40" x14ac:dyDescent="0.2">
      <c r="A77" s="1" t="s">
        <v>108</v>
      </c>
      <c r="C77" s="135" t="s">
        <v>101</v>
      </c>
      <c r="D77" s="1" t="s">
        <v>107</v>
      </c>
      <c r="F77" s="1" t="s">
        <v>99</v>
      </c>
      <c r="H77" s="10" t="s">
        <v>884</v>
      </c>
      <c r="I77" s="25" t="e">
        <f ca="1">_xll.EVPRO($B$1,$H77,"STYLE")</f>
        <v>#NAME?</v>
      </c>
      <c r="J77" s="25" t="e">
        <f ca="1">_xll.EVPRO($B$1,$H77,"CALC")</f>
        <v>#NAME?</v>
      </c>
      <c r="K77" s="64" t="e">
        <f ca="1">IF(AND(I77&gt;="T3"),"&gt;","")</f>
        <v>#NAME?</v>
      </c>
      <c r="L77" s="24" t="e">
        <f ca="1">_xll.EVPRO($B$1,H77,"JDEID")</f>
        <v>#NAME?</v>
      </c>
      <c r="M77" s="24" t="e">
        <f ca="1">IF(AND(I77="N",J77="N"),_xll.EVPRO($B$1,H77,"PSFTID"),"")</f>
        <v>#NAME?</v>
      </c>
      <c r="N77" s="24" t="e">
        <f ca="1">IF(_xll.EVDES(H77,$B$1)="#NODATA","",_xll.EVDES(H77,$B$1))</f>
        <v>#NAME?</v>
      </c>
      <c r="O77" s="35"/>
      <c r="P77" s="35"/>
      <c r="Q77" s="35"/>
      <c r="R77" s="35"/>
      <c r="S77" s="35"/>
      <c r="T77" s="35"/>
      <c r="U77" s="35"/>
      <c r="V77" s="35"/>
      <c r="W77" s="35"/>
      <c r="X77" s="35"/>
      <c r="Y77" s="35"/>
      <c r="Z77" s="35"/>
      <c r="AA77" s="283" t="e">
        <f t="shared" ca="1" si="23"/>
        <v>#NAME?</v>
      </c>
      <c r="AB77" s="36" t="e">
        <f t="shared" ca="1" si="24"/>
        <v>#NAME?</v>
      </c>
      <c r="AD77" s="35"/>
      <c r="AE77" s="36" t="str">
        <f t="shared" si="25"/>
        <v/>
      </c>
      <c r="AF77" s="118" t="e">
        <f t="shared" ca="1" si="26"/>
        <v>#NAME?</v>
      </c>
      <c r="AG77" s="35">
        <v>127653.44</v>
      </c>
      <c r="AH77" s="36" t="str">
        <f ca="1">IF(AG77=0,"",IFERROR(AG77/AG$19,""))</f>
        <v/>
      </c>
      <c r="AI77" s="118" t="e">
        <f ca="1">IF(AND($AA77="",AG77=""),"",$AA77-AG77)</f>
        <v>#NAME?</v>
      </c>
      <c r="AJ77" s="322">
        <f ca="1">IFERROR(AA77/AA$20,0)</f>
        <v>0</v>
      </c>
      <c r="AK77" s="323">
        <f ca="1">IFERROR(AD77/AD$20,0)</f>
        <v>0</v>
      </c>
      <c r="AL77" s="324">
        <f ca="1">IFERROR(AG77/AG$20,0)</f>
        <v>0</v>
      </c>
      <c r="AM77" s="359">
        <f ca="1">+IFERROR(ROUND(($AB77-AE77)*100,2)&amp;" pts.",0)</f>
        <v>0</v>
      </c>
      <c r="AN77" s="358">
        <f ca="1">+IFERROR(ROUND(($AB77-AH77)*100,2)&amp;" pts.",0)</f>
        <v>0</v>
      </c>
    </row>
    <row r="78" spans="1:40" x14ac:dyDescent="0.2">
      <c r="H78" s="10" t="s">
        <v>75</v>
      </c>
      <c r="I78" s="26" t="e">
        <f ca="1">_xll.EVPRO($B$1,$H78,"STYLE")</f>
        <v>#NAME?</v>
      </c>
      <c r="J78" s="26" t="e">
        <f ca="1">_xll.EVPRO($B$1,$H78,"CALC")</f>
        <v>#NAME?</v>
      </c>
      <c r="K78" s="65" t="e">
        <f ca="1">IF(AND(I78&gt;="T3"),"&gt;","")</f>
        <v>#NAME?</v>
      </c>
      <c r="L78" s="23" t="e">
        <f ca="1">_xll.EVPRO($B$1,H78,"JDEID")</f>
        <v>#NAME?</v>
      </c>
      <c r="M78" s="24" t="e">
        <f ca="1">IF(AND(I78="N",J78="N"),_xll.EVPRO($B$1,H78,"PSFTID"),"")</f>
        <v>#NAME?</v>
      </c>
      <c r="N78" s="23" t="e">
        <f ca="1">IF(_xll.EVDES(H78,$B$1)="#NODATA","",_xll.EVDES(H78,$B$1))</f>
        <v>#NAME?</v>
      </c>
      <c r="O78" s="35"/>
      <c r="P78" s="35"/>
      <c r="Q78" s="35"/>
      <c r="R78" s="35"/>
      <c r="S78" s="35"/>
      <c r="T78" s="35"/>
      <c r="U78" s="35"/>
      <c r="V78" s="35"/>
      <c r="W78" s="35"/>
      <c r="X78" s="35"/>
      <c r="Y78" s="35"/>
      <c r="Z78" s="35"/>
      <c r="AA78" s="283" t="e">
        <f t="shared" ca="1" si="23"/>
        <v>#NAME?</v>
      </c>
      <c r="AB78" s="36" t="e">
        <f t="shared" ca="1" si="24"/>
        <v>#NAME?</v>
      </c>
      <c r="AD78" s="35"/>
      <c r="AE78" s="36" t="str">
        <f t="shared" si="25"/>
        <v/>
      </c>
      <c r="AF78" s="118" t="e">
        <f t="shared" ca="1" si="26"/>
        <v>#NAME?</v>
      </c>
      <c r="AG78" s="35"/>
      <c r="AH78" s="36" t="str">
        <f>IF(AG78=0,"",IFERROR(AG78/AG$19,""))</f>
        <v/>
      </c>
      <c r="AI78" s="118" t="e">
        <f ca="1">IF(AND($AA78="",AG78=""),"",$AA78-AG78)</f>
        <v>#NAME?</v>
      </c>
      <c r="AJ78" s="322">
        <f ca="1">IFERROR(AA78/AA$20,0)</f>
        <v>0</v>
      </c>
      <c r="AK78" s="323">
        <f ca="1">IFERROR(AD78/AD$20,0)</f>
        <v>0</v>
      </c>
      <c r="AL78" s="324">
        <f ca="1">IFERROR(AG78/AG$20,0)</f>
        <v>0</v>
      </c>
      <c r="AM78" s="359">
        <f ca="1">+IFERROR(ROUND(($AB78-AE78)*100,2)&amp;" pts.",0)</f>
        <v>0</v>
      </c>
      <c r="AN78" s="358">
        <f ca="1">+IFERROR(ROUND(($AB78-AH78)*100,2)&amp;" pts.",0)</f>
        <v>0</v>
      </c>
    </row>
    <row r="79" spans="1:40" x14ac:dyDescent="0.2">
      <c r="C79" s="23"/>
      <c r="H79" s="10" t="s">
        <v>882</v>
      </c>
      <c r="I79" s="25" t="e">
        <f ca="1">_xll.EVPRO($B$1,$H79,"STYLE")</f>
        <v>#NAME?</v>
      </c>
      <c r="J79" s="25" t="e">
        <f ca="1">_xll.EVPRO($B$1,$H79,"CALC")</f>
        <v>#NAME?</v>
      </c>
      <c r="K79" s="64" t="e">
        <f ca="1">IF(AND(I79&gt;="T3"),"&gt;","")</f>
        <v>#NAME?</v>
      </c>
      <c r="L79" s="24" t="e">
        <f ca="1">_xll.EVPRO($B$1,H79,"JDEID")</f>
        <v>#NAME?</v>
      </c>
      <c r="M79" s="24" t="e">
        <f ca="1">IF(AND(I79="N",J79="N"),_xll.EVPRO($B$1,H79,"PSFTID"),"")</f>
        <v>#NAME?</v>
      </c>
      <c r="N79" s="24" t="e">
        <f ca="1">IF(_xll.EVDES(H79,$B$1)="#NODATA","",_xll.EVDES(H79,$B$1))</f>
        <v>#NAME?</v>
      </c>
      <c r="O79" s="44">
        <v>1199.5</v>
      </c>
      <c r="P79" s="44"/>
      <c r="Q79" s="44"/>
      <c r="R79" s="44"/>
      <c r="S79" s="44"/>
      <c r="T79" s="44"/>
      <c r="U79" s="44"/>
      <c r="V79" s="44"/>
      <c r="W79" s="44"/>
      <c r="X79" s="44"/>
      <c r="Y79" s="44"/>
      <c r="Z79" s="44"/>
      <c r="AA79" s="296" t="e">
        <f t="shared" ca="1" si="23"/>
        <v>#NAME?</v>
      </c>
      <c r="AB79" s="45" t="e">
        <f t="shared" ca="1" si="24"/>
        <v>#NAME?</v>
      </c>
      <c r="AD79" s="44"/>
      <c r="AE79" s="45" t="str">
        <f t="shared" si="25"/>
        <v/>
      </c>
      <c r="AF79" s="134" t="e">
        <f t="shared" ca="1" si="26"/>
        <v>#NAME?</v>
      </c>
      <c r="AG79" s="44">
        <v>55586</v>
      </c>
      <c r="AH79" s="45" t="str">
        <f ca="1">IF(AG79=0,"",IFERROR(AG79/AG$19,""))</f>
        <v/>
      </c>
      <c r="AI79" s="134" t="e">
        <f ca="1">IF(AND($AA79="",AG79=""),"",$AA79-AG79)</f>
        <v>#NAME?</v>
      </c>
      <c r="AJ79" s="322">
        <f ca="1">IFERROR(AA79/AA$20,0)</f>
        <v>0</v>
      </c>
      <c r="AK79" s="323">
        <f ca="1">IFERROR(AD79/AD$20,0)</f>
        <v>0</v>
      </c>
      <c r="AL79" s="324">
        <f ca="1">IFERROR(AG79/AG$20,0)</f>
        <v>0</v>
      </c>
      <c r="AM79" s="359">
        <f ca="1">+IFERROR(ROUND(($AB79-AE79)*100,2)&amp;" pts.",0)</f>
        <v>0</v>
      </c>
      <c r="AN79" s="358">
        <f ca="1">+IFERROR(ROUND(($AB79-AH79)*100,2)&amp;" pts.",0)</f>
        <v>0</v>
      </c>
    </row>
    <row r="80" spans="1:40" x14ac:dyDescent="0.2">
      <c r="A80" s="4" t="e">
        <f ca="1">_xll.EVDRE($B$1,A83:B90,A93:B99)</f>
        <v>#NAME?</v>
      </c>
      <c r="H80" s="10" t="s">
        <v>861</v>
      </c>
      <c r="I80" s="25" t="e">
        <f ca="1">_xll.EVPRO($B$1,$H80,"STYLE")</f>
        <v>#NAME?</v>
      </c>
      <c r="J80" s="25" t="e">
        <f ca="1">_xll.EVPRO($B$1,$H80,"CALC")</f>
        <v>#NAME?</v>
      </c>
      <c r="K80" s="64" t="e">
        <f t="shared" ref="K80:K90" ca="1" si="27">IF(AND(I80&gt;="T3"),"&gt;","")</f>
        <v>#NAME?</v>
      </c>
      <c r="L80" s="24" t="e">
        <f ca="1">_xll.EVPRO($B$1,H80,"JDEID")</f>
        <v>#NAME?</v>
      </c>
      <c r="M80" s="24" t="e">
        <f ca="1">IF(AND(I80="N",J80="N"),_xll.EVPRO($B$1,H80,"PSFTID"),"")</f>
        <v>#NAME?</v>
      </c>
      <c r="N80" s="24" t="e">
        <f ca="1">IF(_xll.EVDES(H80,$B$1)="#NODATA","",_xll.EVDES(H80,$B$1))</f>
        <v>#NAME?</v>
      </c>
      <c r="O80" s="44">
        <v>-311.48</v>
      </c>
      <c r="P80" s="44"/>
      <c r="Q80" s="44"/>
      <c r="R80" s="44"/>
      <c r="S80" s="44"/>
      <c r="T80" s="44"/>
      <c r="U80" s="44"/>
      <c r="V80" s="44"/>
      <c r="W80" s="44"/>
      <c r="X80" s="44"/>
      <c r="Y80" s="44"/>
      <c r="Z80" s="44"/>
      <c r="AA80" s="296" t="e">
        <f t="shared" ca="1" si="23"/>
        <v>#NAME?</v>
      </c>
      <c r="AB80" s="45" t="e">
        <f t="shared" ca="1" si="24"/>
        <v>#NAME?</v>
      </c>
      <c r="AD80" s="44"/>
      <c r="AE80" s="45" t="str">
        <f t="shared" si="25"/>
        <v/>
      </c>
      <c r="AF80" s="134" t="e">
        <f t="shared" ca="1" si="26"/>
        <v>#NAME?</v>
      </c>
      <c r="AG80" s="44">
        <v>41298.559999999998</v>
      </c>
      <c r="AH80" s="45" t="str">
        <f t="shared" ref="AH80:AH90" ca="1" si="28">IF(AG80=0,"",IFERROR(AG80/AG$19,""))</f>
        <v/>
      </c>
      <c r="AI80" s="134" t="e">
        <f t="shared" ref="AI80:AI90" ca="1" si="29">IF(AND($AA80="",AG80=""),"",$AA80-AG80)</f>
        <v>#NAME?</v>
      </c>
      <c r="AJ80" s="329">
        <f t="shared" ref="AJ80:AJ90" ca="1" si="30">IFERROR(AA80/AA$20,0)</f>
        <v>0</v>
      </c>
      <c r="AK80" s="330">
        <f t="shared" ref="AK80:AK90" ca="1" si="31">IFERROR(AD80/AD$20,0)</f>
        <v>0</v>
      </c>
      <c r="AL80" s="331">
        <f t="shared" ref="AL80:AL90" ca="1" si="32">IFERROR(AG80/AG$20,0)</f>
        <v>0</v>
      </c>
      <c r="AM80" s="360">
        <f t="shared" ref="AM80:AM90" ca="1" si="33">+IFERROR(ROUND(($AB80-AE80)*100,2)&amp;" pts.",0)</f>
        <v>0</v>
      </c>
      <c r="AN80" s="361">
        <f t="shared" ref="AN80:AN90" ca="1" si="34">+IFERROR(ROUND(($AB80-AH80)*100,2)&amp;" pts.",0)</f>
        <v>0</v>
      </c>
    </row>
    <row r="81" spans="1:40" x14ac:dyDescent="0.2">
      <c r="H81" s="10" t="s">
        <v>849</v>
      </c>
      <c r="I81" s="447" t="e">
        <f ca="1">_xll.EVPRO($B$1,$H81,"STYLE")</f>
        <v>#NAME?</v>
      </c>
      <c r="J81" s="447" t="e">
        <f ca="1">_xll.EVPRO($B$1,$H81,"CALC")</f>
        <v>#NAME?</v>
      </c>
      <c r="K81" s="448" t="e">
        <f t="shared" ca="1" si="27"/>
        <v>#NAME?</v>
      </c>
      <c r="L81" s="151" t="e">
        <f ca="1">_xll.EVPRO($B$1,H81,"JDEID")</f>
        <v>#NAME?</v>
      </c>
      <c r="M81" s="151" t="e">
        <f ca="1">IF(AND(I81="N",J81="N"),_xll.EVPRO($B$1,H81,"PSFTID"),"")</f>
        <v>#NAME?</v>
      </c>
      <c r="N81" s="151" t="e">
        <f ca="1">IF(_xll.EVDES(H81,$B$1)="#NODATA","",_xll.EVDES(H81,$B$1))</f>
        <v>#NAME?</v>
      </c>
      <c r="O81" s="120">
        <v>888.02</v>
      </c>
      <c r="P81" s="120"/>
      <c r="Q81" s="120"/>
      <c r="R81" s="120"/>
      <c r="S81" s="120"/>
      <c r="T81" s="120"/>
      <c r="U81" s="120"/>
      <c r="V81" s="120"/>
      <c r="W81" s="120"/>
      <c r="X81" s="120"/>
      <c r="Y81" s="120"/>
      <c r="Z81" s="120"/>
      <c r="AA81" s="120" t="e">
        <f t="shared" ca="1" si="23"/>
        <v>#NAME?</v>
      </c>
      <c r="AB81" s="121" t="e">
        <f t="shared" ca="1" si="24"/>
        <v>#NAME?</v>
      </c>
      <c r="AC81" s="123"/>
      <c r="AD81" s="120"/>
      <c r="AE81" s="121" t="str">
        <f t="shared" si="25"/>
        <v/>
      </c>
      <c r="AF81" s="122" t="e">
        <f t="shared" ca="1" si="26"/>
        <v>#NAME?</v>
      </c>
      <c r="AG81" s="120">
        <v>361344.3</v>
      </c>
      <c r="AH81" s="121" t="str">
        <f t="shared" ca="1" si="28"/>
        <v/>
      </c>
      <c r="AI81" s="122" t="e">
        <f t="shared" ca="1" si="29"/>
        <v>#NAME?</v>
      </c>
      <c r="AJ81" s="332">
        <f t="shared" ca="1" si="30"/>
        <v>0</v>
      </c>
      <c r="AK81" s="333">
        <f t="shared" ca="1" si="31"/>
        <v>0</v>
      </c>
      <c r="AL81" s="335">
        <f t="shared" ca="1" si="32"/>
        <v>0</v>
      </c>
      <c r="AM81" s="377">
        <f t="shared" ca="1" si="33"/>
        <v>0</v>
      </c>
      <c r="AN81" s="479">
        <f t="shared" ca="1" si="34"/>
        <v>0</v>
      </c>
    </row>
    <row r="82" spans="1:40" x14ac:dyDescent="0.2">
      <c r="A82" s="3" t="s">
        <v>0</v>
      </c>
      <c r="B82" s="5" t="s">
        <v>1</v>
      </c>
      <c r="H82" s="10" t="s">
        <v>862</v>
      </c>
      <c r="I82" s="25" t="e">
        <f ca="1">_xll.EVPRO($B$1,$H82,"STYLE")</f>
        <v>#NAME?</v>
      </c>
      <c r="J82" s="25" t="e">
        <f ca="1">_xll.EVPRO($B$1,$H82,"CALC")</f>
        <v>#NAME?</v>
      </c>
      <c r="K82" s="64" t="e">
        <f t="shared" ca="1" si="27"/>
        <v>#NAME?</v>
      </c>
      <c r="L82" s="24" t="e">
        <f ca="1">_xll.EVPRO($B$1,H82,"JDEID")</f>
        <v>#NAME?</v>
      </c>
      <c r="M82" s="24" t="e">
        <f ca="1">IF(AND(I82="N",J82="N"),_xll.EVPRO($B$1,H82,"PSFTID"),"")</f>
        <v>#NAME?</v>
      </c>
      <c r="N82" s="24" t="e">
        <f ca="1">IF(_xll.EVDES(H82,$B$1)="#NODATA","",_xll.EVDES(H82,$B$1))</f>
        <v>#NAME?</v>
      </c>
      <c r="O82" s="44">
        <v>1167.0899999999999</v>
      </c>
      <c r="P82" s="44"/>
      <c r="Q82" s="44"/>
      <c r="R82" s="44"/>
      <c r="S82" s="44"/>
      <c r="T82" s="44"/>
      <c r="U82" s="44"/>
      <c r="V82" s="44"/>
      <c r="W82" s="44"/>
      <c r="X82" s="44"/>
      <c r="Y82" s="44"/>
      <c r="Z82" s="44"/>
      <c r="AA82" s="44" t="e">
        <f t="shared" ca="1" si="23"/>
        <v>#NAME?</v>
      </c>
      <c r="AB82" s="45" t="e">
        <f t="shared" ca="1" si="24"/>
        <v>#NAME?</v>
      </c>
      <c r="AD82" s="44"/>
      <c r="AE82" s="45" t="str">
        <f t="shared" si="25"/>
        <v/>
      </c>
      <c r="AF82" s="134" t="e">
        <f t="shared" ca="1" si="26"/>
        <v>#NAME?</v>
      </c>
      <c r="AG82" s="44">
        <v>114267.5</v>
      </c>
      <c r="AH82" s="45" t="str">
        <f t="shared" ca="1" si="28"/>
        <v/>
      </c>
      <c r="AI82" s="134" t="e">
        <f t="shared" ca="1" si="29"/>
        <v>#NAME?</v>
      </c>
      <c r="AJ82" s="325">
        <f t="shared" ca="1" si="30"/>
        <v>0</v>
      </c>
      <c r="AK82" s="326">
        <f t="shared" ca="1" si="31"/>
        <v>0</v>
      </c>
      <c r="AL82" s="328">
        <f t="shared" ca="1" si="32"/>
        <v>0</v>
      </c>
      <c r="AM82" s="362">
        <f t="shared" ca="1" si="33"/>
        <v>0</v>
      </c>
      <c r="AN82" s="363">
        <f t="shared" ca="1" si="34"/>
        <v>0</v>
      </c>
    </row>
    <row r="83" spans="1:40" x14ac:dyDescent="0.2">
      <c r="A83" s="6" t="s">
        <v>2</v>
      </c>
      <c r="B83" s="7" t="e">
        <f ca="1">_xll.EVRNG($B$2:$B$10)</f>
        <v>#NAME?</v>
      </c>
      <c r="H83" s="10" t="s">
        <v>863</v>
      </c>
      <c r="I83" s="25" t="e">
        <f ca="1">_xll.EVPRO($B$1,$H83,"STYLE")</f>
        <v>#NAME?</v>
      </c>
      <c r="J83" s="25" t="e">
        <f ca="1">_xll.EVPRO($B$1,$H83,"CALC")</f>
        <v>#NAME?</v>
      </c>
      <c r="K83" s="64" t="e">
        <f t="shared" ca="1" si="27"/>
        <v>#NAME?</v>
      </c>
      <c r="L83" s="24" t="e">
        <f ca="1">_xll.EVPRO($B$1,H83,"JDEID")</f>
        <v>#NAME?</v>
      </c>
      <c r="M83" s="24" t="e">
        <f ca="1">IF(AND(I83="N",J83="N"),_xll.EVPRO($B$1,H83,"PSFTID"),"")</f>
        <v>#NAME?</v>
      </c>
      <c r="N83" s="24" t="e">
        <f ca="1">IF(_xll.EVDES(H83,$B$1)="#NODATA","",_xll.EVDES(H83,$B$1))</f>
        <v>#NAME?</v>
      </c>
      <c r="O83" s="44">
        <v>4177.75</v>
      </c>
      <c r="P83" s="44"/>
      <c r="Q83" s="44"/>
      <c r="R83" s="44"/>
      <c r="S83" s="44"/>
      <c r="T83" s="44"/>
      <c r="U83" s="44"/>
      <c r="V83" s="44"/>
      <c r="W83" s="44"/>
      <c r="X83" s="44"/>
      <c r="Y83" s="44"/>
      <c r="Z83" s="44"/>
      <c r="AA83" s="296" t="e">
        <f t="shared" ca="1" si="23"/>
        <v>#NAME?</v>
      </c>
      <c r="AB83" s="45" t="e">
        <f t="shared" ca="1" si="24"/>
        <v>#NAME?</v>
      </c>
      <c r="AD83" s="44"/>
      <c r="AE83" s="45" t="str">
        <f t="shared" si="25"/>
        <v/>
      </c>
      <c r="AF83" s="134" t="e">
        <f t="shared" ca="1" si="26"/>
        <v>#NAME?</v>
      </c>
      <c r="AG83" s="44">
        <v>409063.35</v>
      </c>
      <c r="AH83" s="45" t="str">
        <f t="shared" ca="1" si="28"/>
        <v/>
      </c>
      <c r="AI83" s="134" t="e">
        <f t="shared" ca="1" si="29"/>
        <v>#NAME?</v>
      </c>
      <c r="AJ83" s="322">
        <f t="shared" ca="1" si="30"/>
        <v>0</v>
      </c>
      <c r="AK83" s="323">
        <f t="shared" ca="1" si="31"/>
        <v>0</v>
      </c>
      <c r="AL83" s="324">
        <f t="shared" ca="1" si="32"/>
        <v>0</v>
      </c>
      <c r="AM83" s="359">
        <f t="shared" ca="1" si="33"/>
        <v>0</v>
      </c>
      <c r="AN83" s="358">
        <f t="shared" ca="1" si="34"/>
        <v>0</v>
      </c>
    </row>
    <row r="84" spans="1:40" x14ac:dyDescent="0.2">
      <c r="A84" s="6" t="s">
        <v>3</v>
      </c>
      <c r="B84" s="7" t="e">
        <f ca="1">_xll.EVRNG($O$16:$AN$18)</f>
        <v>#NAME?</v>
      </c>
      <c r="H84" s="10" t="s">
        <v>850</v>
      </c>
      <c r="I84" s="25" t="e">
        <f ca="1">_xll.EVPRO($B$1,$H84,"STYLE")</f>
        <v>#NAME?</v>
      </c>
      <c r="J84" s="25" t="e">
        <f ca="1">_xll.EVPRO($B$1,$H84,"CALC")</f>
        <v>#NAME?</v>
      </c>
      <c r="K84" s="64" t="e">
        <f t="shared" ca="1" si="27"/>
        <v>#NAME?</v>
      </c>
      <c r="L84" s="24" t="e">
        <f ca="1">_xll.EVPRO($B$1,H84,"JDEID")</f>
        <v>#NAME?</v>
      </c>
      <c r="M84" s="24" t="e">
        <f ca="1">IF(AND(I84="N",J84="N"),_xll.EVPRO($B$1,H84,"PSFTID"),"")</f>
        <v>#NAME?</v>
      </c>
      <c r="N84" s="24" t="e">
        <f ca="1">IF(_xll.EVDES(H84,$B$1)="#NODATA","",_xll.EVDES(H84,$B$1))</f>
        <v>#NAME?</v>
      </c>
      <c r="O84" s="44"/>
      <c r="P84" s="44"/>
      <c r="Q84" s="44"/>
      <c r="R84" s="44"/>
      <c r="S84" s="44"/>
      <c r="T84" s="44"/>
      <c r="U84" s="44"/>
      <c r="V84" s="44"/>
      <c r="W84" s="44"/>
      <c r="X84" s="44"/>
      <c r="Y84" s="44"/>
      <c r="Z84" s="44"/>
      <c r="AA84" s="296" t="e">
        <f t="shared" ca="1" si="23"/>
        <v>#NAME?</v>
      </c>
      <c r="AB84" s="45" t="e">
        <f t="shared" ca="1" si="24"/>
        <v>#NAME?</v>
      </c>
      <c r="AD84" s="44"/>
      <c r="AE84" s="45" t="str">
        <f t="shared" si="25"/>
        <v/>
      </c>
      <c r="AF84" s="134" t="e">
        <f t="shared" ca="1" si="26"/>
        <v>#NAME?</v>
      </c>
      <c r="AG84" s="44">
        <v>11773.37</v>
      </c>
      <c r="AH84" s="45" t="str">
        <f t="shared" ca="1" si="28"/>
        <v/>
      </c>
      <c r="AI84" s="134" t="e">
        <f t="shared" ca="1" si="29"/>
        <v>#NAME?</v>
      </c>
      <c r="AJ84" s="329">
        <f t="shared" ca="1" si="30"/>
        <v>0</v>
      </c>
      <c r="AK84" s="330">
        <f t="shared" ca="1" si="31"/>
        <v>0</v>
      </c>
      <c r="AL84" s="331">
        <f t="shared" ca="1" si="32"/>
        <v>0</v>
      </c>
      <c r="AM84" s="360">
        <f t="shared" ca="1" si="33"/>
        <v>0</v>
      </c>
      <c r="AN84" s="361">
        <f t="shared" ca="1" si="34"/>
        <v>0</v>
      </c>
    </row>
    <row r="85" spans="1:40" x14ac:dyDescent="0.2">
      <c r="A85" s="6" t="s">
        <v>4</v>
      </c>
      <c r="B85" s="7" t="e">
        <f ca="1">_xll.EVRNG(H76:H77,H79:H90,H93:H118)</f>
        <v>#NAME?</v>
      </c>
      <c r="H85" s="10" t="s">
        <v>851</v>
      </c>
      <c r="I85" s="447" t="e">
        <f ca="1">_xll.EVPRO($B$1,$H85,"STYLE")</f>
        <v>#NAME?</v>
      </c>
      <c r="J85" s="447" t="e">
        <f ca="1">_xll.EVPRO($B$1,$H85,"CALC")</f>
        <v>#NAME?</v>
      </c>
      <c r="K85" s="448" t="e">
        <f t="shared" ca="1" si="27"/>
        <v>#NAME?</v>
      </c>
      <c r="L85" s="151" t="e">
        <f ca="1">_xll.EVPRO($B$1,H85,"JDEID")</f>
        <v>#NAME?</v>
      </c>
      <c r="M85" s="151" t="e">
        <f ca="1">IF(AND(I85="N",J85="N"),_xll.EVPRO($B$1,H85,"PSFTID"),"")</f>
        <v>#NAME?</v>
      </c>
      <c r="N85" s="151" t="e">
        <f ca="1">IF(_xll.EVDES(H85,$B$1)="#NODATA","",_xll.EVDES(H85,$B$1))</f>
        <v>#NAME?</v>
      </c>
      <c r="O85" s="120">
        <v>6232.86</v>
      </c>
      <c r="P85" s="120"/>
      <c r="Q85" s="120"/>
      <c r="R85" s="120"/>
      <c r="S85" s="120"/>
      <c r="T85" s="120"/>
      <c r="U85" s="120"/>
      <c r="V85" s="120"/>
      <c r="W85" s="120"/>
      <c r="X85" s="120"/>
      <c r="Y85" s="120"/>
      <c r="Z85" s="120"/>
      <c r="AA85" s="120" t="e">
        <f t="shared" ca="1" si="23"/>
        <v>#NAME?</v>
      </c>
      <c r="AB85" s="121" t="e">
        <f t="shared" ca="1" si="24"/>
        <v>#NAME?</v>
      </c>
      <c r="AC85" s="123"/>
      <c r="AD85" s="120"/>
      <c r="AE85" s="121" t="str">
        <f t="shared" si="25"/>
        <v/>
      </c>
      <c r="AF85" s="122" t="e">
        <f t="shared" ca="1" si="26"/>
        <v>#NAME?</v>
      </c>
      <c r="AG85" s="120">
        <v>896448.52</v>
      </c>
      <c r="AH85" s="121" t="str">
        <f t="shared" ca="1" si="28"/>
        <v/>
      </c>
      <c r="AI85" s="122" t="e">
        <f t="shared" ca="1" si="29"/>
        <v>#NAME?</v>
      </c>
      <c r="AJ85" s="332">
        <f t="shared" ca="1" si="30"/>
        <v>0</v>
      </c>
      <c r="AK85" s="333">
        <f t="shared" ca="1" si="31"/>
        <v>0</v>
      </c>
      <c r="AL85" s="335">
        <f t="shared" ca="1" si="32"/>
        <v>0</v>
      </c>
      <c r="AM85" s="377">
        <f t="shared" ca="1" si="33"/>
        <v>0</v>
      </c>
      <c r="AN85" s="479">
        <f t="shared" ca="1" si="34"/>
        <v>0</v>
      </c>
    </row>
    <row r="86" spans="1:40" x14ac:dyDescent="0.2">
      <c r="A86" s="6" t="s">
        <v>5</v>
      </c>
      <c r="B86" s="7"/>
      <c r="H86" s="10" t="s">
        <v>852</v>
      </c>
      <c r="I86" s="25" t="e">
        <f ca="1">_xll.EVPRO($B$1,$H86,"STYLE")</f>
        <v>#NAME?</v>
      </c>
      <c r="J86" s="25" t="e">
        <f ca="1">_xll.EVPRO($B$1,$H86,"CALC")</f>
        <v>#NAME?</v>
      </c>
      <c r="K86" s="64" t="e">
        <f t="shared" ca="1" si="27"/>
        <v>#NAME?</v>
      </c>
      <c r="L86" s="24" t="e">
        <f ca="1">_xll.EVPRO($B$1,H86,"JDEID")</f>
        <v>#NAME?</v>
      </c>
      <c r="M86" s="24" t="e">
        <f ca="1">IF(AND(I86="N",J86="N"),_xll.EVPRO($B$1,H86,"PSFTID"),"")</f>
        <v>#NAME?</v>
      </c>
      <c r="N86" s="24" t="e">
        <f ca="1">IF(_xll.EVDES(H86,$B$1)="#NODATA","",_xll.EVDES(H86,$B$1))</f>
        <v>#NAME?</v>
      </c>
      <c r="O86" s="44">
        <v>769.65</v>
      </c>
      <c r="P86" s="44">
        <v>6.4392935428259E-15</v>
      </c>
      <c r="Q86" s="44"/>
      <c r="R86" s="44"/>
      <c r="S86" s="44"/>
      <c r="T86" s="44"/>
      <c r="U86" s="44"/>
      <c r="V86" s="44"/>
      <c r="W86" s="44"/>
      <c r="X86" s="44"/>
      <c r="Y86" s="44"/>
      <c r="Z86" s="44"/>
      <c r="AA86" s="44" t="e">
        <f t="shared" ca="1" si="23"/>
        <v>#NAME?</v>
      </c>
      <c r="AB86" s="45" t="e">
        <f t="shared" ca="1" si="24"/>
        <v>#NAME?</v>
      </c>
      <c r="AD86" s="44"/>
      <c r="AE86" s="45" t="str">
        <f t="shared" si="25"/>
        <v/>
      </c>
      <c r="AF86" s="134" t="e">
        <f t="shared" ca="1" si="26"/>
        <v>#NAME?</v>
      </c>
      <c r="AG86" s="44">
        <v>48094.39</v>
      </c>
      <c r="AH86" s="45" t="str">
        <f t="shared" ca="1" si="28"/>
        <v/>
      </c>
      <c r="AI86" s="134" t="e">
        <f t="shared" ca="1" si="29"/>
        <v>#NAME?</v>
      </c>
      <c r="AJ86" s="325">
        <f t="shared" ca="1" si="30"/>
        <v>0</v>
      </c>
      <c r="AK86" s="326">
        <f t="shared" ca="1" si="31"/>
        <v>0</v>
      </c>
      <c r="AL86" s="328">
        <f t="shared" ca="1" si="32"/>
        <v>0</v>
      </c>
      <c r="AM86" s="362">
        <f t="shared" ca="1" si="33"/>
        <v>0</v>
      </c>
      <c r="AN86" s="363">
        <f t="shared" ca="1" si="34"/>
        <v>0</v>
      </c>
    </row>
    <row r="87" spans="1:40" x14ac:dyDescent="0.2">
      <c r="A87" s="6" t="s">
        <v>6</v>
      </c>
      <c r="B87" s="7"/>
      <c r="H87" s="10" t="s">
        <v>853</v>
      </c>
      <c r="I87" s="25" t="e">
        <f ca="1">_xll.EVPRO($B$1,$H87,"STYLE")</f>
        <v>#NAME?</v>
      </c>
      <c r="J87" s="25" t="e">
        <f ca="1">_xll.EVPRO($B$1,$H87,"CALC")</f>
        <v>#NAME?</v>
      </c>
      <c r="K87" s="64" t="e">
        <f t="shared" ca="1" si="27"/>
        <v>#NAME?</v>
      </c>
      <c r="L87" s="24" t="e">
        <f ca="1">_xll.EVPRO($B$1,H87,"JDEID")</f>
        <v>#NAME?</v>
      </c>
      <c r="M87" s="24" t="e">
        <f ca="1">IF(AND(I87="N",J87="N"),_xll.EVPRO($B$1,H87,"PSFTID"),"")</f>
        <v>#NAME?</v>
      </c>
      <c r="N87" s="24" t="e">
        <f ca="1">IF(_xll.EVDES(H87,$B$1)="#NODATA","",_xll.EVDES(H87,$B$1))</f>
        <v>#NAME?</v>
      </c>
      <c r="O87" s="44">
        <v>0</v>
      </c>
      <c r="P87" s="44">
        <v>2493.94</v>
      </c>
      <c r="Q87" s="44"/>
      <c r="R87" s="44"/>
      <c r="S87" s="44"/>
      <c r="T87" s="44"/>
      <c r="U87" s="44"/>
      <c r="V87" s="44"/>
      <c r="W87" s="44"/>
      <c r="X87" s="44"/>
      <c r="Y87" s="44"/>
      <c r="Z87" s="44"/>
      <c r="AA87" s="296" t="e">
        <f t="shared" ca="1" si="23"/>
        <v>#NAME?</v>
      </c>
      <c r="AB87" s="45" t="e">
        <f t="shared" ca="1" si="24"/>
        <v>#NAME?</v>
      </c>
      <c r="AD87" s="44"/>
      <c r="AE87" s="45" t="str">
        <f t="shared" si="25"/>
        <v/>
      </c>
      <c r="AF87" s="134" t="e">
        <f t="shared" ca="1" si="26"/>
        <v>#NAME?</v>
      </c>
      <c r="AG87" s="44">
        <v>36820.06</v>
      </c>
      <c r="AH87" s="45" t="str">
        <f t="shared" ca="1" si="28"/>
        <v/>
      </c>
      <c r="AI87" s="134" t="e">
        <f t="shared" ca="1" si="29"/>
        <v>#NAME?</v>
      </c>
      <c r="AJ87" s="322">
        <f t="shared" ca="1" si="30"/>
        <v>0</v>
      </c>
      <c r="AK87" s="323">
        <f t="shared" ca="1" si="31"/>
        <v>0</v>
      </c>
      <c r="AL87" s="324">
        <f t="shared" ca="1" si="32"/>
        <v>0</v>
      </c>
      <c r="AM87" s="359">
        <f t="shared" ca="1" si="33"/>
        <v>0</v>
      </c>
      <c r="AN87" s="358">
        <f t="shared" ca="1" si="34"/>
        <v>0</v>
      </c>
    </row>
    <row r="88" spans="1:40" x14ac:dyDescent="0.2">
      <c r="A88" s="6" t="s">
        <v>7</v>
      </c>
      <c r="B88" s="7" t="e">
        <f ca="1">_xll.EVRNG(A102:F108)</f>
        <v>#NAME?</v>
      </c>
      <c r="H88" s="10" t="s">
        <v>854</v>
      </c>
      <c r="I88" s="25" t="e">
        <f ca="1">_xll.EVPRO($B$1,$H88,"STYLE")</f>
        <v>#NAME?</v>
      </c>
      <c r="J88" s="25" t="e">
        <f ca="1">_xll.EVPRO($B$1,$H88,"CALC")</f>
        <v>#NAME?</v>
      </c>
      <c r="K88" s="64" t="e">
        <f t="shared" ca="1" si="27"/>
        <v>#NAME?</v>
      </c>
      <c r="L88" s="24" t="e">
        <f ca="1">_xll.EVPRO($B$1,H88,"JDEID")</f>
        <v>#NAME?</v>
      </c>
      <c r="M88" s="24" t="e">
        <f ca="1">IF(AND(I88="N",J88="N"),_xll.EVPRO($B$1,H88,"PSFTID"),"")</f>
        <v>#NAME?</v>
      </c>
      <c r="N88" s="24" t="e">
        <f ca="1">IF(_xll.EVDES(H88,$B$1)="#NODATA","",_xll.EVDES(H88,$B$1))</f>
        <v>#NAME?</v>
      </c>
      <c r="O88" s="44">
        <v>3601.13</v>
      </c>
      <c r="P88" s="44">
        <v>-128.56</v>
      </c>
      <c r="Q88" s="44"/>
      <c r="R88" s="44"/>
      <c r="S88" s="44"/>
      <c r="T88" s="44"/>
      <c r="U88" s="44"/>
      <c r="V88" s="44"/>
      <c r="W88" s="44"/>
      <c r="X88" s="44"/>
      <c r="Y88" s="44"/>
      <c r="Z88" s="44"/>
      <c r="AA88" s="296" t="e">
        <f t="shared" ca="1" si="23"/>
        <v>#NAME?</v>
      </c>
      <c r="AB88" s="45" t="e">
        <f t="shared" ca="1" si="24"/>
        <v>#NAME?</v>
      </c>
      <c r="AD88" s="44"/>
      <c r="AE88" s="45" t="str">
        <f t="shared" si="25"/>
        <v/>
      </c>
      <c r="AF88" s="134" t="e">
        <f t="shared" ca="1" si="26"/>
        <v>#NAME?</v>
      </c>
      <c r="AG88" s="44">
        <v>118162.83</v>
      </c>
      <c r="AH88" s="45" t="str">
        <f t="shared" ca="1" si="28"/>
        <v/>
      </c>
      <c r="AI88" s="134" t="e">
        <f t="shared" ca="1" si="29"/>
        <v>#NAME?</v>
      </c>
      <c r="AJ88" s="329">
        <f t="shared" ca="1" si="30"/>
        <v>0</v>
      </c>
      <c r="AK88" s="330">
        <f t="shared" ca="1" si="31"/>
        <v>0</v>
      </c>
      <c r="AL88" s="331">
        <f t="shared" ca="1" si="32"/>
        <v>0</v>
      </c>
      <c r="AM88" s="360">
        <f t="shared" ca="1" si="33"/>
        <v>0</v>
      </c>
      <c r="AN88" s="361">
        <f t="shared" ca="1" si="34"/>
        <v>0</v>
      </c>
    </row>
    <row r="89" spans="1:40" x14ac:dyDescent="0.2">
      <c r="A89" s="6" t="s">
        <v>47</v>
      </c>
      <c r="B89" s="7" t="e">
        <f ca="1">_xll.EVRNG($A$125:$B$146)</f>
        <v>#NAME?</v>
      </c>
      <c r="H89" s="10" t="s">
        <v>855</v>
      </c>
      <c r="I89" s="447" t="e">
        <f ca="1">_xll.EVPRO($B$1,$H89,"STYLE")</f>
        <v>#NAME?</v>
      </c>
      <c r="J89" s="447" t="e">
        <f ca="1">_xll.EVPRO($B$1,$H89,"CALC")</f>
        <v>#NAME?</v>
      </c>
      <c r="K89" s="448" t="e">
        <f t="shared" ca="1" si="27"/>
        <v>#NAME?</v>
      </c>
      <c r="L89" s="151" t="e">
        <f ca="1">_xll.EVPRO($B$1,H89,"JDEID")</f>
        <v>#NAME?</v>
      </c>
      <c r="M89" s="151" t="e">
        <f ca="1">IF(AND(I89="N",J89="N"),_xll.EVPRO($B$1,H89,"PSFTID"),"")</f>
        <v>#NAME?</v>
      </c>
      <c r="N89" s="151" t="e">
        <f ca="1">IF(_xll.EVDES(H89,$B$1)="#NODATA","",_xll.EVDES(H89,$B$1))</f>
        <v>#NAME?</v>
      </c>
      <c r="O89" s="33">
        <v>4370.78</v>
      </c>
      <c r="P89" s="33">
        <v>2365.38</v>
      </c>
      <c r="Q89" s="33"/>
      <c r="R89" s="33"/>
      <c r="S89" s="33"/>
      <c r="T89" s="33"/>
      <c r="U89" s="33"/>
      <c r="V89" s="33"/>
      <c r="W89" s="33"/>
      <c r="X89" s="33"/>
      <c r="Y89" s="33"/>
      <c r="Z89" s="33"/>
      <c r="AA89" s="33" t="e">
        <f t="shared" ca="1" si="23"/>
        <v>#NAME?</v>
      </c>
      <c r="AB89" s="34" t="e">
        <f t="shared" ca="1" si="24"/>
        <v>#NAME?</v>
      </c>
      <c r="AC89" s="32"/>
      <c r="AD89" s="33"/>
      <c r="AE89" s="34" t="str">
        <f t="shared" si="25"/>
        <v/>
      </c>
      <c r="AF89" s="54" t="e">
        <f t="shared" ca="1" si="26"/>
        <v>#NAME?</v>
      </c>
      <c r="AG89" s="33">
        <v>203077.28</v>
      </c>
      <c r="AH89" s="34" t="str">
        <f t="shared" ca="1" si="28"/>
        <v/>
      </c>
      <c r="AI89" s="54" t="e">
        <f t="shared" ca="1" si="29"/>
        <v>#NAME?</v>
      </c>
      <c r="AJ89" s="344">
        <f t="shared" ca="1" si="30"/>
        <v>0</v>
      </c>
      <c r="AK89" s="345">
        <f t="shared" ca="1" si="31"/>
        <v>0</v>
      </c>
      <c r="AL89" s="347">
        <f t="shared" ca="1" si="32"/>
        <v>0</v>
      </c>
      <c r="AM89" s="379">
        <f t="shared" ca="1" si="33"/>
        <v>0</v>
      </c>
      <c r="AN89" s="481">
        <f t="shared" ca="1" si="34"/>
        <v>0</v>
      </c>
    </row>
    <row r="90" spans="1:40" x14ac:dyDescent="0.2">
      <c r="A90" s="6" t="s">
        <v>8</v>
      </c>
      <c r="B90" s="7"/>
      <c r="H90" s="10" t="s">
        <v>76</v>
      </c>
      <c r="I90" s="447" t="e">
        <f ca="1">_xll.EVPRO($B$1,$H90,"STYLE")</f>
        <v>#NAME?</v>
      </c>
      <c r="J90" s="447" t="e">
        <f ca="1">_xll.EVPRO($B$1,$H90,"CALC")</f>
        <v>#NAME?</v>
      </c>
      <c r="K90" s="448" t="e">
        <f t="shared" ca="1" si="27"/>
        <v>#NAME?</v>
      </c>
      <c r="L90" s="151" t="e">
        <f ca="1">_xll.EVPRO($B$1,H90,"JDEID")</f>
        <v>#NAME?</v>
      </c>
      <c r="M90" s="151" t="e">
        <f ca="1">IF(AND(I90="N",J90="N"),_xll.EVPRO($B$1,H90,"PSFTID"),"")</f>
        <v>#NAME?</v>
      </c>
      <c r="N90" s="151" t="e">
        <f ca="1">IF(_xll.EVDES(H90,$B$1)="#NODATA","",_xll.EVDES(H90,$B$1))</f>
        <v>#NAME?</v>
      </c>
      <c r="O90" s="33">
        <v>10603.64</v>
      </c>
      <c r="P90" s="33">
        <v>2365.38</v>
      </c>
      <c r="Q90" s="33"/>
      <c r="R90" s="33"/>
      <c r="S90" s="33"/>
      <c r="T90" s="33"/>
      <c r="U90" s="33"/>
      <c r="V90" s="33"/>
      <c r="W90" s="33"/>
      <c r="X90" s="33"/>
      <c r="Y90" s="33"/>
      <c r="Z90" s="33"/>
      <c r="AA90" s="33" t="e">
        <f t="shared" ca="1" si="23"/>
        <v>#NAME?</v>
      </c>
      <c r="AB90" s="34" t="e">
        <f t="shared" ca="1" si="24"/>
        <v>#NAME?</v>
      </c>
      <c r="AC90" s="32"/>
      <c r="AD90" s="33"/>
      <c r="AE90" s="34" t="str">
        <f t="shared" si="25"/>
        <v/>
      </c>
      <c r="AF90" s="54" t="e">
        <f t="shared" ca="1" si="26"/>
        <v>#NAME?</v>
      </c>
      <c r="AG90" s="33">
        <v>1099525.8</v>
      </c>
      <c r="AH90" s="34" t="str">
        <f t="shared" ca="1" si="28"/>
        <v/>
      </c>
      <c r="AI90" s="54" t="e">
        <f t="shared" ca="1" si="29"/>
        <v>#NAME?</v>
      </c>
      <c r="AJ90" s="336">
        <f t="shared" ca="1" si="30"/>
        <v>0</v>
      </c>
      <c r="AK90" s="337">
        <f t="shared" ca="1" si="31"/>
        <v>0</v>
      </c>
      <c r="AL90" s="339">
        <f t="shared" ca="1" si="32"/>
        <v>0</v>
      </c>
      <c r="AM90" s="386">
        <f t="shared" ca="1" si="33"/>
        <v>0</v>
      </c>
      <c r="AN90" s="480">
        <f t="shared" ca="1" si="34"/>
        <v>0</v>
      </c>
    </row>
    <row r="91" spans="1:40" x14ac:dyDescent="0.2">
      <c r="G91" s="13"/>
      <c r="O91" s="38"/>
      <c r="P91" s="42"/>
      <c r="Q91" s="42"/>
      <c r="R91" s="42"/>
      <c r="S91" s="42"/>
      <c r="T91" s="42"/>
      <c r="U91" s="42"/>
      <c r="V91" s="42"/>
      <c r="W91" s="42"/>
      <c r="X91" s="42"/>
      <c r="Y91" s="42"/>
      <c r="Z91" s="42"/>
      <c r="AA91" s="42"/>
      <c r="AB91" s="39"/>
      <c r="AD91" s="38"/>
      <c r="AE91" s="42"/>
      <c r="AF91" s="39"/>
      <c r="AG91" s="38"/>
      <c r="AH91" s="42"/>
      <c r="AI91" s="39"/>
    </row>
    <row r="92" spans="1:40" x14ac:dyDescent="0.2">
      <c r="A92" s="3" t="s">
        <v>9</v>
      </c>
      <c r="B92" s="5" t="s">
        <v>10</v>
      </c>
      <c r="H92" s="1" t="s">
        <v>82</v>
      </c>
      <c r="I92" s="11" t="e">
        <f ca="1">_xll.EVPRO($B$1,$H92,"STYLE")</f>
        <v>#NAME?</v>
      </c>
      <c r="J92" s="11" t="e">
        <f ca="1">_xll.EVPRO($B$1,$H92,"CALC")</f>
        <v>#NAME?</v>
      </c>
      <c r="N92" s="37" t="e">
        <f ca="1">IF(_xll.EVDES(H92,$B$1)="#NODATA","",_xll.EVDES(H92,$B$1))</f>
        <v>#NAME?</v>
      </c>
      <c r="O92" s="40"/>
      <c r="P92" s="43"/>
      <c r="Q92" s="43"/>
      <c r="R92" s="43"/>
      <c r="S92" s="43"/>
      <c r="T92" s="43"/>
      <c r="U92" s="43"/>
      <c r="V92" s="43"/>
      <c r="W92" s="43"/>
      <c r="X92" s="43"/>
      <c r="Y92" s="43"/>
      <c r="Z92" s="43"/>
      <c r="AA92" s="43"/>
      <c r="AB92" s="41"/>
      <c r="AD92" s="40"/>
      <c r="AE92" s="43"/>
      <c r="AF92" s="41"/>
      <c r="AG92" s="40"/>
      <c r="AH92" s="43"/>
      <c r="AI92" s="41"/>
    </row>
    <row r="93" spans="1:40" x14ac:dyDescent="0.2">
      <c r="A93" s="6" t="s">
        <v>11</v>
      </c>
      <c r="B93" s="7" t="s">
        <v>21</v>
      </c>
      <c r="H93" s="10" t="s">
        <v>829</v>
      </c>
      <c r="I93" s="25" t="e">
        <f ca="1">_xll.EVPRO($B$1,$H93,"STYLE")</f>
        <v>#NAME?</v>
      </c>
      <c r="J93" s="25" t="e">
        <f ca="1">_xll.EVPRO($B$1,$H93,"CALC")</f>
        <v>#NAME?</v>
      </c>
      <c r="K93" s="64" t="e">
        <f ca="1">IF(AND(I93&lt;&gt;"B1",J93="Y"),"&gt;","")</f>
        <v>#NAME?</v>
      </c>
      <c r="L93" s="24" t="e">
        <f ca="1">_xll.EVPRO($B$1,H93,"JDEID")</f>
        <v>#NAME?</v>
      </c>
      <c r="M93" s="24" t="e">
        <f ca="1">IF(AND(I93="N",J93="N"),_xll.EVPRO($B$1,H93,"PSFTID"),"")</f>
        <v>#NAME?</v>
      </c>
      <c r="N93" s="24" t="e">
        <f ca="1">IF(_xll.EVDES(H93,$B$1)="#NODATA","",_xll.EVDES(H93,$B$1))</f>
        <v>#NAME?</v>
      </c>
      <c r="O93" s="19"/>
      <c r="P93" s="19"/>
      <c r="Q93" s="19"/>
      <c r="R93" s="19"/>
      <c r="S93" s="19"/>
      <c r="T93" s="19"/>
      <c r="U93" s="19"/>
      <c r="V93" s="19"/>
      <c r="W93" s="19"/>
      <c r="X93" s="19"/>
      <c r="Y93" s="19"/>
      <c r="Z93" s="19">
        <v>0</v>
      </c>
      <c r="AA93" s="283" t="e">
        <f t="shared" ref="AA93:AA119" ca="1" si="35">IF($I93="B1","",SUM(O93:Z93))</f>
        <v>#NAME?</v>
      </c>
      <c r="AB93" s="15" t="e">
        <f t="shared" ref="AB93:AB119" ca="1" si="36">IF(AA93=0,"",IFERROR(AA93/AA$19,""))</f>
        <v>#NAME?</v>
      </c>
      <c r="AD93" s="19"/>
      <c r="AE93" s="15" t="str">
        <f t="shared" ref="AE93:AE119" si="37">IF(AD93=0,"",IFERROR(AD93/AD$19,""))</f>
        <v/>
      </c>
      <c r="AF93" s="47" t="e">
        <f t="shared" ref="AF93:AF119" ca="1" si="38">IF(AND($AA93="",AD93=""),"",$AA93-AD93)</f>
        <v>#NAME?</v>
      </c>
      <c r="AG93" s="19">
        <v>35</v>
      </c>
      <c r="AH93" s="15" t="str">
        <f ca="1">IF(AG93=0,"",IFERROR(AG93/AG$19,""))</f>
        <v/>
      </c>
      <c r="AI93" s="47" t="e">
        <f ca="1">IF(AND($AA93="",AG93=""),"",$AA93-AG93)</f>
        <v>#NAME?</v>
      </c>
      <c r="AJ93" s="322">
        <f ca="1">IFERROR(AA93/AA$20,0)</f>
        <v>0</v>
      </c>
      <c r="AK93" s="323">
        <f ca="1">IFERROR(AD93/AD$20,0)</f>
        <v>0</v>
      </c>
      <c r="AL93" s="324">
        <f ca="1">IFERROR(AG93/AG$20,0)</f>
        <v>0</v>
      </c>
      <c r="AM93" s="359">
        <f ca="1">+IFERROR(ROUND(($AB93-AE93)*100,2)&amp;" pts.",0)</f>
        <v>0</v>
      </c>
      <c r="AN93" s="358">
        <f ca="1">+IFERROR(ROUND(($AB93-AH93)*100,2)&amp;" pts.",0)</f>
        <v>0</v>
      </c>
    </row>
    <row r="94" spans="1:40" x14ac:dyDescent="0.2">
      <c r="A94" s="6" t="s">
        <v>12</v>
      </c>
      <c r="B94" s="7" t="s">
        <v>22</v>
      </c>
      <c r="H94" s="10" t="s">
        <v>830</v>
      </c>
      <c r="I94" s="25" t="e">
        <f ca="1">_xll.EVPRO($B$1,$H94,"STYLE")</f>
        <v>#NAME?</v>
      </c>
      <c r="J94" s="25" t="e">
        <f ca="1">_xll.EVPRO($B$1,$H94,"CALC")</f>
        <v>#NAME?</v>
      </c>
      <c r="K94" s="64" t="e">
        <f t="shared" ref="K94:K118" ca="1" si="39">IF(AND(I94&lt;&gt;"B1",J94="Y"),"&gt;","")</f>
        <v>#NAME?</v>
      </c>
      <c r="L94" s="24" t="e">
        <f ca="1">_xll.EVPRO($B$1,H94,"JDEID")</f>
        <v>#NAME?</v>
      </c>
      <c r="M94" s="24" t="e">
        <f ca="1">IF(AND(I94="N",J94="N"),_xll.EVPRO($B$1,H94,"PSFTID"),"")</f>
        <v>#NAME?</v>
      </c>
      <c r="N94" s="24" t="e">
        <f ca="1">IF(_xll.EVDES(H94,$B$1)="#NODATA","",_xll.EVDES(H94,$B$1))</f>
        <v>#NAME?</v>
      </c>
      <c r="O94" s="19"/>
      <c r="P94" s="19"/>
      <c r="Q94" s="19"/>
      <c r="R94" s="19"/>
      <c r="S94" s="19"/>
      <c r="T94" s="19"/>
      <c r="U94" s="19"/>
      <c r="V94" s="19"/>
      <c r="W94" s="19"/>
      <c r="X94" s="19"/>
      <c r="Y94" s="19"/>
      <c r="Z94" s="19"/>
      <c r="AA94" s="283" t="e">
        <f t="shared" ca="1" si="35"/>
        <v>#NAME?</v>
      </c>
      <c r="AB94" s="15" t="e">
        <f t="shared" ca="1" si="36"/>
        <v>#NAME?</v>
      </c>
      <c r="AD94" s="19"/>
      <c r="AE94" s="15" t="str">
        <f t="shared" si="37"/>
        <v/>
      </c>
      <c r="AF94" s="47" t="e">
        <f t="shared" ca="1" si="38"/>
        <v>#NAME?</v>
      </c>
      <c r="AG94" s="19">
        <v>34.299999999999997</v>
      </c>
      <c r="AH94" s="15" t="str">
        <f t="shared" ref="AH94:AH118" ca="1" si="40">IF(AG94=0,"",IFERROR(AG94/AG$19,""))</f>
        <v/>
      </c>
      <c r="AI94" s="47" t="e">
        <f t="shared" ref="AI94:AI118" ca="1" si="41">IF(AND($AA94="",AG94=""),"",$AA94-AG94)</f>
        <v>#NAME?</v>
      </c>
      <c r="AJ94" s="322">
        <f t="shared" ref="AJ94:AJ118" ca="1" si="42">IFERROR(AA94/AA$20,0)</f>
        <v>0</v>
      </c>
      <c r="AK94" s="323">
        <f t="shared" ref="AK94:AK118" ca="1" si="43">IFERROR(AD94/AD$20,0)</f>
        <v>0</v>
      </c>
      <c r="AL94" s="324">
        <f t="shared" ref="AL94:AL118" ca="1" si="44">IFERROR(AG94/AG$20,0)</f>
        <v>0</v>
      </c>
      <c r="AM94" s="359">
        <f t="shared" ref="AM94:AM118" ca="1" si="45">+IFERROR(ROUND(($AB94-AE94)*100,2)&amp;" pts.",0)</f>
        <v>0</v>
      </c>
      <c r="AN94" s="358">
        <f t="shared" ref="AN94:AN118" ca="1" si="46">+IFERROR(ROUND(($AB94-AH94)*100,2)&amp;" pts.",0)</f>
        <v>0</v>
      </c>
    </row>
    <row r="95" spans="1:40" x14ac:dyDescent="0.2">
      <c r="A95" s="6" t="s">
        <v>13</v>
      </c>
      <c r="B95" s="7" t="s">
        <v>737</v>
      </c>
      <c r="H95" s="10" t="s">
        <v>868</v>
      </c>
      <c r="I95" s="25" t="e">
        <f ca="1">_xll.EVPRO($B$1,$H95,"STYLE")</f>
        <v>#NAME?</v>
      </c>
      <c r="J95" s="25" t="e">
        <f ca="1">_xll.EVPRO($B$1,$H95,"CALC")</f>
        <v>#NAME?</v>
      </c>
      <c r="K95" s="64" t="e">
        <f t="shared" ca="1" si="39"/>
        <v>#NAME?</v>
      </c>
      <c r="L95" s="24" t="e">
        <f ca="1">_xll.EVPRO($B$1,H95,"JDEID")</f>
        <v>#NAME?</v>
      </c>
      <c r="M95" s="24" t="e">
        <f ca="1">IF(AND(I95="N",J95="N"),_xll.EVPRO($B$1,H95,"PSFTID"),"")</f>
        <v>#NAME?</v>
      </c>
      <c r="N95" s="24" t="e">
        <f ca="1">IF(_xll.EVDES(H95,$B$1)="#NODATA","",_xll.EVDES(H95,$B$1))</f>
        <v>#NAME?</v>
      </c>
      <c r="O95" s="19"/>
      <c r="P95" s="19"/>
      <c r="Q95" s="19"/>
      <c r="R95" s="19"/>
      <c r="S95" s="19"/>
      <c r="T95" s="19"/>
      <c r="U95" s="19"/>
      <c r="V95" s="19"/>
      <c r="W95" s="19"/>
      <c r="X95" s="19"/>
      <c r="Y95" s="19"/>
      <c r="Z95" s="19"/>
      <c r="AA95" s="283" t="e">
        <f t="shared" ca="1" si="35"/>
        <v>#NAME?</v>
      </c>
      <c r="AB95" s="15" t="e">
        <f t="shared" ca="1" si="36"/>
        <v>#NAME?</v>
      </c>
      <c r="AD95" s="19"/>
      <c r="AE95" s="15" t="str">
        <f t="shared" si="37"/>
        <v/>
      </c>
      <c r="AF95" s="47" t="e">
        <f t="shared" ca="1" si="38"/>
        <v>#NAME?</v>
      </c>
      <c r="AG95" s="19">
        <v>549.48</v>
      </c>
      <c r="AH95" s="15" t="str">
        <f t="shared" ca="1" si="40"/>
        <v/>
      </c>
      <c r="AI95" s="47" t="e">
        <f t="shared" ca="1" si="41"/>
        <v>#NAME?</v>
      </c>
      <c r="AJ95" s="322">
        <f t="shared" ca="1" si="42"/>
        <v>0</v>
      </c>
      <c r="AK95" s="323">
        <f t="shared" ca="1" si="43"/>
        <v>0</v>
      </c>
      <c r="AL95" s="324">
        <f t="shared" ca="1" si="44"/>
        <v>0</v>
      </c>
      <c r="AM95" s="359">
        <f t="shared" ca="1" si="45"/>
        <v>0</v>
      </c>
      <c r="AN95" s="358">
        <f t="shared" ca="1" si="46"/>
        <v>0</v>
      </c>
    </row>
    <row r="96" spans="1:40" x14ac:dyDescent="0.2">
      <c r="A96" s="6" t="s">
        <v>14</v>
      </c>
      <c r="B96" s="7"/>
      <c r="H96" s="10" t="s">
        <v>832</v>
      </c>
      <c r="I96" s="25" t="e">
        <f ca="1">_xll.EVPRO($B$1,$H96,"STYLE")</f>
        <v>#NAME?</v>
      </c>
      <c r="J96" s="25" t="e">
        <f ca="1">_xll.EVPRO($B$1,$H96,"CALC")</f>
        <v>#NAME?</v>
      </c>
      <c r="K96" s="64" t="e">
        <f t="shared" ca="1" si="39"/>
        <v>#NAME?</v>
      </c>
      <c r="L96" s="24" t="e">
        <f ca="1">_xll.EVPRO($B$1,H96,"JDEID")</f>
        <v>#NAME?</v>
      </c>
      <c r="M96" s="24" t="e">
        <f ca="1">IF(AND(I96="N",J96="N"),_xll.EVPRO($B$1,H96,"PSFTID"),"")</f>
        <v>#NAME?</v>
      </c>
      <c r="N96" s="24" t="e">
        <f ca="1">IF(_xll.EVDES(H96,$B$1)="#NODATA","",_xll.EVDES(H96,$B$1))</f>
        <v>#NAME?</v>
      </c>
      <c r="O96" s="19"/>
      <c r="P96" s="19"/>
      <c r="Q96" s="19"/>
      <c r="R96" s="19"/>
      <c r="S96" s="19"/>
      <c r="T96" s="19"/>
      <c r="U96" s="19"/>
      <c r="V96" s="19"/>
      <c r="W96" s="19"/>
      <c r="X96" s="19"/>
      <c r="Y96" s="19"/>
      <c r="Z96" s="19"/>
      <c r="AA96" s="283" t="e">
        <f t="shared" ca="1" si="35"/>
        <v>#NAME?</v>
      </c>
      <c r="AB96" s="15" t="e">
        <f t="shared" ca="1" si="36"/>
        <v>#NAME?</v>
      </c>
      <c r="AD96" s="19"/>
      <c r="AE96" s="15" t="str">
        <f t="shared" si="37"/>
        <v/>
      </c>
      <c r="AF96" s="47" t="e">
        <f t="shared" ca="1" si="38"/>
        <v>#NAME?</v>
      </c>
      <c r="AG96" s="19">
        <v>19138.36</v>
      </c>
      <c r="AH96" s="15" t="str">
        <f t="shared" ca="1" si="40"/>
        <v/>
      </c>
      <c r="AI96" s="47" t="e">
        <f t="shared" ca="1" si="41"/>
        <v>#NAME?</v>
      </c>
      <c r="AJ96" s="322">
        <f t="shared" ca="1" si="42"/>
        <v>0</v>
      </c>
      <c r="AK96" s="323">
        <f t="shared" ca="1" si="43"/>
        <v>0</v>
      </c>
      <c r="AL96" s="324">
        <f t="shared" ca="1" si="44"/>
        <v>0</v>
      </c>
      <c r="AM96" s="359">
        <f t="shared" ca="1" si="45"/>
        <v>0</v>
      </c>
      <c r="AN96" s="358">
        <f t="shared" ca="1" si="46"/>
        <v>0</v>
      </c>
    </row>
    <row r="97" spans="1:40" x14ac:dyDescent="0.2">
      <c r="A97" s="6" t="s">
        <v>15</v>
      </c>
      <c r="B97" s="7"/>
      <c r="H97" s="10" t="s">
        <v>857</v>
      </c>
      <c r="I97" s="25" t="e">
        <f ca="1">_xll.EVPRO($B$1,$H97,"STYLE")</f>
        <v>#NAME?</v>
      </c>
      <c r="J97" s="25" t="e">
        <f ca="1">_xll.EVPRO($B$1,$H97,"CALC")</f>
        <v>#NAME?</v>
      </c>
      <c r="K97" s="64" t="e">
        <f t="shared" ca="1" si="39"/>
        <v>#NAME?</v>
      </c>
      <c r="L97" s="24" t="e">
        <f ca="1">_xll.EVPRO($B$1,H97,"JDEID")</f>
        <v>#NAME?</v>
      </c>
      <c r="M97" s="24" t="e">
        <f ca="1">IF(AND(I97="N",J97="N"),_xll.EVPRO($B$1,H97,"PSFTID"),"")</f>
        <v>#NAME?</v>
      </c>
      <c r="N97" s="24" t="e">
        <f ca="1">IF(_xll.EVDES(H97,$B$1)="#NODATA","",_xll.EVDES(H97,$B$1))</f>
        <v>#NAME?</v>
      </c>
      <c r="O97" s="19"/>
      <c r="P97" s="19"/>
      <c r="Q97" s="19"/>
      <c r="R97" s="19"/>
      <c r="S97" s="19"/>
      <c r="T97" s="19"/>
      <c r="U97" s="19"/>
      <c r="V97" s="19"/>
      <c r="W97" s="19"/>
      <c r="X97" s="19"/>
      <c r="Y97" s="19"/>
      <c r="Z97" s="19"/>
      <c r="AA97" s="283" t="e">
        <f t="shared" ca="1" si="35"/>
        <v>#NAME?</v>
      </c>
      <c r="AB97" s="15" t="e">
        <f t="shared" ca="1" si="36"/>
        <v>#NAME?</v>
      </c>
      <c r="AD97" s="19"/>
      <c r="AE97" s="15" t="str">
        <f t="shared" si="37"/>
        <v/>
      </c>
      <c r="AF97" s="47" t="e">
        <f t="shared" ca="1" si="38"/>
        <v>#NAME?</v>
      </c>
      <c r="AG97" s="19">
        <v>6358.64</v>
      </c>
      <c r="AH97" s="15" t="str">
        <f t="shared" ca="1" si="40"/>
        <v/>
      </c>
      <c r="AI97" s="47" t="e">
        <f t="shared" ca="1" si="41"/>
        <v>#NAME?</v>
      </c>
      <c r="AJ97" s="322">
        <f t="shared" ca="1" si="42"/>
        <v>0</v>
      </c>
      <c r="AK97" s="323">
        <f t="shared" ca="1" si="43"/>
        <v>0</v>
      </c>
      <c r="AL97" s="324">
        <f t="shared" ca="1" si="44"/>
        <v>0</v>
      </c>
      <c r="AM97" s="359">
        <f t="shared" ca="1" si="45"/>
        <v>0</v>
      </c>
      <c r="AN97" s="358">
        <f t="shared" ca="1" si="46"/>
        <v>0</v>
      </c>
    </row>
    <row r="98" spans="1:40" x14ac:dyDescent="0.2">
      <c r="A98" s="6" t="s">
        <v>16</v>
      </c>
      <c r="B98" s="7" t="s">
        <v>78</v>
      </c>
      <c r="H98" s="10" t="s">
        <v>869</v>
      </c>
      <c r="I98" s="25" t="e">
        <f ca="1">_xll.EVPRO($B$1,$H98,"STYLE")</f>
        <v>#NAME?</v>
      </c>
      <c r="J98" s="25" t="e">
        <f ca="1">_xll.EVPRO($B$1,$H98,"CALC")</f>
        <v>#NAME?</v>
      </c>
      <c r="K98" s="64" t="e">
        <f t="shared" ca="1" si="39"/>
        <v>#NAME?</v>
      </c>
      <c r="L98" s="24" t="e">
        <f ca="1">_xll.EVPRO($B$1,H98,"JDEID")</f>
        <v>#NAME?</v>
      </c>
      <c r="M98" s="24" t="e">
        <f ca="1">IF(AND(I98="N",J98="N"),_xll.EVPRO($B$1,H98,"PSFTID"),"")</f>
        <v>#NAME?</v>
      </c>
      <c r="N98" s="24" t="e">
        <f ca="1">IF(_xll.EVDES(H98,$B$1)="#NODATA","",_xll.EVDES(H98,$B$1))</f>
        <v>#NAME?</v>
      </c>
      <c r="O98" s="19"/>
      <c r="P98" s="19"/>
      <c r="Q98" s="19"/>
      <c r="R98" s="19"/>
      <c r="S98" s="19"/>
      <c r="T98" s="19"/>
      <c r="U98" s="19"/>
      <c r="V98" s="19"/>
      <c r="W98" s="19"/>
      <c r="X98" s="19"/>
      <c r="Y98" s="19"/>
      <c r="Z98" s="19"/>
      <c r="AA98" s="283" t="e">
        <f t="shared" ca="1" si="35"/>
        <v>#NAME?</v>
      </c>
      <c r="AB98" s="15" t="e">
        <f t="shared" ca="1" si="36"/>
        <v>#NAME?</v>
      </c>
      <c r="AD98" s="19"/>
      <c r="AE98" s="15" t="str">
        <f t="shared" si="37"/>
        <v/>
      </c>
      <c r="AF98" s="47" t="e">
        <f t="shared" ca="1" si="38"/>
        <v>#NAME?</v>
      </c>
      <c r="AG98" s="19">
        <v>8207.02</v>
      </c>
      <c r="AH98" s="15" t="str">
        <f t="shared" ca="1" si="40"/>
        <v/>
      </c>
      <c r="AI98" s="47" t="e">
        <f t="shared" ca="1" si="41"/>
        <v>#NAME?</v>
      </c>
      <c r="AJ98" s="322">
        <f t="shared" ca="1" si="42"/>
        <v>0</v>
      </c>
      <c r="AK98" s="323">
        <f t="shared" ca="1" si="43"/>
        <v>0</v>
      </c>
      <c r="AL98" s="324">
        <f t="shared" ca="1" si="44"/>
        <v>0</v>
      </c>
      <c r="AM98" s="359">
        <f t="shared" ca="1" si="45"/>
        <v>0</v>
      </c>
      <c r="AN98" s="358">
        <f t="shared" ca="1" si="46"/>
        <v>0</v>
      </c>
    </row>
    <row r="99" spans="1:40" x14ac:dyDescent="0.2">
      <c r="A99" s="6" t="s">
        <v>17</v>
      </c>
      <c r="B99" s="7"/>
      <c r="H99" s="10" t="s">
        <v>870</v>
      </c>
      <c r="I99" s="25" t="e">
        <f ca="1">_xll.EVPRO($B$1,$H99,"STYLE")</f>
        <v>#NAME?</v>
      </c>
      <c r="J99" s="25" t="e">
        <f ca="1">_xll.EVPRO($B$1,$H99,"CALC")</f>
        <v>#NAME?</v>
      </c>
      <c r="K99" s="64" t="e">
        <f t="shared" ca="1" si="39"/>
        <v>#NAME?</v>
      </c>
      <c r="L99" s="24" t="e">
        <f ca="1">_xll.EVPRO($B$1,H99,"JDEID")</f>
        <v>#NAME?</v>
      </c>
      <c r="M99" s="24" t="e">
        <f ca="1">IF(AND(I99="N",J99="N"),_xll.EVPRO($B$1,H99,"PSFTID"),"")</f>
        <v>#NAME?</v>
      </c>
      <c r="N99" s="24" t="e">
        <f ca="1">IF(_xll.EVDES(H99,$B$1)="#NODATA","",_xll.EVDES(H99,$B$1))</f>
        <v>#NAME?</v>
      </c>
      <c r="O99" s="19"/>
      <c r="P99" s="19"/>
      <c r="Q99" s="19"/>
      <c r="R99" s="19"/>
      <c r="S99" s="19"/>
      <c r="T99" s="19"/>
      <c r="U99" s="19"/>
      <c r="V99" s="19"/>
      <c r="W99" s="19"/>
      <c r="X99" s="19"/>
      <c r="Y99" s="19"/>
      <c r="Z99" s="19"/>
      <c r="AA99" s="283" t="e">
        <f t="shared" ca="1" si="35"/>
        <v>#NAME?</v>
      </c>
      <c r="AB99" s="15" t="e">
        <f t="shared" ca="1" si="36"/>
        <v>#NAME?</v>
      </c>
      <c r="AD99" s="19"/>
      <c r="AE99" s="15" t="str">
        <f t="shared" si="37"/>
        <v/>
      </c>
      <c r="AF99" s="47" t="e">
        <f t="shared" ca="1" si="38"/>
        <v>#NAME?</v>
      </c>
      <c r="AG99" s="19">
        <v>279.85000000000002</v>
      </c>
      <c r="AH99" s="15" t="str">
        <f t="shared" ca="1" si="40"/>
        <v/>
      </c>
      <c r="AI99" s="47" t="e">
        <f t="shared" ca="1" si="41"/>
        <v>#NAME?</v>
      </c>
      <c r="AJ99" s="322">
        <f t="shared" ca="1" si="42"/>
        <v>0</v>
      </c>
      <c r="AK99" s="323">
        <f t="shared" ca="1" si="43"/>
        <v>0</v>
      </c>
      <c r="AL99" s="324">
        <f t="shared" ca="1" si="44"/>
        <v>0</v>
      </c>
      <c r="AM99" s="359">
        <f t="shared" ca="1" si="45"/>
        <v>0</v>
      </c>
      <c r="AN99" s="358">
        <f t="shared" ca="1" si="46"/>
        <v>0</v>
      </c>
    </row>
    <row r="100" spans="1:40" x14ac:dyDescent="0.2">
      <c r="H100" s="10" t="s">
        <v>871</v>
      </c>
      <c r="I100" s="25" t="e">
        <f ca="1">_xll.EVPRO($B$1,$H100,"STYLE")</f>
        <v>#NAME?</v>
      </c>
      <c r="J100" s="25" t="e">
        <f ca="1">_xll.EVPRO($B$1,$H100,"CALC")</f>
        <v>#NAME?</v>
      </c>
      <c r="K100" s="64" t="e">
        <f t="shared" ca="1" si="39"/>
        <v>#NAME?</v>
      </c>
      <c r="L100" s="24" t="e">
        <f ca="1">_xll.EVPRO($B$1,H100,"JDEID")</f>
        <v>#NAME?</v>
      </c>
      <c r="M100" s="24" t="e">
        <f ca="1">IF(AND(I100="N",J100="N"),_xll.EVPRO($B$1,H100,"PSFTID"),"")</f>
        <v>#NAME?</v>
      </c>
      <c r="N100" s="24" t="e">
        <f ca="1">IF(_xll.EVDES(H100,$B$1)="#NODATA","",_xll.EVDES(H100,$B$1))</f>
        <v>#NAME?</v>
      </c>
      <c r="O100" s="19">
        <v>124.48</v>
      </c>
      <c r="P100" s="19"/>
      <c r="Q100" s="19"/>
      <c r="R100" s="19"/>
      <c r="S100" s="19"/>
      <c r="T100" s="19"/>
      <c r="U100" s="19"/>
      <c r="V100" s="19"/>
      <c r="W100" s="19"/>
      <c r="X100" s="19"/>
      <c r="Y100" s="19"/>
      <c r="Z100" s="19"/>
      <c r="AA100" s="283" t="e">
        <f t="shared" ca="1" si="35"/>
        <v>#NAME?</v>
      </c>
      <c r="AB100" s="15" t="e">
        <f t="shared" ca="1" si="36"/>
        <v>#NAME?</v>
      </c>
      <c r="AD100" s="19"/>
      <c r="AE100" s="15" t="str">
        <f t="shared" si="37"/>
        <v/>
      </c>
      <c r="AF100" s="47" t="e">
        <f t="shared" ca="1" si="38"/>
        <v>#NAME?</v>
      </c>
      <c r="AG100" s="19">
        <v>16610.93</v>
      </c>
      <c r="AH100" s="15" t="str">
        <f t="shared" ca="1" si="40"/>
        <v/>
      </c>
      <c r="AI100" s="47" t="e">
        <f t="shared" ca="1" si="41"/>
        <v>#NAME?</v>
      </c>
      <c r="AJ100" s="322">
        <f t="shared" ca="1" si="42"/>
        <v>0</v>
      </c>
      <c r="AK100" s="323">
        <f t="shared" ca="1" si="43"/>
        <v>0</v>
      </c>
      <c r="AL100" s="324">
        <f t="shared" ca="1" si="44"/>
        <v>0</v>
      </c>
      <c r="AM100" s="359">
        <f t="shared" ca="1" si="45"/>
        <v>0</v>
      </c>
      <c r="AN100" s="358">
        <f t="shared" ca="1" si="46"/>
        <v>0</v>
      </c>
    </row>
    <row r="101" spans="1:40" x14ac:dyDescent="0.2">
      <c r="A101" s="20" t="s">
        <v>92</v>
      </c>
      <c r="B101" s="21" t="s">
        <v>93</v>
      </c>
      <c r="C101" s="21" t="s">
        <v>94</v>
      </c>
      <c r="D101" s="21" t="s">
        <v>95</v>
      </c>
      <c r="E101" s="21" t="s">
        <v>96</v>
      </c>
      <c r="F101" s="22" t="s">
        <v>97</v>
      </c>
      <c r="H101" s="10" t="s">
        <v>859</v>
      </c>
      <c r="I101" s="25" t="e">
        <f ca="1">_xll.EVPRO($B$1,$H101,"STYLE")</f>
        <v>#NAME?</v>
      </c>
      <c r="J101" s="25" t="e">
        <f ca="1">_xll.EVPRO($B$1,$H101,"CALC")</f>
        <v>#NAME?</v>
      </c>
      <c r="K101" s="64" t="e">
        <f t="shared" ca="1" si="39"/>
        <v>#NAME?</v>
      </c>
      <c r="L101" s="24" t="e">
        <f ca="1">_xll.EVPRO($B$1,H101,"JDEID")</f>
        <v>#NAME?</v>
      </c>
      <c r="M101" s="24" t="e">
        <f ca="1">IF(AND(I101="N",J101="N"),_xll.EVPRO($B$1,H101,"PSFTID"),"")</f>
        <v>#NAME?</v>
      </c>
      <c r="N101" s="24" t="e">
        <f ca="1">IF(_xll.EVDES(H101,$B$1)="#NODATA","",_xll.EVDES(H101,$B$1))</f>
        <v>#NAME?</v>
      </c>
      <c r="O101" s="19"/>
      <c r="P101" s="19"/>
      <c r="Q101" s="19"/>
      <c r="R101" s="19"/>
      <c r="S101" s="19"/>
      <c r="T101" s="19"/>
      <c r="U101" s="19"/>
      <c r="V101" s="19"/>
      <c r="W101" s="19"/>
      <c r="X101" s="19"/>
      <c r="Y101" s="19"/>
      <c r="Z101" s="19"/>
      <c r="AA101" s="283" t="e">
        <f t="shared" ca="1" si="35"/>
        <v>#NAME?</v>
      </c>
      <c r="AB101" s="15" t="e">
        <f t="shared" ca="1" si="36"/>
        <v>#NAME?</v>
      </c>
      <c r="AD101" s="19"/>
      <c r="AE101" s="15" t="str">
        <f t="shared" si="37"/>
        <v/>
      </c>
      <c r="AF101" s="47" t="e">
        <f t="shared" ca="1" si="38"/>
        <v>#NAME?</v>
      </c>
      <c r="AG101" s="19">
        <v>825.31</v>
      </c>
      <c r="AH101" s="15" t="str">
        <f t="shared" ca="1" si="40"/>
        <v/>
      </c>
      <c r="AI101" s="47" t="e">
        <f t="shared" ca="1" si="41"/>
        <v>#NAME?</v>
      </c>
      <c r="AJ101" s="322">
        <f t="shared" ca="1" si="42"/>
        <v>0</v>
      </c>
      <c r="AK101" s="323">
        <f t="shared" ca="1" si="43"/>
        <v>0</v>
      </c>
      <c r="AL101" s="324">
        <f t="shared" ca="1" si="44"/>
        <v>0</v>
      </c>
      <c r="AM101" s="359">
        <f t="shared" ca="1" si="45"/>
        <v>0</v>
      </c>
      <c r="AN101" s="358">
        <f t="shared" ca="1" si="46"/>
        <v>0</v>
      </c>
    </row>
    <row r="102" spans="1:40" x14ac:dyDescent="0.2">
      <c r="H102" s="10" t="s">
        <v>872</v>
      </c>
      <c r="I102" s="25" t="e">
        <f ca="1">_xll.EVPRO($B$1,$H102,"STYLE")</f>
        <v>#NAME?</v>
      </c>
      <c r="J102" s="25" t="e">
        <f ca="1">_xll.EVPRO($B$1,$H102,"CALC")</f>
        <v>#NAME?</v>
      </c>
      <c r="K102" s="64" t="e">
        <f t="shared" ca="1" si="39"/>
        <v>#NAME?</v>
      </c>
      <c r="L102" s="24" t="e">
        <f ca="1">_xll.EVPRO($B$1,H102,"JDEID")</f>
        <v>#NAME?</v>
      </c>
      <c r="M102" s="24" t="e">
        <f ca="1">IF(AND(I102="N",J102="N"),_xll.EVPRO($B$1,H102,"PSFTID"),"")</f>
        <v>#NAME?</v>
      </c>
      <c r="N102" s="24" t="e">
        <f ca="1">IF(_xll.EVDES(H102,$B$1)="#NODATA","",_xll.EVDES(H102,$B$1))</f>
        <v>#NAME?</v>
      </c>
      <c r="O102" s="19"/>
      <c r="P102" s="19">
        <v>20</v>
      </c>
      <c r="Q102" s="19"/>
      <c r="R102" s="19"/>
      <c r="S102" s="19"/>
      <c r="T102" s="19"/>
      <c r="U102" s="19"/>
      <c r="V102" s="19"/>
      <c r="W102" s="19"/>
      <c r="X102" s="19"/>
      <c r="Y102" s="19"/>
      <c r="Z102" s="19"/>
      <c r="AA102" s="283" t="e">
        <f t="shared" ca="1" si="35"/>
        <v>#NAME?</v>
      </c>
      <c r="AB102" s="15" t="e">
        <f t="shared" ca="1" si="36"/>
        <v>#NAME?</v>
      </c>
      <c r="AD102" s="19"/>
      <c r="AE102" s="15" t="str">
        <f t="shared" si="37"/>
        <v/>
      </c>
      <c r="AF102" s="47" t="e">
        <f t="shared" ca="1" si="38"/>
        <v>#NAME?</v>
      </c>
      <c r="AG102" s="19">
        <v>1862.02</v>
      </c>
      <c r="AH102" s="15" t="str">
        <f t="shared" ca="1" si="40"/>
        <v/>
      </c>
      <c r="AI102" s="47" t="e">
        <f t="shared" ca="1" si="41"/>
        <v>#NAME?</v>
      </c>
      <c r="AJ102" s="322">
        <f t="shared" ca="1" si="42"/>
        <v>0</v>
      </c>
      <c r="AK102" s="323">
        <f t="shared" ca="1" si="43"/>
        <v>0</v>
      </c>
      <c r="AL102" s="324">
        <f t="shared" ca="1" si="44"/>
        <v>0</v>
      </c>
      <c r="AM102" s="359">
        <f t="shared" ca="1" si="45"/>
        <v>0</v>
      </c>
      <c r="AN102" s="358">
        <f t="shared" ca="1" si="46"/>
        <v>0</v>
      </c>
    </row>
    <row r="103" spans="1:40" x14ac:dyDescent="0.2">
      <c r="A103" s="1" t="s">
        <v>108</v>
      </c>
      <c r="C103" s="24" t="s">
        <v>101</v>
      </c>
      <c r="D103" s="1" t="s">
        <v>106</v>
      </c>
      <c r="F103" s="1" t="s">
        <v>98</v>
      </c>
      <c r="H103" s="10" t="s">
        <v>833</v>
      </c>
      <c r="I103" s="25" t="e">
        <f ca="1">_xll.EVPRO($B$1,$H103,"STYLE")</f>
        <v>#NAME?</v>
      </c>
      <c r="J103" s="25" t="e">
        <f ca="1">_xll.EVPRO($B$1,$H103,"CALC")</f>
        <v>#NAME?</v>
      </c>
      <c r="K103" s="64" t="e">
        <f t="shared" ca="1" si="39"/>
        <v>#NAME?</v>
      </c>
      <c r="L103" s="24" t="e">
        <f ca="1">_xll.EVPRO($B$1,H103,"JDEID")</f>
        <v>#NAME?</v>
      </c>
      <c r="M103" s="24" t="e">
        <f ca="1">IF(AND(I103="N",J103="N"),_xll.EVPRO($B$1,H103,"PSFTID"),"")</f>
        <v>#NAME?</v>
      </c>
      <c r="N103" s="24" t="e">
        <f ca="1">IF(_xll.EVDES(H103,$B$1)="#NODATA","",_xll.EVDES(H103,$B$1))</f>
        <v>#NAME?</v>
      </c>
      <c r="O103" s="19">
        <v>724.84</v>
      </c>
      <c r="P103" s="19"/>
      <c r="Q103" s="19"/>
      <c r="R103" s="19"/>
      <c r="S103" s="19"/>
      <c r="T103" s="19"/>
      <c r="U103" s="19"/>
      <c r="V103" s="19"/>
      <c r="W103" s="19"/>
      <c r="X103" s="19"/>
      <c r="Y103" s="19"/>
      <c r="Z103" s="19"/>
      <c r="AA103" s="283" t="e">
        <f t="shared" ca="1" si="35"/>
        <v>#NAME?</v>
      </c>
      <c r="AB103" s="15" t="e">
        <f t="shared" ca="1" si="36"/>
        <v>#NAME?</v>
      </c>
      <c r="AD103" s="19"/>
      <c r="AE103" s="15" t="str">
        <f t="shared" si="37"/>
        <v/>
      </c>
      <c r="AF103" s="47" t="e">
        <f t="shared" ca="1" si="38"/>
        <v>#NAME?</v>
      </c>
      <c r="AG103" s="19">
        <v>63974.12</v>
      </c>
      <c r="AH103" s="15" t="str">
        <f t="shared" ca="1" si="40"/>
        <v/>
      </c>
      <c r="AI103" s="47" t="e">
        <f t="shared" ca="1" si="41"/>
        <v>#NAME?</v>
      </c>
      <c r="AJ103" s="322">
        <f t="shared" ca="1" si="42"/>
        <v>0</v>
      </c>
      <c r="AK103" s="323">
        <f t="shared" ca="1" si="43"/>
        <v>0</v>
      </c>
      <c r="AL103" s="324">
        <f t="shared" ca="1" si="44"/>
        <v>0</v>
      </c>
      <c r="AM103" s="359">
        <f t="shared" ca="1" si="45"/>
        <v>0</v>
      </c>
      <c r="AN103" s="358">
        <f t="shared" ca="1" si="46"/>
        <v>0</v>
      </c>
    </row>
    <row r="104" spans="1:40" x14ac:dyDescent="0.2">
      <c r="A104" s="1" t="s">
        <v>100</v>
      </c>
      <c r="C104" s="8" t="s">
        <v>101</v>
      </c>
      <c r="D104" s="1" t="s">
        <v>106</v>
      </c>
      <c r="F104" s="1" t="s">
        <v>98</v>
      </c>
      <c r="H104" s="10" t="s">
        <v>834</v>
      </c>
      <c r="I104" s="25" t="e">
        <f ca="1">_xll.EVPRO($B$1,$H104,"STYLE")</f>
        <v>#NAME?</v>
      </c>
      <c r="J104" s="25" t="e">
        <f ca="1">_xll.EVPRO($B$1,$H104,"CALC")</f>
        <v>#NAME?</v>
      </c>
      <c r="K104" s="64" t="e">
        <f t="shared" ca="1" si="39"/>
        <v>#NAME?</v>
      </c>
      <c r="L104" s="24" t="e">
        <f ca="1">_xll.EVPRO($B$1,H104,"JDEID")</f>
        <v>#NAME?</v>
      </c>
      <c r="M104" s="24" t="e">
        <f ca="1">IF(AND(I104="N",J104="N"),_xll.EVPRO($B$1,H104,"PSFTID"),"")</f>
        <v>#NAME?</v>
      </c>
      <c r="N104" s="24" t="e">
        <f ca="1">IF(_xll.EVDES(H104,$B$1)="#NODATA","",_xll.EVDES(H104,$B$1))</f>
        <v>#NAME?</v>
      </c>
      <c r="O104" s="19"/>
      <c r="P104" s="19"/>
      <c r="Q104" s="19"/>
      <c r="R104" s="19"/>
      <c r="S104" s="19"/>
      <c r="T104" s="19"/>
      <c r="U104" s="19"/>
      <c r="V104" s="19"/>
      <c r="W104" s="19">
        <v>-0.17</v>
      </c>
      <c r="X104" s="19"/>
      <c r="Y104" s="19"/>
      <c r="Z104" s="19"/>
      <c r="AA104" s="283" t="e">
        <f t="shared" ca="1" si="35"/>
        <v>#NAME?</v>
      </c>
      <c r="AB104" s="15" t="e">
        <f t="shared" ca="1" si="36"/>
        <v>#NAME?</v>
      </c>
      <c r="AD104" s="19"/>
      <c r="AE104" s="15" t="str">
        <f t="shared" si="37"/>
        <v/>
      </c>
      <c r="AF104" s="47" t="e">
        <f t="shared" ca="1" si="38"/>
        <v>#NAME?</v>
      </c>
      <c r="AG104" s="19">
        <v>3623.55</v>
      </c>
      <c r="AH104" s="15" t="str">
        <f t="shared" ca="1" si="40"/>
        <v/>
      </c>
      <c r="AI104" s="47" t="e">
        <f t="shared" ca="1" si="41"/>
        <v>#NAME?</v>
      </c>
      <c r="AJ104" s="322">
        <f t="shared" ca="1" si="42"/>
        <v>0</v>
      </c>
      <c r="AK104" s="323">
        <f t="shared" ca="1" si="43"/>
        <v>0</v>
      </c>
      <c r="AL104" s="324">
        <f t="shared" ca="1" si="44"/>
        <v>0</v>
      </c>
      <c r="AM104" s="359">
        <f t="shared" ca="1" si="45"/>
        <v>0</v>
      </c>
      <c r="AN104" s="358">
        <f t="shared" ca="1" si="46"/>
        <v>0</v>
      </c>
    </row>
    <row r="105" spans="1:40" x14ac:dyDescent="0.2">
      <c r="A105" s="1" t="s">
        <v>109</v>
      </c>
      <c r="C105" s="23" t="s">
        <v>101</v>
      </c>
      <c r="D105" s="1" t="s">
        <v>106</v>
      </c>
      <c r="F105" s="1" t="s">
        <v>98</v>
      </c>
      <c r="G105" s="13"/>
      <c r="H105" s="10" t="s">
        <v>835</v>
      </c>
      <c r="I105" s="25" t="e">
        <f ca="1">_xll.EVPRO($B$1,$H105,"STYLE")</f>
        <v>#NAME?</v>
      </c>
      <c r="J105" s="25" t="e">
        <f ca="1">_xll.EVPRO($B$1,$H105,"CALC")</f>
        <v>#NAME?</v>
      </c>
      <c r="K105" s="64" t="e">
        <f t="shared" ca="1" si="39"/>
        <v>#NAME?</v>
      </c>
      <c r="L105" s="24" t="e">
        <f ca="1">_xll.EVPRO($B$1,H105,"JDEID")</f>
        <v>#NAME?</v>
      </c>
      <c r="M105" s="24" t="e">
        <f ca="1">IF(AND(I105="N",J105="N"),_xll.EVPRO($B$1,H105,"PSFTID"),"")</f>
        <v>#NAME?</v>
      </c>
      <c r="N105" s="24" t="e">
        <f ca="1">IF(_xll.EVDES(H105,$B$1)="#NODATA","",_xll.EVDES(H105,$B$1))</f>
        <v>#NAME?</v>
      </c>
      <c r="O105" s="19"/>
      <c r="P105" s="19"/>
      <c r="Q105" s="19">
        <v>-43.94</v>
      </c>
      <c r="R105" s="19"/>
      <c r="S105" s="19"/>
      <c r="T105" s="19"/>
      <c r="U105" s="19"/>
      <c r="V105" s="19"/>
      <c r="W105" s="19"/>
      <c r="X105" s="19"/>
      <c r="Y105" s="19"/>
      <c r="Z105" s="19"/>
      <c r="AA105" s="283" t="e">
        <f t="shared" ca="1" si="35"/>
        <v>#NAME?</v>
      </c>
      <c r="AB105" s="15" t="e">
        <f t="shared" ca="1" si="36"/>
        <v>#NAME?</v>
      </c>
      <c r="AD105" s="19"/>
      <c r="AE105" s="15" t="str">
        <f t="shared" si="37"/>
        <v/>
      </c>
      <c r="AF105" s="47" t="e">
        <f t="shared" ca="1" si="38"/>
        <v>#NAME?</v>
      </c>
      <c r="AG105" s="19"/>
      <c r="AH105" s="15" t="str">
        <f t="shared" si="40"/>
        <v/>
      </c>
      <c r="AI105" s="47" t="e">
        <f t="shared" ca="1" si="41"/>
        <v>#NAME?</v>
      </c>
      <c r="AJ105" s="322">
        <f t="shared" ca="1" si="42"/>
        <v>0</v>
      </c>
      <c r="AK105" s="323">
        <f t="shared" ca="1" si="43"/>
        <v>0</v>
      </c>
      <c r="AL105" s="324">
        <f t="shared" ca="1" si="44"/>
        <v>0</v>
      </c>
      <c r="AM105" s="359">
        <f t="shared" ca="1" si="45"/>
        <v>0</v>
      </c>
      <c r="AN105" s="358">
        <f t="shared" ca="1" si="46"/>
        <v>0</v>
      </c>
    </row>
    <row r="106" spans="1:40" x14ac:dyDescent="0.2">
      <c r="A106" s="1" t="s">
        <v>109</v>
      </c>
      <c r="C106" s="135" t="s">
        <v>101</v>
      </c>
      <c r="D106" s="1" t="s">
        <v>107</v>
      </c>
      <c r="F106" s="1" t="s">
        <v>99</v>
      </c>
      <c r="H106" s="10" t="s">
        <v>873</v>
      </c>
      <c r="I106" s="25" t="e">
        <f ca="1">_xll.EVPRO($B$1,$H106,"STYLE")</f>
        <v>#NAME?</v>
      </c>
      <c r="J106" s="25" t="e">
        <f ca="1">_xll.EVPRO($B$1,$H106,"CALC")</f>
        <v>#NAME?</v>
      </c>
      <c r="K106" s="64" t="e">
        <f t="shared" ca="1" si="39"/>
        <v>#NAME?</v>
      </c>
      <c r="L106" s="24" t="e">
        <f ca="1">_xll.EVPRO($B$1,H106,"JDEID")</f>
        <v>#NAME?</v>
      </c>
      <c r="M106" s="24" t="e">
        <f ca="1">IF(AND(I106="N",J106="N"),_xll.EVPRO($B$1,H106,"PSFTID"),"")</f>
        <v>#NAME?</v>
      </c>
      <c r="N106" s="24" t="e">
        <f ca="1">IF(_xll.EVDES(H106,$B$1)="#NODATA","",_xll.EVDES(H106,$B$1))</f>
        <v>#NAME?</v>
      </c>
      <c r="O106" s="19"/>
      <c r="P106" s="19"/>
      <c r="Q106" s="19"/>
      <c r="R106" s="19"/>
      <c r="S106" s="19"/>
      <c r="T106" s="19"/>
      <c r="U106" s="19"/>
      <c r="V106" s="19"/>
      <c r="W106" s="19"/>
      <c r="X106" s="19"/>
      <c r="Y106" s="19"/>
      <c r="Z106" s="19"/>
      <c r="AA106" s="283" t="e">
        <f t="shared" ca="1" si="35"/>
        <v>#NAME?</v>
      </c>
      <c r="AB106" s="15" t="e">
        <f t="shared" ca="1" si="36"/>
        <v>#NAME?</v>
      </c>
      <c r="AD106" s="19"/>
      <c r="AE106" s="15" t="str">
        <f t="shared" si="37"/>
        <v/>
      </c>
      <c r="AF106" s="47" t="e">
        <f t="shared" ca="1" si="38"/>
        <v>#NAME?</v>
      </c>
      <c r="AG106" s="19">
        <v>195.1</v>
      </c>
      <c r="AH106" s="15" t="str">
        <f t="shared" ca="1" si="40"/>
        <v/>
      </c>
      <c r="AI106" s="47" t="e">
        <f t="shared" ca="1" si="41"/>
        <v>#NAME?</v>
      </c>
      <c r="AJ106" s="322">
        <f t="shared" ca="1" si="42"/>
        <v>0</v>
      </c>
      <c r="AK106" s="323">
        <f t="shared" ca="1" si="43"/>
        <v>0</v>
      </c>
      <c r="AL106" s="324">
        <f t="shared" ca="1" si="44"/>
        <v>0</v>
      </c>
      <c r="AM106" s="359">
        <f t="shared" ca="1" si="45"/>
        <v>0</v>
      </c>
      <c r="AN106" s="358">
        <f t="shared" ca="1" si="46"/>
        <v>0</v>
      </c>
    </row>
    <row r="107" spans="1:40" x14ac:dyDescent="0.2">
      <c r="A107" s="1" t="s">
        <v>110</v>
      </c>
      <c r="C107" s="23" t="s">
        <v>101</v>
      </c>
      <c r="D107" s="1" t="s">
        <v>106</v>
      </c>
      <c r="F107" s="1" t="s">
        <v>98</v>
      </c>
      <c r="H107" s="10" t="s">
        <v>874</v>
      </c>
      <c r="I107" s="25" t="e">
        <f ca="1">_xll.EVPRO($B$1,$H107,"STYLE")</f>
        <v>#NAME?</v>
      </c>
      <c r="J107" s="25" t="e">
        <f ca="1">_xll.EVPRO($B$1,$H107,"CALC")</f>
        <v>#NAME?</v>
      </c>
      <c r="K107" s="64" t="e">
        <f t="shared" ca="1" si="39"/>
        <v>#NAME?</v>
      </c>
      <c r="L107" s="24" t="e">
        <f ca="1">_xll.EVPRO($B$1,H107,"JDEID")</f>
        <v>#NAME?</v>
      </c>
      <c r="M107" s="24" t="e">
        <f ca="1">IF(AND(I107="N",J107="N"),_xll.EVPRO($B$1,H107,"PSFTID"),"")</f>
        <v>#NAME?</v>
      </c>
      <c r="N107" s="24" t="e">
        <f ca="1">IF(_xll.EVDES(H107,$B$1)="#NODATA","",_xll.EVDES(H107,$B$1))</f>
        <v>#NAME?</v>
      </c>
      <c r="O107" s="19"/>
      <c r="P107" s="19"/>
      <c r="Q107" s="19"/>
      <c r="R107" s="19"/>
      <c r="S107" s="19"/>
      <c r="T107" s="19"/>
      <c r="U107" s="19"/>
      <c r="V107" s="19"/>
      <c r="W107" s="19"/>
      <c r="X107" s="19"/>
      <c r="Y107" s="19"/>
      <c r="Z107" s="19"/>
      <c r="AA107" s="283" t="e">
        <f t="shared" ca="1" si="35"/>
        <v>#NAME?</v>
      </c>
      <c r="AB107" s="15" t="e">
        <f t="shared" ca="1" si="36"/>
        <v>#NAME?</v>
      </c>
      <c r="AD107" s="19"/>
      <c r="AE107" s="15" t="str">
        <f t="shared" si="37"/>
        <v/>
      </c>
      <c r="AF107" s="47" t="e">
        <f t="shared" ca="1" si="38"/>
        <v>#NAME?</v>
      </c>
      <c r="AG107" s="19">
        <v>280</v>
      </c>
      <c r="AH107" s="15" t="str">
        <f t="shared" ca="1" si="40"/>
        <v/>
      </c>
      <c r="AI107" s="47" t="e">
        <f t="shared" ca="1" si="41"/>
        <v>#NAME?</v>
      </c>
      <c r="AJ107" s="322">
        <f t="shared" ca="1" si="42"/>
        <v>0</v>
      </c>
      <c r="AK107" s="323">
        <f t="shared" ca="1" si="43"/>
        <v>0</v>
      </c>
      <c r="AL107" s="324">
        <f t="shared" ca="1" si="44"/>
        <v>0</v>
      </c>
      <c r="AM107" s="359">
        <f t="shared" ca="1" si="45"/>
        <v>0</v>
      </c>
      <c r="AN107" s="358">
        <f t="shared" ca="1" si="46"/>
        <v>0</v>
      </c>
    </row>
    <row r="108" spans="1:40" x14ac:dyDescent="0.2">
      <c r="A108" s="1" t="s">
        <v>110</v>
      </c>
      <c r="C108" s="27" t="s">
        <v>101</v>
      </c>
      <c r="D108" s="1" t="s">
        <v>107</v>
      </c>
      <c r="F108" s="1" t="s">
        <v>99</v>
      </c>
      <c r="H108" s="10" t="s">
        <v>875</v>
      </c>
      <c r="I108" s="25" t="e">
        <f ca="1">_xll.EVPRO($B$1,$H108,"STYLE")</f>
        <v>#NAME?</v>
      </c>
      <c r="J108" s="25" t="e">
        <f ca="1">_xll.EVPRO($B$1,$H108,"CALC")</f>
        <v>#NAME?</v>
      </c>
      <c r="K108" s="64" t="e">
        <f t="shared" ca="1" si="39"/>
        <v>#NAME?</v>
      </c>
      <c r="L108" s="24" t="e">
        <f ca="1">_xll.EVPRO($B$1,H108,"JDEID")</f>
        <v>#NAME?</v>
      </c>
      <c r="M108" s="24" t="e">
        <f ca="1">IF(AND(I108="N",J108="N"),_xll.EVPRO($B$1,H108,"PSFTID"),"")</f>
        <v>#NAME?</v>
      </c>
      <c r="N108" s="24" t="e">
        <f ca="1">IF(_xll.EVDES(H108,$B$1)="#NODATA","",_xll.EVDES(H108,$B$1))</f>
        <v>#NAME?</v>
      </c>
      <c r="O108" s="19"/>
      <c r="P108" s="19"/>
      <c r="Q108" s="19"/>
      <c r="R108" s="19"/>
      <c r="S108" s="19"/>
      <c r="T108" s="19"/>
      <c r="U108" s="19"/>
      <c r="V108" s="19"/>
      <c r="W108" s="19"/>
      <c r="X108" s="19"/>
      <c r="Y108" s="19"/>
      <c r="Z108" s="19"/>
      <c r="AA108" s="283" t="e">
        <f t="shared" ca="1" si="35"/>
        <v>#NAME?</v>
      </c>
      <c r="AB108" s="15" t="e">
        <f t="shared" ca="1" si="36"/>
        <v>#NAME?</v>
      </c>
      <c r="AD108" s="19"/>
      <c r="AE108" s="15" t="str">
        <f t="shared" si="37"/>
        <v/>
      </c>
      <c r="AF108" s="47" t="e">
        <f t="shared" ca="1" si="38"/>
        <v>#NAME?</v>
      </c>
      <c r="AG108" s="19">
        <v>1572.12</v>
      </c>
      <c r="AH108" s="15" t="str">
        <f t="shared" ca="1" si="40"/>
        <v/>
      </c>
      <c r="AI108" s="47" t="e">
        <f t="shared" ca="1" si="41"/>
        <v>#NAME?</v>
      </c>
      <c r="AJ108" s="322">
        <f t="shared" ca="1" si="42"/>
        <v>0</v>
      </c>
      <c r="AK108" s="323">
        <f t="shared" ca="1" si="43"/>
        <v>0</v>
      </c>
      <c r="AL108" s="324">
        <f t="shared" ca="1" si="44"/>
        <v>0</v>
      </c>
      <c r="AM108" s="359">
        <f t="shared" ca="1" si="45"/>
        <v>0</v>
      </c>
      <c r="AN108" s="358">
        <f t="shared" ca="1" si="46"/>
        <v>0</v>
      </c>
    </row>
    <row r="109" spans="1:40" x14ac:dyDescent="0.2">
      <c r="C109" s="23"/>
      <c r="H109" s="10" t="s">
        <v>836</v>
      </c>
      <c r="I109" s="25" t="e">
        <f ca="1">_xll.EVPRO($B$1,$H109,"STYLE")</f>
        <v>#NAME?</v>
      </c>
      <c r="J109" s="25" t="e">
        <f ca="1">_xll.EVPRO($B$1,$H109,"CALC")</f>
        <v>#NAME?</v>
      </c>
      <c r="K109" s="64" t="e">
        <f t="shared" ca="1" si="39"/>
        <v>#NAME?</v>
      </c>
      <c r="L109" s="24" t="e">
        <f ca="1">_xll.EVPRO($B$1,H109,"JDEID")</f>
        <v>#NAME?</v>
      </c>
      <c r="M109" s="24" t="e">
        <f ca="1">IF(AND(I109="N",J109="N"),_xll.EVPRO($B$1,H109,"PSFTID"),"")</f>
        <v>#NAME?</v>
      </c>
      <c r="N109" s="24" t="e">
        <f ca="1">IF(_xll.EVDES(H109,$B$1)="#NODATA","",_xll.EVDES(H109,$B$1))</f>
        <v>#NAME?</v>
      </c>
      <c r="O109" s="19">
        <v>92.89</v>
      </c>
      <c r="P109" s="19"/>
      <c r="Q109" s="19"/>
      <c r="R109" s="19"/>
      <c r="S109" s="19"/>
      <c r="T109" s="19"/>
      <c r="U109" s="19"/>
      <c r="V109" s="19"/>
      <c r="W109" s="19"/>
      <c r="X109" s="19"/>
      <c r="Y109" s="19"/>
      <c r="Z109" s="19"/>
      <c r="AA109" s="283" t="e">
        <f t="shared" ca="1" si="35"/>
        <v>#NAME?</v>
      </c>
      <c r="AB109" s="15" t="e">
        <f t="shared" ca="1" si="36"/>
        <v>#NAME?</v>
      </c>
      <c r="AD109" s="19"/>
      <c r="AE109" s="15" t="str">
        <f t="shared" si="37"/>
        <v/>
      </c>
      <c r="AF109" s="47" t="e">
        <f t="shared" ca="1" si="38"/>
        <v>#NAME?</v>
      </c>
      <c r="AG109" s="19">
        <v>1792.22</v>
      </c>
      <c r="AH109" s="15" t="str">
        <f t="shared" ca="1" si="40"/>
        <v/>
      </c>
      <c r="AI109" s="47" t="e">
        <f t="shared" ca="1" si="41"/>
        <v>#NAME?</v>
      </c>
      <c r="AJ109" s="322">
        <f t="shared" ca="1" si="42"/>
        <v>0</v>
      </c>
      <c r="AK109" s="323">
        <f t="shared" ca="1" si="43"/>
        <v>0</v>
      </c>
      <c r="AL109" s="324">
        <f t="shared" ca="1" si="44"/>
        <v>0</v>
      </c>
      <c r="AM109" s="359">
        <f t="shared" ca="1" si="45"/>
        <v>0</v>
      </c>
      <c r="AN109" s="358">
        <f t="shared" ca="1" si="46"/>
        <v>0</v>
      </c>
    </row>
    <row r="110" spans="1:40" x14ac:dyDescent="0.2">
      <c r="H110" s="10" t="s">
        <v>876</v>
      </c>
      <c r="I110" s="25" t="e">
        <f ca="1">_xll.EVPRO($B$1,$H110,"STYLE")</f>
        <v>#NAME?</v>
      </c>
      <c r="J110" s="25" t="e">
        <f ca="1">_xll.EVPRO($B$1,$H110,"CALC")</f>
        <v>#NAME?</v>
      </c>
      <c r="K110" s="64" t="e">
        <f t="shared" ca="1" si="39"/>
        <v>#NAME?</v>
      </c>
      <c r="L110" s="24" t="e">
        <f ca="1">_xll.EVPRO($B$1,H110,"JDEID")</f>
        <v>#NAME?</v>
      </c>
      <c r="M110" s="24" t="e">
        <f ca="1">IF(AND(I110="N",J110="N"),_xll.EVPRO($B$1,H110,"PSFTID"),"")</f>
        <v>#NAME?</v>
      </c>
      <c r="N110" s="24" t="e">
        <f ca="1">IF(_xll.EVDES(H110,$B$1)="#NODATA","",_xll.EVDES(H110,$B$1))</f>
        <v>#NAME?</v>
      </c>
      <c r="O110" s="19">
        <v>739.12</v>
      </c>
      <c r="P110" s="19"/>
      <c r="Q110" s="19"/>
      <c r="R110" s="19"/>
      <c r="S110" s="19"/>
      <c r="T110" s="19"/>
      <c r="U110" s="19"/>
      <c r="V110" s="19"/>
      <c r="W110" s="19"/>
      <c r="X110" s="19"/>
      <c r="Y110" s="19"/>
      <c r="Z110" s="19"/>
      <c r="AA110" s="283" t="e">
        <f t="shared" ca="1" si="35"/>
        <v>#NAME?</v>
      </c>
      <c r="AB110" s="15" t="e">
        <f t="shared" ca="1" si="36"/>
        <v>#NAME?</v>
      </c>
      <c r="AD110" s="19"/>
      <c r="AE110" s="15" t="str">
        <f t="shared" si="37"/>
        <v/>
      </c>
      <c r="AF110" s="47" t="e">
        <f t="shared" ca="1" si="38"/>
        <v>#NAME?</v>
      </c>
      <c r="AG110" s="19">
        <v>23150.95</v>
      </c>
      <c r="AH110" s="15" t="str">
        <f t="shared" ca="1" si="40"/>
        <v/>
      </c>
      <c r="AI110" s="47" t="e">
        <f t="shared" ca="1" si="41"/>
        <v>#NAME?</v>
      </c>
      <c r="AJ110" s="322">
        <f t="shared" ca="1" si="42"/>
        <v>0</v>
      </c>
      <c r="AK110" s="323">
        <f t="shared" ca="1" si="43"/>
        <v>0</v>
      </c>
      <c r="AL110" s="324">
        <f t="shared" ca="1" si="44"/>
        <v>0</v>
      </c>
      <c r="AM110" s="359">
        <f t="shared" ca="1" si="45"/>
        <v>0</v>
      </c>
      <c r="AN110" s="358">
        <f t="shared" ca="1" si="46"/>
        <v>0</v>
      </c>
    </row>
    <row r="111" spans="1:40" x14ac:dyDescent="0.2">
      <c r="A111" s="4" t="e">
        <f ca="1">_xll.EVDRE($B$1,A114:B121)</f>
        <v>#NAME?</v>
      </c>
      <c r="B111" s="1" t="s">
        <v>736</v>
      </c>
      <c r="G111" s="13"/>
      <c r="H111" s="10" t="s">
        <v>877</v>
      </c>
      <c r="I111" s="25" t="e">
        <f ca="1">_xll.EVPRO($B$1,$H111,"STYLE")</f>
        <v>#NAME?</v>
      </c>
      <c r="J111" s="25" t="e">
        <f ca="1">_xll.EVPRO($B$1,$H111,"CALC")</f>
        <v>#NAME?</v>
      </c>
      <c r="K111" s="64" t="e">
        <f t="shared" ca="1" si="39"/>
        <v>#NAME?</v>
      </c>
      <c r="L111" s="24" t="e">
        <f ca="1">_xll.EVPRO($B$1,H111,"JDEID")</f>
        <v>#NAME?</v>
      </c>
      <c r="M111" s="24" t="e">
        <f ca="1">IF(AND(I111="N",J111="N"),_xll.EVPRO($B$1,H111,"PSFTID"),"")</f>
        <v>#NAME?</v>
      </c>
      <c r="N111" s="24" t="e">
        <f ca="1">IF(_xll.EVDES(H111,$B$1)="#NODATA","",_xll.EVDES(H111,$B$1))</f>
        <v>#NAME?</v>
      </c>
      <c r="O111" s="19">
        <v>395.48</v>
      </c>
      <c r="P111" s="19"/>
      <c r="Q111" s="19"/>
      <c r="R111" s="19"/>
      <c r="S111" s="19"/>
      <c r="T111" s="19"/>
      <c r="U111" s="19"/>
      <c r="V111" s="19"/>
      <c r="W111" s="19"/>
      <c r="X111" s="19"/>
      <c r="Y111" s="19"/>
      <c r="Z111" s="19"/>
      <c r="AA111" s="283" t="e">
        <f t="shared" ca="1" si="35"/>
        <v>#NAME?</v>
      </c>
      <c r="AB111" s="15" t="e">
        <f t="shared" ca="1" si="36"/>
        <v>#NAME?</v>
      </c>
      <c r="AD111" s="19"/>
      <c r="AE111" s="15" t="str">
        <f t="shared" si="37"/>
        <v/>
      </c>
      <c r="AF111" s="47" t="e">
        <f t="shared" ca="1" si="38"/>
        <v>#NAME?</v>
      </c>
      <c r="AG111" s="19">
        <v>256.36</v>
      </c>
      <c r="AH111" s="15" t="str">
        <f t="shared" ca="1" si="40"/>
        <v/>
      </c>
      <c r="AI111" s="47" t="e">
        <f t="shared" ca="1" si="41"/>
        <v>#NAME?</v>
      </c>
      <c r="AJ111" s="322">
        <f t="shared" ca="1" si="42"/>
        <v>0</v>
      </c>
      <c r="AK111" s="323">
        <f t="shared" ca="1" si="43"/>
        <v>0</v>
      </c>
      <c r="AL111" s="324">
        <f t="shared" ca="1" si="44"/>
        <v>0</v>
      </c>
      <c r="AM111" s="359">
        <f t="shared" ca="1" si="45"/>
        <v>0</v>
      </c>
      <c r="AN111" s="358">
        <f t="shared" ca="1" si="46"/>
        <v>0</v>
      </c>
    </row>
    <row r="112" spans="1:40" x14ac:dyDescent="0.2">
      <c r="H112" s="10" t="s">
        <v>878</v>
      </c>
      <c r="I112" s="25" t="e">
        <f ca="1">_xll.EVPRO($B$1,$H112,"STYLE")</f>
        <v>#NAME?</v>
      </c>
      <c r="J112" s="25" t="e">
        <f ca="1">_xll.EVPRO($B$1,$H112,"CALC")</f>
        <v>#NAME?</v>
      </c>
      <c r="K112" s="64" t="e">
        <f t="shared" ca="1" si="39"/>
        <v>#NAME?</v>
      </c>
      <c r="L112" s="24" t="e">
        <f ca="1">_xll.EVPRO($B$1,H112,"JDEID")</f>
        <v>#NAME?</v>
      </c>
      <c r="M112" s="24" t="e">
        <f ca="1">IF(AND(I112="N",J112="N"),_xll.EVPRO($B$1,H112,"PSFTID"),"")</f>
        <v>#NAME?</v>
      </c>
      <c r="N112" s="24" t="e">
        <f ca="1">IF(_xll.EVDES(H112,$B$1)="#NODATA","",_xll.EVDES(H112,$B$1))</f>
        <v>#NAME?</v>
      </c>
      <c r="O112" s="19"/>
      <c r="P112" s="19"/>
      <c r="Q112" s="19"/>
      <c r="R112" s="19"/>
      <c r="S112" s="19"/>
      <c r="T112" s="19"/>
      <c r="U112" s="19"/>
      <c r="V112" s="19"/>
      <c r="W112" s="19"/>
      <c r="X112" s="19"/>
      <c r="Y112" s="19"/>
      <c r="Z112" s="19"/>
      <c r="AA112" s="283" t="e">
        <f t="shared" ca="1" si="35"/>
        <v>#NAME?</v>
      </c>
      <c r="AB112" s="15" t="e">
        <f t="shared" ca="1" si="36"/>
        <v>#NAME?</v>
      </c>
      <c r="AD112" s="19"/>
      <c r="AE112" s="15" t="str">
        <f t="shared" si="37"/>
        <v/>
      </c>
      <c r="AF112" s="47" t="e">
        <f t="shared" ca="1" si="38"/>
        <v>#NAME?</v>
      </c>
      <c r="AG112" s="19">
        <v>3223.29</v>
      </c>
      <c r="AH112" s="15" t="str">
        <f t="shared" ca="1" si="40"/>
        <v/>
      </c>
      <c r="AI112" s="47" t="e">
        <f t="shared" ca="1" si="41"/>
        <v>#NAME?</v>
      </c>
      <c r="AJ112" s="322">
        <f t="shared" ca="1" si="42"/>
        <v>0</v>
      </c>
      <c r="AK112" s="323">
        <f t="shared" ca="1" si="43"/>
        <v>0</v>
      </c>
      <c r="AL112" s="324">
        <f t="shared" ca="1" si="44"/>
        <v>0</v>
      </c>
      <c r="AM112" s="359">
        <f t="shared" ca="1" si="45"/>
        <v>0</v>
      </c>
      <c r="AN112" s="358">
        <f t="shared" ca="1" si="46"/>
        <v>0</v>
      </c>
    </row>
    <row r="113" spans="1:40" x14ac:dyDescent="0.2">
      <c r="A113" s="3" t="s">
        <v>0</v>
      </c>
      <c r="B113" s="5" t="s">
        <v>1</v>
      </c>
      <c r="H113" s="10" t="s">
        <v>879</v>
      </c>
      <c r="I113" s="25" t="e">
        <f ca="1">_xll.EVPRO($B$1,$H113,"STYLE")</f>
        <v>#NAME?</v>
      </c>
      <c r="J113" s="25" t="e">
        <f ca="1">_xll.EVPRO($B$1,$H113,"CALC")</f>
        <v>#NAME?</v>
      </c>
      <c r="K113" s="64" t="e">
        <f t="shared" ca="1" si="39"/>
        <v>#NAME?</v>
      </c>
      <c r="L113" s="24" t="e">
        <f ca="1">_xll.EVPRO($B$1,H113,"JDEID")</f>
        <v>#NAME?</v>
      </c>
      <c r="M113" s="24" t="e">
        <f ca="1">IF(AND(I113="N",J113="N"),_xll.EVPRO($B$1,H113,"PSFTID"),"")</f>
        <v>#NAME?</v>
      </c>
      <c r="N113" s="24" t="e">
        <f ca="1">IF(_xll.EVDES(H113,$B$1)="#NODATA","",_xll.EVDES(H113,$B$1))</f>
        <v>#NAME?</v>
      </c>
      <c r="O113" s="19"/>
      <c r="P113" s="19"/>
      <c r="Q113" s="19"/>
      <c r="R113" s="19"/>
      <c r="S113" s="19"/>
      <c r="T113" s="19"/>
      <c r="U113" s="19"/>
      <c r="V113" s="19"/>
      <c r="W113" s="19"/>
      <c r="X113" s="19"/>
      <c r="Y113" s="19"/>
      <c r="Z113" s="19"/>
      <c r="AA113" s="283" t="e">
        <f t="shared" ca="1" si="35"/>
        <v>#NAME?</v>
      </c>
      <c r="AB113" s="15" t="e">
        <f t="shared" ca="1" si="36"/>
        <v>#NAME?</v>
      </c>
      <c r="AD113" s="19"/>
      <c r="AE113" s="15" t="str">
        <f t="shared" si="37"/>
        <v/>
      </c>
      <c r="AF113" s="47" t="e">
        <f t="shared" ca="1" si="38"/>
        <v>#NAME?</v>
      </c>
      <c r="AG113" s="19">
        <v>279.8</v>
      </c>
      <c r="AH113" s="15" t="str">
        <f t="shared" ca="1" si="40"/>
        <v/>
      </c>
      <c r="AI113" s="47" t="e">
        <f t="shared" ca="1" si="41"/>
        <v>#NAME?</v>
      </c>
      <c r="AJ113" s="322">
        <f t="shared" ca="1" si="42"/>
        <v>0</v>
      </c>
      <c r="AK113" s="323">
        <f t="shared" ca="1" si="43"/>
        <v>0</v>
      </c>
      <c r="AL113" s="324">
        <f t="shared" ca="1" si="44"/>
        <v>0</v>
      </c>
      <c r="AM113" s="359">
        <f t="shared" ca="1" si="45"/>
        <v>0</v>
      </c>
      <c r="AN113" s="358">
        <f t="shared" ca="1" si="46"/>
        <v>0</v>
      </c>
    </row>
    <row r="114" spans="1:40" x14ac:dyDescent="0.2">
      <c r="A114" s="6" t="s">
        <v>2</v>
      </c>
      <c r="B114" s="7" t="e">
        <f ca="1">_xll.EVRNG($B$2:$B$10)</f>
        <v>#NAME?</v>
      </c>
      <c r="H114" s="10" t="s">
        <v>880</v>
      </c>
      <c r="I114" s="25" t="e">
        <f ca="1">_xll.EVPRO($B$1,$H114,"STYLE")</f>
        <v>#NAME?</v>
      </c>
      <c r="J114" s="25" t="e">
        <f ca="1">_xll.EVPRO($B$1,$H114,"CALC")</f>
        <v>#NAME?</v>
      </c>
      <c r="K114" s="64" t="e">
        <f t="shared" ca="1" si="39"/>
        <v>#NAME?</v>
      </c>
      <c r="L114" s="24" t="e">
        <f ca="1">_xll.EVPRO($B$1,H114,"JDEID")</f>
        <v>#NAME?</v>
      </c>
      <c r="M114" s="24" t="e">
        <f ca="1">IF(AND(I114="N",J114="N"),_xll.EVPRO($B$1,H114,"PSFTID"),"")</f>
        <v>#NAME?</v>
      </c>
      <c r="N114" s="24" t="e">
        <f ca="1">IF(_xll.EVDES(H114,$B$1)="#NODATA","",_xll.EVDES(H114,$B$1))</f>
        <v>#NAME?</v>
      </c>
      <c r="O114" s="19"/>
      <c r="P114" s="19"/>
      <c r="Q114" s="19"/>
      <c r="R114" s="19"/>
      <c r="S114" s="19"/>
      <c r="T114" s="19"/>
      <c r="U114" s="19"/>
      <c r="V114" s="19"/>
      <c r="W114" s="19"/>
      <c r="X114" s="19"/>
      <c r="Y114" s="19"/>
      <c r="Z114" s="19"/>
      <c r="AA114" s="283" t="e">
        <f t="shared" ca="1" si="35"/>
        <v>#NAME?</v>
      </c>
      <c r="AB114" s="15" t="e">
        <f t="shared" ca="1" si="36"/>
        <v>#NAME?</v>
      </c>
      <c r="AD114" s="19"/>
      <c r="AE114" s="15" t="str">
        <f t="shared" si="37"/>
        <v/>
      </c>
      <c r="AF114" s="47" t="e">
        <f t="shared" ca="1" si="38"/>
        <v>#NAME?</v>
      </c>
      <c r="AG114" s="19">
        <v>115.55</v>
      </c>
      <c r="AH114" s="15" t="str">
        <f t="shared" ca="1" si="40"/>
        <v/>
      </c>
      <c r="AI114" s="47" t="e">
        <f t="shared" ca="1" si="41"/>
        <v>#NAME?</v>
      </c>
      <c r="AJ114" s="322">
        <f t="shared" ca="1" si="42"/>
        <v>0</v>
      </c>
      <c r="AK114" s="323">
        <f t="shared" ca="1" si="43"/>
        <v>0</v>
      </c>
      <c r="AL114" s="324">
        <f t="shared" ca="1" si="44"/>
        <v>0</v>
      </c>
      <c r="AM114" s="359">
        <f t="shared" ca="1" si="45"/>
        <v>0</v>
      </c>
      <c r="AN114" s="358">
        <f t="shared" ca="1" si="46"/>
        <v>0</v>
      </c>
    </row>
    <row r="115" spans="1:40" x14ac:dyDescent="0.2">
      <c r="A115" s="6" t="s">
        <v>3</v>
      </c>
      <c r="B115" s="7" t="e">
        <f ca="1">_xll.EVRNG($O$16:$AN$18)</f>
        <v>#NAME?</v>
      </c>
      <c r="H115" s="10" t="s">
        <v>860</v>
      </c>
      <c r="I115" s="25" t="e">
        <f ca="1">_xll.EVPRO($B$1,$H115,"STYLE")</f>
        <v>#NAME?</v>
      </c>
      <c r="J115" s="25" t="e">
        <f ca="1">_xll.EVPRO($B$1,$H115,"CALC")</f>
        <v>#NAME?</v>
      </c>
      <c r="K115" s="64" t="e">
        <f t="shared" ca="1" si="39"/>
        <v>#NAME?</v>
      </c>
      <c r="L115" s="24" t="e">
        <f ca="1">_xll.EVPRO($B$1,H115,"JDEID")</f>
        <v>#NAME?</v>
      </c>
      <c r="M115" s="24" t="e">
        <f ca="1">IF(AND(I115="N",J115="N"),_xll.EVPRO($B$1,H115,"PSFTID"),"")</f>
        <v>#NAME?</v>
      </c>
      <c r="N115" s="24" t="e">
        <f ca="1">IF(_xll.EVDES(H115,$B$1)="#NODATA","",_xll.EVDES(H115,$B$1))</f>
        <v>#NAME?</v>
      </c>
      <c r="O115" s="19"/>
      <c r="P115" s="19"/>
      <c r="Q115" s="19"/>
      <c r="R115" s="19"/>
      <c r="S115" s="19"/>
      <c r="T115" s="19"/>
      <c r="U115" s="19"/>
      <c r="V115" s="19"/>
      <c r="W115" s="19"/>
      <c r="X115" s="19"/>
      <c r="Y115" s="19"/>
      <c r="Z115" s="19"/>
      <c r="AA115" s="283" t="e">
        <f t="shared" ca="1" si="35"/>
        <v>#NAME?</v>
      </c>
      <c r="AB115" s="15" t="e">
        <f t="shared" ca="1" si="36"/>
        <v>#NAME?</v>
      </c>
      <c r="AD115" s="19"/>
      <c r="AE115" s="15" t="str">
        <f t="shared" si="37"/>
        <v/>
      </c>
      <c r="AF115" s="47" t="e">
        <f t="shared" ca="1" si="38"/>
        <v>#NAME?</v>
      </c>
      <c r="AG115" s="19">
        <v>3189.7</v>
      </c>
      <c r="AH115" s="15" t="str">
        <f t="shared" ca="1" si="40"/>
        <v/>
      </c>
      <c r="AI115" s="47" t="e">
        <f t="shared" ca="1" si="41"/>
        <v>#NAME?</v>
      </c>
      <c r="AJ115" s="322">
        <f t="shared" ca="1" si="42"/>
        <v>0</v>
      </c>
      <c r="AK115" s="323">
        <f t="shared" ca="1" si="43"/>
        <v>0</v>
      </c>
      <c r="AL115" s="324">
        <f t="shared" ca="1" si="44"/>
        <v>0</v>
      </c>
      <c r="AM115" s="359">
        <f t="shared" ca="1" si="45"/>
        <v>0</v>
      </c>
      <c r="AN115" s="358">
        <f t="shared" ca="1" si="46"/>
        <v>0</v>
      </c>
    </row>
    <row r="116" spans="1:40" x14ac:dyDescent="0.2">
      <c r="A116" s="6" t="s">
        <v>4</v>
      </c>
      <c r="B116" s="7" t="e">
        <f ca="1">_xll.EVRNG(H119:H122)</f>
        <v>#NAME?</v>
      </c>
      <c r="H116" s="10" t="s">
        <v>881</v>
      </c>
      <c r="I116" s="25" t="e">
        <f ca="1">_xll.EVPRO($B$1,$H116,"STYLE")</f>
        <v>#NAME?</v>
      </c>
      <c r="J116" s="25" t="e">
        <f ca="1">_xll.EVPRO($B$1,$H116,"CALC")</f>
        <v>#NAME?</v>
      </c>
      <c r="K116" s="64" t="e">
        <f t="shared" ca="1" si="39"/>
        <v>#NAME?</v>
      </c>
      <c r="L116" s="24" t="e">
        <f ca="1">_xll.EVPRO($B$1,H116,"JDEID")</f>
        <v>#NAME?</v>
      </c>
      <c r="M116" s="24" t="e">
        <f ca="1">IF(AND(I116="N",J116="N"),_xll.EVPRO($B$1,H116,"PSFTID"),"")</f>
        <v>#NAME?</v>
      </c>
      <c r="N116" s="24" t="e">
        <f ca="1">IF(_xll.EVDES(H116,$B$1)="#NODATA","",_xll.EVDES(H116,$B$1))</f>
        <v>#NAME?</v>
      </c>
      <c r="O116" s="19"/>
      <c r="P116" s="19">
        <v>250</v>
      </c>
      <c r="Q116" s="19"/>
      <c r="R116" s="19"/>
      <c r="S116" s="19"/>
      <c r="T116" s="19"/>
      <c r="U116" s="19"/>
      <c r="V116" s="19"/>
      <c r="W116" s="19"/>
      <c r="X116" s="19"/>
      <c r="Y116" s="19"/>
      <c r="Z116" s="19"/>
      <c r="AA116" s="283" t="e">
        <f t="shared" ca="1" si="35"/>
        <v>#NAME?</v>
      </c>
      <c r="AB116" s="15" t="e">
        <f t="shared" ca="1" si="36"/>
        <v>#NAME?</v>
      </c>
      <c r="AD116" s="19"/>
      <c r="AE116" s="15" t="str">
        <f t="shared" si="37"/>
        <v/>
      </c>
      <c r="AF116" s="47" t="e">
        <f t="shared" ca="1" si="38"/>
        <v>#NAME?</v>
      </c>
      <c r="AG116" s="19">
        <v>3733</v>
      </c>
      <c r="AH116" s="15" t="str">
        <f t="shared" ca="1" si="40"/>
        <v/>
      </c>
      <c r="AI116" s="47" t="e">
        <f t="shared" ca="1" si="41"/>
        <v>#NAME?</v>
      </c>
      <c r="AJ116" s="322">
        <f t="shared" ca="1" si="42"/>
        <v>0</v>
      </c>
      <c r="AK116" s="323">
        <f t="shared" ca="1" si="43"/>
        <v>0</v>
      </c>
      <c r="AL116" s="324">
        <f t="shared" ca="1" si="44"/>
        <v>0</v>
      </c>
      <c r="AM116" s="359">
        <f t="shared" ca="1" si="45"/>
        <v>0</v>
      </c>
      <c r="AN116" s="358">
        <f t="shared" ca="1" si="46"/>
        <v>0</v>
      </c>
    </row>
    <row r="117" spans="1:40" x14ac:dyDescent="0.2">
      <c r="A117" s="6" t="s">
        <v>5</v>
      </c>
      <c r="B117" s="7"/>
      <c r="H117" s="10" t="s">
        <v>842</v>
      </c>
      <c r="I117" s="25" t="e">
        <f ca="1">_xll.EVPRO($B$1,$H117,"STYLE")</f>
        <v>#NAME?</v>
      </c>
      <c r="J117" s="25" t="e">
        <f ca="1">_xll.EVPRO($B$1,$H117,"CALC")</f>
        <v>#NAME?</v>
      </c>
      <c r="K117" s="64" t="e">
        <f t="shared" ca="1" si="39"/>
        <v>#NAME?</v>
      </c>
      <c r="L117" s="24" t="e">
        <f ca="1">_xll.EVPRO($B$1,H117,"JDEID")</f>
        <v>#NAME?</v>
      </c>
      <c r="M117" s="24" t="e">
        <f ca="1">IF(AND(I117="N",J117="N"),_xll.EVPRO($B$1,H117,"PSFTID"),"")</f>
        <v>#NAME?</v>
      </c>
      <c r="N117" s="24" t="e">
        <f ca="1">IF(_xll.EVDES(H117,$B$1)="#NODATA","",_xll.EVDES(H117,$B$1))</f>
        <v>#NAME?</v>
      </c>
      <c r="O117" s="19"/>
      <c r="P117" s="19"/>
      <c r="Q117" s="19"/>
      <c r="R117" s="19"/>
      <c r="S117" s="19"/>
      <c r="T117" s="19"/>
      <c r="U117" s="19"/>
      <c r="V117" s="19"/>
      <c r="W117" s="19"/>
      <c r="X117" s="19"/>
      <c r="Y117" s="19"/>
      <c r="Z117" s="19"/>
      <c r="AA117" s="283" t="e">
        <f t="shared" ca="1" si="35"/>
        <v>#NAME?</v>
      </c>
      <c r="AB117" s="15" t="e">
        <f t="shared" ca="1" si="36"/>
        <v>#NAME?</v>
      </c>
      <c r="AD117" s="19"/>
      <c r="AE117" s="15" t="str">
        <f t="shared" si="37"/>
        <v/>
      </c>
      <c r="AF117" s="47" t="e">
        <f t="shared" ca="1" si="38"/>
        <v>#NAME?</v>
      </c>
      <c r="AG117" s="19">
        <v>2823</v>
      </c>
      <c r="AH117" s="15" t="str">
        <f t="shared" ca="1" si="40"/>
        <v/>
      </c>
      <c r="AI117" s="47" t="e">
        <f t="shared" ca="1" si="41"/>
        <v>#NAME?</v>
      </c>
      <c r="AJ117" s="322">
        <f t="shared" ca="1" si="42"/>
        <v>0</v>
      </c>
      <c r="AK117" s="323">
        <f t="shared" ca="1" si="43"/>
        <v>0</v>
      </c>
      <c r="AL117" s="324">
        <f t="shared" ca="1" si="44"/>
        <v>0</v>
      </c>
      <c r="AM117" s="359">
        <f t="shared" ca="1" si="45"/>
        <v>0</v>
      </c>
      <c r="AN117" s="358">
        <f t="shared" ca="1" si="46"/>
        <v>0</v>
      </c>
    </row>
    <row r="118" spans="1:40" x14ac:dyDescent="0.2">
      <c r="A118" s="6" t="s">
        <v>6</v>
      </c>
      <c r="B118" s="7"/>
      <c r="H118" s="10" t="s">
        <v>845</v>
      </c>
      <c r="I118" s="25" t="e">
        <f ca="1">_xll.EVPRO($B$1,$H118,"STYLE")</f>
        <v>#NAME?</v>
      </c>
      <c r="J118" s="25" t="e">
        <f ca="1">_xll.EVPRO($B$1,$H118,"CALC")</f>
        <v>#NAME?</v>
      </c>
      <c r="K118" s="64" t="e">
        <f t="shared" ca="1" si="39"/>
        <v>#NAME?</v>
      </c>
      <c r="L118" s="24" t="e">
        <f ca="1">_xll.EVPRO($B$1,H118,"JDEID")</f>
        <v>#NAME?</v>
      </c>
      <c r="M118" s="24" t="e">
        <f ca="1">IF(AND(I118="N",J118="N"),_xll.EVPRO($B$1,H118,"PSFTID"),"")</f>
        <v>#NAME?</v>
      </c>
      <c r="N118" s="24" t="e">
        <f ca="1">IF(_xll.EVDES(H118,$B$1)="#NODATA","",_xll.EVDES(H118,$B$1))</f>
        <v>#NAME?</v>
      </c>
      <c r="O118" s="19"/>
      <c r="P118" s="19"/>
      <c r="Q118" s="19"/>
      <c r="R118" s="19"/>
      <c r="S118" s="19"/>
      <c r="T118" s="19"/>
      <c r="U118" s="19"/>
      <c r="V118" s="19"/>
      <c r="W118" s="19"/>
      <c r="X118" s="19"/>
      <c r="Y118" s="19"/>
      <c r="Z118" s="19"/>
      <c r="AA118" s="283" t="e">
        <f t="shared" ca="1" si="35"/>
        <v>#NAME?</v>
      </c>
      <c r="AB118" s="15" t="e">
        <f t="shared" ca="1" si="36"/>
        <v>#NAME?</v>
      </c>
      <c r="AD118" s="19"/>
      <c r="AE118" s="15" t="str">
        <f t="shared" si="37"/>
        <v/>
      </c>
      <c r="AF118" s="47" t="e">
        <f t="shared" ca="1" si="38"/>
        <v>#NAME?</v>
      </c>
      <c r="AG118" s="19">
        <v>1194.76</v>
      </c>
      <c r="AH118" s="15" t="str">
        <f t="shared" ca="1" si="40"/>
        <v/>
      </c>
      <c r="AI118" s="47" t="e">
        <f t="shared" ca="1" si="41"/>
        <v>#NAME?</v>
      </c>
      <c r="AJ118" s="322">
        <f t="shared" ca="1" si="42"/>
        <v>0</v>
      </c>
      <c r="AK118" s="323">
        <f t="shared" ca="1" si="43"/>
        <v>0</v>
      </c>
      <c r="AL118" s="324">
        <f t="shared" ca="1" si="44"/>
        <v>0</v>
      </c>
      <c r="AM118" s="359">
        <f t="shared" ca="1" si="45"/>
        <v>0</v>
      </c>
      <c r="AN118" s="358">
        <f t="shared" ca="1" si="46"/>
        <v>0</v>
      </c>
    </row>
    <row r="119" spans="1:40" x14ac:dyDescent="0.2">
      <c r="A119" s="6" t="s">
        <v>7</v>
      </c>
      <c r="B119" s="7"/>
      <c r="H119" s="10" t="s">
        <v>79</v>
      </c>
      <c r="I119" s="25" t="e">
        <f ca="1">_xll.EVPRO($B$1,$H119,"STYLE")</f>
        <v>#NAME?</v>
      </c>
      <c r="J119" s="25" t="e">
        <f ca="1">_xll.EVPRO($B$1,$H119,"CALC")</f>
        <v>#NAME?</v>
      </c>
      <c r="K119" s="24"/>
      <c r="L119" s="24"/>
      <c r="M119" s="24"/>
      <c r="N119" s="23" t="e">
        <f ca="1">IF(_xll.EVDES(H119,$B$1)="#NODATA","",_xll.EVDES(H119,$B$1))</f>
        <v>#NAME?</v>
      </c>
      <c r="O119" s="30">
        <v>2076.81</v>
      </c>
      <c r="P119" s="30">
        <v>270</v>
      </c>
      <c r="Q119" s="30">
        <v>-43.94</v>
      </c>
      <c r="R119" s="30"/>
      <c r="S119" s="30"/>
      <c r="T119" s="30"/>
      <c r="U119" s="30"/>
      <c r="V119" s="30"/>
      <c r="W119" s="30">
        <v>-0.17</v>
      </c>
      <c r="X119" s="30"/>
      <c r="Y119" s="30"/>
      <c r="Z119" s="30">
        <v>0</v>
      </c>
      <c r="AA119" s="30" t="e">
        <f t="shared" ca="1" si="35"/>
        <v>#NAME?</v>
      </c>
      <c r="AB119" s="31" t="e">
        <f t="shared" ca="1" si="36"/>
        <v>#NAME?</v>
      </c>
      <c r="AD119" s="30"/>
      <c r="AE119" s="31" t="str">
        <f t="shared" si="37"/>
        <v/>
      </c>
      <c r="AF119" s="49" t="e">
        <f t="shared" ca="1" si="38"/>
        <v>#NAME?</v>
      </c>
      <c r="AG119" s="30">
        <v>163304.43</v>
      </c>
      <c r="AH119" s="31" t="str">
        <f ca="1">IF(AG119=0,"",IFERROR(AG119/AG$19,""))</f>
        <v/>
      </c>
      <c r="AI119" s="49" t="e">
        <f ca="1">IF(AND($AA119="",AG119=""),"",$AA119-AG119)</f>
        <v>#NAME?</v>
      </c>
      <c r="AJ119" s="387">
        <f ca="1">IFERROR(AA119/AA$20,0)</f>
        <v>0</v>
      </c>
      <c r="AK119" s="388">
        <f ca="1">IFERROR(AD119/AD$20,0)</f>
        <v>0</v>
      </c>
      <c r="AL119" s="389">
        <f ca="1">IFERROR(AG119/AG$20,0)</f>
        <v>0</v>
      </c>
      <c r="AM119" s="390">
        <f ca="1">+IFERROR(ROUND(($AB119-AE119)*100,2)&amp;" pts.",0)</f>
        <v>0</v>
      </c>
      <c r="AN119" s="391">
        <f ca="1">+IFERROR(ROUND(($AB119-AH119)*100,2)&amp;" pts.",0)</f>
        <v>0</v>
      </c>
    </row>
    <row r="120" spans="1:40" x14ac:dyDescent="0.2">
      <c r="A120" s="6" t="s">
        <v>47</v>
      </c>
      <c r="B120" s="7" t="e">
        <f ca="1">_xll.EVRNG($A$125:$B$146)</f>
        <v>#NAME?</v>
      </c>
    </row>
    <row r="121" spans="1:40" x14ac:dyDescent="0.2">
      <c r="A121" s="6" t="s">
        <v>8</v>
      </c>
      <c r="B121" s="7"/>
      <c r="H121" s="10" t="s">
        <v>80</v>
      </c>
      <c r="I121" s="25" t="e">
        <f ca="1">_xll.EVPRO($B$1,$H121,"STYLE")</f>
        <v>#NAME?</v>
      </c>
      <c r="J121" s="25" t="e">
        <f ca="1">_xll.EVPRO($B$1,$H121,"CALC")</f>
        <v>#NAME?</v>
      </c>
      <c r="K121" s="23"/>
      <c r="L121" s="23"/>
      <c r="M121" s="23"/>
      <c r="N121" s="23" t="e">
        <f ca="1">IF(_xll.EVDES(H121,$B$1)="#NODATA","",_xll.EVDES(H121,$B$1))</f>
        <v>#NAME?</v>
      </c>
      <c r="O121" s="33">
        <v>12680.45</v>
      </c>
      <c r="P121" s="33">
        <v>2635.38</v>
      </c>
      <c r="Q121" s="33">
        <v>-43.94</v>
      </c>
      <c r="R121" s="33"/>
      <c r="S121" s="33"/>
      <c r="T121" s="33"/>
      <c r="U121" s="33"/>
      <c r="V121" s="33"/>
      <c r="W121" s="33">
        <v>-0.17</v>
      </c>
      <c r="X121" s="33"/>
      <c r="Y121" s="33"/>
      <c r="Z121" s="33">
        <v>0</v>
      </c>
      <c r="AA121" s="33" t="e">
        <f ca="1">IF($I121="B1","",SUM(O121:Z121))</f>
        <v>#NAME?</v>
      </c>
      <c r="AB121" s="34" t="e">
        <f ca="1">IF(AA121=0,"",IFERROR(AA121/AA$19,""))</f>
        <v>#NAME?</v>
      </c>
      <c r="AD121" s="33"/>
      <c r="AE121" s="34" t="str">
        <f>IF(AD121=0,"",IFERROR(AD121/AD$19,""))</f>
        <v/>
      </c>
      <c r="AF121" s="55" t="e">
        <f ca="1">IF(AND($AA121="",AD121=""),"",$AA121-AD121)</f>
        <v>#NAME?</v>
      </c>
      <c r="AG121" s="56">
        <v>1262830.23</v>
      </c>
      <c r="AH121" s="57" t="str">
        <f ca="1">IF(AG121=0,"",IFERROR(AG121/AG$19,""))</f>
        <v/>
      </c>
      <c r="AI121" s="55" t="e">
        <f ca="1">IF(AND($AA121="",AG121=""),"",$AA121-AG121)</f>
        <v>#NAME?</v>
      </c>
      <c r="AJ121" s="397">
        <f ca="1">IFERROR(AA121/AA$20,0)</f>
        <v>0</v>
      </c>
      <c r="AK121" s="398">
        <f ca="1">IFERROR(AD121/AD$20,0)</f>
        <v>0</v>
      </c>
      <c r="AL121" s="399">
        <f ca="1">IFERROR(AG121/AG$20,0)</f>
        <v>0</v>
      </c>
      <c r="AM121" s="400">
        <f ca="1">+IFERROR(ROUND(($AB121-AE121)*100,2)&amp;" pts.",0)</f>
        <v>0</v>
      </c>
      <c r="AN121" s="401">
        <f ca="1">+IFERROR(ROUND(($AB121-AH121)*100,2)&amp;" pts.",0)</f>
        <v>0</v>
      </c>
    </row>
    <row r="122" spans="1:40" ht="16" thickBot="1" x14ac:dyDescent="0.25">
      <c r="H122" s="10" t="s">
        <v>81</v>
      </c>
      <c r="I122" s="25" t="e">
        <f ca="1">_xll.EVPRO($B$1,$H122,"STYLE")</f>
        <v>#NAME?</v>
      </c>
      <c r="J122" s="25" t="e">
        <f ca="1">_xll.EVPRO($B$1,$H122,"CALC")</f>
        <v>#NAME?</v>
      </c>
      <c r="K122" s="23"/>
      <c r="L122" s="23"/>
      <c r="M122" s="23"/>
      <c r="N122" s="23" t="e">
        <f ca="1">IF(_xll.EVDES(H122,$B$1)="#NODATA","",_xll.EVDES(H122,$B$1))</f>
        <v>#NAME?</v>
      </c>
      <c r="O122" s="58">
        <v>-8780.9</v>
      </c>
      <c r="P122" s="58">
        <v>-8342.84</v>
      </c>
      <c r="Q122" s="58">
        <v>638</v>
      </c>
      <c r="R122" s="58">
        <v>0</v>
      </c>
      <c r="S122" s="58">
        <v>0</v>
      </c>
      <c r="T122" s="58">
        <v>0</v>
      </c>
      <c r="U122" s="58">
        <v>0</v>
      </c>
      <c r="V122" s="58">
        <v>0</v>
      </c>
      <c r="W122" s="58">
        <v>0.17</v>
      </c>
      <c r="X122" s="58">
        <v>-149.06</v>
      </c>
      <c r="Y122" s="58">
        <v>-905.6</v>
      </c>
      <c r="Z122" s="58">
        <v>-2387.21</v>
      </c>
      <c r="AA122" s="58" t="e">
        <f ca="1">IF($I122="B1","",SUM(O122:Z122))</f>
        <v>#NAME?</v>
      </c>
      <c r="AB122" s="59" t="e">
        <f ca="1">IF(AA122=0,"",IFERROR(AA122/AA$19,""))</f>
        <v>#NAME?</v>
      </c>
      <c r="AD122" s="58"/>
      <c r="AE122" s="59" t="str">
        <f>IF(AD122=0,"",IFERROR(AD122/AD$19,""))</f>
        <v/>
      </c>
      <c r="AF122" s="60" t="e">
        <f ca="1">IF(AND($AA122="",AD122=""),"",$AA122-AD122)</f>
        <v>#NAME?</v>
      </c>
      <c r="AG122" s="58">
        <v>-760389.82</v>
      </c>
      <c r="AH122" s="59" t="str">
        <f ca="1">IF(AG122=0,"",IFERROR(AG122/AG$19,""))</f>
        <v/>
      </c>
      <c r="AI122" s="60" t="e">
        <f ca="1">IF(AND($AA122="",AG122=""),"",$AA122-AG122)</f>
        <v>#NAME?</v>
      </c>
      <c r="AJ122" s="402">
        <f ca="1">IFERROR(AA122/AA$20,0)</f>
        <v>0</v>
      </c>
      <c r="AK122" s="403">
        <f ca="1">IFERROR(AD122/AD$20,0)</f>
        <v>0</v>
      </c>
      <c r="AL122" s="404">
        <f ca="1">IFERROR(AG122/AG$20,0)</f>
        <v>0</v>
      </c>
      <c r="AM122" s="405">
        <f ca="1">+IFERROR(ROUND(($AB122-AE122)*100,2)&amp;" pts.",0)</f>
        <v>0</v>
      </c>
      <c r="AN122" s="406">
        <f ca="1">+IFERROR(ROUND(($AB122-AH122)*100,2)&amp;" pts.",0)</f>
        <v>0</v>
      </c>
    </row>
    <row r="123" spans="1:40" ht="16" thickTop="1" x14ac:dyDescent="0.2"/>
    <row r="124" spans="1:40" x14ac:dyDescent="0.2">
      <c r="A124" s="3" t="s">
        <v>23</v>
      </c>
      <c r="B124" s="5" t="s">
        <v>24</v>
      </c>
      <c r="N124" s="24" t="e">
        <f ca="1">N121&amp;" - Check"</f>
        <v>#NAME?</v>
      </c>
      <c r="O124" s="124">
        <f t="shared" ref="O124:AA124" si="47">SUMIF($H$35:$H$122,"600000",O$35:O$122)+SUMIF($H$35:$H$122,"700000",O$35:O$122)-SUMIF($H$35:$H$122,"TOTDEPTEXP",O$35:O$122)</f>
        <v>0</v>
      </c>
      <c r="P124" s="124">
        <f t="shared" si="47"/>
        <v>0</v>
      </c>
      <c r="Q124" s="124">
        <f t="shared" si="47"/>
        <v>0</v>
      </c>
      <c r="R124" s="124">
        <f t="shared" si="47"/>
        <v>0</v>
      </c>
      <c r="S124" s="124">
        <f t="shared" si="47"/>
        <v>0</v>
      </c>
      <c r="T124" s="124">
        <f t="shared" si="47"/>
        <v>0</v>
      </c>
      <c r="U124" s="124">
        <f t="shared" si="47"/>
        <v>0</v>
      </c>
      <c r="V124" s="124">
        <f t="shared" si="47"/>
        <v>0</v>
      </c>
      <c r="W124" s="124">
        <f t="shared" si="47"/>
        <v>0</v>
      </c>
      <c r="X124" s="124">
        <f t="shared" si="47"/>
        <v>0</v>
      </c>
      <c r="Y124" s="124">
        <f t="shared" si="47"/>
        <v>0</v>
      </c>
      <c r="Z124" s="124">
        <f t="shared" si="47"/>
        <v>0</v>
      </c>
      <c r="AA124" s="124" t="e">
        <f t="shared" ca="1" si="47"/>
        <v>#NAME?</v>
      </c>
      <c r="AB124" s="15"/>
      <c r="AD124" s="124">
        <f>SUMIF($H$35:$H$122,"600000",AD$35:AD$122)+SUMIF($H$35:$H$122,"700000",AD$35:AD$122)-SUMIF($H$35:$H$122,"TOTDEPTEXP",AD$35:AD$122)</f>
        <v>0</v>
      </c>
      <c r="AE124" s="15"/>
      <c r="AF124" s="19"/>
      <c r="AG124" s="124">
        <f>SUMIF($H$35:$H$122,"600000",AG$35:AG$122)+SUMIF($H$35:$H$122,"700000",AG$35:AG$122)-SUMIF($H$35:$H$122,"TOTDEPTEXP",AG$35:AG$122)</f>
        <v>0</v>
      </c>
      <c r="AH124" s="15"/>
      <c r="AI124" s="19"/>
    </row>
    <row r="125" spans="1:40" x14ac:dyDescent="0.2">
      <c r="A125" s="6" t="s">
        <v>25</v>
      </c>
      <c r="B125" s="7"/>
      <c r="N125" s="24" t="e">
        <f ca="1">N122&amp;" - Check"</f>
        <v>#NAME?</v>
      </c>
      <c r="O125" s="124">
        <f t="shared" ref="O125:AA125" si="48">SUMIF($H$35:$H$122,"KPI_GP",O$35:O$122)-SUMIF($H$35:$H$122,"TOTDEPTEXP",O$35:O$122)-SUMIF($H$35:$H$122,"TOTDEPTPL",O$35:O$122)</f>
        <v>0</v>
      </c>
      <c r="P125" s="124">
        <f t="shared" si="48"/>
        <v>0</v>
      </c>
      <c r="Q125" s="124">
        <f t="shared" si="48"/>
        <v>0</v>
      </c>
      <c r="R125" s="124">
        <f t="shared" si="48"/>
        <v>0</v>
      </c>
      <c r="S125" s="124">
        <f t="shared" si="48"/>
        <v>0</v>
      </c>
      <c r="T125" s="124">
        <f t="shared" si="48"/>
        <v>0</v>
      </c>
      <c r="U125" s="124">
        <f t="shared" si="48"/>
        <v>0</v>
      </c>
      <c r="V125" s="124">
        <f t="shared" si="48"/>
        <v>0</v>
      </c>
      <c r="W125" s="124">
        <f t="shared" si="48"/>
        <v>0</v>
      </c>
      <c r="X125" s="124">
        <f t="shared" si="48"/>
        <v>0</v>
      </c>
      <c r="Y125" s="124">
        <f t="shared" si="48"/>
        <v>0</v>
      </c>
      <c r="Z125" s="124">
        <f t="shared" si="48"/>
        <v>0</v>
      </c>
      <c r="AA125" s="124" t="e">
        <f t="shared" ca="1" si="48"/>
        <v>#NAME?</v>
      </c>
      <c r="AB125" s="15"/>
      <c r="AD125" s="124">
        <f>SUMIF($H$35:$H$122,"KPI_GP",AD$35:AD$122)-SUMIF($H$35:$H$122,"TOTDEPTEXP",AD$35:AD$122)-SUMIF($H$35:$H$122,"TOTDEPTPL",AD$35:AD$122)</f>
        <v>0</v>
      </c>
      <c r="AE125" s="15"/>
      <c r="AF125" s="19"/>
      <c r="AG125" s="124">
        <f>SUMIF($H$35:$H$122,"KPI_GP",AG$35:AG$122)-SUMIF($H$35:$H$122,"TOTDEPTEXP",AG$35:AG$122)-SUMIF($H$35:$H$122,"TOTDEPTPL",AG$35:AG$122)</f>
        <v>0</v>
      </c>
      <c r="AH125" s="15"/>
      <c r="AI125" s="19"/>
    </row>
    <row r="126" spans="1:40" x14ac:dyDescent="0.2">
      <c r="A126" s="6" t="s">
        <v>26</v>
      </c>
      <c r="B126" s="7"/>
    </row>
    <row r="127" spans="1:40" x14ac:dyDescent="0.2">
      <c r="A127" s="6" t="s">
        <v>27</v>
      </c>
      <c r="B127" s="7"/>
      <c r="O127" s="147"/>
      <c r="P127" s="147"/>
      <c r="Q127" s="147"/>
      <c r="R127" s="147"/>
      <c r="S127" s="147"/>
      <c r="T127" s="147"/>
      <c r="U127" s="147"/>
      <c r="V127" s="147"/>
      <c r="W127" s="147"/>
      <c r="X127" s="147"/>
      <c r="Y127" s="147"/>
      <c r="Z127" s="147"/>
      <c r="AA127" s="147"/>
      <c r="AD127" s="147"/>
      <c r="AG127" s="147"/>
    </row>
    <row r="128" spans="1:40" x14ac:dyDescent="0.2">
      <c r="A128" s="6" t="s">
        <v>28</v>
      </c>
      <c r="B128" s="7"/>
    </row>
    <row r="129" spans="1:33" x14ac:dyDescent="0.2">
      <c r="A129" s="6" t="s">
        <v>29</v>
      </c>
      <c r="B129" s="7"/>
      <c r="O129" s="147"/>
      <c r="P129" s="147"/>
      <c r="Q129" s="147"/>
      <c r="R129" s="147"/>
      <c r="S129" s="147"/>
      <c r="T129" s="147"/>
      <c r="U129" s="147"/>
      <c r="V129" s="147"/>
      <c r="W129" s="147"/>
      <c r="X129" s="147"/>
      <c r="Y129" s="147"/>
      <c r="Z129" s="147"/>
      <c r="AA129" s="147"/>
      <c r="AD129" s="147"/>
      <c r="AG129" s="147"/>
    </row>
    <row r="130" spans="1:33" x14ac:dyDescent="0.2">
      <c r="A130" s="6" t="s">
        <v>30</v>
      </c>
      <c r="B130" s="7" t="s">
        <v>78</v>
      </c>
    </row>
    <row r="131" spans="1:33" x14ac:dyDescent="0.2">
      <c r="A131" s="6" t="s">
        <v>31</v>
      </c>
      <c r="B131" s="7" t="s">
        <v>78</v>
      </c>
    </row>
    <row r="132" spans="1:33" x14ac:dyDescent="0.2">
      <c r="A132" s="6" t="s">
        <v>32</v>
      </c>
      <c r="B132" s="7"/>
      <c r="H132" s="11"/>
      <c r="J132" s="1"/>
    </row>
    <row r="133" spans="1:33" x14ac:dyDescent="0.2">
      <c r="A133" s="6" t="s">
        <v>33</v>
      </c>
      <c r="B133" s="7"/>
      <c r="H133" s="11"/>
      <c r="J133" s="1"/>
    </row>
    <row r="134" spans="1:33" x14ac:dyDescent="0.2">
      <c r="A134" s="6" t="s">
        <v>34</v>
      </c>
      <c r="B134" s="7"/>
      <c r="H134" s="11"/>
      <c r="J134" s="1"/>
    </row>
    <row r="135" spans="1:33" x14ac:dyDescent="0.2">
      <c r="A135" s="6" t="s">
        <v>35</v>
      </c>
      <c r="B135" s="7"/>
      <c r="H135" s="11"/>
      <c r="J135" s="1"/>
    </row>
    <row r="136" spans="1:33" x14ac:dyDescent="0.2">
      <c r="A136" s="6" t="s">
        <v>36</v>
      </c>
      <c r="B136" s="7"/>
      <c r="H136" s="11"/>
      <c r="J136" s="1"/>
    </row>
    <row r="137" spans="1:33" x14ac:dyDescent="0.2">
      <c r="A137" s="6" t="s">
        <v>37</v>
      </c>
      <c r="B137" s="7"/>
      <c r="H137" s="11"/>
      <c r="J137" s="1"/>
    </row>
    <row r="138" spans="1:33" x14ac:dyDescent="0.2">
      <c r="A138" s="6" t="s">
        <v>38</v>
      </c>
      <c r="B138" s="7"/>
      <c r="H138" s="11"/>
      <c r="J138" s="1"/>
    </row>
    <row r="139" spans="1:33" x14ac:dyDescent="0.2">
      <c r="A139" s="6" t="s">
        <v>39</v>
      </c>
      <c r="B139" s="7"/>
      <c r="H139" s="11"/>
      <c r="J139" s="1"/>
    </row>
    <row r="140" spans="1:33" x14ac:dyDescent="0.2">
      <c r="A140" s="6" t="s">
        <v>40</v>
      </c>
      <c r="B140" s="7"/>
      <c r="H140" s="11"/>
      <c r="J140" s="1"/>
    </row>
    <row r="141" spans="1:33" x14ac:dyDescent="0.2">
      <c r="A141" s="6" t="s">
        <v>41</v>
      </c>
      <c r="B141" s="7"/>
      <c r="H141" s="11"/>
      <c r="J141" s="1"/>
    </row>
    <row r="142" spans="1:33" x14ac:dyDescent="0.2">
      <c r="A142" s="6" t="s">
        <v>42</v>
      </c>
      <c r="B142" s="7"/>
      <c r="H142" s="11"/>
      <c r="J142" s="1"/>
    </row>
    <row r="143" spans="1:33" x14ac:dyDescent="0.2">
      <c r="A143" s="6" t="s">
        <v>43</v>
      </c>
      <c r="B143" s="7"/>
      <c r="H143" s="11"/>
      <c r="J143" s="1"/>
    </row>
    <row r="144" spans="1:33" x14ac:dyDescent="0.2">
      <c r="A144" s="6" t="s">
        <v>44</v>
      </c>
      <c r="B144" s="7"/>
      <c r="H144" s="11"/>
      <c r="J144" s="1"/>
    </row>
    <row r="145" spans="1:10" x14ac:dyDescent="0.2">
      <c r="A145" s="6" t="s">
        <v>45</v>
      </c>
      <c r="B145" s="7"/>
      <c r="H145" s="11"/>
      <c r="J145" s="1"/>
    </row>
    <row r="146" spans="1:10" x14ac:dyDescent="0.2">
      <c r="A146" s="6" t="s">
        <v>46</v>
      </c>
      <c r="B146" s="7"/>
      <c r="H146" s="11"/>
      <c r="J146" s="1"/>
    </row>
    <row r="147" spans="1:10" x14ac:dyDescent="0.2">
      <c r="H147" s="11"/>
      <c r="J147" s="1"/>
    </row>
    <row r="148" spans="1:10" x14ac:dyDescent="0.2">
      <c r="H148" s="11"/>
      <c r="J148" s="1"/>
    </row>
    <row r="149" spans="1:10" x14ac:dyDescent="0.2">
      <c r="H149" s="11"/>
      <c r="J149" s="1"/>
    </row>
    <row r="150" spans="1:10" x14ac:dyDescent="0.2">
      <c r="H150" s="11"/>
      <c r="J150" s="1"/>
    </row>
    <row r="151" spans="1:10" x14ac:dyDescent="0.2">
      <c r="H151" s="11"/>
      <c r="J151" s="1"/>
    </row>
    <row r="152" spans="1:10" x14ac:dyDescent="0.2">
      <c r="H152" s="11"/>
      <c r="J152" s="1"/>
    </row>
    <row r="153" spans="1:10" x14ac:dyDescent="0.2">
      <c r="H153" s="11"/>
      <c r="J153" s="1"/>
    </row>
    <row r="154" spans="1:10" x14ac:dyDescent="0.2">
      <c r="H154" s="11"/>
      <c r="J154" s="1"/>
    </row>
    <row r="163" spans="5:5" x14ac:dyDescent="0.2">
      <c r="E163" s="72"/>
    </row>
    <row r="167" spans="5:5" x14ac:dyDescent="0.2">
      <c r="E167" s="72"/>
    </row>
    <row r="190" spans="7:7" x14ac:dyDescent="0.2">
      <c r="G190" s="72"/>
    </row>
    <row r="194" spans="7:34" x14ac:dyDescent="0.2">
      <c r="G194" s="72"/>
    </row>
    <row r="195" spans="7:34" x14ac:dyDescent="0.2">
      <c r="I195" s="72"/>
      <c r="J195" s="1"/>
      <c r="K195" s="72"/>
      <c r="L195" s="72"/>
      <c r="M195" s="72"/>
      <c r="O195" s="72"/>
      <c r="P195" s="72"/>
      <c r="Q195" s="72"/>
      <c r="R195" s="72"/>
      <c r="S195" s="72"/>
      <c r="T195" s="72"/>
      <c r="U195" s="72"/>
      <c r="V195" s="72"/>
      <c r="W195" s="72"/>
      <c r="X195" s="72"/>
      <c r="Y195" s="72"/>
      <c r="Z195" s="72"/>
      <c r="AA195" s="72"/>
      <c r="AD195" s="72"/>
      <c r="AF195" s="72"/>
      <c r="AH195" s="72"/>
    </row>
    <row r="199" spans="7:34" x14ac:dyDescent="0.2">
      <c r="I199" s="72"/>
      <c r="J199" s="1"/>
      <c r="K199" s="72"/>
      <c r="L199" s="72"/>
      <c r="M199" s="72"/>
      <c r="O199" s="72"/>
      <c r="P199" s="72"/>
      <c r="Q199" s="72"/>
      <c r="R199" s="72"/>
      <c r="S199" s="72"/>
      <c r="T199" s="72"/>
      <c r="U199" s="72"/>
      <c r="V199" s="72"/>
      <c r="W199" s="72"/>
      <c r="X199" s="72"/>
      <c r="Y199" s="72"/>
      <c r="Z199" s="72"/>
      <c r="AA199" s="72"/>
      <c r="AD199" s="72"/>
      <c r="AF199" s="72"/>
      <c r="AH199" s="72"/>
    </row>
  </sheetData>
  <mergeCells count="2">
    <mergeCell ref="AD31:AE31"/>
    <mergeCell ref="AG31:AH31"/>
  </mergeCells>
  <dataValidations disablePrompts="1" count="2">
    <dataValidation type="list" allowBlank="1" sqref="B28 B61 B94" xr:uid="{00000000-0002-0000-0E00-000000000000}">
      <formula1>"ACCOUNT,BUSINESSUNIT,CATEGORY,DATASRC,DEPARTMENT,INTCO,MEASURES,RPTCURRENCY,TIME"</formula1>
    </dataValidation>
    <dataValidation type="list" allowBlank="1" sqref="B29 B62 B95" xr:uid="{00000000-0002-0000-0E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5">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8"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16384" width="9.1640625" style="1"/>
  </cols>
  <sheetData>
    <row r="1" spans="1:35" hidden="1" outlineLevel="1" x14ac:dyDescent="0.2">
      <c r="A1" s="8" t="s">
        <v>48</v>
      </c>
      <c r="B1" s="2" t="s">
        <v>49</v>
      </c>
      <c r="C1" s="8" t="e">
        <f ca="1">_xll.EVAPD($B$1)</f>
        <v>#NAME?</v>
      </c>
      <c r="I1" s="1"/>
      <c r="J1" s="1"/>
      <c r="N1" s="16" t="e">
        <f ca="1">'n_dm_sBWZE6psB0vosAz1Q=='!N1</f>
        <v>#NAME?</v>
      </c>
      <c r="O1" s="1" t="s">
        <v>731</v>
      </c>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725</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35"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35" hidden="1" outlineLevel="1" x14ac:dyDescent="0.2">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2" t="e">
        <f ca="1">AA11</f>
        <v>#NAME?</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35" hidden="1" outlineLevel="1" x14ac:dyDescent="0.2">
      <c r="A19" s="6" t="s">
        <v>4</v>
      </c>
      <c r="B19" s="7" t="e">
        <f ca="1">_xll.EVRNG(H35:H146)</f>
        <v>#NAME?</v>
      </c>
      <c r="G19" s="16" t="str">
        <f>$B$6</f>
        <v>D2140</v>
      </c>
      <c r="H19" s="16" t="s">
        <v>273</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35" hidden="1" outlineLevel="1" x14ac:dyDescent="0.2">
      <c r="A20" s="6" t="s">
        <v>5</v>
      </c>
      <c r="B20" s="7"/>
      <c r="G20" s="16" t="str">
        <f>$B$6</f>
        <v>D2140</v>
      </c>
      <c r="H20" s="16">
        <v>946000</v>
      </c>
      <c r="I20" s="17"/>
      <c r="J20" s="17"/>
      <c r="K20" s="16"/>
      <c r="L20" s="16"/>
      <c r="M20" s="16"/>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35" hidden="1" outlineLevel="1" x14ac:dyDescent="0.2">
      <c r="A21" s="6" t="s">
        <v>6</v>
      </c>
      <c r="B21" s="7"/>
      <c r="I21" s="1"/>
      <c r="J21" s="1"/>
    </row>
    <row r="22" spans="1:35" hidden="1" outlineLevel="1" x14ac:dyDescent="0.2">
      <c r="A22" s="6" t="s">
        <v>7</v>
      </c>
      <c r="B22" s="7"/>
      <c r="I22" s="1"/>
      <c r="J22" s="1"/>
    </row>
    <row r="23" spans="1:35" hidden="1" outlineLevel="1" x14ac:dyDescent="0.2">
      <c r="A23" s="6" t="s">
        <v>47</v>
      </c>
      <c r="B23" s="7" t="e">
        <f ca="1">_xll.EVRNG($A$37:$B$58)</f>
        <v>#NAME?</v>
      </c>
      <c r="K23" s="53"/>
      <c r="L23" s="53"/>
      <c r="M23" s="53"/>
      <c r="AD23" s="136"/>
    </row>
    <row r="24" spans="1:35" hidden="1" outlineLevel="1" x14ac:dyDescent="0.2">
      <c r="A24" s="6" t="s">
        <v>8</v>
      </c>
      <c r="B24" s="7"/>
    </row>
    <row r="25" spans="1:35" collapsed="1" x14ac:dyDescent="0.2"/>
    <row r="26" spans="1:35" ht="23" x14ac:dyDescent="0.25">
      <c r="A26" s="3" t="s">
        <v>9</v>
      </c>
      <c r="B26" s="5" t="s">
        <v>10</v>
      </c>
      <c r="N26" s="61" t="e">
        <f ca="1">IF(_xll.EVDES(B3,$B$1)="#NODATA","",_xll.EVDES(B3,$B$1))</f>
        <v>#NAME?</v>
      </c>
    </row>
    <row r="27" spans="1:35" ht="18" x14ac:dyDescent="0.2">
      <c r="A27" s="6" t="s">
        <v>11</v>
      </c>
      <c r="B27" s="7" t="s">
        <v>21</v>
      </c>
      <c r="N27" s="66" t="e">
        <f ca="1">IF($N$1="",IF(_xll.EVDES(B6,$B$1)="#NODATA","",_xll.EVDES(B6,$B$1)&amp;" Department"),$N$1)</f>
        <v>#NAME?</v>
      </c>
    </row>
    <row r="28" spans="1:35" ht="16" x14ac:dyDescent="0.2">
      <c r="A28" s="6" t="s">
        <v>12</v>
      </c>
      <c r="B28" s="7" t="s">
        <v>22</v>
      </c>
      <c r="N28" s="67" t="e">
        <f ca="1">"For the Period ended"&amp;" "&amp;IF(_xll.EVDES($B$10,$B$1)="#NODATA","",_xll.EVDES($B$10,$B$1))</f>
        <v>#NAME?</v>
      </c>
    </row>
    <row r="29" spans="1:35" ht="15" customHeight="1" x14ac:dyDescent="0.2">
      <c r="A29" s="6" t="s">
        <v>13</v>
      </c>
      <c r="B29" s="7" t="s">
        <v>293</v>
      </c>
      <c r="N29" s="67" t="e">
        <f ca="1">_xll.EVDES(B9,B1)</f>
        <v>#NAME?</v>
      </c>
      <c r="O29" s="62" t="s">
        <v>344</v>
      </c>
      <c r="P29" s="62"/>
      <c r="Q29" s="62"/>
      <c r="R29" s="62"/>
      <c r="S29" s="62"/>
      <c r="T29" s="62"/>
      <c r="U29" s="62"/>
      <c r="V29" s="62"/>
      <c r="W29" s="62"/>
      <c r="X29" s="62"/>
      <c r="Y29" s="62"/>
      <c r="Z29" s="62"/>
      <c r="AA29" s="62"/>
    </row>
    <row r="30" spans="1:35"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row>
    <row r="31" spans="1:35" x14ac:dyDescent="0.2">
      <c r="A31" s="6" t="s">
        <v>15</v>
      </c>
      <c r="B31" s="7"/>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row>
    <row r="32" spans="1:35" s="232" customFormat="1" ht="30" customHeight="1" x14ac:dyDescent="0.2">
      <c r="A32" s="230" t="s">
        <v>16</v>
      </c>
      <c r="B32" s="231"/>
      <c r="E32" s="1"/>
      <c r="H32" s="233"/>
      <c r="I32" s="234"/>
      <c r="J32" s="234"/>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row>
    <row r="33" spans="1:35" ht="16" x14ac:dyDescent="0.2">
      <c r="A33" s="6" t="s">
        <v>17</v>
      </c>
      <c r="B33" s="7"/>
      <c r="N33" s="155" t="s">
        <v>330</v>
      </c>
      <c r="O33" s="38"/>
      <c r="P33" s="42"/>
      <c r="Q33" s="42"/>
      <c r="R33" s="42"/>
      <c r="S33" s="42"/>
      <c r="T33" s="42"/>
      <c r="U33" s="42"/>
      <c r="V33" s="42"/>
      <c r="W33" s="42"/>
      <c r="X33" s="42"/>
      <c r="Y33" s="42"/>
      <c r="Z33" s="42"/>
      <c r="AA33" s="42"/>
      <c r="AB33" s="39"/>
      <c r="AD33" s="38"/>
      <c r="AE33" s="42"/>
      <c r="AF33" s="39"/>
      <c r="AG33" s="38"/>
      <c r="AH33" s="42"/>
      <c r="AI33" s="39"/>
    </row>
    <row r="34" spans="1:35" x14ac:dyDescent="0.2">
      <c r="L34" s="175" t="s">
        <v>364</v>
      </c>
      <c r="M34" s="175" t="s">
        <v>782</v>
      </c>
      <c r="N34" s="8" t="s">
        <v>312</v>
      </c>
      <c r="O34" s="50"/>
      <c r="AB34" s="51"/>
      <c r="AD34" s="50"/>
      <c r="AF34" s="51"/>
      <c r="AG34" s="50"/>
      <c r="AI34" s="51"/>
    </row>
    <row r="35" spans="1:35" x14ac:dyDescent="0.2">
      <c r="H35" s="10" t="s">
        <v>260</v>
      </c>
      <c r="I35" s="25" t="e">
        <f ca="1">_xll.EVPRO($B$1,$H35,"STYLE")</f>
        <v>#NAME?</v>
      </c>
      <c r="J35" s="25" t="e">
        <f ca="1">_xll.EVPRO($B$1,$H35,"CALC")</f>
        <v>#NAME?</v>
      </c>
      <c r="K35" s="24"/>
      <c r="L35" s="24" t="e">
        <f ca="1">_xll.EVPRO($B$1,H35,"JDEID")</f>
        <v>#NAME?</v>
      </c>
      <c r="M35" s="24" t="e">
        <f ca="1">IF(AND(I35="N",J35="N"),_xll.EVPRO($B$1,H35,"PSFTID"),"")</f>
        <v>#NAME?</v>
      </c>
      <c r="N35" s="24" t="e">
        <f ca="1">IF(_xll.EVDES(H35,$B$1)="#NODATA","",_xll.EVDES(H35,$B$1))</f>
        <v>#NAME?</v>
      </c>
      <c r="O35" s="19">
        <v>5039.88</v>
      </c>
      <c r="P35" s="19"/>
      <c r="Q35" s="19"/>
      <c r="R35" s="19"/>
      <c r="S35" s="19"/>
      <c r="T35" s="19"/>
      <c r="U35" s="19"/>
      <c r="V35" s="19"/>
      <c r="W35" s="19"/>
      <c r="X35" s="19"/>
      <c r="Y35" s="19"/>
      <c r="Z35" s="19"/>
      <c r="AA35" s="19">
        <f t="shared" ref="AA35:AA41" si="0">SUM(O35:Z35)</f>
        <v>5039.88</v>
      </c>
      <c r="AB35" s="15" t="str">
        <f ca="1">IF(AA35=0,"",IFERROR(AA35/AA$19,""))</f>
        <v/>
      </c>
      <c r="AD35" s="19"/>
      <c r="AE35" s="15" t="str">
        <f>IF(AD35=0,"",IFERROR(AD35/AD$19,""))</f>
        <v/>
      </c>
      <c r="AF35" s="47">
        <f t="shared" ref="AF35:AF42" si="1">IF(AND($AA35="",AD35=""),"",$AA35-AD35)</f>
        <v>5039.88</v>
      </c>
      <c r="AG35" s="19">
        <v>399931.45</v>
      </c>
      <c r="AH35" s="15" t="str">
        <f ca="1">IF(AG35=0,"",IFERROR(AG35/AG$19,""))</f>
        <v/>
      </c>
      <c r="AI35" s="47">
        <f t="shared" ref="AI35:AI42" si="2">IF(AND($AA35="",AG35=""),"",$AA35-AG35)</f>
        <v>-394891.57</v>
      </c>
    </row>
    <row r="36" spans="1:35" x14ac:dyDescent="0.2">
      <c r="A36" s="3" t="s">
        <v>23</v>
      </c>
      <c r="B36" s="5" t="s">
        <v>24</v>
      </c>
      <c r="H36" s="10" t="s">
        <v>294</v>
      </c>
      <c r="I36" s="25" t="e">
        <f ca="1">_xll.EVPRO($B$1,$H36,"STYLE")</f>
        <v>#NAME?</v>
      </c>
      <c r="J36" s="25" t="e">
        <f ca="1">_xll.EVPRO($B$1,$H36,"CALC")</f>
        <v>#NAME?</v>
      </c>
      <c r="K36" s="24"/>
      <c r="L36" s="24" t="e">
        <f ca="1">_xll.EVPRO($B$1,H36,"JDEID")</f>
        <v>#NAME?</v>
      </c>
      <c r="M36" s="24" t="e">
        <f ca="1">IF(AND(I36="N",J36="N"),_xll.EVPRO($B$1,H36,"PSFTID"),"")</f>
        <v>#NAME?</v>
      </c>
      <c r="N36" s="24" t="e">
        <f ca="1">IF(_xll.EVDES(H36,$B$1)="#NODATA","",_xll.EVDES(H36,$B$1))</f>
        <v>#NAME?</v>
      </c>
      <c r="O36" s="19">
        <v>210</v>
      </c>
      <c r="P36" s="19"/>
      <c r="Q36" s="19"/>
      <c r="R36" s="19"/>
      <c r="S36" s="19"/>
      <c r="T36" s="19"/>
      <c r="U36" s="19"/>
      <c r="V36" s="19"/>
      <c r="W36" s="19"/>
      <c r="X36" s="19"/>
      <c r="Y36" s="19"/>
      <c r="Z36" s="19"/>
      <c r="AA36" s="19">
        <f t="shared" si="0"/>
        <v>210</v>
      </c>
      <c r="AB36" s="15" t="str">
        <f ca="1">IF(AA36=0,"",IFERROR(AA36/AA$19,""))</f>
        <v/>
      </c>
      <c r="AD36" s="19"/>
      <c r="AE36" s="15" t="str">
        <f>IF(AD36=0,"",IFERROR(AD36/AD$19,""))</f>
        <v/>
      </c>
      <c r="AF36" s="47">
        <f t="shared" si="1"/>
        <v>210</v>
      </c>
      <c r="AG36" s="19">
        <v>24400.880000000001</v>
      </c>
      <c r="AH36" s="15" t="str">
        <f t="shared" ref="AH36:AH79" ca="1" si="3">IF(AG36=0,"",IFERROR(AG36/AG$19,""))</f>
        <v/>
      </c>
      <c r="AI36" s="47">
        <f t="shared" si="2"/>
        <v>-24190.880000000001</v>
      </c>
    </row>
    <row r="37" spans="1:35" x14ac:dyDescent="0.2">
      <c r="A37" s="6" t="s">
        <v>25</v>
      </c>
      <c r="B37" s="7"/>
      <c r="H37" s="10" t="s">
        <v>295</v>
      </c>
      <c r="I37" s="25" t="e">
        <f ca="1">_xll.EVPRO($B$1,$H37,"STYLE")</f>
        <v>#NAME?</v>
      </c>
      <c r="J37" s="25" t="e">
        <f ca="1">_xll.EVPRO($B$1,$H37,"CALC")</f>
        <v>#NAME?</v>
      </c>
      <c r="K37" s="24"/>
      <c r="L37" s="24" t="e">
        <f ca="1">_xll.EVPRO($B$1,H37,"JDEID")</f>
        <v>#NAME?</v>
      </c>
      <c r="M37" s="24" t="e">
        <f ca="1">IF(AND(I37="N",J37="N"),_xll.EVPRO($B$1,H37,"PSFTID"),"")</f>
        <v>#NAME?</v>
      </c>
      <c r="N37" s="24" t="e">
        <f ca="1">IF(_xll.EVDES(H37,$B$1)="#NODATA","",_xll.EVDES(H37,$B$1))</f>
        <v>#NAME?</v>
      </c>
      <c r="O37" s="19">
        <v>28</v>
      </c>
      <c r="P37" s="19"/>
      <c r="Q37" s="19"/>
      <c r="R37" s="19"/>
      <c r="S37" s="19"/>
      <c r="T37" s="19"/>
      <c r="U37" s="19"/>
      <c r="V37" s="19"/>
      <c r="W37" s="19"/>
      <c r="X37" s="19"/>
      <c r="Y37" s="19"/>
      <c r="Z37" s="19"/>
      <c r="AA37" s="19">
        <f t="shared" si="0"/>
        <v>28</v>
      </c>
      <c r="AB37" s="15" t="str">
        <f ca="1">IF(AA37=0,"",IFERROR(AA37/AA$19,""))</f>
        <v/>
      </c>
      <c r="AD37" s="19"/>
      <c r="AE37" s="15" t="str">
        <f>IF(AD37=0,"",IFERROR(AD37/AD$19,""))</f>
        <v/>
      </c>
      <c r="AF37" s="47">
        <f t="shared" si="1"/>
        <v>28</v>
      </c>
      <c r="AG37" s="19">
        <v>2996.8</v>
      </c>
      <c r="AH37" s="15" t="str">
        <f t="shared" ca="1" si="3"/>
        <v/>
      </c>
      <c r="AI37" s="47">
        <f t="shared" si="2"/>
        <v>-2968.8</v>
      </c>
    </row>
    <row r="38" spans="1:35" x14ac:dyDescent="0.2">
      <c r="A38" s="6" t="s">
        <v>26</v>
      </c>
      <c r="B38" s="7"/>
      <c r="H38" s="10" t="s">
        <v>296</v>
      </c>
      <c r="I38" s="25" t="e">
        <f ca="1">_xll.EVPRO($B$1,$H38,"STYLE")</f>
        <v>#NAME?</v>
      </c>
      <c r="J38" s="25" t="e">
        <f ca="1">_xll.EVPRO($B$1,$H38,"CALC")</f>
        <v>#NAME?</v>
      </c>
      <c r="K38" s="24"/>
      <c r="L38" s="24" t="e">
        <f ca="1">_xll.EVPRO($B$1,H38,"JDEID")</f>
        <v>#NAME?</v>
      </c>
      <c r="M38" s="24" t="e">
        <f ca="1">IF(AND(I38="N",J38="N"),_xll.EVPRO($B$1,H38,"PSFTID"),"")</f>
        <v>#NAME?</v>
      </c>
      <c r="N38" s="24" t="e">
        <f ca="1">IF(_xll.EVDES(H38,$B$1)="#NODATA","",_xll.EVDES(H38,$B$1))</f>
        <v>#NAME?</v>
      </c>
      <c r="O38" s="28">
        <v>78</v>
      </c>
      <c r="P38" s="28"/>
      <c r="Q38" s="28"/>
      <c r="R38" s="28"/>
      <c r="S38" s="28"/>
      <c r="T38" s="28"/>
      <c r="U38" s="28"/>
      <c r="V38" s="28"/>
      <c r="W38" s="28"/>
      <c r="X38" s="28"/>
      <c r="Y38" s="28"/>
      <c r="Z38" s="28"/>
      <c r="AA38" s="28">
        <f t="shared" si="0"/>
        <v>78</v>
      </c>
      <c r="AB38" s="29" t="str">
        <f ca="1">IF(AA38=0,"",IFERROR(AA38/AA$19,""))</f>
        <v/>
      </c>
      <c r="AD38" s="28"/>
      <c r="AE38" s="29" t="str">
        <f>IF(AD38=0,"",IFERROR(AD38/AD$19,""))</f>
        <v/>
      </c>
      <c r="AF38" s="48">
        <f t="shared" si="1"/>
        <v>78</v>
      </c>
      <c r="AG38" s="28">
        <v>18330.34</v>
      </c>
      <c r="AH38" s="29" t="str">
        <f t="shared" ca="1" si="3"/>
        <v/>
      </c>
      <c r="AI38" s="48">
        <f t="shared" si="2"/>
        <v>-18252.34</v>
      </c>
    </row>
    <row r="39" spans="1:35" x14ac:dyDescent="0.2">
      <c r="A39" s="6" t="s">
        <v>27</v>
      </c>
      <c r="B39" s="7"/>
      <c r="H39" s="10" t="s">
        <v>318</v>
      </c>
      <c r="I39" s="25" t="e">
        <f ca="1">_xll.EVPRO($B$1,$H39,"STYLE")</f>
        <v>#NAME?</v>
      </c>
      <c r="J39" s="25" t="e">
        <f ca="1">_xll.EVPRO($B$1,$H39,"CALC")</f>
        <v>#NAME?</v>
      </c>
      <c r="K39" s="24"/>
      <c r="L39" s="24" t="e">
        <f ca="1">_xll.EVPRO($B$1,H39,"JDEID")</f>
        <v>#NAME?</v>
      </c>
      <c r="M39" s="24" t="e">
        <f ca="1">IF(AND(I39="N",J39="N"),_xll.EVPRO($B$1,H39,"PSFTID"),"")</f>
        <v>#NAME?</v>
      </c>
      <c r="N39" s="23" t="e">
        <f ca="1">IF(_xll.EVDES(H39,$B$1)="#NODATA","",_xll.EVDES(H39,$B$1))</f>
        <v>#NAME?</v>
      </c>
      <c r="O39" s="145">
        <v>5355.88</v>
      </c>
      <c r="P39" s="145"/>
      <c r="Q39" s="145"/>
      <c r="R39" s="145"/>
      <c r="S39" s="145"/>
      <c r="T39" s="145"/>
      <c r="U39" s="145"/>
      <c r="V39" s="145"/>
      <c r="W39" s="145"/>
      <c r="X39" s="145"/>
      <c r="Y39" s="145"/>
      <c r="Z39" s="145"/>
      <c r="AA39" s="145">
        <f t="shared" si="0"/>
        <v>5355.88</v>
      </c>
      <c r="AB39" s="156" t="str">
        <f ca="1">IF(AA39=0,"",IFERROR(AA39/AA$19,""))</f>
        <v/>
      </c>
      <c r="AD39" s="145"/>
      <c r="AE39" s="156" t="str">
        <f>IF(AD39=0,"",IFERROR(AD39/AD$19,""))</f>
        <v/>
      </c>
      <c r="AF39" s="146">
        <f t="shared" si="1"/>
        <v>5355.88</v>
      </c>
      <c r="AG39" s="145">
        <v>445659.47</v>
      </c>
      <c r="AH39" s="156" t="str">
        <f t="shared" ca="1" si="3"/>
        <v/>
      </c>
      <c r="AI39" s="146">
        <f t="shared" si="2"/>
        <v>-440303.58999999997</v>
      </c>
    </row>
    <row r="40" spans="1:35" x14ac:dyDescent="0.2">
      <c r="A40" s="6" t="s">
        <v>28</v>
      </c>
      <c r="B40" s="7"/>
      <c r="H40" s="10" t="s">
        <v>763</v>
      </c>
      <c r="I40" s="25" t="e">
        <f ca="1">_xll.EVPRO($B$1,$H40,"STYLE")</f>
        <v>#NAME?</v>
      </c>
      <c r="J40" s="25" t="e">
        <f ca="1">_xll.EVPRO($B$1,$H40,"CALC")</f>
        <v>#NAME?</v>
      </c>
      <c r="K40" s="24"/>
      <c r="L40" s="24" t="e">
        <f ca="1">_xll.EVPRO($B$1,H40,"JDEID")</f>
        <v>#NAME?</v>
      </c>
      <c r="M40" s="24" t="e">
        <f ca="1">IF(AND(I40="N",J40="N"),_xll.EVPRO($B$1,H40,"PSFTID"),"")</f>
        <v>#NAME?</v>
      </c>
      <c r="N40" s="24" t="e">
        <f ca="1">IF(_xll.EVDES(H40,$B$1)="#NODATA","",_xll.EVDES(H40,$B$1))</f>
        <v>#NAME?</v>
      </c>
      <c r="O40" s="35">
        <v>5</v>
      </c>
      <c r="P40" s="35"/>
      <c r="Q40" s="35"/>
      <c r="R40" s="35"/>
      <c r="S40" s="35"/>
      <c r="T40" s="35"/>
      <c r="U40" s="35"/>
      <c r="V40" s="35"/>
      <c r="W40" s="35"/>
      <c r="X40" s="35"/>
      <c r="Y40" s="35"/>
      <c r="Z40" s="35"/>
      <c r="AA40" s="35">
        <f t="shared" si="0"/>
        <v>5</v>
      </c>
      <c r="AB40" s="36"/>
      <c r="AD40" s="35"/>
      <c r="AE40" s="36"/>
      <c r="AF40" s="118">
        <f t="shared" si="1"/>
        <v>5</v>
      </c>
      <c r="AG40" s="35">
        <v>335</v>
      </c>
      <c r="AH40" s="36"/>
      <c r="AI40" s="118">
        <f>IF(AND($AA40="",AG40=""),"",$AA40-AG40)</f>
        <v>-330</v>
      </c>
    </row>
    <row r="41" spans="1:35" x14ac:dyDescent="0.2">
      <c r="A41" s="6" t="s">
        <v>29</v>
      </c>
      <c r="B41" s="7"/>
      <c r="H41" s="10" t="s">
        <v>297</v>
      </c>
      <c r="I41" s="25" t="e">
        <f ca="1">_xll.EVPRO($B$1,$H41,"STYLE")</f>
        <v>#NAME?</v>
      </c>
      <c r="J41" s="25" t="e">
        <f ca="1">_xll.EVPRO($B$1,$H41,"CALC")</f>
        <v>#NAME?</v>
      </c>
      <c r="K41" s="24"/>
      <c r="L41" s="24" t="e">
        <f ca="1">_xll.EVPRO($B$1,H41,"JDEID")</f>
        <v>#NAME?</v>
      </c>
      <c r="M41" s="24" t="e">
        <f ca="1">IF(AND(I41="N",J41="N"),_xll.EVPRO($B$1,H41,"PSFTID"),"")</f>
        <v>#NAME?</v>
      </c>
      <c r="N41" s="24" t="e">
        <f ca="1">IF(_xll.EVDES(H41,$B$1)="#NODATA","",_xll.EVDES(H41,$B$1))</f>
        <v>#NAME?</v>
      </c>
      <c r="O41" s="35">
        <v>263</v>
      </c>
      <c r="P41" s="35"/>
      <c r="Q41" s="35"/>
      <c r="R41" s="35"/>
      <c r="S41" s="35"/>
      <c r="T41" s="35"/>
      <c r="U41" s="35"/>
      <c r="V41" s="35"/>
      <c r="W41" s="35"/>
      <c r="X41" s="35"/>
      <c r="Y41" s="35"/>
      <c r="Z41" s="35"/>
      <c r="AA41" s="35">
        <f t="shared" si="0"/>
        <v>263</v>
      </c>
      <c r="AB41" s="36">
        <f>IF(AA41=0,"",IFERROR(AA41/AA$87,""))</f>
        <v>1</v>
      </c>
      <c r="AD41" s="35"/>
      <c r="AE41" s="36" t="str">
        <f>IF(AD41=0,"",IFERROR(AD41/AD$87,""))</f>
        <v/>
      </c>
      <c r="AF41" s="118">
        <f t="shared" si="1"/>
        <v>263</v>
      </c>
      <c r="AG41" s="35">
        <v>17748</v>
      </c>
      <c r="AH41" s="36">
        <f>IF(AG41=0,"",IFERROR(AG41/AG$87,""))</f>
        <v>0.85483094114247182</v>
      </c>
      <c r="AI41" s="118">
        <f t="shared" si="2"/>
        <v>-17485</v>
      </c>
    </row>
    <row r="42" spans="1:35" x14ac:dyDescent="0.2">
      <c r="A42" s="6" t="s">
        <v>30</v>
      </c>
      <c r="B42" s="7" t="s">
        <v>78</v>
      </c>
      <c r="H42" s="10" t="s">
        <v>313</v>
      </c>
      <c r="I42" s="25" t="e">
        <f ca="1">_xll.EVPRO($B$1,$H42,"STYLE")</f>
        <v>#NAME?</v>
      </c>
      <c r="J42" s="25" t="e">
        <f ca="1">_xll.EVPRO($B$1,$H42,"CALC")</f>
        <v>#NAME?</v>
      </c>
      <c r="K42" s="24"/>
      <c r="L42" s="24" t="e">
        <f ca="1">_xll.EVPRO($B$1,H42,"JDEID")</f>
        <v>#NAME?</v>
      </c>
      <c r="M42" s="24" t="e">
        <f ca="1">IF(AND(I42="N",J42="N"),_xll.EVPRO($B$1,H42,"PSFTID"),"")</f>
        <v>#NAME?</v>
      </c>
      <c r="N42" s="151" t="e">
        <f ca="1">IF(_xll.EVDES(H42,$B$1)="#NODATA","",_xll.EVDES(H42,$B$1))</f>
        <v>#NAME?</v>
      </c>
      <c r="O42" s="157">
        <v>20.364562737642601</v>
      </c>
      <c r="P42" s="157"/>
      <c r="Q42" s="157"/>
      <c r="R42" s="157"/>
      <c r="S42" s="157"/>
      <c r="T42" s="157"/>
      <c r="U42" s="157"/>
      <c r="V42" s="157"/>
      <c r="W42" s="157"/>
      <c r="X42" s="157"/>
      <c r="Y42" s="157"/>
      <c r="Z42" s="157"/>
      <c r="AA42" s="157">
        <f>IFERROR(AA39/AA41,"")</f>
        <v>20.364562737642586</v>
      </c>
      <c r="AB42" s="157"/>
      <c r="AD42" s="157"/>
      <c r="AE42" s="157"/>
      <c r="AF42" s="158">
        <f t="shared" si="1"/>
        <v>20.364562737642586</v>
      </c>
      <c r="AG42" s="157">
        <v>25.110405116069401</v>
      </c>
      <c r="AH42" s="157"/>
      <c r="AI42" s="158">
        <f t="shared" si="2"/>
        <v>-4.7458423784268149</v>
      </c>
    </row>
    <row r="43" spans="1:35" x14ac:dyDescent="0.2">
      <c r="A43" s="6" t="s">
        <v>31</v>
      </c>
      <c r="B43" s="7" t="s">
        <v>78</v>
      </c>
      <c r="G43" s="162">
        <f>COUNTIF(O44:AI44,FALSE)</f>
        <v>0</v>
      </c>
      <c r="H43" s="10"/>
      <c r="I43" s="25"/>
      <c r="J43" s="25"/>
      <c r="K43" s="24"/>
      <c r="L43" s="24"/>
      <c r="M43" s="24"/>
      <c r="N43" s="163" t="s">
        <v>345</v>
      </c>
      <c r="O43" s="160">
        <f t="shared" ref="O43:AA43" si="4">ROUND(IFERROR(O39/O41,0),2)</f>
        <v>20.36</v>
      </c>
      <c r="P43" s="165">
        <f t="shared" si="4"/>
        <v>0</v>
      </c>
      <c r="Q43" s="165">
        <f t="shared" si="4"/>
        <v>0</v>
      </c>
      <c r="R43" s="165">
        <f t="shared" si="4"/>
        <v>0</v>
      </c>
      <c r="S43" s="165">
        <f t="shared" si="4"/>
        <v>0</v>
      </c>
      <c r="T43" s="165">
        <f t="shared" si="4"/>
        <v>0</v>
      </c>
      <c r="U43" s="165">
        <f t="shared" si="4"/>
        <v>0</v>
      </c>
      <c r="V43" s="165">
        <f t="shared" si="4"/>
        <v>0</v>
      </c>
      <c r="W43" s="165">
        <f t="shared" si="4"/>
        <v>0</v>
      </c>
      <c r="X43" s="165">
        <f t="shared" si="4"/>
        <v>0</v>
      </c>
      <c r="Y43" s="165">
        <f t="shared" si="4"/>
        <v>0</v>
      </c>
      <c r="Z43" s="165">
        <f t="shared" si="4"/>
        <v>0</v>
      </c>
      <c r="AA43" s="165">
        <f t="shared" si="4"/>
        <v>20.36</v>
      </c>
      <c r="AB43" s="164"/>
      <c r="AD43" s="160">
        <f>ROUND(IFERROR(AD39/AD41,0),2)</f>
        <v>0</v>
      </c>
      <c r="AE43" s="165"/>
      <c r="AF43" s="161"/>
      <c r="AG43" s="160">
        <f>ROUND(IFERROR(AG39/AG41,0),2)</f>
        <v>25.11</v>
      </c>
      <c r="AH43" s="165"/>
      <c r="AI43" s="161"/>
    </row>
    <row r="44" spans="1:35" x14ac:dyDescent="0.2">
      <c r="A44" s="6" t="s">
        <v>32</v>
      </c>
      <c r="B44" s="7"/>
      <c r="H44" s="10"/>
      <c r="I44" s="25"/>
      <c r="J44" s="25"/>
      <c r="K44" s="24"/>
      <c r="L44" s="24"/>
      <c r="M44" s="24"/>
      <c r="N44" s="8" t="s">
        <v>314</v>
      </c>
      <c r="O44" s="292" t="b">
        <f t="shared" ref="O44:AA44" si="5">ROUND(O42,2)=ROUND(O43,2)</f>
        <v>1</v>
      </c>
      <c r="P44" s="293" t="b">
        <f t="shared" si="5"/>
        <v>1</v>
      </c>
      <c r="Q44" s="293" t="b">
        <f t="shared" si="5"/>
        <v>1</v>
      </c>
      <c r="R44" s="293" t="b">
        <f t="shared" si="5"/>
        <v>1</v>
      </c>
      <c r="S44" s="293" t="b">
        <f t="shared" si="5"/>
        <v>1</v>
      </c>
      <c r="T44" s="293" t="b">
        <f t="shared" si="5"/>
        <v>1</v>
      </c>
      <c r="U44" s="293" t="b">
        <f t="shared" si="5"/>
        <v>1</v>
      </c>
      <c r="V44" s="293" t="b">
        <f t="shared" si="5"/>
        <v>1</v>
      </c>
      <c r="W44" s="293" t="b">
        <f t="shared" si="5"/>
        <v>1</v>
      </c>
      <c r="X44" s="293" t="b">
        <f t="shared" si="5"/>
        <v>1</v>
      </c>
      <c r="Y44" s="293" t="b">
        <f t="shared" si="5"/>
        <v>1</v>
      </c>
      <c r="Z44" s="293" t="b">
        <f t="shared" si="5"/>
        <v>1</v>
      </c>
      <c r="AA44" s="293" t="b">
        <f t="shared" si="5"/>
        <v>1</v>
      </c>
      <c r="AB44" s="294"/>
      <c r="AC44" s="206"/>
      <c r="AD44" s="292"/>
      <c r="AE44" s="293" t="b">
        <f>ROUND(AD42,2)=ROUND(AD43,2)</f>
        <v>1</v>
      </c>
      <c r="AF44" s="294"/>
      <c r="AG44" s="292"/>
      <c r="AH44" s="293" t="b">
        <f>ROUND(AG42,2)=ROUND(AG43,2)</f>
        <v>1</v>
      </c>
      <c r="AI44" s="294"/>
    </row>
    <row r="45" spans="1:35" x14ac:dyDescent="0.2">
      <c r="A45" s="6" t="s">
        <v>33</v>
      </c>
      <c r="B45" s="7"/>
      <c r="H45" s="10" t="s">
        <v>261</v>
      </c>
      <c r="I45" s="25" t="e">
        <f ca="1">_xll.EVPRO($B$1,$H45,"STYLE")</f>
        <v>#NAME?</v>
      </c>
      <c r="J45" s="25" t="e">
        <f ca="1">_xll.EVPRO($B$1,$H45,"CALC")</f>
        <v>#NAME?</v>
      </c>
      <c r="K45" s="24"/>
      <c r="L45" s="24" t="e">
        <f ca="1">_xll.EVPRO($B$1,H45,"JDEID")</f>
        <v>#NAME?</v>
      </c>
      <c r="M45" s="24" t="e">
        <f ca="1">IF(AND(I45="N",J45="N"),_xll.EVPRO($B$1,H45,"PSFTID"),"")</f>
        <v>#NAME?</v>
      </c>
      <c r="N45" s="24" t="e">
        <f ca="1">IF(_xll.EVDES(H45,$B$1)="#NODATA","",_xll.EVDES(H45,$B$1))</f>
        <v>#NAME?</v>
      </c>
      <c r="O45" s="19"/>
      <c r="P45" s="19"/>
      <c r="Q45" s="19"/>
      <c r="R45" s="19"/>
      <c r="S45" s="19"/>
      <c r="T45" s="19"/>
      <c r="U45" s="19"/>
      <c r="V45" s="19"/>
      <c r="W45" s="19"/>
      <c r="X45" s="19"/>
      <c r="Y45" s="19"/>
      <c r="Z45" s="19"/>
      <c r="AA45" s="19">
        <f t="shared" ref="AA45:AA51" si="6">SUM(O45:Z45)</f>
        <v>0</v>
      </c>
      <c r="AB45" s="15" t="str">
        <f>IF(AA45=0,"",IFERROR(AA45/AA$19,""))</f>
        <v/>
      </c>
      <c r="AD45" s="19"/>
      <c r="AE45" s="15" t="str">
        <f>IF(AD45=0,"",IFERROR(AD45/AD$19,""))</f>
        <v/>
      </c>
      <c r="AF45" s="47">
        <f t="shared" ref="AF45:AF52" si="7">IF(AND($AA45="",AD45=""),"",$AA45-AD45)</f>
        <v>0</v>
      </c>
      <c r="AG45" s="19"/>
      <c r="AH45" s="15" t="str">
        <f t="shared" si="3"/>
        <v/>
      </c>
      <c r="AI45" s="47">
        <f t="shared" ref="AI45:AI52" si="8">IF(AND($AA45="",AG45=""),"",$AA45-AG45)</f>
        <v>0</v>
      </c>
    </row>
    <row r="46" spans="1:35" x14ac:dyDescent="0.2">
      <c r="A46" s="6" t="s">
        <v>34</v>
      </c>
      <c r="B46" s="7"/>
      <c r="H46" s="133" t="s">
        <v>301</v>
      </c>
      <c r="I46" s="25" t="e">
        <f ca="1">_xll.EVPRO($B$1,$H46,"STYLE")</f>
        <v>#NAME?</v>
      </c>
      <c r="J46" s="25" t="e">
        <f ca="1">_xll.EVPRO($B$1,$H46,"CALC")</f>
        <v>#NAME?</v>
      </c>
      <c r="K46" s="24"/>
      <c r="L46" s="24" t="e">
        <f ca="1">_xll.EVPRO($B$1,H46,"JDEID")</f>
        <v>#NAME?</v>
      </c>
      <c r="M46" s="24" t="e">
        <f ca="1">IF(AND(I46="N",J46="N"),_xll.EVPRO($B$1,H46,"PSFTID"),"")</f>
        <v>#NAME?</v>
      </c>
      <c r="N46" s="24" t="e">
        <f ca="1">IF(_xll.EVDES(H46,$B$1)="#NODATA","",_xll.EVDES(H46,$B$1))</f>
        <v>#NAME?</v>
      </c>
      <c r="O46" s="19"/>
      <c r="P46" s="19"/>
      <c r="Q46" s="19"/>
      <c r="R46" s="19"/>
      <c r="S46" s="19"/>
      <c r="T46" s="19"/>
      <c r="U46" s="19"/>
      <c r="V46" s="19"/>
      <c r="W46" s="19"/>
      <c r="X46" s="19"/>
      <c r="Y46" s="19"/>
      <c r="Z46" s="19"/>
      <c r="AA46" s="19">
        <f t="shared" si="6"/>
        <v>0</v>
      </c>
      <c r="AB46" s="15" t="str">
        <f>IF(AA46=0,"",IFERROR(AA46/AA$19,""))</f>
        <v/>
      </c>
      <c r="AD46" s="19"/>
      <c r="AE46" s="15" t="str">
        <f>IF(AD46=0,"",IFERROR(AD46/AD$19,""))</f>
        <v/>
      </c>
      <c r="AF46" s="47">
        <f t="shared" si="7"/>
        <v>0</v>
      </c>
      <c r="AG46" s="19"/>
      <c r="AH46" s="15" t="str">
        <f t="shared" si="3"/>
        <v/>
      </c>
      <c r="AI46" s="47">
        <f t="shared" si="8"/>
        <v>0</v>
      </c>
    </row>
    <row r="47" spans="1:35" x14ac:dyDescent="0.2">
      <c r="A47" s="6" t="s">
        <v>35</v>
      </c>
      <c r="B47" s="7"/>
      <c r="H47" s="133" t="s">
        <v>305</v>
      </c>
      <c r="I47" s="25" t="e">
        <f ca="1">_xll.EVPRO($B$1,$H47,"STYLE")</f>
        <v>#NAME?</v>
      </c>
      <c r="J47" s="25" t="e">
        <f ca="1">_xll.EVPRO($B$1,$H47,"CALC")</f>
        <v>#NAME?</v>
      </c>
      <c r="K47" s="24"/>
      <c r="L47" s="24" t="e">
        <f ca="1">_xll.EVPRO($B$1,H47,"JDEID")</f>
        <v>#NAME?</v>
      </c>
      <c r="M47" s="24" t="e">
        <f ca="1">IF(AND(I47="N",J47="N"),_xll.EVPRO($B$1,H47,"PSFTID"),"")</f>
        <v>#NAME?</v>
      </c>
      <c r="N47" s="24" t="e">
        <f ca="1">IF(_xll.EVDES(H47,$B$1)="#NODATA","",_xll.EVDES(H47,$B$1))</f>
        <v>#NAME?</v>
      </c>
      <c r="O47" s="19"/>
      <c r="P47" s="19"/>
      <c r="Q47" s="19"/>
      <c r="R47" s="19"/>
      <c r="S47" s="19"/>
      <c r="T47" s="19"/>
      <c r="U47" s="19"/>
      <c r="V47" s="19"/>
      <c r="W47" s="19"/>
      <c r="X47" s="19"/>
      <c r="Y47" s="19"/>
      <c r="Z47" s="19"/>
      <c r="AA47" s="19">
        <f t="shared" si="6"/>
        <v>0</v>
      </c>
      <c r="AB47" s="15" t="str">
        <f>IF(AA47=0,"",IFERROR(AA47/AA$19,""))</f>
        <v/>
      </c>
      <c r="AD47" s="19"/>
      <c r="AE47" s="15" t="str">
        <f>IF(AD47=0,"",IFERROR(AD47/AD$19,""))</f>
        <v/>
      </c>
      <c r="AF47" s="47">
        <f t="shared" si="7"/>
        <v>0</v>
      </c>
      <c r="AG47" s="19"/>
      <c r="AH47" s="15" t="str">
        <f t="shared" si="3"/>
        <v/>
      </c>
      <c r="AI47" s="47">
        <f t="shared" si="8"/>
        <v>0</v>
      </c>
    </row>
    <row r="48" spans="1:35" x14ac:dyDescent="0.2">
      <c r="A48" s="6" t="s">
        <v>36</v>
      </c>
      <c r="B48" s="7"/>
      <c r="H48" s="133" t="s">
        <v>303</v>
      </c>
      <c r="I48" s="25" t="e">
        <f ca="1">_xll.EVPRO($B$1,$H48,"STYLE")</f>
        <v>#NAME?</v>
      </c>
      <c r="J48" s="25" t="e">
        <f ca="1">_xll.EVPRO($B$1,$H48,"CALC")</f>
        <v>#NAME?</v>
      </c>
      <c r="K48" s="24"/>
      <c r="L48" s="24" t="e">
        <f ca="1">_xll.EVPRO($B$1,H48,"JDEID")</f>
        <v>#NAME?</v>
      </c>
      <c r="M48" s="24" t="e">
        <f ca="1">IF(AND(I48="N",J48="N"),_xll.EVPRO($B$1,H48,"PSFTID"),"")</f>
        <v>#NAME?</v>
      </c>
      <c r="N48" s="24" t="e">
        <f ca="1">IF(_xll.EVDES(H48,$B$1)="#NODATA","",_xll.EVDES(H48,$B$1))</f>
        <v>#NAME?</v>
      </c>
      <c r="O48" s="28"/>
      <c r="P48" s="28"/>
      <c r="Q48" s="28"/>
      <c r="R48" s="28"/>
      <c r="S48" s="28"/>
      <c r="T48" s="28"/>
      <c r="U48" s="28"/>
      <c r="V48" s="28"/>
      <c r="W48" s="28"/>
      <c r="X48" s="28"/>
      <c r="Y48" s="28"/>
      <c r="Z48" s="28"/>
      <c r="AA48" s="28">
        <f t="shared" si="6"/>
        <v>0</v>
      </c>
      <c r="AB48" s="29" t="str">
        <f>IF(AA48=0,"",IFERROR(AA48/AA$19,""))</f>
        <v/>
      </c>
      <c r="AD48" s="28"/>
      <c r="AE48" s="29" t="str">
        <f>IF(AD48=0,"",IFERROR(AD48/AD$19,""))</f>
        <v/>
      </c>
      <c r="AF48" s="48">
        <f t="shared" si="7"/>
        <v>0</v>
      </c>
      <c r="AG48" s="28"/>
      <c r="AH48" s="29" t="str">
        <f t="shared" si="3"/>
        <v/>
      </c>
      <c r="AI48" s="48">
        <f t="shared" si="8"/>
        <v>0</v>
      </c>
    </row>
    <row r="49" spans="1:35" x14ac:dyDescent="0.2">
      <c r="A49" s="6" t="s">
        <v>37</v>
      </c>
      <c r="B49" s="7"/>
      <c r="H49" s="10" t="s">
        <v>319</v>
      </c>
      <c r="I49" s="25" t="e">
        <f ca="1">_xll.EVPRO($B$1,$H49,"STYLE")</f>
        <v>#NAME?</v>
      </c>
      <c r="J49" s="25" t="e">
        <f ca="1">_xll.EVPRO($B$1,$H49,"CALC")</f>
        <v>#NAME?</v>
      </c>
      <c r="K49" s="24"/>
      <c r="L49" s="24" t="e">
        <f ca="1">_xll.EVPRO($B$1,H49,"JDEID")</f>
        <v>#NAME?</v>
      </c>
      <c r="M49" s="24" t="e">
        <f ca="1">IF(AND(I49="N",J49="N"),_xll.EVPRO($B$1,H49,"PSFTID"),"")</f>
        <v>#NAME?</v>
      </c>
      <c r="N49" s="23" t="e">
        <f ca="1">IF(_xll.EVDES(H49,$B$1)="#NODATA","",_xll.EVDES(H49,$B$1))</f>
        <v>#NAME?</v>
      </c>
      <c r="O49" s="145"/>
      <c r="P49" s="145"/>
      <c r="Q49" s="145"/>
      <c r="R49" s="145"/>
      <c r="S49" s="145"/>
      <c r="T49" s="145"/>
      <c r="U49" s="145"/>
      <c r="V49" s="145"/>
      <c r="W49" s="145"/>
      <c r="X49" s="145"/>
      <c r="Y49" s="145"/>
      <c r="Z49" s="145"/>
      <c r="AA49" s="145">
        <f t="shared" si="6"/>
        <v>0</v>
      </c>
      <c r="AB49" s="156" t="str">
        <f>IF(AA49=0,"",IFERROR(AA49/AA$19,""))</f>
        <v/>
      </c>
      <c r="AD49" s="145"/>
      <c r="AE49" s="156" t="str">
        <f>IF(AD49=0,"",IFERROR(AD49/AD$19,""))</f>
        <v/>
      </c>
      <c r="AF49" s="146">
        <f t="shared" si="7"/>
        <v>0</v>
      </c>
      <c r="AG49" s="145"/>
      <c r="AH49" s="156" t="str">
        <f t="shared" si="3"/>
        <v/>
      </c>
      <c r="AI49" s="146">
        <f t="shared" si="8"/>
        <v>0</v>
      </c>
    </row>
    <row r="50" spans="1:35" x14ac:dyDescent="0.2">
      <c r="A50" s="6" t="s">
        <v>38</v>
      </c>
      <c r="B50" s="7"/>
      <c r="H50" s="10" t="s">
        <v>764</v>
      </c>
      <c r="I50" s="25" t="e">
        <f ca="1">_xll.EVPRO($B$1,$H50,"STYLE")</f>
        <v>#NAME?</v>
      </c>
      <c r="J50" s="25" t="e">
        <f ca="1">_xll.EVPRO($B$1,$H50,"CALC")</f>
        <v>#NAME?</v>
      </c>
      <c r="K50" s="24"/>
      <c r="L50" s="24" t="e">
        <f ca="1">_xll.EVPRO($B$1,H50,"JDEID")</f>
        <v>#NAME?</v>
      </c>
      <c r="M50" s="24" t="e">
        <f ca="1">IF(AND(I50="N",J50="N"),_xll.EVPRO($B$1,H50,"PSFTID"),"")</f>
        <v>#NAME?</v>
      </c>
      <c r="N50" s="24" t="e">
        <f ca="1">IF(_xll.EVDES(H50,$B$1)="#NODATA","",_xll.EVDES(H50,$B$1))</f>
        <v>#NAME?</v>
      </c>
      <c r="O50" s="35"/>
      <c r="P50" s="35"/>
      <c r="Q50" s="35"/>
      <c r="R50" s="35"/>
      <c r="S50" s="35"/>
      <c r="T50" s="35"/>
      <c r="U50" s="35"/>
      <c r="V50" s="35"/>
      <c r="W50" s="35"/>
      <c r="X50" s="35"/>
      <c r="Y50" s="35"/>
      <c r="Z50" s="35"/>
      <c r="AA50" s="35">
        <f t="shared" si="6"/>
        <v>0</v>
      </c>
      <c r="AB50" s="36"/>
      <c r="AD50" s="35"/>
      <c r="AE50" s="36"/>
      <c r="AF50" s="118">
        <f t="shared" si="7"/>
        <v>0</v>
      </c>
      <c r="AG50" s="35"/>
      <c r="AH50" s="36"/>
      <c r="AI50" s="118">
        <f t="shared" si="8"/>
        <v>0</v>
      </c>
    </row>
    <row r="51" spans="1:35" x14ac:dyDescent="0.2">
      <c r="A51" s="6" t="s">
        <v>39</v>
      </c>
      <c r="B51" s="7"/>
      <c r="H51" s="10" t="s">
        <v>298</v>
      </c>
      <c r="I51" s="25" t="e">
        <f ca="1">_xll.EVPRO($B$1,$H51,"STYLE")</f>
        <v>#NAME?</v>
      </c>
      <c r="J51" s="25" t="e">
        <f ca="1">_xll.EVPRO($B$1,$H51,"CALC")</f>
        <v>#NAME?</v>
      </c>
      <c r="K51" s="24"/>
      <c r="L51" s="24" t="e">
        <f ca="1">_xll.EVPRO($B$1,H51,"JDEID")</f>
        <v>#NAME?</v>
      </c>
      <c r="M51" s="24" t="e">
        <f ca="1">IF(AND(I51="N",J51="N"),_xll.EVPRO($B$1,H51,"PSFTID"),"")</f>
        <v>#NAME?</v>
      </c>
      <c r="N51" s="24" t="e">
        <f ca="1">IF(_xll.EVDES(H51,$B$1)="#NODATA","",_xll.EVDES(H51,$B$1))</f>
        <v>#NAME?</v>
      </c>
      <c r="O51" s="35"/>
      <c r="P51" s="35"/>
      <c r="Q51" s="35"/>
      <c r="R51" s="35"/>
      <c r="S51" s="35"/>
      <c r="T51" s="35"/>
      <c r="U51" s="35"/>
      <c r="V51" s="35"/>
      <c r="W51" s="35"/>
      <c r="X51" s="35"/>
      <c r="Y51" s="35"/>
      <c r="Z51" s="35"/>
      <c r="AA51" s="35">
        <f t="shared" si="6"/>
        <v>0</v>
      </c>
      <c r="AB51" s="36" t="str">
        <f>IF(AA51=0,"",IFERROR(AA51/AA$87,""))</f>
        <v/>
      </c>
      <c r="AD51" s="35"/>
      <c r="AE51" s="36" t="str">
        <f>IF(AD51=0,"",IFERROR(AD51/AD$87,""))</f>
        <v/>
      </c>
      <c r="AF51" s="118">
        <f t="shared" si="7"/>
        <v>0</v>
      </c>
      <c r="AG51" s="35"/>
      <c r="AH51" s="36" t="str">
        <f>IF(AG51=0,"",IFERROR(AG51/AG$87,""))</f>
        <v/>
      </c>
      <c r="AI51" s="118">
        <f t="shared" si="8"/>
        <v>0</v>
      </c>
    </row>
    <row r="52" spans="1:35" x14ac:dyDescent="0.2">
      <c r="A52" s="6" t="s">
        <v>40</v>
      </c>
      <c r="B52" s="7"/>
      <c r="H52" s="10" t="s">
        <v>315</v>
      </c>
      <c r="I52" s="25" t="e">
        <f ca="1">_xll.EVPRO($B$1,$H52,"STYLE")</f>
        <v>#NAME?</v>
      </c>
      <c r="J52" s="25" t="e">
        <f ca="1">_xll.EVPRO($B$1,$H52,"CALC")</f>
        <v>#NAME?</v>
      </c>
      <c r="K52" s="24"/>
      <c r="L52" s="24" t="e">
        <f ca="1">_xll.EVPRO($B$1,H52,"JDEID")</f>
        <v>#NAME?</v>
      </c>
      <c r="M52" s="24" t="e">
        <f ca="1">IF(AND(I52="N",J52="N"),_xll.EVPRO($B$1,H52,"PSFTID"),"")</f>
        <v>#NAME?</v>
      </c>
      <c r="N52" s="151" t="e">
        <f ca="1">IF(_xll.EVDES(H52,$B$1)="#NODATA","",_xll.EVDES(H52,$B$1))</f>
        <v>#NAME?</v>
      </c>
      <c r="O52" s="157"/>
      <c r="P52" s="157"/>
      <c r="Q52" s="157"/>
      <c r="R52" s="157"/>
      <c r="S52" s="157"/>
      <c r="T52" s="157"/>
      <c r="U52" s="157"/>
      <c r="V52" s="157"/>
      <c r="W52" s="157"/>
      <c r="X52" s="157"/>
      <c r="Y52" s="157"/>
      <c r="Z52" s="157"/>
      <c r="AA52" s="157" t="str">
        <f>IFERROR(AA49/AA51,"")</f>
        <v/>
      </c>
      <c r="AB52" s="157"/>
      <c r="AD52" s="157"/>
      <c r="AE52" s="157"/>
      <c r="AF52" s="158" t="str">
        <f t="shared" si="7"/>
        <v/>
      </c>
      <c r="AG52" s="157"/>
      <c r="AH52" s="157"/>
      <c r="AI52" s="158" t="str">
        <f t="shared" si="8"/>
        <v/>
      </c>
    </row>
    <row r="53" spans="1:35" x14ac:dyDescent="0.2">
      <c r="A53" s="6" t="s">
        <v>41</v>
      </c>
      <c r="B53" s="7"/>
      <c r="G53" s="162">
        <f>COUNTIF(O54:AI54,FALSE)</f>
        <v>0</v>
      </c>
      <c r="H53" s="10"/>
      <c r="I53" s="25"/>
      <c r="J53" s="25"/>
      <c r="K53" s="24"/>
      <c r="L53" s="24"/>
      <c r="M53" s="24"/>
      <c r="N53" s="163" t="s">
        <v>345</v>
      </c>
      <c r="O53" s="160">
        <f t="shared" ref="O53:AA53" si="9">ROUND(IFERROR(O49/O51,0),2)</f>
        <v>0</v>
      </c>
      <c r="P53" s="165">
        <f t="shared" si="9"/>
        <v>0</v>
      </c>
      <c r="Q53" s="165">
        <f t="shared" si="9"/>
        <v>0</v>
      </c>
      <c r="R53" s="165">
        <f t="shared" si="9"/>
        <v>0</v>
      </c>
      <c r="S53" s="165">
        <f t="shared" si="9"/>
        <v>0</v>
      </c>
      <c r="T53" s="165">
        <f t="shared" si="9"/>
        <v>0</v>
      </c>
      <c r="U53" s="165">
        <f t="shared" si="9"/>
        <v>0</v>
      </c>
      <c r="V53" s="165">
        <f t="shared" si="9"/>
        <v>0</v>
      </c>
      <c r="W53" s="165">
        <f t="shared" si="9"/>
        <v>0</v>
      </c>
      <c r="X53" s="165">
        <f t="shared" si="9"/>
        <v>0</v>
      </c>
      <c r="Y53" s="165">
        <f t="shared" si="9"/>
        <v>0</v>
      </c>
      <c r="Z53" s="165">
        <f t="shared" si="9"/>
        <v>0</v>
      </c>
      <c r="AA53" s="165">
        <f t="shared" si="9"/>
        <v>0</v>
      </c>
      <c r="AB53" s="164"/>
      <c r="AD53" s="160">
        <f>ROUND(IFERROR(AD49/AD51,0),2)</f>
        <v>0</v>
      </c>
      <c r="AE53" s="165"/>
      <c r="AF53" s="161"/>
      <c r="AG53" s="160">
        <f>ROUND(IFERROR(AG49/AG51,0),2)</f>
        <v>0</v>
      </c>
      <c r="AH53" s="165"/>
      <c r="AI53" s="161"/>
    </row>
    <row r="54" spans="1:35" x14ac:dyDescent="0.2">
      <c r="A54" s="6" t="s">
        <v>42</v>
      </c>
      <c r="B54" s="7"/>
      <c r="H54" s="10"/>
      <c r="I54" s="25"/>
      <c r="J54" s="25"/>
      <c r="K54" s="24"/>
      <c r="L54" s="24"/>
      <c r="M54" s="24"/>
      <c r="N54" s="8" t="s">
        <v>316</v>
      </c>
      <c r="O54" s="292" t="b">
        <f t="shared" ref="O54:AA54" si="10">ROUND(O52,2)=ROUND(O53,2)</f>
        <v>1</v>
      </c>
      <c r="P54" s="293" t="b">
        <f t="shared" si="10"/>
        <v>1</v>
      </c>
      <c r="Q54" s="293" t="b">
        <f t="shared" si="10"/>
        <v>1</v>
      </c>
      <c r="R54" s="293" t="b">
        <f t="shared" si="10"/>
        <v>1</v>
      </c>
      <c r="S54" s="293" t="b">
        <f t="shared" si="10"/>
        <v>1</v>
      </c>
      <c r="T54" s="293" t="b">
        <f t="shared" si="10"/>
        <v>1</v>
      </c>
      <c r="U54" s="293" t="b">
        <f t="shared" si="10"/>
        <v>1</v>
      </c>
      <c r="V54" s="293" t="b">
        <f t="shared" si="10"/>
        <v>1</v>
      </c>
      <c r="W54" s="293" t="b">
        <f t="shared" si="10"/>
        <v>1</v>
      </c>
      <c r="X54" s="293" t="b">
        <f t="shared" si="10"/>
        <v>1</v>
      </c>
      <c r="Y54" s="293" t="b">
        <f t="shared" si="10"/>
        <v>1</v>
      </c>
      <c r="Z54" s="293" t="b">
        <f t="shared" si="10"/>
        <v>1</v>
      </c>
      <c r="AA54" s="293" t="e">
        <f t="shared" si="10"/>
        <v>#VALUE!</v>
      </c>
      <c r="AB54" s="294"/>
      <c r="AC54" s="206"/>
      <c r="AD54" s="292"/>
      <c r="AE54" s="293" t="b">
        <f>ROUND(AD52,2)=ROUND(AD53,2)</f>
        <v>1</v>
      </c>
      <c r="AF54" s="294"/>
      <c r="AG54" s="292"/>
      <c r="AH54" s="293" t="b">
        <f>ROUND(AG52,2)=ROUND(AG53,2)</f>
        <v>1</v>
      </c>
      <c r="AI54" s="294"/>
    </row>
    <row r="55" spans="1:35" x14ac:dyDescent="0.2">
      <c r="A55" s="6" t="s">
        <v>43</v>
      </c>
      <c r="B55" s="7"/>
      <c r="H55" s="10" t="s">
        <v>262</v>
      </c>
      <c r="I55" s="25" t="e">
        <f ca="1">_xll.EVPRO($B$1,$H55,"STYLE")</f>
        <v>#NAME?</v>
      </c>
      <c r="J55" s="25" t="e">
        <f ca="1">_xll.EVPRO($B$1,$H55,"CALC")</f>
        <v>#NAME?</v>
      </c>
      <c r="K55" s="24"/>
      <c r="L55" s="24" t="e">
        <f ca="1">_xll.EVPRO($B$1,H55,"JDEID")</f>
        <v>#NAME?</v>
      </c>
      <c r="M55" s="24" t="e">
        <f ca="1">IF(AND(I55="N",J55="N"),_xll.EVPRO($B$1,H55,"PSFTID"),"")</f>
        <v>#NAME?</v>
      </c>
      <c r="N55" s="24" t="e">
        <f ca="1">IF(_xll.EVDES(H55,$B$1)="#NODATA","",_xll.EVDES(H55,$B$1))</f>
        <v>#NAME?</v>
      </c>
      <c r="O55" s="19">
        <v>0</v>
      </c>
      <c r="P55" s="19">
        <v>0</v>
      </c>
      <c r="Q55" s="19">
        <v>0</v>
      </c>
      <c r="R55" s="19">
        <v>0</v>
      </c>
      <c r="S55" s="19">
        <v>0</v>
      </c>
      <c r="T55" s="19">
        <v>0</v>
      </c>
      <c r="U55" s="19">
        <v>0</v>
      </c>
      <c r="V55" s="19">
        <v>0</v>
      </c>
      <c r="W55" s="19">
        <v>0</v>
      </c>
      <c r="X55" s="19">
        <v>0</v>
      </c>
      <c r="Y55" s="19">
        <v>-905.6</v>
      </c>
      <c r="Z55" s="19">
        <v>-1276.8</v>
      </c>
      <c r="AA55" s="19">
        <f t="shared" ref="AA55:AA61" si="11">SUM(O55:Z55)</f>
        <v>-2182.4</v>
      </c>
      <c r="AB55" s="15" t="str">
        <f ca="1">IF(AA55=0,"",IFERROR(AA55/AA$19,""))</f>
        <v/>
      </c>
      <c r="AD55" s="19"/>
      <c r="AE55" s="15" t="str">
        <f>IF(AD55=0,"",IFERROR(AD55/AD$19,""))</f>
        <v/>
      </c>
      <c r="AF55" s="47">
        <f t="shared" ref="AF55:AF62" si="12">IF(AND($AA55="",AD55=""),"",$AA55-AD55)</f>
        <v>-2182.4</v>
      </c>
      <c r="AG55" s="19">
        <v>109066.77</v>
      </c>
      <c r="AH55" s="15" t="str">
        <f t="shared" ca="1" si="3"/>
        <v/>
      </c>
      <c r="AI55" s="47">
        <f t="shared" ref="AI55:AI62" si="13">IF(AND($AA55="",AG55=""),"",$AA55-AG55)</f>
        <v>-111249.17</v>
      </c>
    </row>
    <row r="56" spans="1:35" x14ac:dyDescent="0.2">
      <c r="A56" s="6" t="s">
        <v>44</v>
      </c>
      <c r="B56" s="7"/>
      <c r="H56" s="10" t="s">
        <v>302</v>
      </c>
      <c r="I56" s="25" t="e">
        <f ca="1">_xll.EVPRO($B$1,$H56,"STYLE")</f>
        <v>#NAME?</v>
      </c>
      <c r="J56" s="25" t="e">
        <f ca="1">_xll.EVPRO($B$1,$H56,"CALC")</f>
        <v>#NAME?</v>
      </c>
      <c r="K56" s="24"/>
      <c r="L56" s="24" t="e">
        <f ca="1">_xll.EVPRO($B$1,H56,"JDEID")</f>
        <v>#NAME?</v>
      </c>
      <c r="M56" s="24" t="e">
        <f ca="1">IF(AND(I56="N",J56="N"),_xll.EVPRO($B$1,H56,"PSFTID"),"")</f>
        <v>#NAME?</v>
      </c>
      <c r="N56" s="24" t="e">
        <f ca="1">IF(_xll.EVDES(H56,$B$1)="#NODATA","",_xll.EVDES(H56,$B$1))</f>
        <v>#NAME?</v>
      </c>
      <c r="O56" s="19"/>
      <c r="P56" s="19"/>
      <c r="Q56" s="19"/>
      <c r="R56" s="19"/>
      <c r="S56" s="19"/>
      <c r="T56" s="19"/>
      <c r="U56" s="19"/>
      <c r="V56" s="19"/>
      <c r="W56" s="19"/>
      <c r="X56" s="19"/>
      <c r="Y56" s="19"/>
      <c r="Z56" s="19"/>
      <c r="AA56" s="19">
        <f t="shared" si="11"/>
        <v>0</v>
      </c>
      <c r="AB56" s="15" t="str">
        <f>IF(AA56=0,"",IFERROR(AA56/AA$19,""))</f>
        <v/>
      </c>
      <c r="AD56" s="19"/>
      <c r="AE56" s="15" t="str">
        <f>IF(AD56=0,"",IFERROR(AD56/AD$19,""))</f>
        <v/>
      </c>
      <c r="AF56" s="47">
        <f t="shared" si="12"/>
        <v>0</v>
      </c>
      <c r="AG56" s="19">
        <v>16729.2</v>
      </c>
      <c r="AH56" s="15" t="str">
        <f t="shared" ca="1" si="3"/>
        <v/>
      </c>
      <c r="AI56" s="47">
        <f t="shared" si="13"/>
        <v>-16729.2</v>
      </c>
    </row>
    <row r="57" spans="1:35" x14ac:dyDescent="0.2">
      <c r="A57" s="6" t="s">
        <v>45</v>
      </c>
      <c r="B57" s="7"/>
      <c r="H57" s="10" t="s">
        <v>306</v>
      </c>
      <c r="I57" s="25" t="e">
        <f ca="1">_xll.EVPRO($B$1,$H57,"STYLE")</f>
        <v>#NAME?</v>
      </c>
      <c r="J57" s="25" t="e">
        <f ca="1">_xll.EVPRO($B$1,$H57,"CALC")</f>
        <v>#NAME?</v>
      </c>
      <c r="K57" s="24"/>
      <c r="L57" s="24" t="e">
        <f ca="1">_xll.EVPRO($B$1,H57,"JDEID")</f>
        <v>#NAME?</v>
      </c>
      <c r="M57" s="24" t="e">
        <f ca="1">IF(AND(I57="N",J57="N"),_xll.EVPRO($B$1,H57,"PSFTID"),"")</f>
        <v>#NAME?</v>
      </c>
      <c r="N57" s="24" t="e">
        <f ca="1">IF(_xll.EVDES(H57,$B$1)="#NODATA","",_xll.EVDES(H57,$B$1))</f>
        <v>#NAME?</v>
      </c>
      <c r="O57" s="19"/>
      <c r="P57" s="19"/>
      <c r="Q57" s="19"/>
      <c r="R57" s="19"/>
      <c r="S57" s="19"/>
      <c r="T57" s="19"/>
      <c r="U57" s="19"/>
      <c r="V57" s="19"/>
      <c r="W57" s="19"/>
      <c r="X57" s="19"/>
      <c r="Y57" s="19"/>
      <c r="Z57" s="19"/>
      <c r="AA57" s="19">
        <f t="shared" si="11"/>
        <v>0</v>
      </c>
      <c r="AB57" s="15" t="str">
        <f>IF(AA57=0,"",IFERROR(AA57/AA$19,""))</f>
        <v/>
      </c>
      <c r="AD57" s="19"/>
      <c r="AE57" s="15" t="str">
        <f>IF(AD57=0,"",IFERROR(AD57/AD$19,""))</f>
        <v/>
      </c>
      <c r="AF57" s="47">
        <f t="shared" si="12"/>
        <v>0</v>
      </c>
      <c r="AG57" s="19">
        <v>3002.12</v>
      </c>
      <c r="AH57" s="15" t="str">
        <f t="shared" ca="1" si="3"/>
        <v/>
      </c>
      <c r="AI57" s="47">
        <f t="shared" si="13"/>
        <v>-3002.12</v>
      </c>
    </row>
    <row r="58" spans="1:35" x14ac:dyDescent="0.2">
      <c r="A58" s="6" t="s">
        <v>46</v>
      </c>
      <c r="B58" s="7"/>
      <c r="H58" s="10" t="s">
        <v>304</v>
      </c>
      <c r="I58" s="25" t="e">
        <f ca="1">_xll.EVPRO($B$1,$H58,"STYLE")</f>
        <v>#NAME?</v>
      </c>
      <c r="J58" s="25" t="e">
        <f ca="1">_xll.EVPRO($B$1,$H58,"CALC")</f>
        <v>#NAME?</v>
      </c>
      <c r="K58" s="24"/>
      <c r="L58" s="24" t="e">
        <f ca="1">_xll.EVPRO($B$1,H58,"JDEID")</f>
        <v>#NAME?</v>
      </c>
      <c r="M58" s="24" t="e">
        <f ca="1">IF(AND(I58="N",J58="N"),_xll.EVPRO($B$1,H58,"PSFTID"),"")</f>
        <v>#NAME?</v>
      </c>
      <c r="N58" s="24" t="e">
        <f ca="1">IF(_xll.EVDES(H58,$B$1)="#NODATA","",_xll.EVDES(H58,$B$1))</f>
        <v>#NAME?</v>
      </c>
      <c r="O58" s="28"/>
      <c r="P58" s="28"/>
      <c r="Q58" s="28"/>
      <c r="R58" s="28"/>
      <c r="S58" s="28"/>
      <c r="T58" s="28"/>
      <c r="U58" s="28"/>
      <c r="V58" s="28"/>
      <c r="W58" s="28"/>
      <c r="X58" s="28"/>
      <c r="Y58" s="28"/>
      <c r="Z58" s="28"/>
      <c r="AA58" s="28">
        <f t="shared" si="11"/>
        <v>0</v>
      </c>
      <c r="AB58" s="29" t="str">
        <f>IF(AA58=0,"",IFERROR(AA58/AA$19,""))</f>
        <v/>
      </c>
      <c r="AD58" s="28"/>
      <c r="AE58" s="29" t="str">
        <f>IF(AD58=0,"",IFERROR(AD58/AD$19,""))</f>
        <v/>
      </c>
      <c r="AF58" s="48">
        <f t="shared" si="12"/>
        <v>0</v>
      </c>
      <c r="AG58" s="28">
        <v>13467.11</v>
      </c>
      <c r="AH58" s="29" t="str">
        <f t="shared" ca="1" si="3"/>
        <v/>
      </c>
      <c r="AI58" s="48">
        <f t="shared" si="13"/>
        <v>-13467.11</v>
      </c>
    </row>
    <row r="59" spans="1:35" x14ac:dyDescent="0.2">
      <c r="H59" s="10" t="s">
        <v>320</v>
      </c>
      <c r="I59" s="25" t="e">
        <f ca="1">_xll.EVPRO($B$1,$H59,"STYLE")</f>
        <v>#NAME?</v>
      </c>
      <c r="J59" s="25" t="e">
        <f ca="1">_xll.EVPRO($B$1,$H59,"CALC")</f>
        <v>#NAME?</v>
      </c>
      <c r="K59" s="24"/>
      <c r="L59" s="24" t="e">
        <f ca="1">_xll.EVPRO($B$1,H59,"JDEID")</f>
        <v>#NAME?</v>
      </c>
      <c r="M59" s="24" t="e">
        <f ca="1">IF(AND(I59="N",J59="N"),_xll.EVPRO($B$1,H59,"PSFTID"),"")</f>
        <v>#NAME?</v>
      </c>
      <c r="N59" s="23" t="e">
        <f ca="1">IF(_xll.EVDES(H59,$B$1)="#NODATA","",_xll.EVDES(H59,$B$1))</f>
        <v>#NAME?</v>
      </c>
      <c r="O59" s="145">
        <v>0</v>
      </c>
      <c r="P59" s="145">
        <v>0</v>
      </c>
      <c r="Q59" s="145">
        <v>0</v>
      </c>
      <c r="R59" s="145">
        <v>0</v>
      </c>
      <c r="S59" s="145">
        <v>0</v>
      </c>
      <c r="T59" s="145">
        <v>0</v>
      </c>
      <c r="U59" s="145">
        <v>0</v>
      </c>
      <c r="V59" s="145">
        <v>0</v>
      </c>
      <c r="W59" s="145">
        <v>0</v>
      </c>
      <c r="X59" s="145">
        <v>0</v>
      </c>
      <c r="Y59" s="145">
        <v>-905.6</v>
      </c>
      <c r="Z59" s="145">
        <v>-1276.8</v>
      </c>
      <c r="AA59" s="145">
        <f t="shared" si="11"/>
        <v>-2182.4</v>
      </c>
      <c r="AB59" s="156" t="str">
        <f ca="1">IF(AA59=0,"",IFERROR(AA59/AA$19,""))</f>
        <v/>
      </c>
      <c r="AD59" s="145"/>
      <c r="AE59" s="156" t="str">
        <f>IF(AD59=0,"",IFERROR(AD59/AD$19,""))</f>
        <v/>
      </c>
      <c r="AF59" s="146">
        <f t="shared" si="12"/>
        <v>-2182.4</v>
      </c>
      <c r="AG59" s="145">
        <v>142265.20000000001</v>
      </c>
      <c r="AH59" s="156" t="str">
        <f t="shared" ca="1" si="3"/>
        <v/>
      </c>
      <c r="AI59" s="146">
        <f t="shared" si="13"/>
        <v>-144447.6</v>
      </c>
    </row>
    <row r="60" spans="1:35" x14ac:dyDescent="0.2">
      <c r="H60" s="10" t="s">
        <v>765</v>
      </c>
      <c r="I60" s="25" t="e">
        <f ca="1">_xll.EVPRO($B$1,$H60,"STYLE")</f>
        <v>#NAME?</v>
      </c>
      <c r="J60" s="25" t="e">
        <f ca="1">_xll.EVPRO($B$1,$H60,"CALC")</f>
        <v>#NAME?</v>
      </c>
      <c r="K60" s="24"/>
      <c r="L60" s="24" t="e">
        <f ca="1">_xll.EVPRO($B$1,H60,"JDEID")</f>
        <v>#NAME?</v>
      </c>
      <c r="M60" s="24" t="e">
        <f ca="1">IF(AND(I60="N",J60="N"),_xll.EVPRO($B$1,H60,"PSFTID"),"")</f>
        <v>#NAME?</v>
      </c>
      <c r="N60" s="24" t="e">
        <f ca="1">IF(_xll.EVDES(H60,$B$1)="#NODATA","",_xll.EVDES(H60,$B$1))</f>
        <v>#NAME?</v>
      </c>
      <c r="O60" s="35"/>
      <c r="P60" s="35"/>
      <c r="Q60" s="35"/>
      <c r="R60" s="35"/>
      <c r="S60" s="35"/>
      <c r="T60" s="35"/>
      <c r="U60" s="35"/>
      <c r="V60" s="35"/>
      <c r="W60" s="35"/>
      <c r="X60" s="35"/>
      <c r="Y60" s="35"/>
      <c r="Z60" s="35"/>
      <c r="AA60" s="35">
        <f t="shared" si="11"/>
        <v>0</v>
      </c>
      <c r="AB60" s="36"/>
      <c r="AD60" s="35"/>
      <c r="AE60" s="36"/>
      <c r="AF60" s="118">
        <f t="shared" si="12"/>
        <v>0</v>
      </c>
      <c r="AG60" s="35">
        <v>98</v>
      </c>
      <c r="AH60" s="36"/>
      <c r="AI60" s="118">
        <f t="shared" si="13"/>
        <v>-98</v>
      </c>
    </row>
    <row r="61" spans="1:35" x14ac:dyDescent="0.2">
      <c r="H61" s="10" t="s">
        <v>299</v>
      </c>
      <c r="I61" s="25" t="e">
        <f ca="1">_xll.EVPRO($B$1,$H61,"STYLE")</f>
        <v>#NAME?</v>
      </c>
      <c r="J61" s="25" t="e">
        <f ca="1">_xll.EVPRO($B$1,$H61,"CALC")</f>
        <v>#NAME?</v>
      </c>
      <c r="K61" s="24"/>
      <c r="L61" s="24" t="e">
        <f ca="1">_xll.EVPRO($B$1,H61,"JDEID")</f>
        <v>#NAME?</v>
      </c>
      <c r="M61" s="24" t="e">
        <f ca="1">IF(AND(I61="N",J61="N"),_xll.EVPRO($B$1,H61,"PSFTID"),"")</f>
        <v>#NAME?</v>
      </c>
      <c r="N61" s="24" t="e">
        <f ca="1">IF(_xll.EVDES(H61,$B$1)="#NODATA","",_xll.EVDES(H61,$B$1))</f>
        <v>#NAME?</v>
      </c>
      <c r="O61" s="35"/>
      <c r="P61" s="35"/>
      <c r="Q61" s="35"/>
      <c r="R61" s="35"/>
      <c r="S61" s="35"/>
      <c r="T61" s="35"/>
      <c r="U61" s="35"/>
      <c r="V61" s="35"/>
      <c r="W61" s="35"/>
      <c r="X61" s="35"/>
      <c r="Y61" s="35"/>
      <c r="Z61" s="35"/>
      <c r="AA61" s="35">
        <f t="shared" si="11"/>
        <v>0</v>
      </c>
      <c r="AB61" s="36" t="str">
        <f>IF(AA61=0,"",IFERROR(AA61/AA$87,""))</f>
        <v/>
      </c>
      <c r="AD61" s="35"/>
      <c r="AE61" s="36" t="str">
        <f>IF(AD61=0,"",IFERROR(AD61/AD$87,""))</f>
        <v/>
      </c>
      <c r="AF61" s="118">
        <f t="shared" si="12"/>
        <v>0</v>
      </c>
      <c r="AG61" s="35">
        <v>3014</v>
      </c>
      <c r="AH61" s="36">
        <f>IF(AG61=0,"",IFERROR(AG61/AG$87,""))</f>
        <v>0.14516905885752818</v>
      </c>
      <c r="AI61" s="118">
        <f t="shared" si="13"/>
        <v>-3014</v>
      </c>
    </row>
    <row r="62" spans="1:35" x14ac:dyDescent="0.2">
      <c r="H62" s="133" t="s">
        <v>317</v>
      </c>
      <c r="I62" s="25" t="e">
        <f ca="1">_xll.EVPRO($B$1,$H62,"STYLE")</f>
        <v>#NAME?</v>
      </c>
      <c r="J62" s="25" t="e">
        <f ca="1">_xll.EVPRO($B$1,$H62,"CALC")</f>
        <v>#NAME?</v>
      </c>
      <c r="K62" s="24"/>
      <c r="L62" s="24" t="e">
        <f ca="1">_xll.EVPRO($B$1,H62,"JDEID")</f>
        <v>#NAME?</v>
      </c>
      <c r="M62" s="24" t="e">
        <f ca="1">IF(AND(I62="N",J62="N"),_xll.EVPRO($B$1,H62,"PSFTID"),"")</f>
        <v>#NAME?</v>
      </c>
      <c r="N62" s="151" t="e">
        <f ca="1">IF(_xll.EVDES(H62,$B$1)="#NODATA","",_xll.EVDES(H62,$B$1))</f>
        <v>#NAME?</v>
      </c>
      <c r="O62" s="157"/>
      <c r="P62" s="157"/>
      <c r="Q62" s="157"/>
      <c r="R62" s="157"/>
      <c r="S62" s="157"/>
      <c r="T62" s="157"/>
      <c r="U62" s="157"/>
      <c r="V62" s="157"/>
      <c r="W62" s="157"/>
      <c r="X62" s="157"/>
      <c r="Y62" s="157"/>
      <c r="Z62" s="157"/>
      <c r="AA62" s="157" t="str">
        <f>IFERROR(AA59/AA61,"")</f>
        <v/>
      </c>
      <c r="AB62" s="157"/>
      <c r="AD62" s="157"/>
      <c r="AE62" s="157"/>
      <c r="AF62" s="158" t="str">
        <f t="shared" si="12"/>
        <v/>
      </c>
      <c r="AG62" s="157">
        <v>47.201459854014601</v>
      </c>
      <c r="AH62" s="157"/>
      <c r="AI62" s="158" t="e">
        <f t="shared" si="13"/>
        <v>#VALUE!</v>
      </c>
    </row>
    <row r="63" spans="1:35" x14ac:dyDescent="0.2">
      <c r="G63" s="162">
        <f>COUNTIF(O64:AI64,FALSE)</f>
        <v>0</v>
      </c>
      <c r="H63" s="10"/>
      <c r="I63" s="25"/>
      <c r="J63" s="25"/>
      <c r="K63" s="24"/>
      <c r="L63" s="24"/>
      <c r="M63" s="24"/>
      <c r="N63" s="163" t="s">
        <v>345</v>
      </c>
      <c r="O63" s="160">
        <f t="shared" ref="O63:AA63" si="14">ROUND(IFERROR(O59/O61,0),2)</f>
        <v>0</v>
      </c>
      <c r="P63" s="165">
        <f t="shared" si="14"/>
        <v>0</v>
      </c>
      <c r="Q63" s="165">
        <f t="shared" si="14"/>
        <v>0</v>
      </c>
      <c r="R63" s="165">
        <f t="shared" si="14"/>
        <v>0</v>
      </c>
      <c r="S63" s="165">
        <f t="shared" si="14"/>
        <v>0</v>
      </c>
      <c r="T63" s="165">
        <f t="shared" si="14"/>
        <v>0</v>
      </c>
      <c r="U63" s="165">
        <f t="shared" si="14"/>
        <v>0</v>
      </c>
      <c r="V63" s="165">
        <f t="shared" si="14"/>
        <v>0</v>
      </c>
      <c r="W63" s="165">
        <f t="shared" si="14"/>
        <v>0</v>
      </c>
      <c r="X63" s="165">
        <f t="shared" si="14"/>
        <v>0</v>
      </c>
      <c r="Y63" s="165">
        <f t="shared" si="14"/>
        <v>0</v>
      </c>
      <c r="Z63" s="165">
        <f t="shared" si="14"/>
        <v>0</v>
      </c>
      <c r="AA63" s="165">
        <f t="shared" si="14"/>
        <v>0</v>
      </c>
      <c r="AB63" s="164"/>
      <c r="AD63" s="160">
        <f>ROUND(IFERROR(AD59/AD61,0),2)</f>
        <v>0</v>
      </c>
      <c r="AE63" s="165"/>
      <c r="AF63" s="161"/>
      <c r="AG63" s="160">
        <f>ROUND(IFERROR(AG59/AG61,0),2)</f>
        <v>47.2</v>
      </c>
      <c r="AH63" s="165"/>
      <c r="AI63" s="161"/>
    </row>
    <row r="64" spans="1:35" x14ac:dyDescent="0.2">
      <c r="H64" s="133"/>
      <c r="I64" s="25"/>
      <c r="J64" s="25"/>
      <c r="K64" s="24"/>
      <c r="L64" s="24"/>
      <c r="M64" s="24"/>
      <c r="N64" s="8" t="s">
        <v>307</v>
      </c>
      <c r="O64" s="292" t="b">
        <f t="shared" ref="O64:AA64" si="15">ROUND(O62,2)=ROUND(O63,2)</f>
        <v>1</v>
      </c>
      <c r="P64" s="293" t="b">
        <f t="shared" si="15"/>
        <v>1</v>
      </c>
      <c r="Q64" s="293" t="b">
        <f t="shared" si="15"/>
        <v>1</v>
      </c>
      <c r="R64" s="293" t="b">
        <f t="shared" si="15"/>
        <v>1</v>
      </c>
      <c r="S64" s="293" t="b">
        <f t="shared" si="15"/>
        <v>1</v>
      </c>
      <c r="T64" s="293" t="b">
        <f t="shared" si="15"/>
        <v>1</v>
      </c>
      <c r="U64" s="293" t="b">
        <f t="shared" si="15"/>
        <v>1</v>
      </c>
      <c r="V64" s="293" t="b">
        <f t="shared" si="15"/>
        <v>1</v>
      </c>
      <c r="W64" s="293" t="b">
        <f t="shared" si="15"/>
        <v>1</v>
      </c>
      <c r="X64" s="293" t="b">
        <f t="shared" si="15"/>
        <v>1</v>
      </c>
      <c r="Y64" s="293" t="b">
        <f t="shared" si="15"/>
        <v>1</v>
      </c>
      <c r="Z64" s="293" t="b">
        <f t="shared" si="15"/>
        <v>1</v>
      </c>
      <c r="AA64" s="293" t="e">
        <f t="shared" si="15"/>
        <v>#VALUE!</v>
      </c>
      <c r="AB64" s="294"/>
      <c r="AC64" s="206"/>
      <c r="AD64" s="292"/>
      <c r="AE64" s="293" t="b">
        <f>ROUND(AD62,2)=ROUND(AD63,2)</f>
        <v>1</v>
      </c>
      <c r="AF64" s="294"/>
      <c r="AG64" s="292"/>
      <c r="AH64" s="293" t="b">
        <f>ROUND(AG62,2)=ROUND(AG63,2)</f>
        <v>1</v>
      </c>
      <c r="AI64" s="294"/>
    </row>
    <row r="65" spans="3:35" x14ac:dyDescent="0.2">
      <c r="H65" s="133" t="s">
        <v>263</v>
      </c>
      <c r="I65" s="25" t="e">
        <f ca="1">_xll.EVPRO($B$1,$H65,"STYLE")</f>
        <v>#NAME?</v>
      </c>
      <c r="J65" s="25" t="e">
        <f ca="1">_xll.EVPRO($B$1,$H65,"CALC")</f>
        <v>#NAME?</v>
      </c>
      <c r="K65" s="24"/>
      <c r="L65" s="24" t="e">
        <f ca="1">_xll.EVPRO($B$1,H65,"JDEID")</f>
        <v>#NAME?</v>
      </c>
      <c r="M65" s="24" t="e">
        <f ca="1">IF(AND(I65="N",J65="N"),_xll.EVPRO($B$1,H65,"PSFTID"),"")</f>
        <v>#NAME?</v>
      </c>
      <c r="N65" s="24" t="e">
        <f ca="1">IF(_xll.EVDES(H65,$B$1)="#NODATA","",_xll.EVDES(H65,$B$1))</f>
        <v>#NAME?</v>
      </c>
      <c r="O65" s="19"/>
      <c r="P65" s="19"/>
      <c r="Q65" s="19"/>
      <c r="R65" s="19"/>
      <c r="S65" s="19"/>
      <c r="T65" s="19"/>
      <c r="U65" s="19"/>
      <c r="V65" s="19"/>
      <c r="W65" s="19"/>
      <c r="X65" s="19"/>
      <c r="Y65" s="19"/>
      <c r="Z65" s="19"/>
      <c r="AA65" s="19">
        <f t="shared" ref="AA65:AA71" si="16">SUM(O65:Z65)</f>
        <v>0</v>
      </c>
      <c r="AB65" s="15" t="str">
        <f>IF(AA65=0,"",IFERROR(AA65/AA$19,""))</f>
        <v/>
      </c>
      <c r="AD65" s="19"/>
      <c r="AE65" s="15" t="str">
        <f>IF(AD65=0,"",IFERROR(AD65/AD$19,""))</f>
        <v/>
      </c>
      <c r="AF65" s="47">
        <f t="shared" ref="AF65:AF72" si="17">IF(AND($AA65="",AD65=""),"",$AA65-AD65)</f>
        <v>0</v>
      </c>
      <c r="AG65" s="19"/>
      <c r="AH65" s="15" t="str">
        <f t="shared" si="3"/>
        <v/>
      </c>
      <c r="AI65" s="47">
        <f t="shared" ref="AI65:AI72" si="18">IF(AND($AA65="",AG65=""),"",$AA65-AG65)</f>
        <v>0</v>
      </c>
    </row>
    <row r="66" spans="3:35" x14ac:dyDescent="0.2">
      <c r="H66" s="133" t="s">
        <v>308</v>
      </c>
      <c r="I66" s="25" t="e">
        <f ca="1">_xll.EVPRO($B$1,$H66,"STYLE")</f>
        <v>#NAME?</v>
      </c>
      <c r="J66" s="25" t="e">
        <f ca="1">_xll.EVPRO($B$1,$H66,"CALC")</f>
        <v>#NAME?</v>
      </c>
      <c r="K66" s="24"/>
      <c r="L66" s="24" t="e">
        <f ca="1">_xll.EVPRO($B$1,H66,"JDEID")</f>
        <v>#NAME?</v>
      </c>
      <c r="M66" s="24" t="e">
        <f ca="1">IF(AND(I66="N",J66="N"),_xll.EVPRO($B$1,H66,"PSFTID"),"")</f>
        <v>#NAME?</v>
      </c>
      <c r="N66" s="24" t="e">
        <f ca="1">IF(_xll.EVDES(H66,$B$1)="#NODATA","",_xll.EVDES(H66,$B$1))</f>
        <v>#NAME?</v>
      </c>
      <c r="O66" s="19"/>
      <c r="P66" s="19"/>
      <c r="Q66" s="19"/>
      <c r="R66" s="19"/>
      <c r="S66" s="19"/>
      <c r="T66" s="19"/>
      <c r="U66" s="19"/>
      <c r="V66" s="19"/>
      <c r="W66" s="19"/>
      <c r="X66" s="19"/>
      <c r="Y66" s="19"/>
      <c r="Z66" s="19"/>
      <c r="AA66" s="19">
        <f t="shared" si="16"/>
        <v>0</v>
      </c>
      <c r="AB66" s="15" t="str">
        <f>IF(AA66=0,"",IFERROR(AA66/AA$19,""))</f>
        <v/>
      </c>
      <c r="AD66" s="19"/>
      <c r="AE66" s="15" t="str">
        <f>IF(AD66=0,"",IFERROR(AD66/AD$19,""))</f>
        <v/>
      </c>
      <c r="AF66" s="47">
        <f t="shared" si="17"/>
        <v>0</v>
      </c>
      <c r="AG66" s="19"/>
      <c r="AH66" s="15" t="str">
        <f t="shared" si="3"/>
        <v/>
      </c>
      <c r="AI66" s="47">
        <f t="shared" si="18"/>
        <v>0</v>
      </c>
    </row>
    <row r="67" spans="3:35" x14ac:dyDescent="0.2">
      <c r="H67" s="133" t="s">
        <v>310</v>
      </c>
      <c r="I67" s="25" t="e">
        <f ca="1">_xll.EVPRO($B$1,$H67,"STYLE")</f>
        <v>#NAME?</v>
      </c>
      <c r="J67" s="25" t="e">
        <f ca="1">_xll.EVPRO($B$1,$H67,"CALC")</f>
        <v>#NAME?</v>
      </c>
      <c r="K67" s="24"/>
      <c r="L67" s="24" t="e">
        <f ca="1">_xll.EVPRO($B$1,H67,"JDEID")</f>
        <v>#NAME?</v>
      </c>
      <c r="M67" s="24" t="e">
        <f ca="1">IF(AND(I67="N",J67="N"),_xll.EVPRO($B$1,H67,"PSFTID"),"")</f>
        <v>#NAME?</v>
      </c>
      <c r="N67" s="24" t="e">
        <f ca="1">IF(_xll.EVDES(H67,$B$1)="#NODATA","",_xll.EVDES(H67,$B$1))</f>
        <v>#NAME?</v>
      </c>
      <c r="O67" s="19"/>
      <c r="P67" s="19"/>
      <c r="Q67" s="19"/>
      <c r="R67" s="19"/>
      <c r="S67" s="19"/>
      <c r="T67" s="19"/>
      <c r="U67" s="19"/>
      <c r="V67" s="19"/>
      <c r="W67" s="19"/>
      <c r="X67" s="19"/>
      <c r="Y67" s="19"/>
      <c r="Z67" s="19"/>
      <c r="AA67" s="19">
        <f t="shared" si="16"/>
        <v>0</v>
      </c>
      <c r="AB67" s="15" t="str">
        <f>IF(AA67=0,"",IFERROR(AA67/AA$19,""))</f>
        <v/>
      </c>
      <c r="AD67" s="19"/>
      <c r="AE67" s="15" t="str">
        <f>IF(AD67=0,"",IFERROR(AD67/AD$19,""))</f>
        <v/>
      </c>
      <c r="AF67" s="47">
        <f t="shared" si="17"/>
        <v>0</v>
      </c>
      <c r="AG67" s="19"/>
      <c r="AH67" s="15" t="str">
        <f t="shared" si="3"/>
        <v/>
      </c>
      <c r="AI67" s="47">
        <f t="shared" si="18"/>
        <v>0</v>
      </c>
    </row>
    <row r="68" spans="3:35" x14ac:dyDescent="0.2">
      <c r="H68" s="133" t="s">
        <v>309</v>
      </c>
      <c r="I68" s="25" t="e">
        <f ca="1">_xll.EVPRO($B$1,$H68,"STYLE")</f>
        <v>#NAME?</v>
      </c>
      <c r="J68" s="25" t="e">
        <f ca="1">_xll.EVPRO($B$1,$H68,"CALC")</f>
        <v>#NAME?</v>
      </c>
      <c r="K68" s="24"/>
      <c r="L68" s="24" t="e">
        <f ca="1">_xll.EVPRO($B$1,H68,"JDEID")</f>
        <v>#NAME?</v>
      </c>
      <c r="M68" s="24" t="e">
        <f ca="1">IF(AND(I68="N",J68="N"),_xll.EVPRO($B$1,H68,"PSFTID"),"")</f>
        <v>#NAME?</v>
      </c>
      <c r="N68" s="24" t="e">
        <f ca="1">IF(_xll.EVDES(H68,$B$1)="#NODATA","",_xll.EVDES(H68,$B$1))</f>
        <v>#NAME?</v>
      </c>
      <c r="O68" s="28"/>
      <c r="P68" s="28"/>
      <c r="Q68" s="28"/>
      <c r="R68" s="28"/>
      <c r="S68" s="28"/>
      <c r="T68" s="28"/>
      <c r="U68" s="28"/>
      <c r="V68" s="28"/>
      <c r="W68" s="28"/>
      <c r="X68" s="28"/>
      <c r="Y68" s="28"/>
      <c r="Z68" s="28"/>
      <c r="AA68" s="28">
        <f t="shared" si="16"/>
        <v>0</v>
      </c>
      <c r="AB68" s="29" t="str">
        <f>IF(AA68=0,"",IFERROR(AA68/AA$19,""))</f>
        <v/>
      </c>
      <c r="AD68" s="28"/>
      <c r="AE68" s="29" t="str">
        <f>IF(AD68=0,"",IFERROR(AD68/AD$19,""))</f>
        <v/>
      </c>
      <c r="AF68" s="48">
        <f t="shared" si="17"/>
        <v>0</v>
      </c>
      <c r="AG68" s="28"/>
      <c r="AH68" s="29" t="str">
        <f t="shared" si="3"/>
        <v/>
      </c>
      <c r="AI68" s="48">
        <f t="shared" si="18"/>
        <v>0</v>
      </c>
    </row>
    <row r="69" spans="3:35" x14ac:dyDescent="0.2">
      <c r="H69" s="133" t="s">
        <v>327</v>
      </c>
      <c r="I69" s="25" t="e">
        <f ca="1">_xll.EVPRO($B$1,$H69,"STYLE")</f>
        <v>#NAME?</v>
      </c>
      <c r="J69" s="25" t="e">
        <f ca="1">_xll.EVPRO($B$1,$H69,"CALC")</f>
        <v>#NAME?</v>
      </c>
      <c r="K69" s="24"/>
      <c r="L69" s="24" t="e">
        <f ca="1">_xll.EVPRO($B$1,H69,"JDEID")</f>
        <v>#NAME?</v>
      </c>
      <c r="M69" s="24" t="e">
        <f ca="1">IF(AND(I69="N",J69="N"),_xll.EVPRO($B$1,H69,"PSFTID"),"")</f>
        <v>#NAME?</v>
      </c>
      <c r="N69" s="23" t="e">
        <f ca="1">IF(_xll.EVDES(H69,$B$1)="#NODATA","",_xll.EVDES(H69,$B$1))</f>
        <v>#NAME?</v>
      </c>
      <c r="O69" s="145"/>
      <c r="P69" s="145"/>
      <c r="Q69" s="145"/>
      <c r="R69" s="145"/>
      <c r="S69" s="145"/>
      <c r="T69" s="145"/>
      <c r="U69" s="145"/>
      <c r="V69" s="145"/>
      <c r="W69" s="145"/>
      <c r="X69" s="145"/>
      <c r="Y69" s="145"/>
      <c r="Z69" s="145"/>
      <c r="AA69" s="145">
        <f t="shared" si="16"/>
        <v>0</v>
      </c>
      <c r="AB69" s="156" t="str">
        <f>IF(AA69=0,"",IFERROR(AA69/AA$19,""))</f>
        <v/>
      </c>
      <c r="AD69" s="145"/>
      <c r="AE69" s="156" t="str">
        <f>IF(AD69=0,"",IFERROR(AD69/AD$19,""))</f>
        <v/>
      </c>
      <c r="AF69" s="146">
        <f t="shared" si="17"/>
        <v>0</v>
      </c>
      <c r="AG69" s="145"/>
      <c r="AH69" s="156" t="str">
        <f t="shared" si="3"/>
        <v/>
      </c>
      <c r="AI69" s="146">
        <f t="shared" si="18"/>
        <v>0</v>
      </c>
    </row>
    <row r="70" spans="3:35" x14ac:dyDescent="0.2">
      <c r="H70" s="133" t="s">
        <v>766</v>
      </c>
      <c r="I70" s="25" t="e">
        <f ca="1">_xll.EVPRO($B$1,$H70,"STYLE")</f>
        <v>#NAME?</v>
      </c>
      <c r="J70" s="25" t="e">
        <f ca="1">_xll.EVPRO($B$1,$H70,"CALC")</f>
        <v>#NAME?</v>
      </c>
      <c r="K70" s="24"/>
      <c r="L70" s="24" t="e">
        <f ca="1">_xll.EVPRO($B$1,H70,"JDEID")</f>
        <v>#NAME?</v>
      </c>
      <c r="M70" s="24" t="e">
        <f ca="1">IF(AND(I70="N",J70="N"),_xll.EVPRO($B$1,H70,"PSFTID"),"")</f>
        <v>#NAME?</v>
      </c>
      <c r="N70" s="24" t="e">
        <f ca="1">IF(_xll.EVDES(H70,$B$1)="#NODATA","",_xll.EVDES(H70,$B$1))</f>
        <v>#NAME?</v>
      </c>
      <c r="O70" s="35"/>
      <c r="P70" s="35"/>
      <c r="Q70" s="35"/>
      <c r="R70" s="35"/>
      <c r="S70" s="35"/>
      <c r="T70" s="35"/>
      <c r="U70" s="35"/>
      <c r="V70" s="35"/>
      <c r="W70" s="35"/>
      <c r="X70" s="35"/>
      <c r="Y70" s="35"/>
      <c r="Z70" s="35"/>
      <c r="AA70" s="35">
        <f t="shared" si="16"/>
        <v>0</v>
      </c>
      <c r="AB70" s="36"/>
      <c r="AD70" s="35"/>
      <c r="AE70" s="36"/>
      <c r="AF70" s="118">
        <f t="shared" si="17"/>
        <v>0</v>
      </c>
      <c r="AG70" s="35"/>
      <c r="AH70" s="36"/>
      <c r="AI70" s="118">
        <f t="shared" si="18"/>
        <v>0</v>
      </c>
    </row>
    <row r="71" spans="3:35" x14ac:dyDescent="0.2">
      <c r="H71" s="133" t="s">
        <v>326</v>
      </c>
      <c r="I71" s="25" t="e">
        <f ca="1">_xll.EVPRO($B$1,$H71,"STYLE")</f>
        <v>#NAME?</v>
      </c>
      <c r="J71" s="25" t="e">
        <f ca="1">_xll.EVPRO($B$1,$H71,"CALC")</f>
        <v>#NAME?</v>
      </c>
      <c r="K71" s="24"/>
      <c r="L71" s="24" t="e">
        <f ca="1">_xll.EVPRO($B$1,H71,"JDEID")</f>
        <v>#NAME?</v>
      </c>
      <c r="M71" s="24" t="e">
        <f ca="1">IF(AND(I71="N",J71="N"),_xll.EVPRO($B$1,H71,"PSFTID"),"")</f>
        <v>#NAME?</v>
      </c>
      <c r="N71" s="24" t="e">
        <f ca="1">IF(_xll.EVDES(H71,$B$1)="#NODATA","",_xll.EVDES(H71,$B$1))</f>
        <v>#NAME?</v>
      </c>
      <c r="O71" s="35"/>
      <c r="P71" s="35"/>
      <c r="Q71" s="35"/>
      <c r="R71" s="35"/>
      <c r="S71" s="35"/>
      <c r="T71" s="35"/>
      <c r="U71" s="35"/>
      <c r="V71" s="35"/>
      <c r="W71" s="35"/>
      <c r="X71" s="35"/>
      <c r="Y71" s="35"/>
      <c r="Z71" s="35"/>
      <c r="AA71" s="35">
        <f t="shared" si="16"/>
        <v>0</v>
      </c>
      <c r="AB71" s="36" t="str">
        <f>IF(AA71=0,"",IFERROR(AA71/AA$87,""))</f>
        <v/>
      </c>
      <c r="AD71" s="35"/>
      <c r="AE71" s="36" t="str">
        <f>IF(AD71=0,"",IFERROR(AD71/AD$87,""))</f>
        <v/>
      </c>
      <c r="AF71" s="118">
        <f t="shared" si="17"/>
        <v>0</v>
      </c>
      <c r="AG71" s="35"/>
      <c r="AH71" s="36" t="str">
        <f>IF(AG71=0,"",IFERROR(AG71/AG$87,""))</f>
        <v/>
      </c>
      <c r="AI71" s="118">
        <f t="shared" si="18"/>
        <v>0</v>
      </c>
    </row>
    <row r="72" spans="3:35" x14ac:dyDescent="0.2">
      <c r="H72" s="133" t="s">
        <v>328</v>
      </c>
      <c r="I72" s="25" t="e">
        <f ca="1">_xll.EVPRO($B$1,$H72,"STYLE")</f>
        <v>#NAME?</v>
      </c>
      <c r="J72" s="25" t="e">
        <f ca="1">_xll.EVPRO($B$1,$H72,"CALC")</f>
        <v>#NAME?</v>
      </c>
      <c r="K72" s="24"/>
      <c r="L72" s="24" t="e">
        <f ca="1">_xll.EVPRO($B$1,H72,"JDEID")</f>
        <v>#NAME?</v>
      </c>
      <c r="M72" s="24" t="e">
        <f ca="1">IF(AND(I72="N",J72="N"),_xll.EVPRO($B$1,H72,"PSFTID"),"")</f>
        <v>#NAME?</v>
      </c>
      <c r="N72" s="151" t="e">
        <f ca="1">IF(_xll.EVDES(H72,$B$1)="#NODATA","",_xll.EVDES(H72,$B$1))</f>
        <v>#NAME?</v>
      </c>
      <c r="O72" s="157"/>
      <c r="P72" s="157"/>
      <c r="Q72" s="157"/>
      <c r="R72" s="157"/>
      <c r="S72" s="157"/>
      <c r="T72" s="157"/>
      <c r="U72" s="157"/>
      <c r="V72" s="157"/>
      <c r="W72" s="157"/>
      <c r="X72" s="157"/>
      <c r="Y72" s="157"/>
      <c r="Z72" s="157"/>
      <c r="AA72" s="157" t="str">
        <f>IFERROR(AA69/AA71,"")</f>
        <v/>
      </c>
      <c r="AB72" s="157"/>
      <c r="AD72" s="157"/>
      <c r="AE72" s="157"/>
      <c r="AF72" s="158" t="str">
        <f t="shared" si="17"/>
        <v/>
      </c>
      <c r="AG72" s="157"/>
      <c r="AH72" s="157"/>
      <c r="AI72" s="158" t="str">
        <f t="shared" si="18"/>
        <v/>
      </c>
    </row>
    <row r="73" spans="3:35" x14ac:dyDescent="0.2">
      <c r="G73" s="162">
        <f>COUNTIF(O74:AI74,FALSE)</f>
        <v>0</v>
      </c>
      <c r="H73" s="10"/>
      <c r="I73" s="25"/>
      <c r="J73" s="25"/>
      <c r="K73" s="24"/>
      <c r="L73" s="24"/>
      <c r="M73" s="24"/>
      <c r="N73" s="163" t="s">
        <v>345</v>
      </c>
      <c r="O73" s="160">
        <f t="shared" ref="O73:AA73" si="19">ROUND(IFERROR(O69/O71,0),2)</f>
        <v>0</v>
      </c>
      <c r="P73" s="165">
        <f t="shared" si="19"/>
        <v>0</v>
      </c>
      <c r="Q73" s="165">
        <f t="shared" si="19"/>
        <v>0</v>
      </c>
      <c r="R73" s="165">
        <f t="shared" si="19"/>
        <v>0</v>
      </c>
      <c r="S73" s="165">
        <f t="shared" si="19"/>
        <v>0</v>
      </c>
      <c r="T73" s="165">
        <f t="shared" si="19"/>
        <v>0</v>
      </c>
      <c r="U73" s="165">
        <f t="shared" si="19"/>
        <v>0</v>
      </c>
      <c r="V73" s="165">
        <f t="shared" si="19"/>
        <v>0</v>
      </c>
      <c r="W73" s="165">
        <f t="shared" si="19"/>
        <v>0</v>
      </c>
      <c r="X73" s="165">
        <f t="shared" si="19"/>
        <v>0</v>
      </c>
      <c r="Y73" s="165">
        <f t="shared" si="19"/>
        <v>0</v>
      </c>
      <c r="Z73" s="165">
        <f t="shared" si="19"/>
        <v>0</v>
      </c>
      <c r="AA73" s="165">
        <f t="shared" si="19"/>
        <v>0</v>
      </c>
      <c r="AB73" s="164"/>
      <c r="AD73" s="160">
        <f>ROUND(IFERROR(AD69/AD71,0),2)</f>
        <v>0</v>
      </c>
      <c r="AE73" s="165"/>
      <c r="AF73" s="161"/>
      <c r="AG73" s="160">
        <f>ROUND(IFERROR(AG69/AG71,0),2)</f>
        <v>0</v>
      </c>
      <c r="AH73" s="165"/>
      <c r="AI73" s="161"/>
    </row>
    <row r="74" spans="3:35" x14ac:dyDescent="0.2">
      <c r="H74" s="133"/>
      <c r="I74" s="25"/>
      <c r="J74" s="25"/>
      <c r="K74" s="24"/>
      <c r="L74" s="24"/>
      <c r="M74" s="24"/>
      <c r="N74" s="8" t="s">
        <v>324</v>
      </c>
      <c r="O74" s="292" t="b">
        <f t="shared" ref="O74:AA74" si="20">ROUND(O72,2)=ROUND(O73,2)</f>
        <v>1</v>
      </c>
      <c r="P74" s="293" t="b">
        <f t="shared" si="20"/>
        <v>1</v>
      </c>
      <c r="Q74" s="293" t="b">
        <f t="shared" si="20"/>
        <v>1</v>
      </c>
      <c r="R74" s="293" t="b">
        <f t="shared" si="20"/>
        <v>1</v>
      </c>
      <c r="S74" s="293" t="b">
        <f t="shared" si="20"/>
        <v>1</v>
      </c>
      <c r="T74" s="293" t="b">
        <f t="shared" si="20"/>
        <v>1</v>
      </c>
      <c r="U74" s="293" t="b">
        <f t="shared" si="20"/>
        <v>1</v>
      </c>
      <c r="V74" s="293" t="b">
        <f t="shared" si="20"/>
        <v>1</v>
      </c>
      <c r="W74" s="293" t="b">
        <f t="shared" si="20"/>
        <v>1</v>
      </c>
      <c r="X74" s="293" t="b">
        <f t="shared" si="20"/>
        <v>1</v>
      </c>
      <c r="Y74" s="293" t="b">
        <f t="shared" si="20"/>
        <v>1</v>
      </c>
      <c r="Z74" s="293" t="b">
        <f t="shared" si="20"/>
        <v>1</v>
      </c>
      <c r="AA74" s="293" t="e">
        <f t="shared" si="20"/>
        <v>#VALUE!</v>
      </c>
      <c r="AB74" s="294"/>
      <c r="AC74" s="206"/>
      <c r="AD74" s="292"/>
      <c r="AE74" s="293" t="b">
        <f>ROUND(AD72,2)=ROUND(AD73,2)</f>
        <v>1</v>
      </c>
      <c r="AF74" s="294"/>
      <c r="AG74" s="292"/>
      <c r="AH74" s="293" t="b">
        <f>ROUND(AG72,2)=ROUND(AG73,2)</f>
        <v>1</v>
      </c>
      <c r="AI74" s="294"/>
    </row>
    <row r="75" spans="3:35" x14ac:dyDescent="0.2">
      <c r="H75" s="133" t="s">
        <v>264</v>
      </c>
      <c r="I75" s="25" t="e">
        <f ca="1">_xll.EVPRO($B$1,$H75,"STYLE")</f>
        <v>#NAME?</v>
      </c>
      <c r="J75" s="25" t="e">
        <f ca="1">_xll.EVPRO($B$1,$H75,"CALC")</f>
        <v>#NAME?</v>
      </c>
      <c r="K75" s="24"/>
      <c r="L75" s="24" t="e">
        <f ca="1">_xll.EVPRO($B$1,H75,"JDEID")</f>
        <v>#NAME?</v>
      </c>
      <c r="M75" s="24" t="e">
        <f ca="1">IF(AND(I75="N",J75="N"),_xll.EVPRO($B$1,H75,"PSFTID"),"")</f>
        <v>#NAME?</v>
      </c>
      <c r="N75" s="24" t="e">
        <f ca="1">IF(_xll.EVDES(H75,$B$1)="#NODATA","",_xll.EVDES(H75,$B$1))</f>
        <v>#NAME?</v>
      </c>
      <c r="O75" s="19"/>
      <c r="P75" s="19"/>
      <c r="Q75" s="19"/>
      <c r="R75" s="19"/>
      <c r="S75" s="19"/>
      <c r="T75" s="19"/>
      <c r="U75" s="19"/>
      <c r="V75" s="19"/>
      <c r="W75" s="19"/>
      <c r="X75" s="19"/>
      <c r="Y75" s="19"/>
      <c r="Z75" s="19"/>
      <c r="AA75" s="19">
        <f t="shared" ref="AA75:AA80" si="21">SUM(O75:Z75)</f>
        <v>0</v>
      </c>
      <c r="AB75" s="15" t="str">
        <f>IF(AA75=0,"",IFERROR(AA75/AA$19,""))</f>
        <v/>
      </c>
      <c r="AD75" s="19"/>
      <c r="AE75" s="15" t="str">
        <f>IF(AD75=0,"",IFERROR(AD75/AD$19,""))</f>
        <v/>
      </c>
      <c r="AF75" s="47">
        <f t="shared" ref="AF75:AF81" si="22">IF(AND($AA75="",AD75=""),"",$AA75-AD75)</f>
        <v>0</v>
      </c>
      <c r="AG75" s="19"/>
      <c r="AH75" s="15" t="str">
        <f t="shared" si="3"/>
        <v/>
      </c>
      <c r="AI75" s="47">
        <f t="shared" ref="AI75:AI81" si="23">IF(AND($AA75="",AG75=""),"",$AA75-AG75)</f>
        <v>0</v>
      </c>
    </row>
    <row r="76" spans="3:35" x14ac:dyDescent="0.2">
      <c r="H76" s="133" t="s">
        <v>321</v>
      </c>
      <c r="I76" s="25" t="e">
        <f ca="1">_xll.EVPRO($B$1,$H76,"STYLE")</f>
        <v>#NAME?</v>
      </c>
      <c r="J76" s="25" t="e">
        <f ca="1">_xll.EVPRO($B$1,$H76,"CALC")</f>
        <v>#NAME?</v>
      </c>
      <c r="K76" s="24"/>
      <c r="L76" s="24" t="e">
        <f ca="1">_xll.EVPRO($B$1,H76,"JDEID")</f>
        <v>#NAME?</v>
      </c>
      <c r="M76" s="24" t="e">
        <f ca="1">IF(AND(I76="N",J76="N"),_xll.EVPRO($B$1,H76,"PSFTID"),"")</f>
        <v>#NAME?</v>
      </c>
      <c r="N76" s="24" t="e">
        <f ca="1">IF(_xll.EVDES(H76,$B$1)="#NODATA","",_xll.EVDES(H76,$B$1))</f>
        <v>#NAME?</v>
      </c>
      <c r="O76" s="19"/>
      <c r="P76" s="19"/>
      <c r="Q76" s="19"/>
      <c r="R76" s="19"/>
      <c r="S76" s="19"/>
      <c r="T76" s="19"/>
      <c r="U76" s="19"/>
      <c r="V76" s="19"/>
      <c r="W76" s="19"/>
      <c r="X76" s="19"/>
      <c r="Y76" s="19"/>
      <c r="Z76" s="19"/>
      <c r="AA76" s="19">
        <f t="shared" si="21"/>
        <v>0</v>
      </c>
      <c r="AB76" s="15" t="str">
        <f>IF(AA76=0,"",IFERROR(AA76/AA$19,""))</f>
        <v/>
      </c>
      <c r="AD76" s="19"/>
      <c r="AE76" s="15" t="str">
        <f>IF(AD76=0,"",IFERROR(AD76/AD$19,""))</f>
        <v/>
      </c>
      <c r="AF76" s="47">
        <f t="shared" si="22"/>
        <v>0</v>
      </c>
      <c r="AG76" s="19"/>
      <c r="AH76" s="15" t="str">
        <f t="shared" si="3"/>
        <v/>
      </c>
      <c r="AI76" s="47">
        <f t="shared" si="23"/>
        <v>0</v>
      </c>
    </row>
    <row r="77" spans="3:35" x14ac:dyDescent="0.2">
      <c r="H77" s="133" t="s">
        <v>323</v>
      </c>
      <c r="I77" s="25" t="e">
        <f ca="1">_xll.EVPRO($B$1,$H77,"STYLE")</f>
        <v>#NAME?</v>
      </c>
      <c r="J77" s="25" t="e">
        <f ca="1">_xll.EVPRO($B$1,$H77,"CALC")</f>
        <v>#NAME?</v>
      </c>
      <c r="K77" s="24"/>
      <c r="L77" s="24" t="e">
        <f ca="1">_xll.EVPRO($B$1,H77,"JDEID")</f>
        <v>#NAME?</v>
      </c>
      <c r="M77" s="24" t="e">
        <f ca="1">IF(AND(I77="N",J77="N"),_xll.EVPRO($B$1,H77,"PSFTID"),"")</f>
        <v>#NAME?</v>
      </c>
      <c r="N77" s="24" t="e">
        <f ca="1">IF(_xll.EVDES(H77,$B$1)="#NODATA","",_xll.EVDES(H77,$B$1))</f>
        <v>#NAME?</v>
      </c>
      <c r="O77" s="19"/>
      <c r="P77" s="19"/>
      <c r="Q77" s="19"/>
      <c r="R77" s="19"/>
      <c r="S77" s="19"/>
      <c r="T77" s="19"/>
      <c r="U77" s="19"/>
      <c r="V77" s="19"/>
      <c r="W77" s="19"/>
      <c r="X77" s="19"/>
      <c r="Y77" s="19"/>
      <c r="Z77" s="19"/>
      <c r="AA77" s="19">
        <f t="shared" si="21"/>
        <v>0</v>
      </c>
      <c r="AB77" s="15" t="str">
        <f>IF(AA77=0,"",IFERROR(AA77/AA$19,""))</f>
        <v/>
      </c>
      <c r="AD77" s="19"/>
      <c r="AE77" s="15" t="str">
        <f>IF(AD77=0,"",IFERROR(AD77/AD$19,""))</f>
        <v/>
      </c>
      <c r="AF77" s="47">
        <f t="shared" si="22"/>
        <v>0</v>
      </c>
      <c r="AG77" s="19"/>
      <c r="AH77" s="15" t="str">
        <f t="shared" si="3"/>
        <v/>
      </c>
      <c r="AI77" s="47">
        <f t="shared" si="23"/>
        <v>0</v>
      </c>
    </row>
    <row r="78" spans="3:35" x14ac:dyDescent="0.2">
      <c r="C78" s="23"/>
      <c r="H78" s="133" t="s">
        <v>322</v>
      </c>
      <c r="I78" s="25" t="e">
        <f ca="1">_xll.EVPRO($B$1,$H78,"STYLE")</f>
        <v>#NAME?</v>
      </c>
      <c r="J78" s="25" t="e">
        <f ca="1">_xll.EVPRO($B$1,$H78,"CALC")</f>
        <v>#NAME?</v>
      </c>
      <c r="K78" s="24"/>
      <c r="L78" s="24" t="e">
        <f ca="1">_xll.EVPRO($B$1,H78,"JDEID")</f>
        <v>#NAME?</v>
      </c>
      <c r="M78" s="24" t="e">
        <f ca="1">IF(AND(I78="N",J78="N"),_xll.EVPRO($B$1,H78,"PSFTID"),"")</f>
        <v>#NAME?</v>
      </c>
      <c r="N78" s="24" t="e">
        <f ca="1">IF(_xll.EVDES(H78,$B$1)="#NODATA","",_xll.EVDES(H78,$B$1))</f>
        <v>#NAME?</v>
      </c>
      <c r="O78" s="28"/>
      <c r="P78" s="28"/>
      <c r="Q78" s="28"/>
      <c r="R78" s="28"/>
      <c r="S78" s="28"/>
      <c r="T78" s="28"/>
      <c r="U78" s="28"/>
      <c r="V78" s="28"/>
      <c r="W78" s="28"/>
      <c r="X78" s="28"/>
      <c r="Y78" s="28"/>
      <c r="Z78" s="28"/>
      <c r="AA78" s="28">
        <f t="shared" si="21"/>
        <v>0</v>
      </c>
      <c r="AB78" s="29" t="str">
        <f>IF(AA78=0,"",IFERROR(AA78/AA$19,""))</f>
        <v/>
      </c>
      <c r="AD78" s="28"/>
      <c r="AE78" s="29" t="str">
        <f>IF(AD78=0,"",IFERROR(AD78/AD$19,""))</f>
        <v/>
      </c>
      <c r="AF78" s="48">
        <f t="shared" si="22"/>
        <v>0</v>
      </c>
      <c r="AG78" s="28"/>
      <c r="AH78" s="29" t="str">
        <f t="shared" si="3"/>
        <v/>
      </c>
      <c r="AI78" s="48">
        <f t="shared" si="23"/>
        <v>0</v>
      </c>
    </row>
    <row r="79" spans="3:35" x14ac:dyDescent="0.2">
      <c r="C79" s="23"/>
      <c r="H79" s="133" t="s">
        <v>329</v>
      </c>
      <c r="I79" s="25" t="e">
        <f ca="1">_xll.EVPRO($B$1,$H79,"STYLE")</f>
        <v>#NAME?</v>
      </c>
      <c r="J79" s="25" t="e">
        <f ca="1">_xll.EVPRO($B$1,$H79,"CALC")</f>
        <v>#NAME?</v>
      </c>
      <c r="K79" s="24"/>
      <c r="L79" s="24" t="e">
        <f ca="1">_xll.EVPRO($B$1,H79,"JDEID")</f>
        <v>#NAME?</v>
      </c>
      <c r="M79" s="24" t="e">
        <f ca="1">IF(AND(I79="N",J79="N"),_xll.EVPRO($B$1,H79,"PSFTID"),"")</f>
        <v>#NAME?</v>
      </c>
      <c r="N79" s="23" t="e">
        <f ca="1">IF(_xll.EVDES(H79,$B$1)="#NODATA","",_xll.EVDES(H79,$B$1))</f>
        <v>#NAME?</v>
      </c>
      <c r="O79" s="145"/>
      <c r="P79" s="145"/>
      <c r="Q79" s="145"/>
      <c r="R79" s="145"/>
      <c r="S79" s="145"/>
      <c r="T79" s="145"/>
      <c r="U79" s="145"/>
      <c r="V79" s="145"/>
      <c r="W79" s="145"/>
      <c r="X79" s="145"/>
      <c r="Y79" s="145"/>
      <c r="Z79" s="145"/>
      <c r="AA79" s="145">
        <f t="shared" si="21"/>
        <v>0</v>
      </c>
      <c r="AB79" s="156" t="str">
        <f>IF(AA79=0,"",IFERROR(AA79/AA$19,""))</f>
        <v/>
      </c>
      <c r="AD79" s="145"/>
      <c r="AE79" s="156" t="str">
        <f>IF(AD79=0,"",IFERROR(AD79/AD$19,""))</f>
        <v/>
      </c>
      <c r="AF79" s="146">
        <f t="shared" si="22"/>
        <v>0</v>
      </c>
      <c r="AG79" s="145"/>
      <c r="AH79" s="156" t="str">
        <f t="shared" si="3"/>
        <v/>
      </c>
      <c r="AI79" s="146">
        <f t="shared" si="23"/>
        <v>0</v>
      </c>
    </row>
    <row r="80" spans="3:35" x14ac:dyDescent="0.2">
      <c r="C80" s="23"/>
      <c r="H80" s="133" t="s">
        <v>300</v>
      </c>
      <c r="I80" s="25" t="e">
        <f ca="1">_xll.EVPRO($B$1,$H80,"STYLE")</f>
        <v>#NAME?</v>
      </c>
      <c r="J80" s="25" t="e">
        <f ca="1">_xll.EVPRO($B$1,$H80,"CALC")</f>
        <v>#NAME?</v>
      </c>
      <c r="K80" s="24"/>
      <c r="L80" s="24" t="e">
        <f ca="1">_xll.EVPRO($B$1,H80,"JDEID")</f>
        <v>#NAME?</v>
      </c>
      <c r="M80" s="24" t="e">
        <f ca="1">IF(AND(I80="N",J80="N"),_xll.EVPRO($B$1,H80,"PSFTID"),"")</f>
        <v>#NAME?</v>
      </c>
      <c r="N80" s="24" t="e">
        <f ca="1">IF(_xll.EVDES(H80,$B$1)="#NODATA","",_xll.EVDES(H80,$B$1))</f>
        <v>#NAME?</v>
      </c>
      <c r="O80" s="35"/>
      <c r="P80" s="35"/>
      <c r="Q80" s="35"/>
      <c r="R80" s="35"/>
      <c r="S80" s="35"/>
      <c r="T80" s="35"/>
      <c r="U80" s="35"/>
      <c r="V80" s="35"/>
      <c r="W80" s="35"/>
      <c r="X80" s="35"/>
      <c r="Y80" s="35"/>
      <c r="Z80" s="35"/>
      <c r="AA80" s="35">
        <f t="shared" si="21"/>
        <v>0</v>
      </c>
      <c r="AB80" s="36" t="str">
        <f>IF(AA80=0,"",IFERROR(AA80/AA$87,""))</f>
        <v/>
      </c>
      <c r="AD80" s="35"/>
      <c r="AE80" s="36" t="str">
        <f>IF(AD80=0,"",IFERROR(AD80/AD$87,""))</f>
        <v/>
      </c>
      <c r="AF80" s="118">
        <f t="shared" si="22"/>
        <v>0</v>
      </c>
      <c r="AG80" s="35"/>
      <c r="AH80" s="36" t="str">
        <f>IF(AG80=0,"",IFERROR(AG80/AG$87,""))</f>
        <v/>
      </c>
      <c r="AI80" s="118">
        <f t="shared" si="23"/>
        <v>0</v>
      </c>
    </row>
    <row r="81" spans="3:35" x14ac:dyDescent="0.2">
      <c r="C81" s="23"/>
      <c r="H81" s="133" t="s">
        <v>325</v>
      </c>
      <c r="I81" s="25" t="e">
        <f ca="1">_xll.EVPRO($B$1,$H81,"STYLE")</f>
        <v>#NAME?</v>
      </c>
      <c r="J81" s="25" t="e">
        <f ca="1">_xll.EVPRO($B$1,$H81,"CALC")</f>
        <v>#NAME?</v>
      </c>
      <c r="K81" s="24"/>
      <c r="L81" s="24" t="e">
        <f ca="1">_xll.EVPRO($B$1,H81,"JDEID")</f>
        <v>#NAME?</v>
      </c>
      <c r="M81" s="24" t="e">
        <f ca="1">IF(AND(I81="N",J81="N"),_xll.EVPRO($B$1,H81,"PSFTID"),"")</f>
        <v>#NAME?</v>
      </c>
      <c r="N81" s="151" t="e">
        <f ca="1">IF(_xll.EVDES(H81,$B$1)="#NODATA","",_xll.EVDES(H81,$B$1))</f>
        <v>#NAME?</v>
      </c>
      <c r="O81" s="157"/>
      <c r="P81" s="157"/>
      <c r="Q81" s="157"/>
      <c r="R81" s="157"/>
      <c r="S81" s="157"/>
      <c r="T81" s="157"/>
      <c r="U81" s="157"/>
      <c r="V81" s="157"/>
      <c r="W81" s="157"/>
      <c r="X81" s="157"/>
      <c r="Y81" s="157"/>
      <c r="Z81" s="157"/>
      <c r="AA81" s="157" t="str">
        <f>IFERROR(AA79/AA80,"")</f>
        <v/>
      </c>
      <c r="AB81" s="157"/>
      <c r="AD81" s="157"/>
      <c r="AE81" s="157"/>
      <c r="AF81" s="158" t="str">
        <f t="shared" si="22"/>
        <v/>
      </c>
      <c r="AG81" s="157"/>
      <c r="AH81" s="157"/>
      <c r="AI81" s="158" t="str">
        <f t="shared" si="23"/>
        <v/>
      </c>
    </row>
    <row r="82" spans="3:35" x14ac:dyDescent="0.2">
      <c r="C82" s="23"/>
      <c r="G82" s="162">
        <f>COUNTIF(O84:AI84,FALSE)</f>
        <v>0</v>
      </c>
      <c r="H82" s="10"/>
      <c r="I82" s="25"/>
      <c r="J82" s="25"/>
      <c r="K82" s="24"/>
      <c r="L82" s="24"/>
      <c r="M82" s="24"/>
      <c r="N82" s="163" t="s">
        <v>345</v>
      </c>
      <c r="O82" s="160">
        <f t="shared" ref="O82:AA82" si="24">ROUND(IFERROR(O79/O80,0),2)</f>
        <v>0</v>
      </c>
      <c r="P82" s="165">
        <f t="shared" si="24"/>
        <v>0</v>
      </c>
      <c r="Q82" s="165">
        <f t="shared" si="24"/>
        <v>0</v>
      </c>
      <c r="R82" s="165">
        <f t="shared" si="24"/>
        <v>0</v>
      </c>
      <c r="S82" s="165">
        <f t="shared" si="24"/>
        <v>0</v>
      </c>
      <c r="T82" s="165">
        <f t="shared" si="24"/>
        <v>0</v>
      </c>
      <c r="U82" s="165">
        <f t="shared" si="24"/>
        <v>0</v>
      </c>
      <c r="V82" s="165">
        <f t="shared" si="24"/>
        <v>0</v>
      </c>
      <c r="W82" s="165">
        <f t="shared" si="24"/>
        <v>0</v>
      </c>
      <c r="X82" s="165">
        <f t="shared" si="24"/>
        <v>0</v>
      </c>
      <c r="Y82" s="165">
        <f t="shared" si="24"/>
        <v>0</v>
      </c>
      <c r="Z82" s="165">
        <f t="shared" si="24"/>
        <v>0</v>
      </c>
      <c r="AA82" s="165">
        <f t="shared" si="24"/>
        <v>0</v>
      </c>
      <c r="AB82" s="164"/>
      <c r="AD82" s="160">
        <f>ROUND(IFERROR(AD79/AD80,0),2)</f>
        <v>0</v>
      </c>
      <c r="AE82" s="165"/>
      <c r="AF82" s="161"/>
      <c r="AG82" s="160">
        <f>ROUND(IFERROR(AG79/AG80,0),2)</f>
        <v>0</v>
      </c>
      <c r="AH82" s="165"/>
      <c r="AI82" s="161"/>
    </row>
    <row r="83" spans="3:35" x14ac:dyDescent="0.2">
      <c r="C83" s="23"/>
      <c r="H83" s="10" t="s">
        <v>486</v>
      </c>
      <c r="I83" s="25" t="e">
        <f ca="1">_xll.EVPRO($B$1,$H83,"STYLE")</f>
        <v>#NAME?</v>
      </c>
      <c r="J83" s="25" t="e">
        <f ca="1">_xll.EVPRO($B$1,$H83,"CALC")</f>
        <v>#NAME?</v>
      </c>
      <c r="K83" s="24"/>
      <c r="L83" s="24" t="e">
        <f ca="1">_xll.EVPRO($B$1,H83,"JDEID")</f>
        <v>#NAME?</v>
      </c>
      <c r="M83" s="24" t="e">
        <f ca="1">IF(AND(I83="N",J83="N"),_xll.EVPRO($B$1,H83,"PSFTID"),"")</f>
        <v>#NAME?</v>
      </c>
      <c r="N83" s="24" t="e">
        <f ca="1">IF(_xll.EVDES(H83,$B$1)="#NODATA","",_xll.EVDES(H83,$B$1))</f>
        <v>#NAME?</v>
      </c>
      <c r="O83" s="19"/>
      <c r="P83" s="19"/>
      <c r="Q83" s="19"/>
      <c r="R83" s="19"/>
      <c r="S83" s="19"/>
      <c r="T83" s="19"/>
      <c r="U83" s="19"/>
      <c r="V83" s="19"/>
      <c r="W83" s="19"/>
      <c r="X83" s="19"/>
      <c r="Y83" s="19"/>
      <c r="Z83" s="19"/>
      <c r="AA83" s="19">
        <f>SUM(O83:Z83)</f>
        <v>0</v>
      </c>
      <c r="AB83" s="15" t="str">
        <f>IF(AA83=0,"",IFERROR(AA83/AA$19,""))</f>
        <v/>
      </c>
      <c r="AD83" s="19"/>
      <c r="AE83" s="15" t="str">
        <f>IF(AD83=0,"",IFERROR(AD83/AD$19,""))</f>
        <v/>
      </c>
      <c r="AF83" s="47">
        <f>IF(AND($AA83="",AD83=""),"",$AA83-AD83)</f>
        <v>0</v>
      </c>
      <c r="AG83" s="19">
        <v>-833.66</v>
      </c>
      <c r="AH83" s="15" t="str">
        <f ca="1">IF(AG83=0,"",IFERROR(AG83/AG$19,""))</f>
        <v/>
      </c>
      <c r="AI83" s="47">
        <f>IF(AND($AA83="",AG83=""),"",$AA83-AG83)</f>
        <v>833.66</v>
      </c>
    </row>
    <row r="84" spans="3:35" x14ac:dyDescent="0.2">
      <c r="C84" s="23"/>
      <c r="H84" s="10"/>
      <c r="I84" s="25"/>
      <c r="J84" s="25"/>
      <c r="K84" s="24"/>
      <c r="L84" s="24"/>
      <c r="M84" s="24"/>
      <c r="N84" s="8" t="s">
        <v>348</v>
      </c>
      <c r="O84" s="292" t="b">
        <f t="shared" ref="O84:AA84" si="25">ROUND(O81,2)=ROUND(O82,2)</f>
        <v>1</v>
      </c>
      <c r="P84" s="293" t="b">
        <f t="shared" si="25"/>
        <v>1</v>
      </c>
      <c r="Q84" s="293" t="b">
        <f t="shared" si="25"/>
        <v>1</v>
      </c>
      <c r="R84" s="293" t="b">
        <f t="shared" si="25"/>
        <v>1</v>
      </c>
      <c r="S84" s="293" t="b">
        <f t="shared" si="25"/>
        <v>1</v>
      </c>
      <c r="T84" s="293" t="b">
        <f t="shared" si="25"/>
        <v>1</v>
      </c>
      <c r="U84" s="293" t="b">
        <f t="shared" si="25"/>
        <v>1</v>
      </c>
      <c r="V84" s="293" t="b">
        <f t="shared" si="25"/>
        <v>1</v>
      </c>
      <c r="W84" s="293" t="b">
        <f t="shared" si="25"/>
        <v>1</v>
      </c>
      <c r="X84" s="293" t="b">
        <f t="shared" si="25"/>
        <v>1</v>
      </c>
      <c r="Y84" s="293" t="b">
        <f t="shared" si="25"/>
        <v>1</v>
      </c>
      <c r="Z84" s="293" t="b">
        <f t="shared" si="25"/>
        <v>1</v>
      </c>
      <c r="AA84" s="293" t="e">
        <f t="shared" si="25"/>
        <v>#VALUE!</v>
      </c>
      <c r="AB84" s="294"/>
      <c r="AC84" s="206"/>
      <c r="AD84" s="292"/>
      <c r="AE84" s="293" t="b">
        <f>ROUND(AD81,2)=ROUND(AD82,2)</f>
        <v>1</v>
      </c>
      <c r="AF84" s="294"/>
      <c r="AG84" s="292"/>
      <c r="AH84" s="293" t="b">
        <f>ROUND(AG81,2)=ROUND(AG82,2)</f>
        <v>1</v>
      </c>
      <c r="AI84" s="294"/>
    </row>
    <row r="85" spans="3:35" x14ac:dyDescent="0.2">
      <c r="C85" s="23"/>
      <c r="H85" s="133" t="s">
        <v>273</v>
      </c>
      <c r="I85" s="25" t="e">
        <f ca="1">_xll.EVPRO($B$1,$H85,"STYLE")</f>
        <v>#NAME?</v>
      </c>
      <c r="J85" s="25" t="e">
        <f ca="1">_xll.EVPRO($B$1,$H85,"CALC")</f>
        <v>#NAME?</v>
      </c>
      <c r="L85" s="24" t="e">
        <f ca="1">_xll.EVPRO($B$1,H85,"JDEID")</f>
        <v>#NAME?</v>
      </c>
      <c r="M85" s="24" t="e">
        <f ca="1">IF(AND(I85="N",J85="N"),_xll.EVPRO($B$1,H85,"PSFTID"),"")</f>
        <v>#NAME?</v>
      </c>
      <c r="N85" s="24" t="e">
        <f ca="1">IF(_xll.EVDES(H85,$B$1)="#NODATA","",_xll.EVDES(H85,$B$1))</f>
        <v>#NAME?</v>
      </c>
      <c r="O85" s="152">
        <v>5355.88</v>
      </c>
      <c r="P85" s="152">
        <v>0</v>
      </c>
      <c r="Q85" s="152">
        <v>0</v>
      </c>
      <c r="R85" s="152">
        <v>0</v>
      </c>
      <c r="S85" s="152">
        <v>0</v>
      </c>
      <c r="T85" s="152">
        <v>0</v>
      </c>
      <c r="U85" s="152">
        <v>0</v>
      </c>
      <c r="V85" s="152">
        <v>0</v>
      </c>
      <c r="W85" s="152">
        <v>0</v>
      </c>
      <c r="X85" s="152">
        <v>0</v>
      </c>
      <c r="Y85" s="152">
        <v>-905.6</v>
      </c>
      <c r="Z85" s="152">
        <v>-1276.8</v>
      </c>
      <c r="AA85" s="152">
        <f>SUM(O85:Z85)</f>
        <v>3173.4799999999996</v>
      </c>
      <c r="AB85" s="153" t="str">
        <f ca="1">IF(AA85=0,"",IFERROR(AA85/AA$19,""))</f>
        <v/>
      </c>
      <c r="AD85" s="152"/>
      <c r="AE85" s="153" t="str">
        <f>IF(AD85=0,"",IFERROR(AD85/AD$19,""))</f>
        <v/>
      </c>
      <c r="AF85" s="154">
        <f>IF(AND($AA85="",AD85=""),"",$AA85-AD85)</f>
        <v>3173.4799999999996</v>
      </c>
      <c r="AG85" s="152">
        <v>587091.01</v>
      </c>
      <c r="AH85" s="153" t="str">
        <f ca="1">IF(AG85=0,"",IFERROR(AG85/AG$19,""))</f>
        <v/>
      </c>
      <c r="AI85" s="154">
        <f>IF(AND($AA85="",AG85=""),"",$AA85-AG85)</f>
        <v>-583917.53</v>
      </c>
    </row>
    <row r="86" spans="3:35" x14ac:dyDescent="0.2">
      <c r="C86" s="23"/>
      <c r="H86" s="133" t="s">
        <v>767</v>
      </c>
      <c r="I86" s="25" t="e">
        <f ca="1">_xll.EVPRO($B$1,$H86,"STYLE")</f>
        <v>#NAME?</v>
      </c>
      <c r="J86" s="25" t="e">
        <f ca="1">_xll.EVPRO($B$1,$H86,"CALC")</f>
        <v>#NAME?</v>
      </c>
      <c r="L86" s="24" t="e">
        <f ca="1">_xll.EVPRO($B$1,H86,"JDEID")</f>
        <v>#NAME?</v>
      </c>
      <c r="M86" s="24" t="e">
        <f ca="1">IF(AND(I86="N",J86="N"),_xll.EVPRO($B$1,H86,"PSFTID"),"")</f>
        <v>#NAME?</v>
      </c>
      <c r="N86" s="24" t="e">
        <f ca="1">IF(_xll.EVDES(H86,$B$1)="#NODATA","",_xll.EVDES(H86,$B$1))</f>
        <v>#NAME?</v>
      </c>
      <c r="O86" s="152">
        <v>60</v>
      </c>
      <c r="P86" s="152"/>
      <c r="Q86" s="152"/>
      <c r="R86" s="152"/>
      <c r="S86" s="152"/>
      <c r="T86" s="152"/>
      <c r="U86" s="152"/>
      <c r="V86" s="152"/>
      <c r="W86" s="152"/>
      <c r="X86" s="152"/>
      <c r="Y86" s="152"/>
      <c r="Z86" s="152"/>
      <c r="AA86" s="152">
        <f>SUM(O86:Z86)</f>
        <v>60</v>
      </c>
      <c r="AB86" s="153"/>
      <c r="AD86" s="152"/>
      <c r="AE86" s="153"/>
      <c r="AF86" s="154">
        <f>IF(AND($AA86="",AD86=""),"",$AA86-AD86)</f>
        <v>60</v>
      </c>
      <c r="AG86" s="152">
        <v>660</v>
      </c>
      <c r="AH86" s="153"/>
      <c r="AI86" s="154">
        <f>IF(AND($AA86="",AG86=""),"",$AA86-AG86)</f>
        <v>-600</v>
      </c>
    </row>
    <row r="87" spans="3:35" x14ac:dyDescent="0.2">
      <c r="C87" s="23"/>
      <c r="H87" s="133" t="s">
        <v>331</v>
      </c>
      <c r="I87" s="25" t="e">
        <f ca="1">_xll.EVPRO($B$1,$H87,"STYLE")</f>
        <v>#NAME?</v>
      </c>
      <c r="J87" s="25" t="e">
        <f ca="1">_xll.EVPRO($B$1,$H87,"CALC")</f>
        <v>#NAME?</v>
      </c>
      <c r="L87" s="24" t="e">
        <f ca="1">_xll.EVPRO($B$1,H87,"JDEID")</f>
        <v>#NAME?</v>
      </c>
      <c r="M87" s="24" t="e">
        <f ca="1">IF(AND(I87="N",J87="N"),_xll.EVPRO($B$1,H87,"PSFTID"),"")</f>
        <v>#NAME?</v>
      </c>
      <c r="N87" s="24" t="e">
        <f ca="1">IF(_xll.EVDES(H87,$B$1)="#NODATA","",_xll.EVDES(H87,$B$1))</f>
        <v>#NAME?</v>
      </c>
      <c r="O87" s="152">
        <v>263</v>
      </c>
      <c r="P87" s="152"/>
      <c r="Q87" s="152"/>
      <c r="R87" s="152"/>
      <c r="S87" s="152"/>
      <c r="T87" s="152"/>
      <c r="U87" s="152"/>
      <c r="V87" s="152"/>
      <c r="W87" s="152"/>
      <c r="X87" s="152"/>
      <c r="Y87" s="152"/>
      <c r="Z87" s="152"/>
      <c r="AA87" s="152">
        <f>SUM(O87:Z87)</f>
        <v>263</v>
      </c>
      <c r="AB87" s="153" t="str">
        <f ca="1">IF(AA87=0,"",IFERROR(AA87/AA$20,""))</f>
        <v/>
      </c>
      <c r="AD87" s="152"/>
      <c r="AE87" s="153" t="str">
        <f>IF(AD87=0,"",IFERROR(AD87/AD$20,""))</f>
        <v/>
      </c>
      <c r="AF87" s="154">
        <f>IF(AND($AA87="",AD87=""),"",$AA87-AD87)</f>
        <v>263</v>
      </c>
      <c r="AG87" s="152">
        <v>20762</v>
      </c>
      <c r="AH87" s="153" t="str">
        <f ca="1">IF(AG87=0,"",IFERROR(AG87/AG$20,""))</f>
        <v/>
      </c>
      <c r="AI87" s="154">
        <f>IF(AND($AA87="",AG87=""),"",$AA87-AG87)</f>
        <v>-20499</v>
      </c>
    </row>
    <row r="88" spans="3:35" x14ac:dyDescent="0.2">
      <c r="C88" s="23"/>
      <c r="H88" s="133" t="s">
        <v>311</v>
      </c>
      <c r="I88" s="25" t="e">
        <f ca="1">_xll.EVPRO($B$1,$H88,"STYLE")</f>
        <v>#NAME?</v>
      </c>
      <c r="J88" s="25" t="e">
        <f ca="1">_xll.EVPRO($B$1,$H88,"CALC")</f>
        <v>#NAME?</v>
      </c>
      <c r="L88" s="24"/>
      <c r="M88" s="24"/>
      <c r="N88" s="24" t="e">
        <f ca="1">IF(_xll.EVDES(H88,$B$1)="#NODATA","",_xll.EVDES(H88,$B$1))</f>
        <v>#NAME?</v>
      </c>
      <c r="O88" s="157">
        <v>20.364562737642601</v>
      </c>
      <c r="P88" s="157"/>
      <c r="Q88" s="157"/>
      <c r="R88" s="157"/>
      <c r="S88" s="157"/>
      <c r="T88" s="157"/>
      <c r="U88" s="157"/>
      <c r="V88" s="157"/>
      <c r="W88" s="157"/>
      <c r="X88" s="157"/>
      <c r="Y88" s="157"/>
      <c r="Z88" s="157"/>
      <c r="AA88" s="157">
        <f>IFERROR(AA85/AA87,"")</f>
        <v>12.066463878326994</v>
      </c>
      <c r="AB88" s="157"/>
      <c r="AD88" s="157"/>
      <c r="AE88" s="157"/>
      <c r="AF88" s="158">
        <f>IF(AND($AA88="",AD88=""),"",$AA88-AD88)</f>
        <v>12.066463878326994</v>
      </c>
      <c r="AG88" s="157">
        <v>28.277189577112001</v>
      </c>
      <c r="AH88" s="157"/>
      <c r="AI88" s="158">
        <f>IF(AND($AA88="",AG88=""),"",$AA88-AG88)</f>
        <v>-16.210725698785005</v>
      </c>
    </row>
    <row r="89" spans="3:35" x14ac:dyDescent="0.2">
      <c r="C89" s="23"/>
      <c r="H89" s="133"/>
      <c r="I89" s="25"/>
      <c r="J89" s="25"/>
      <c r="L89" s="24"/>
      <c r="M89" s="24"/>
      <c r="N89" s="24"/>
      <c r="O89" s="38"/>
      <c r="P89" s="42"/>
      <c r="Q89" s="42"/>
      <c r="R89" s="42"/>
      <c r="S89" s="42"/>
      <c r="T89" s="42"/>
      <c r="U89" s="42"/>
      <c r="V89" s="42"/>
      <c r="W89" s="42"/>
      <c r="X89" s="42"/>
      <c r="Y89" s="42"/>
      <c r="Z89" s="42"/>
      <c r="AA89" s="42"/>
      <c r="AB89" s="39"/>
      <c r="AD89" s="38"/>
      <c r="AE89" s="42"/>
      <c r="AF89" s="39"/>
      <c r="AG89" s="38"/>
      <c r="AH89" s="42"/>
      <c r="AI89" s="39"/>
    </row>
    <row r="90" spans="3:35" x14ac:dyDescent="0.2">
      <c r="C90" s="23"/>
      <c r="H90" s="133"/>
      <c r="I90" s="25"/>
      <c r="J90" s="25"/>
      <c r="L90" s="24"/>
      <c r="M90" s="24"/>
      <c r="N90" s="8" t="s">
        <v>334</v>
      </c>
      <c r="O90" s="40"/>
      <c r="P90" s="43"/>
      <c r="Q90" s="43"/>
      <c r="R90" s="43"/>
      <c r="S90" s="43"/>
      <c r="T90" s="43"/>
      <c r="U90" s="43"/>
      <c r="V90" s="43"/>
      <c r="W90" s="43"/>
      <c r="X90" s="43"/>
      <c r="Y90" s="43"/>
      <c r="Z90" s="43"/>
      <c r="AA90" s="43"/>
      <c r="AB90" s="41"/>
      <c r="AD90" s="40"/>
      <c r="AE90" s="43"/>
      <c r="AF90" s="41"/>
      <c r="AG90" s="40"/>
      <c r="AH90" s="43"/>
      <c r="AI90" s="41"/>
    </row>
    <row r="91" spans="3:35" hidden="1" outlineLevel="1" x14ac:dyDescent="0.2">
      <c r="C91" s="23"/>
      <c r="H91" s="133" t="s">
        <v>332</v>
      </c>
      <c r="I91" s="25" t="e">
        <f ca="1">_xll.EVPRO($B$1,$H91,"STYLE")</f>
        <v>#NAME?</v>
      </c>
      <c r="J91" s="25" t="e">
        <f ca="1">_xll.EVPRO($B$1,$H91,"CALC")</f>
        <v>#NAME?</v>
      </c>
      <c r="L91" s="24"/>
      <c r="M91" s="24"/>
      <c r="N91" s="24" t="e">
        <f ca="1">IF(_xll.EVDES(H91,$B$1)="#NODATA","",_xll.EVDES(H91,$B$1))</f>
        <v>#NAME?</v>
      </c>
      <c r="O91" s="19">
        <v>45.32</v>
      </c>
      <c r="P91" s="19"/>
      <c r="Q91" s="19"/>
      <c r="R91" s="19"/>
      <c r="S91" s="19"/>
      <c r="T91" s="19"/>
      <c r="U91" s="19"/>
      <c r="V91" s="19"/>
      <c r="W91" s="19"/>
      <c r="X91" s="19"/>
      <c r="Y91" s="19"/>
      <c r="Z91" s="19"/>
      <c r="AA91" s="19">
        <f>SUM(O91:Z91)</f>
        <v>45.32</v>
      </c>
      <c r="AB91" s="15"/>
      <c r="AD91" s="19"/>
      <c r="AE91" s="15"/>
      <c r="AF91" s="47">
        <f>IF(AND($AA91="",AD91=""),"",$AA91-AD91)</f>
        <v>45.32</v>
      </c>
      <c r="AG91" s="19">
        <v>2351.9499999999998</v>
      </c>
      <c r="AH91" s="15"/>
      <c r="AI91" s="47">
        <f>IF(AND($AA91="",AG91=""),"",$AA91-AG91)</f>
        <v>-2306.6299999999997</v>
      </c>
    </row>
    <row r="92" spans="3:35" hidden="1" outlineLevel="1" x14ac:dyDescent="0.2">
      <c r="C92" s="23"/>
      <c r="H92" s="133" t="s">
        <v>333</v>
      </c>
      <c r="I92" s="25" t="e">
        <f ca="1">_xll.EVPRO($B$1,$H92,"STYLE")</f>
        <v>#NAME?</v>
      </c>
      <c r="J92" s="25" t="e">
        <f ca="1">_xll.EVPRO($B$1,$H92,"CALC")</f>
        <v>#NAME?</v>
      </c>
      <c r="L92" s="24"/>
      <c r="M92" s="24"/>
      <c r="N92" s="24" t="e">
        <f ca="1">IF(_xll.EVDES(H92,$B$1)="#NODATA","",_xll.EVDES(H92,$B$1))</f>
        <v>#NAME?</v>
      </c>
      <c r="O92" s="19">
        <v>125.93</v>
      </c>
      <c r="P92" s="19"/>
      <c r="Q92" s="19"/>
      <c r="R92" s="19"/>
      <c r="S92" s="19"/>
      <c r="T92" s="19"/>
      <c r="U92" s="19"/>
      <c r="V92" s="19"/>
      <c r="W92" s="19"/>
      <c r="X92" s="19"/>
      <c r="Y92" s="19"/>
      <c r="Z92" s="19"/>
      <c r="AA92" s="19">
        <f>SUM(O92:Z92)</f>
        <v>125.93</v>
      </c>
      <c r="AB92" s="15"/>
      <c r="AD92" s="19"/>
      <c r="AE92" s="15"/>
      <c r="AF92" s="47">
        <f>IF(AND($AA92="",AD92=""),"",$AA92-AD92)</f>
        <v>125.93</v>
      </c>
      <c r="AG92" s="19">
        <v>8882.4699999999993</v>
      </c>
      <c r="AH92" s="15"/>
      <c r="AI92" s="47">
        <f>IF(AND($AA92="",AG92=""),"",$AA92-AG92)</f>
        <v>-8756.5399999999991</v>
      </c>
    </row>
    <row r="93" spans="3:35" collapsed="1" x14ac:dyDescent="0.2">
      <c r="C93" s="23"/>
      <c r="H93" s="133"/>
      <c r="I93" s="25"/>
      <c r="J93" s="25"/>
      <c r="L93" s="24"/>
      <c r="M93" s="24"/>
      <c r="N93" s="24" t="s">
        <v>335</v>
      </c>
      <c r="O93" s="159">
        <f t="shared" ref="O93:AA93" si="26">IFERROR(O$87/O91,"")</f>
        <v>5.8031774051191523</v>
      </c>
      <c r="P93" s="159" t="str">
        <f t="shared" si="26"/>
        <v/>
      </c>
      <c r="Q93" s="159" t="str">
        <f t="shared" si="26"/>
        <v/>
      </c>
      <c r="R93" s="159" t="str">
        <f t="shared" si="26"/>
        <v/>
      </c>
      <c r="S93" s="159" t="str">
        <f t="shared" si="26"/>
        <v/>
      </c>
      <c r="T93" s="159" t="str">
        <f t="shared" si="26"/>
        <v/>
      </c>
      <c r="U93" s="159" t="str">
        <f t="shared" si="26"/>
        <v/>
      </c>
      <c r="V93" s="159" t="str">
        <f t="shared" si="26"/>
        <v/>
      </c>
      <c r="W93" s="159" t="str">
        <f t="shared" si="26"/>
        <v/>
      </c>
      <c r="X93" s="159" t="str">
        <f t="shared" si="26"/>
        <v/>
      </c>
      <c r="Y93" s="159" t="str">
        <f t="shared" si="26"/>
        <v/>
      </c>
      <c r="Z93" s="159" t="str">
        <f t="shared" si="26"/>
        <v/>
      </c>
      <c r="AA93" s="159">
        <f t="shared" si="26"/>
        <v>5.8031774051191523</v>
      </c>
      <c r="AB93" s="124"/>
      <c r="AD93" s="159" t="str">
        <f>IFERROR(AD$87/AD91,"")</f>
        <v/>
      </c>
      <c r="AE93" s="124"/>
      <c r="AF93" s="125" t="e">
        <f>IF(AND($AA93="",AD93=""),"",$AA93-AD93)</f>
        <v>#VALUE!</v>
      </c>
      <c r="AG93" s="159">
        <f>IFERROR(AG$87/AG91,"")</f>
        <v>8.8275686132783449</v>
      </c>
      <c r="AH93" s="124"/>
      <c r="AI93" s="125">
        <f>IF(AND($AA93="",AG93=""),"",$AA93-AG93)</f>
        <v>-3.0243912081591926</v>
      </c>
    </row>
    <row r="94" spans="3:35" x14ac:dyDescent="0.2">
      <c r="C94" s="23"/>
      <c r="H94" s="133"/>
      <c r="I94" s="25"/>
      <c r="J94" s="25"/>
      <c r="L94" s="24"/>
      <c r="M94" s="24"/>
      <c r="N94" s="24" t="s">
        <v>336</v>
      </c>
      <c r="O94" s="159">
        <f t="shared" ref="O94:AA94" si="27">IFERROR(O$87/O92,"")</f>
        <v>2.0884618438815212</v>
      </c>
      <c r="P94" s="159" t="str">
        <f t="shared" si="27"/>
        <v/>
      </c>
      <c r="Q94" s="159" t="str">
        <f t="shared" si="27"/>
        <v/>
      </c>
      <c r="R94" s="159" t="str">
        <f t="shared" si="27"/>
        <v/>
      </c>
      <c r="S94" s="159" t="str">
        <f t="shared" si="27"/>
        <v/>
      </c>
      <c r="T94" s="159" t="str">
        <f t="shared" si="27"/>
        <v/>
      </c>
      <c r="U94" s="159" t="str">
        <f t="shared" si="27"/>
        <v/>
      </c>
      <c r="V94" s="159" t="str">
        <f t="shared" si="27"/>
        <v/>
      </c>
      <c r="W94" s="159" t="str">
        <f t="shared" si="27"/>
        <v/>
      </c>
      <c r="X94" s="159" t="str">
        <f t="shared" si="27"/>
        <v/>
      </c>
      <c r="Y94" s="159" t="str">
        <f t="shared" si="27"/>
        <v/>
      </c>
      <c r="Z94" s="159" t="str">
        <f t="shared" si="27"/>
        <v/>
      </c>
      <c r="AA94" s="159">
        <f t="shared" si="27"/>
        <v>2.0884618438815212</v>
      </c>
      <c r="AB94" s="124"/>
      <c r="AD94" s="159" t="str">
        <f>IFERROR(AD$87/AD92,"")</f>
        <v/>
      </c>
      <c r="AE94" s="124"/>
      <c r="AF94" s="125" t="e">
        <f>IF(AND($AA94="",AD94=""),"",$AA94-AD94)</f>
        <v>#VALUE!</v>
      </c>
      <c r="AG94" s="159">
        <f>IFERROR(AG$87/AG92,"")</f>
        <v>2.337412904293513</v>
      </c>
      <c r="AH94" s="124"/>
      <c r="AI94" s="125">
        <f>IF(AND($AA94="",AG94=""),"",$AA94-AG94)</f>
        <v>-0.24895106041199178</v>
      </c>
    </row>
    <row r="95" spans="3:35" x14ac:dyDescent="0.2">
      <c r="C95" s="23"/>
      <c r="H95" s="133"/>
      <c r="I95" s="25"/>
      <c r="J95" s="25"/>
      <c r="L95" s="24"/>
      <c r="M95" s="24"/>
      <c r="N95" s="24"/>
      <c r="O95" s="144"/>
      <c r="P95" s="147"/>
      <c r="Q95" s="147"/>
      <c r="R95" s="147"/>
      <c r="S95" s="147"/>
      <c r="T95" s="147"/>
      <c r="U95" s="147"/>
      <c r="V95" s="147"/>
      <c r="W95" s="147"/>
      <c r="X95" s="147"/>
      <c r="Y95" s="147"/>
      <c r="Z95" s="147"/>
      <c r="AA95" s="147"/>
      <c r="AB95" s="51"/>
      <c r="AD95" s="50"/>
      <c r="AF95" s="51"/>
      <c r="AI95" s="51"/>
    </row>
    <row r="96" spans="3:35" x14ac:dyDescent="0.2">
      <c r="C96" s="23"/>
      <c r="H96" s="133"/>
      <c r="I96" s="25"/>
      <c r="J96" s="25"/>
      <c r="L96" s="24"/>
      <c r="M96" s="24"/>
      <c r="N96" s="8" t="s">
        <v>343</v>
      </c>
      <c r="O96" s="50"/>
      <c r="AB96" s="149"/>
      <c r="AD96" s="148"/>
      <c r="AE96" s="150"/>
      <c r="AF96" s="51"/>
      <c r="AH96" s="150"/>
      <c r="AI96" s="51"/>
    </row>
    <row r="97" spans="3:35" x14ac:dyDescent="0.2">
      <c r="C97" s="23"/>
      <c r="H97" s="133"/>
      <c r="I97" s="25"/>
      <c r="J97" s="25"/>
      <c r="L97" s="24"/>
      <c r="M97" s="24"/>
      <c r="N97" s="8" t="s">
        <v>337</v>
      </c>
      <c r="O97" s="40"/>
      <c r="P97" s="43"/>
      <c r="Q97" s="43"/>
      <c r="R97" s="43"/>
      <c r="S97" s="43"/>
      <c r="T97" s="43"/>
      <c r="U97" s="43"/>
      <c r="V97" s="43"/>
      <c r="W97" s="43"/>
      <c r="X97" s="43"/>
      <c r="Y97" s="43"/>
      <c r="Z97" s="43"/>
      <c r="AA97" s="43"/>
      <c r="AB97" s="41"/>
      <c r="AD97" s="40"/>
      <c r="AE97" s="43"/>
      <c r="AF97" s="41"/>
      <c r="AG97" s="43"/>
      <c r="AH97" s="43"/>
      <c r="AI97" s="41"/>
    </row>
    <row r="98" spans="3:35" x14ac:dyDescent="0.2">
      <c r="C98" s="23"/>
      <c r="H98" s="133" t="s">
        <v>294</v>
      </c>
      <c r="I98" s="25"/>
      <c r="J98" s="25"/>
      <c r="L98" s="24" t="e">
        <f ca="1">_xll.EVPRO($B$1,H98,"JDEID")</f>
        <v>#NAME?</v>
      </c>
      <c r="M98" s="24" t="str">
        <f>IF(AND(I98="N",J98="N"),_xll.EVPRO($B$1,H98,"PSFTID"),"")</f>
        <v/>
      </c>
      <c r="N98" s="24" t="e">
        <f ca="1">IF(_xll.EVDES(H98,$B$1)="#NODATA","",_xll.EVDES(H98,$B$1))</f>
        <v>#NAME?</v>
      </c>
      <c r="O98" s="19">
        <v>210</v>
      </c>
      <c r="P98" s="19"/>
      <c r="Q98" s="19"/>
      <c r="R98" s="19"/>
      <c r="S98" s="19"/>
      <c r="T98" s="19"/>
      <c r="U98" s="19"/>
      <c r="V98" s="19"/>
      <c r="W98" s="19"/>
      <c r="X98" s="19"/>
      <c r="Y98" s="19"/>
      <c r="Z98" s="19"/>
      <c r="AA98" s="19">
        <f t="shared" ref="AA98:AA103" si="28">SUM(O98:Z98)</f>
        <v>210</v>
      </c>
      <c r="AB98" s="15" t="str">
        <f t="shared" ref="AB98:AB103" ca="1" si="29">IF(AA98=0,"",IFERROR(AA98/AA$19,""))</f>
        <v/>
      </c>
      <c r="AD98" s="19"/>
      <c r="AE98" s="15" t="str">
        <f t="shared" ref="AE98:AE103" si="30">IF(AD98=0,"",IFERROR(AD98/AD$19,""))</f>
        <v/>
      </c>
      <c r="AF98" s="47">
        <f t="shared" ref="AF98:AF103" si="31">IF(AND($AA98="",AD98=""),"",$AA98-AD98)</f>
        <v>210</v>
      </c>
      <c r="AG98" s="19">
        <v>24400.880000000001</v>
      </c>
      <c r="AH98" s="15" t="str">
        <f t="shared" ref="AH98:AH103" ca="1" si="32">IF(AG98=0,"",IFERROR(AG98/AG$19,""))</f>
        <v/>
      </c>
      <c r="AI98" s="47">
        <f t="shared" ref="AI98:AI103" si="33">IF(AND($AA98="",AG98=""),"",$AA98-AG98)</f>
        <v>-24190.880000000001</v>
      </c>
    </row>
    <row r="99" spans="3:35" x14ac:dyDescent="0.2">
      <c r="C99" s="23"/>
      <c r="H99" s="133" t="s">
        <v>301</v>
      </c>
      <c r="I99" s="25"/>
      <c r="J99" s="25"/>
      <c r="L99" s="24" t="e">
        <f ca="1">_xll.EVPRO($B$1,H99,"JDEID")</f>
        <v>#NAME?</v>
      </c>
      <c r="M99" s="24" t="str">
        <f>IF(AND(I99="N",J99="N"),_xll.EVPRO($B$1,H99,"PSFTID"),"")</f>
        <v/>
      </c>
      <c r="N99" s="24" t="e">
        <f ca="1">IF(_xll.EVDES(H99,$B$1)="#NODATA","",_xll.EVDES(H99,$B$1))</f>
        <v>#NAME?</v>
      </c>
      <c r="O99" s="19"/>
      <c r="P99" s="19"/>
      <c r="Q99" s="19"/>
      <c r="R99" s="19"/>
      <c r="S99" s="19"/>
      <c r="T99" s="19"/>
      <c r="U99" s="19"/>
      <c r="V99" s="19"/>
      <c r="W99" s="19"/>
      <c r="X99" s="19"/>
      <c r="Y99" s="19"/>
      <c r="Z99" s="19"/>
      <c r="AA99" s="19">
        <f t="shared" si="28"/>
        <v>0</v>
      </c>
      <c r="AB99" s="15" t="str">
        <f t="shared" si="29"/>
        <v/>
      </c>
      <c r="AD99" s="19"/>
      <c r="AE99" s="15" t="str">
        <f t="shared" si="30"/>
        <v/>
      </c>
      <c r="AF99" s="47">
        <f t="shared" si="31"/>
        <v>0</v>
      </c>
      <c r="AG99" s="19"/>
      <c r="AH99" s="15" t="str">
        <f t="shared" si="32"/>
        <v/>
      </c>
      <c r="AI99" s="47">
        <f t="shared" si="33"/>
        <v>0</v>
      </c>
    </row>
    <row r="100" spans="3:35" x14ac:dyDescent="0.2">
      <c r="C100" s="23"/>
      <c r="H100" s="133" t="s">
        <v>302</v>
      </c>
      <c r="I100" s="25"/>
      <c r="J100" s="25"/>
      <c r="L100" s="24" t="e">
        <f ca="1">_xll.EVPRO($B$1,H100,"JDEID")</f>
        <v>#NAME?</v>
      </c>
      <c r="M100" s="24" t="str">
        <f>IF(AND(I100="N",J100="N"),_xll.EVPRO($B$1,H100,"PSFTID"),"")</f>
        <v/>
      </c>
      <c r="N100" s="24" t="e">
        <f ca="1">IF(_xll.EVDES(H100,$B$1)="#NODATA","",_xll.EVDES(H100,$B$1))</f>
        <v>#NAME?</v>
      </c>
      <c r="O100" s="19"/>
      <c r="P100" s="19"/>
      <c r="Q100" s="19"/>
      <c r="R100" s="19"/>
      <c r="S100" s="19"/>
      <c r="T100" s="19"/>
      <c r="U100" s="19"/>
      <c r="V100" s="19"/>
      <c r="W100" s="19"/>
      <c r="X100" s="19"/>
      <c r="Y100" s="19"/>
      <c r="Z100" s="19"/>
      <c r="AA100" s="19">
        <f t="shared" si="28"/>
        <v>0</v>
      </c>
      <c r="AB100" s="15" t="str">
        <f t="shared" si="29"/>
        <v/>
      </c>
      <c r="AD100" s="19"/>
      <c r="AE100" s="15" t="str">
        <f t="shared" si="30"/>
        <v/>
      </c>
      <c r="AF100" s="47">
        <f t="shared" si="31"/>
        <v>0</v>
      </c>
      <c r="AG100" s="19">
        <v>16729.2</v>
      </c>
      <c r="AH100" s="15" t="str">
        <f t="shared" ca="1" si="32"/>
        <v/>
      </c>
      <c r="AI100" s="47">
        <f t="shared" si="33"/>
        <v>-16729.2</v>
      </c>
    </row>
    <row r="101" spans="3:35" x14ac:dyDescent="0.2">
      <c r="C101" s="23"/>
      <c r="H101" s="133" t="s">
        <v>308</v>
      </c>
      <c r="I101" s="25"/>
      <c r="J101" s="25"/>
      <c r="L101" s="24" t="e">
        <f ca="1">_xll.EVPRO($B$1,H101,"JDEID")</f>
        <v>#NAME?</v>
      </c>
      <c r="M101" s="24" t="str">
        <f>IF(AND(I101="N",J101="N"),_xll.EVPRO($B$1,H101,"PSFTID"),"")</f>
        <v/>
      </c>
      <c r="N101" s="24" t="e">
        <f ca="1">IF(_xll.EVDES(H101,$B$1)="#NODATA","",_xll.EVDES(H101,$B$1))</f>
        <v>#NAME?</v>
      </c>
      <c r="O101" s="19"/>
      <c r="P101" s="19"/>
      <c r="Q101" s="19"/>
      <c r="R101" s="19"/>
      <c r="S101" s="19"/>
      <c r="T101" s="19"/>
      <c r="U101" s="19"/>
      <c r="V101" s="19"/>
      <c r="W101" s="19"/>
      <c r="X101" s="19"/>
      <c r="Y101" s="19"/>
      <c r="Z101" s="19"/>
      <c r="AA101" s="19">
        <f t="shared" si="28"/>
        <v>0</v>
      </c>
      <c r="AB101" s="15" t="str">
        <f t="shared" si="29"/>
        <v/>
      </c>
      <c r="AD101" s="19"/>
      <c r="AE101" s="15" t="str">
        <f t="shared" si="30"/>
        <v/>
      </c>
      <c r="AF101" s="47">
        <f t="shared" si="31"/>
        <v>0</v>
      </c>
      <c r="AG101" s="19"/>
      <c r="AH101" s="15" t="str">
        <f t="shared" si="32"/>
        <v/>
      </c>
      <c r="AI101" s="47">
        <f t="shared" si="33"/>
        <v>0</v>
      </c>
    </row>
    <row r="102" spans="3:35" x14ac:dyDescent="0.2">
      <c r="C102" s="23"/>
      <c r="H102" s="133" t="s">
        <v>321</v>
      </c>
      <c r="I102" s="25"/>
      <c r="J102" s="25"/>
      <c r="L102" s="24" t="e">
        <f ca="1">_xll.EVPRO($B$1,H102,"JDEID")</f>
        <v>#NAME?</v>
      </c>
      <c r="M102" s="24" t="str">
        <f>IF(AND(I102="N",J102="N"),_xll.EVPRO($B$1,H102,"PSFTID"),"")</f>
        <v/>
      </c>
      <c r="N102" s="24" t="e">
        <f ca="1">IF(_xll.EVDES(H102,$B$1)="#NODATA","",_xll.EVDES(H102,$B$1))</f>
        <v>#NAME?</v>
      </c>
      <c r="O102" s="19"/>
      <c r="P102" s="19"/>
      <c r="Q102" s="19"/>
      <c r="R102" s="19"/>
      <c r="S102" s="19"/>
      <c r="T102" s="19"/>
      <c r="U102" s="19"/>
      <c r="V102" s="19"/>
      <c r="W102" s="19"/>
      <c r="X102" s="19"/>
      <c r="Y102" s="19"/>
      <c r="Z102" s="19"/>
      <c r="AA102" s="19">
        <f t="shared" si="28"/>
        <v>0</v>
      </c>
      <c r="AB102" s="15" t="str">
        <f t="shared" si="29"/>
        <v/>
      </c>
      <c r="AD102" s="19"/>
      <c r="AE102" s="15" t="str">
        <f t="shared" si="30"/>
        <v/>
      </c>
      <c r="AF102" s="47">
        <f t="shared" si="31"/>
        <v>0</v>
      </c>
      <c r="AG102" s="19"/>
      <c r="AH102" s="15" t="str">
        <f t="shared" si="32"/>
        <v/>
      </c>
      <c r="AI102" s="47">
        <f t="shared" si="33"/>
        <v>0</v>
      </c>
    </row>
    <row r="103" spans="3:35" x14ac:dyDescent="0.2">
      <c r="C103" s="23"/>
      <c r="H103" s="133" t="s">
        <v>340</v>
      </c>
      <c r="I103" s="25"/>
      <c r="J103" s="25"/>
      <c r="L103" s="24" t="e">
        <f ca="1">_xll.EVPRO($B$1,H103,"JDEID")</f>
        <v>#NAME?</v>
      </c>
      <c r="M103" s="24" t="str">
        <f>IF(AND(I103="N",J103="N"),_xll.EVPRO($B$1,H103,"PSFTID"),"")</f>
        <v/>
      </c>
      <c r="N103" s="23" t="e">
        <f ca="1">IF(_xll.EVDES(H103,$B$1)="#NODATA","",_xll.EVDES(H103,$B$1))</f>
        <v>#NAME?</v>
      </c>
      <c r="O103" s="145">
        <v>210</v>
      </c>
      <c r="P103" s="145"/>
      <c r="Q103" s="145"/>
      <c r="R103" s="145"/>
      <c r="S103" s="145"/>
      <c r="T103" s="145"/>
      <c r="U103" s="145"/>
      <c r="V103" s="145"/>
      <c r="W103" s="145"/>
      <c r="X103" s="145"/>
      <c r="Y103" s="145"/>
      <c r="Z103" s="145"/>
      <c r="AA103" s="145">
        <f t="shared" si="28"/>
        <v>210</v>
      </c>
      <c r="AB103" s="156" t="str">
        <f t="shared" ca="1" si="29"/>
        <v/>
      </c>
      <c r="AD103" s="145"/>
      <c r="AE103" s="156" t="str">
        <f t="shared" si="30"/>
        <v/>
      </c>
      <c r="AF103" s="146">
        <f t="shared" si="31"/>
        <v>210</v>
      </c>
      <c r="AG103" s="145">
        <v>41130.080000000002</v>
      </c>
      <c r="AH103" s="156" t="str">
        <f t="shared" ca="1" si="32"/>
        <v/>
      </c>
      <c r="AI103" s="146">
        <f t="shared" si="33"/>
        <v>-40920.080000000002</v>
      </c>
    </row>
    <row r="104" spans="3:35" x14ac:dyDescent="0.2">
      <c r="C104" s="23"/>
      <c r="H104" s="133"/>
      <c r="I104" s="25"/>
      <c r="J104" s="25"/>
      <c r="L104" s="24"/>
      <c r="M104" s="24"/>
      <c r="N104" s="8"/>
      <c r="O104" s="38"/>
      <c r="P104" s="42"/>
      <c r="Q104" s="42"/>
      <c r="R104" s="42"/>
      <c r="S104" s="42"/>
      <c r="T104" s="42"/>
      <c r="U104" s="42"/>
      <c r="V104" s="42"/>
      <c r="W104" s="42"/>
      <c r="X104" s="42"/>
      <c r="Y104" s="42"/>
      <c r="Z104" s="42"/>
      <c r="AA104" s="42"/>
      <c r="AB104" s="39"/>
      <c r="AD104" s="38"/>
      <c r="AE104" s="42"/>
      <c r="AF104" s="39"/>
      <c r="AG104" s="38"/>
      <c r="AH104" s="42"/>
      <c r="AI104" s="39"/>
    </row>
    <row r="105" spans="3:35" x14ac:dyDescent="0.2">
      <c r="C105" s="23"/>
      <c r="H105" s="133"/>
      <c r="I105" s="25"/>
      <c r="J105" s="25"/>
      <c r="L105" s="24"/>
      <c r="M105" s="24"/>
      <c r="N105" s="8" t="s">
        <v>339</v>
      </c>
      <c r="O105" s="40"/>
      <c r="P105" s="43"/>
      <c r="Q105" s="43"/>
      <c r="R105" s="43"/>
      <c r="S105" s="43"/>
      <c r="T105" s="43"/>
      <c r="U105" s="43"/>
      <c r="V105" s="43"/>
      <c r="W105" s="43"/>
      <c r="X105" s="43"/>
      <c r="Y105" s="43"/>
      <c r="Z105" s="43"/>
      <c r="AA105" s="43"/>
      <c r="AB105" s="41"/>
      <c r="AD105" s="40"/>
      <c r="AE105" s="43"/>
      <c r="AF105" s="41"/>
      <c r="AG105" s="40"/>
      <c r="AH105" s="43"/>
      <c r="AI105" s="41"/>
    </row>
    <row r="106" spans="3:35" x14ac:dyDescent="0.2">
      <c r="C106" s="23"/>
      <c r="H106" s="133" t="s">
        <v>295</v>
      </c>
      <c r="I106" s="25"/>
      <c r="J106" s="25"/>
      <c r="L106" s="24" t="e">
        <f ca="1">_xll.EVPRO($B$1,H106,"JDEID")</f>
        <v>#NAME?</v>
      </c>
      <c r="M106" s="24" t="str">
        <f>IF(AND(I106="N",J106="N"),_xll.EVPRO($B$1,H106,"PSFTID"),"")</f>
        <v/>
      </c>
      <c r="N106" s="24" t="e">
        <f ca="1">IF(_xll.EVDES(H106,$B$1)="#NODATA","",_xll.EVDES(H106,$B$1))</f>
        <v>#NAME?</v>
      </c>
      <c r="O106" s="19">
        <v>28</v>
      </c>
      <c r="P106" s="19"/>
      <c r="Q106" s="19"/>
      <c r="R106" s="19"/>
      <c r="S106" s="19"/>
      <c r="T106" s="19"/>
      <c r="U106" s="19"/>
      <c r="V106" s="19"/>
      <c r="W106" s="19"/>
      <c r="X106" s="19"/>
      <c r="Y106" s="19"/>
      <c r="Z106" s="19"/>
      <c r="AA106" s="19">
        <f t="shared" ref="AA106:AA111" si="34">SUM(O106:Z106)</f>
        <v>28</v>
      </c>
      <c r="AB106" s="15" t="str">
        <f t="shared" ref="AB106:AB111" ca="1" si="35">IF(AA106=0,"",IFERROR(AA106/AA$19,""))</f>
        <v/>
      </c>
      <c r="AD106" s="19"/>
      <c r="AE106" s="15" t="str">
        <f t="shared" ref="AE106:AE111" si="36">IF(AD106=0,"",IFERROR(AD106/AD$19,""))</f>
        <v/>
      </c>
      <c r="AF106" s="47">
        <f t="shared" ref="AF106:AF111" si="37">IF(AND($AA106="",AD106=""),"",$AA106-AD106)</f>
        <v>28</v>
      </c>
      <c r="AG106" s="19">
        <v>2996.8</v>
      </c>
      <c r="AH106" s="15" t="str">
        <f t="shared" ref="AH106:AH111" ca="1" si="38">IF(AG106=0,"",IFERROR(AG106/AG$19,""))</f>
        <v/>
      </c>
      <c r="AI106" s="47">
        <f t="shared" ref="AI106:AI111" si="39">IF(AND($AA106="",AG106=""),"",$AA106-AG106)</f>
        <v>-2968.8</v>
      </c>
    </row>
    <row r="107" spans="3:35" x14ac:dyDescent="0.2">
      <c r="C107" s="23"/>
      <c r="H107" s="133" t="s">
        <v>305</v>
      </c>
      <c r="I107" s="25"/>
      <c r="J107" s="25"/>
      <c r="L107" s="24" t="e">
        <f ca="1">_xll.EVPRO($B$1,H107,"JDEID")</f>
        <v>#NAME?</v>
      </c>
      <c r="M107" s="24" t="str">
        <f>IF(AND(I107="N",J107="N"),_xll.EVPRO($B$1,H107,"PSFTID"),"")</f>
        <v/>
      </c>
      <c r="N107" s="24" t="e">
        <f ca="1">IF(_xll.EVDES(H107,$B$1)="#NODATA","",_xll.EVDES(H107,$B$1))</f>
        <v>#NAME?</v>
      </c>
      <c r="O107" s="19"/>
      <c r="P107" s="19"/>
      <c r="Q107" s="19"/>
      <c r="R107" s="19"/>
      <c r="S107" s="19"/>
      <c r="T107" s="19"/>
      <c r="U107" s="19"/>
      <c r="V107" s="19"/>
      <c r="W107" s="19"/>
      <c r="X107" s="19"/>
      <c r="Y107" s="19"/>
      <c r="Z107" s="19"/>
      <c r="AA107" s="19">
        <f t="shared" si="34"/>
        <v>0</v>
      </c>
      <c r="AB107" s="15" t="str">
        <f t="shared" si="35"/>
        <v/>
      </c>
      <c r="AD107" s="19"/>
      <c r="AE107" s="15" t="str">
        <f t="shared" si="36"/>
        <v/>
      </c>
      <c r="AF107" s="47">
        <f t="shared" si="37"/>
        <v>0</v>
      </c>
      <c r="AG107" s="19"/>
      <c r="AH107" s="15" t="str">
        <f t="shared" si="38"/>
        <v/>
      </c>
      <c r="AI107" s="47">
        <f t="shared" si="39"/>
        <v>0</v>
      </c>
    </row>
    <row r="108" spans="3:35" x14ac:dyDescent="0.2">
      <c r="C108" s="23"/>
      <c r="H108" s="133" t="s">
        <v>306</v>
      </c>
      <c r="I108" s="25"/>
      <c r="J108" s="25"/>
      <c r="L108" s="24" t="e">
        <f ca="1">_xll.EVPRO($B$1,H108,"JDEID")</f>
        <v>#NAME?</v>
      </c>
      <c r="M108" s="24" t="str">
        <f>IF(AND(I108="N",J108="N"),_xll.EVPRO($B$1,H108,"PSFTID"),"")</f>
        <v/>
      </c>
      <c r="N108" s="24" t="e">
        <f ca="1">IF(_xll.EVDES(H108,$B$1)="#NODATA","",_xll.EVDES(H108,$B$1))</f>
        <v>#NAME?</v>
      </c>
      <c r="O108" s="19"/>
      <c r="P108" s="19"/>
      <c r="Q108" s="19"/>
      <c r="R108" s="19"/>
      <c r="S108" s="19"/>
      <c r="T108" s="19"/>
      <c r="U108" s="19"/>
      <c r="V108" s="19"/>
      <c r="W108" s="19"/>
      <c r="X108" s="19"/>
      <c r="Y108" s="19"/>
      <c r="Z108" s="19"/>
      <c r="AA108" s="19">
        <f t="shared" si="34"/>
        <v>0</v>
      </c>
      <c r="AB108" s="15" t="str">
        <f t="shared" si="35"/>
        <v/>
      </c>
      <c r="AD108" s="19"/>
      <c r="AE108" s="15" t="str">
        <f t="shared" si="36"/>
        <v/>
      </c>
      <c r="AF108" s="47">
        <f t="shared" si="37"/>
        <v>0</v>
      </c>
      <c r="AG108" s="19">
        <v>3002.12</v>
      </c>
      <c r="AH108" s="15" t="str">
        <f t="shared" ca="1" si="38"/>
        <v/>
      </c>
      <c r="AI108" s="47">
        <f t="shared" si="39"/>
        <v>-3002.12</v>
      </c>
    </row>
    <row r="109" spans="3:35" x14ac:dyDescent="0.2">
      <c r="C109" s="23"/>
      <c r="H109" s="133" t="s">
        <v>310</v>
      </c>
      <c r="I109" s="25"/>
      <c r="J109" s="25"/>
      <c r="L109" s="24" t="e">
        <f ca="1">_xll.EVPRO($B$1,H109,"JDEID")</f>
        <v>#NAME?</v>
      </c>
      <c r="M109" s="24" t="str">
        <f>IF(AND(I109="N",J109="N"),_xll.EVPRO($B$1,H109,"PSFTID"),"")</f>
        <v/>
      </c>
      <c r="N109" s="24" t="e">
        <f ca="1">IF(_xll.EVDES(H109,$B$1)="#NODATA","",_xll.EVDES(H109,$B$1))</f>
        <v>#NAME?</v>
      </c>
      <c r="O109" s="19"/>
      <c r="P109" s="19"/>
      <c r="Q109" s="19"/>
      <c r="R109" s="19"/>
      <c r="S109" s="19"/>
      <c r="T109" s="19"/>
      <c r="U109" s="19"/>
      <c r="V109" s="19"/>
      <c r="W109" s="19"/>
      <c r="X109" s="19"/>
      <c r="Y109" s="19"/>
      <c r="Z109" s="19"/>
      <c r="AA109" s="19">
        <f t="shared" si="34"/>
        <v>0</v>
      </c>
      <c r="AB109" s="15" t="str">
        <f t="shared" si="35"/>
        <v/>
      </c>
      <c r="AD109" s="19"/>
      <c r="AE109" s="15" t="str">
        <f t="shared" si="36"/>
        <v/>
      </c>
      <c r="AF109" s="47">
        <f t="shared" si="37"/>
        <v>0</v>
      </c>
      <c r="AG109" s="19"/>
      <c r="AH109" s="15" t="str">
        <f t="shared" si="38"/>
        <v/>
      </c>
      <c r="AI109" s="47">
        <f t="shared" si="39"/>
        <v>0</v>
      </c>
    </row>
    <row r="110" spans="3:35" x14ac:dyDescent="0.2">
      <c r="C110" s="23"/>
      <c r="H110" s="133" t="s">
        <v>323</v>
      </c>
      <c r="I110" s="25"/>
      <c r="J110" s="25"/>
      <c r="L110" s="24" t="e">
        <f ca="1">_xll.EVPRO($B$1,H110,"JDEID")</f>
        <v>#NAME?</v>
      </c>
      <c r="M110" s="24" t="str">
        <f>IF(AND(I110="N",J110="N"),_xll.EVPRO($B$1,H110,"PSFTID"),"")</f>
        <v/>
      </c>
      <c r="N110" s="24" t="e">
        <f ca="1">IF(_xll.EVDES(H110,$B$1)="#NODATA","",_xll.EVDES(H110,$B$1))</f>
        <v>#NAME?</v>
      </c>
      <c r="O110" s="19"/>
      <c r="P110" s="19"/>
      <c r="Q110" s="19"/>
      <c r="R110" s="19"/>
      <c r="S110" s="19"/>
      <c r="T110" s="19"/>
      <c r="U110" s="19"/>
      <c r="V110" s="19"/>
      <c r="W110" s="19"/>
      <c r="X110" s="19"/>
      <c r="Y110" s="19"/>
      <c r="Z110" s="19"/>
      <c r="AA110" s="19">
        <f t="shared" si="34"/>
        <v>0</v>
      </c>
      <c r="AB110" s="15" t="str">
        <f t="shared" si="35"/>
        <v/>
      </c>
      <c r="AD110" s="19"/>
      <c r="AE110" s="15" t="str">
        <f t="shared" si="36"/>
        <v/>
      </c>
      <c r="AF110" s="47">
        <f t="shared" si="37"/>
        <v>0</v>
      </c>
      <c r="AG110" s="19"/>
      <c r="AH110" s="15" t="str">
        <f t="shared" si="38"/>
        <v/>
      </c>
      <c r="AI110" s="47">
        <f t="shared" si="39"/>
        <v>0</v>
      </c>
    </row>
    <row r="111" spans="3:35" x14ac:dyDescent="0.2">
      <c r="C111" s="23"/>
      <c r="H111" s="133" t="s">
        <v>342</v>
      </c>
      <c r="I111" s="25"/>
      <c r="J111" s="25"/>
      <c r="L111" s="24" t="e">
        <f ca="1">_xll.EVPRO($B$1,H111,"JDEID")</f>
        <v>#NAME?</v>
      </c>
      <c r="M111" s="24" t="str">
        <f>IF(AND(I111="N",J111="N"),_xll.EVPRO($B$1,H111,"PSFTID"),"")</f>
        <v/>
      </c>
      <c r="N111" s="23" t="e">
        <f ca="1">IF(_xll.EVDES(H111,$B$1)="#NODATA","",_xll.EVDES(H111,$B$1))</f>
        <v>#NAME?</v>
      </c>
      <c r="O111" s="145">
        <v>28</v>
      </c>
      <c r="P111" s="145"/>
      <c r="Q111" s="145"/>
      <c r="R111" s="145"/>
      <c r="S111" s="145"/>
      <c r="T111" s="145"/>
      <c r="U111" s="145"/>
      <c r="V111" s="145"/>
      <c r="W111" s="145"/>
      <c r="X111" s="145"/>
      <c r="Y111" s="145"/>
      <c r="Z111" s="145"/>
      <c r="AA111" s="145">
        <f t="shared" si="34"/>
        <v>28</v>
      </c>
      <c r="AB111" s="156" t="str">
        <f t="shared" ca="1" si="35"/>
        <v/>
      </c>
      <c r="AD111" s="145"/>
      <c r="AE111" s="156" t="str">
        <f t="shared" si="36"/>
        <v/>
      </c>
      <c r="AF111" s="146">
        <f t="shared" si="37"/>
        <v>28</v>
      </c>
      <c r="AG111" s="145">
        <v>5998.92</v>
      </c>
      <c r="AH111" s="156" t="str">
        <f t="shared" ca="1" si="38"/>
        <v/>
      </c>
      <c r="AI111" s="146">
        <f t="shared" si="39"/>
        <v>-5970.92</v>
      </c>
    </row>
    <row r="112" spans="3:35" x14ac:dyDescent="0.2">
      <c r="C112" s="23"/>
      <c r="H112" s="133"/>
      <c r="I112" s="25"/>
      <c r="J112" s="25"/>
      <c r="L112" s="24"/>
      <c r="M112" s="24"/>
      <c r="N112" s="8"/>
      <c r="O112" s="38"/>
      <c r="P112" s="42"/>
      <c r="Q112" s="42"/>
      <c r="R112" s="42"/>
      <c r="S112" s="42"/>
      <c r="T112" s="42"/>
      <c r="U112" s="42"/>
      <c r="V112" s="42"/>
      <c r="W112" s="42"/>
      <c r="X112" s="42"/>
      <c r="Y112" s="42"/>
      <c r="Z112" s="42"/>
      <c r="AA112" s="42"/>
      <c r="AB112" s="39"/>
      <c r="AD112" s="38"/>
      <c r="AE112" s="42"/>
      <c r="AF112" s="39"/>
      <c r="AG112" s="38"/>
      <c r="AH112" s="42"/>
      <c r="AI112" s="39"/>
    </row>
    <row r="113" spans="3:35" x14ac:dyDescent="0.2">
      <c r="C113" s="23"/>
      <c r="H113" s="133"/>
      <c r="I113" s="25"/>
      <c r="J113" s="25"/>
      <c r="L113" s="24"/>
      <c r="M113" s="24"/>
      <c r="N113" s="8" t="s">
        <v>338</v>
      </c>
      <c r="O113" s="40"/>
      <c r="P113" s="43"/>
      <c r="Q113" s="43"/>
      <c r="R113" s="43"/>
      <c r="S113" s="43"/>
      <c r="T113" s="43"/>
      <c r="U113" s="43"/>
      <c r="V113" s="43"/>
      <c r="W113" s="43"/>
      <c r="X113" s="43"/>
      <c r="Y113" s="43"/>
      <c r="Z113" s="43"/>
      <c r="AA113" s="43"/>
      <c r="AB113" s="41"/>
      <c r="AD113" s="40"/>
      <c r="AE113" s="43"/>
      <c r="AF113" s="41"/>
      <c r="AG113" s="40"/>
      <c r="AH113" s="43"/>
      <c r="AI113" s="41"/>
    </row>
    <row r="114" spans="3:35" x14ac:dyDescent="0.2">
      <c r="C114" s="23"/>
      <c r="H114" s="133" t="s">
        <v>296</v>
      </c>
      <c r="I114" s="25"/>
      <c r="J114" s="25"/>
      <c r="L114" s="24" t="e">
        <f ca="1">_xll.EVPRO($B$1,H114,"JDEID")</f>
        <v>#NAME?</v>
      </c>
      <c r="M114" s="24" t="str">
        <f>IF(AND(I114="N",J114="N"),_xll.EVPRO($B$1,H114,"PSFTID"),"")</f>
        <v/>
      </c>
      <c r="N114" s="24" t="e">
        <f ca="1">IF(_xll.EVDES(H114,$B$1)="#NODATA","",_xll.EVDES(H114,$B$1))</f>
        <v>#NAME?</v>
      </c>
      <c r="O114" s="19">
        <v>78</v>
      </c>
      <c r="P114" s="19"/>
      <c r="Q114" s="19"/>
      <c r="R114" s="19"/>
      <c r="S114" s="19"/>
      <c r="T114" s="19"/>
      <c r="U114" s="19"/>
      <c r="V114" s="19"/>
      <c r="W114" s="19"/>
      <c r="X114" s="19"/>
      <c r="Y114" s="19"/>
      <c r="Z114" s="19"/>
      <c r="AA114" s="19">
        <f t="shared" ref="AA114:AA119" si="40">SUM(O114:Z114)</f>
        <v>78</v>
      </c>
      <c r="AB114" s="15" t="str">
        <f t="shared" ref="AB114:AB119" ca="1" si="41">IF(AA114=0,"",IFERROR(AA114/AA$19,""))</f>
        <v/>
      </c>
      <c r="AD114" s="19"/>
      <c r="AE114" s="15" t="str">
        <f t="shared" ref="AE114:AE119" si="42">IF(AD114=0,"",IFERROR(AD114/AD$19,""))</f>
        <v/>
      </c>
      <c r="AF114" s="47">
        <f t="shared" ref="AF114:AF119" si="43">IF(AND($AA114="",AD114=""),"",$AA114-AD114)</f>
        <v>78</v>
      </c>
      <c r="AG114" s="19">
        <v>18330.34</v>
      </c>
      <c r="AH114" s="15" t="str">
        <f t="shared" ref="AH114:AH119" ca="1" si="44">IF(AG114=0,"",IFERROR(AG114/AG$19,""))</f>
        <v/>
      </c>
      <c r="AI114" s="47">
        <f t="shared" ref="AI114:AI119" si="45">IF(AND($AA114="",AG114=""),"",$AA114-AG114)</f>
        <v>-18252.34</v>
      </c>
    </row>
    <row r="115" spans="3:35" x14ac:dyDescent="0.2">
      <c r="C115" s="23"/>
      <c r="H115" s="133" t="s">
        <v>303</v>
      </c>
      <c r="I115" s="25"/>
      <c r="J115" s="25"/>
      <c r="L115" s="24" t="e">
        <f ca="1">_xll.EVPRO($B$1,H115,"JDEID")</f>
        <v>#NAME?</v>
      </c>
      <c r="M115" s="24" t="str">
        <f>IF(AND(I115="N",J115="N"),_xll.EVPRO($B$1,H115,"PSFTID"),"")</f>
        <v/>
      </c>
      <c r="N115" s="24" t="e">
        <f ca="1">IF(_xll.EVDES(H115,$B$1)="#NODATA","",_xll.EVDES(H115,$B$1))</f>
        <v>#NAME?</v>
      </c>
      <c r="O115" s="19"/>
      <c r="P115" s="19"/>
      <c r="Q115" s="19"/>
      <c r="R115" s="19"/>
      <c r="S115" s="19"/>
      <c r="T115" s="19"/>
      <c r="U115" s="19"/>
      <c r="V115" s="19"/>
      <c r="W115" s="19"/>
      <c r="X115" s="19"/>
      <c r="Y115" s="19"/>
      <c r="Z115" s="19"/>
      <c r="AA115" s="19">
        <f t="shared" si="40"/>
        <v>0</v>
      </c>
      <c r="AB115" s="15" t="str">
        <f t="shared" si="41"/>
        <v/>
      </c>
      <c r="AD115" s="19"/>
      <c r="AE115" s="15" t="str">
        <f t="shared" si="42"/>
        <v/>
      </c>
      <c r="AF115" s="47">
        <f t="shared" si="43"/>
        <v>0</v>
      </c>
      <c r="AG115" s="19"/>
      <c r="AH115" s="15" t="str">
        <f t="shared" si="44"/>
        <v/>
      </c>
      <c r="AI115" s="47">
        <f t="shared" si="45"/>
        <v>0</v>
      </c>
    </row>
    <row r="116" spans="3:35" x14ac:dyDescent="0.2">
      <c r="C116" s="23"/>
      <c r="H116" s="133" t="s">
        <v>304</v>
      </c>
      <c r="I116" s="25"/>
      <c r="J116" s="25"/>
      <c r="L116" s="24" t="e">
        <f ca="1">_xll.EVPRO($B$1,H116,"JDEID")</f>
        <v>#NAME?</v>
      </c>
      <c r="M116" s="24" t="str">
        <f>IF(AND(I116="N",J116="N"),_xll.EVPRO($B$1,H116,"PSFTID"),"")</f>
        <v/>
      </c>
      <c r="N116" s="24" t="e">
        <f ca="1">IF(_xll.EVDES(H116,$B$1)="#NODATA","",_xll.EVDES(H116,$B$1))</f>
        <v>#NAME?</v>
      </c>
      <c r="O116" s="19"/>
      <c r="P116" s="19"/>
      <c r="Q116" s="19"/>
      <c r="R116" s="19"/>
      <c r="S116" s="19"/>
      <c r="T116" s="19"/>
      <c r="U116" s="19"/>
      <c r="V116" s="19"/>
      <c r="W116" s="19"/>
      <c r="X116" s="19"/>
      <c r="Y116" s="19"/>
      <c r="Z116" s="19"/>
      <c r="AA116" s="19">
        <f t="shared" si="40"/>
        <v>0</v>
      </c>
      <c r="AB116" s="15" t="str">
        <f t="shared" si="41"/>
        <v/>
      </c>
      <c r="AD116" s="19"/>
      <c r="AE116" s="15" t="str">
        <f t="shared" si="42"/>
        <v/>
      </c>
      <c r="AF116" s="47">
        <f t="shared" si="43"/>
        <v>0</v>
      </c>
      <c r="AG116" s="19">
        <v>13467.11</v>
      </c>
      <c r="AH116" s="15" t="str">
        <f t="shared" ca="1" si="44"/>
        <v/>
      </c>
      <c r="AI116" s="47">
        <f t="shared" si="45"/>
        <v>-13467.11</v>
      </c>
    </row>
    <row r="117" spans="3:35" x14ac:dyDescent="0.2">
      <c r="C117" s="23"/>
      <c r="H117" s="133" t="s">
        <v>309</v>
      </c>
      <c r="I117" s="25"/>
      <c r="J117" s="25"/>
      <c r="L117" s="24" t="e">
        <f ca="1">_xll.EVPRO($B$1,H117,"JDEID")</f>
        <v>#NAME?</v>
      </c>
      <c r="M117" s="24" t="str">
        <f>IF(AND(I117="N",J117="N"),_xll.EVPRO($B$1,H117,"PSFTID"),"")</f>
        <v/>
      </c>
      <c r="N117" s="24" t="e">
        <f ca="1">IF(_xll.EVDES(H117,$B$1)="#NODATA","",_xll.EVDES(H117,$B$1))</f>
        <v>#NAME?</v>
      </c>
      <c r="O117" s="19"/>
      <c r="P117" s="19"/>
      <c r="Q117" s="19"/>
      <c r="R117" s="19"/>
      <c r="S117" s="19"/>
      <c r="T117" s="19"/>
      <c r="U117" s="19"/>
      <c r="V117" s="19"/>
      <c r="W117" s="19"/>
      <c r="X117" s="19"/>
      <c r="Y117" s="19"/>
      <c r="Z117" s="19"/>
      <c r="AA117" s="19">
        <f t="shared" si="40"/>
        <v>0</v>
      </c>
      <c r="AB117" s="15" t="str">
        <f t="shared" si="41"/>
        <v/>
      </c>
      <c r="AD117" s="19"/>
      <c r="AE117" s="15" t="str">
        <f t="shared" si="42"/>
        <v/>
      </c>
      <c r="AF117" s="47">
        <f t="shared" si="43"/>
        <v>0</v>
      </c>
      <c r="AG117" s="19"/>
      <c r="AH117" s="15" t="str">
        <f t="shared" si="44"/>
        <v/>
      </c>
      <c r="AI117" s="47">
        <f t="shared" si="45"/>
        <v>0</v>
      </c>
    </row>
    <row r="118" spans="3:35" x14ac:dyDescent="0.2">
      <c r="C118" s="23"/>
      <c r="H118" s="133" t="s">
        <v>322</v>
      </c>
      <c r="I118" s="25"/>
      <c r="J118" s="25"/>
      <c r="L118" s="24" t="e">
        <f ca="1">_xll.EVPRO($B$1,H118,"JDEID")</f>
        <v>#NAME?</v>
      </c>
      <c r="M118" s="24" t="str">
        <f>IF(AND(I118="N",J118="N"),_xll.EVPRO($B$1,H118,"PSFTID"),"")</f>
        <v/>
      </c>
      <c r="N118" s="24" t="e">
        <f ca="1">IF(_xll.EVDES(H118,$B$1)="#NODATA","",_xll.EVDES(H118,$B$1))</f>
        <v>#NAME?</v>
      </c>
      <c r="O118" s="19"/>
      <c r="P118" s="19"/>
      <c r="Q118" s="19"/>
      <c r="R118" s="19"/>
      <c r="S118" s="19"/>
      <c r="T118" s="19"/>
      <c r="U118" s="19"/>
      <c r="V118" s="19"/>
      <c r="W118" s="19"/>
      <c r="X118" s="19"/>
      <c r="Y118" s="19"/>
      <c r="Z118" s="19"/>
      <c r="AA118" s="19">
        <f t="shared" si="40"/>
        <v>0</v>
      </c>
      <c r="AB118" s="15" t="str">
        <f t="shared" si="41"/>
        <v/>
      </c>
      <c r="AD118" s="19"/>
      <c r="AE118" s="15" t="str">
        <f t="shared" si="42"/>
        <v/>
      </c>
      <c r="AF118" s="47">
        <f t="shared" si="43"/>
        <v>0</v>
      </c>
      <c r="AG118" s="19"/>
      <c r="AH118" s="15" t="str">
        <f t="shared" si="44"/>
        <v/>
      </c>
      <c r="AI118" s="47">
        <f t="shared" si="45"/>
        <v>0</v>
      </c>
    </row>
    <row r="119" spans="3:35" x14ac:dyDescent="0.2">
      <c r="C119" s="23"/>
      <c r="H119" s="133" t="s">
        <v>341</v>
      </c>
      <c r="I119" s="25"/>
      <c r="J119" s="25"/>
      <c r="L119" s="24" t="e">
        <f ca="1">_xll.EVPRO($B$1,H119,"JDEID")</f>
        <v>#NAME?</v>
      </c>
      <c r="M119" s="24" t="str">
        <f>IF(AND(I119="N",J119="N"),_xll.EVPRO($B$1,H119,"PSFTID"),"")</f>
        <v/>
      </c>
      <c r="N119" s="23" t="e">
        <f ca="1">IF(_xll.EVDES(H119,$B$1)="#NODATA","",_xll.EVDES(H119,$B$1))</f>
        <v>#NAME?</v>
      </c>
      <c r="O119" s="145">
        <v>78</v>
      </c>
      <c r="P119" s="145"/>
      <c r="Q119" s="145"/>
      <c r="R119" s="145"/>
      <c r="S119" s="145"/>
      <c r="T119" s="145"/>
      <c r="U119" s="145"/>
      <c r="V119" s="145"/>
      <c r="W119" s="145"/>
      <c r="X119" s="145"/>
      <c r="Y119" s="145"/>
      <c r="Z119" s="145"/>
      <c r="AA119" s="145">
        <f t="shared" si="40"/>
        <v>78</v>
      </c>
      <c r="AB119" s="156" t="str">
        <f t="shared" ca="1" si="41"/>
        <v/>
      </c>
      <c r="AD119" s="145"/>
      <c r="AE119" s="156" t="str">
        <f t="shared" si="42"/>
        <v/>
      </c>
      <c r="AF119" s="146">
        <f t="shared" si="43"/>
        <v>78</v>
      </c>
      <c r="AG119" s="145">
        <v>31797.45</v>
      </c>
      <c r="AH119" s="156" t="str">
        <f t="shared" ca="1" si="44"/>
        <v/>
      </c>
      <c r="AI119" s="146">
        <f t="shared" si="45"/>
        <v>-31719.45</v>
      </c>
    </row>
    <row r="120" spans="3:35" x14ac:dyDescent="0.2">
      <c r="C120" s="23"/>
      <c r="H120" s="133"/>
      <c r="I120" s="25"/>
      <c r="J120" s="25"/>
      <c r="L120" s="24"/>
      <c r="M120" s="24"/>
      <c r="O120" s="38"/>
      <c r="P120" s="42"/>
      <c r="Q120" s="42"/>
      <c r="R120" s="42"/>
      <c r="S120" s="42"/>
      <c r="T120" s="42"/>
      <c r="U120" s="42"/>
      <c r="V120" s="42"/>
      <c r="W120" s="42"/>
      <c r="X120" s="42"/>
      <c r="Y120" s="42"/>
      <c r="Z120" s="42"/>
      <c r="AA120" s="42"/>
      <c r="AB120" s="39"/>
      <c r="AD120" s="38"/>
      <c r="AE120" s="42"/>
      <c r="AF120" s="39"/>
      <c r="AG120" s="38"/>
      <c r="AH120" s="42"/>
      <c r="AI120" s="39"/>
    </row>
    <row r="121" spans="3:35" x14ac:dyDescent="0.2">
      <c r="C121" s="23"/>
      <c r="H121" s="10" t="s">
        <v>267</v>
      </c>
      <c r="I121" s="25"/>
      <c r="J121" s="25"/>
      <c r="L121" s="24" t="e">
        <f ca="1">_xll.EVPRO($B$1,H121,"JDEID")</f>
        <v>#NAME?</v>
      </c>
      <c r="M121" s="24" t="str">
        <f>IF(AND(I121="N",J121="N"),_xll.EVPRO($B$1,H121,"PSFTID"),"")</f>
        <v/>
      </c>
      <c r="N121" s="24" t="e">
        <f ca="1">IF(_xll.EVDES(H121,$B$1)="#NODATA","",_xll.EVDES(H121,$B$1))</f>
        <v>#NAME?</v>
      </c>
      <c r="O121" s="19">
        <f t="shared" ref="O121:Z121" si="46">O98+O106+O114</f>
        <v>316</v>
      </c>
      <c r="P121" s="19">
        <f t="shared" si="46"/>
        <v>0</v>
      </c>
      <c r="Q121" s="19">
        <f t="shared" si="46"/>
        <v>0</v>
      </c>
      <c r="R121" s="19">
        <f t="shared" si="46"/>
        <v>0</v>
      </c>
      <c r="S121" s="19">
        <f t="shared" si="46"/>
        <v>0</v>
      </c>
      <c r="T121" s="19">
        <f t="shared" si="46"/>
        <v>0</v>
      </c>
      <c r="U121" s="19">
        <f t="shared" si="46"/>
        <v>0</v>
      </c>
      <c r="V121" s="19">
        <f t="shared" si="46"/>
        <v>0</v>
      </c>
      <c r="W121" s="19">
        <f t="shared" si="46"/>
        <v>0</v>
      </c>
      <c r="X121" s="19">
        <f t="shared" si="46"/>
        <v>0</v>
      </c>
      <c r="Y121" s="19">
        <f t="shared" si="46"/>
        <v>0</v>
      </c>
      <c r="Z121" s="19">
        <f t="shared" si="46"/>
        <v>0</v>
      </c>
      <c r="AA121" s="19">
        <f t="shared" ref="AA121:AA126" si="47">SUM(O121:Z121)</f>
        <v>316</v>
      </c>
      <c r="AB121" s="15" t="str">
        <f t="shared" ref="AB121:AB126" ca="1" si="48">IF(AA121=0,"",IFERROR(AA121/AA$19,""))</f>
        <v/>
      </c>
      <c r="AD121" s="19">
        <f>AD98+AD106+AD114</f>
        <v>0</v>
      </c>
      <c r="AE121" s="15" t="str">
        <f t="shared" ref="AE121:AE126" si="49">IF(AD121=0,"",IFERROR(AD121/AD$19,""))</f>
        <v/>
      </c>
      <c r="AF121" s="47">
        <f t="shared" ref="AF121:AF126" si="50">IF(AND($AA121="",AD121=""),"",$AA121-AD121)</f>
        <v>316</v>
      </c>
      <c r="AG121" s="19">
        <f>AG98+AG106+AG114</f>
        <v>45728.020000000004</v>
      </c>
      <c r="AH121" s="15" t="str">
        <f t="shared" ref="AH121:AH126" ca="1" si="51">IF(AG121=0,"",IFERROR(AG121/AG$19,""))</f>
        <v/>
      </c>
      <c r="AI121" s="47">
        <f t="shared" ref="AI121:AI126" si="52">IF(AND($AA121="",AG121=""),"",$AA121-AG121)</f>
        <v>-45412.020000000004</v>
      </c>
    </row>
    <row r="122" spans="3:35" x14ac:dyDescent="0.2">
      <c r="C122" s="23"/>
      <c r="H122" s="10" t="s">
        <v>268</v>
      </c>
      <c r="I122" s="25"/>
      <c r="J122" s="25"/>
      <c r="L122" s="24" t="e">
        <f ca="1">_xll.EVPRO($B$1,H122,"JDEID")</f>
        <v>#NAME?</v>
      </c>
      <c r="M122" s="24" t="str">
        <f>IF(AND(I122="N",J122="N"),_xll.EVPRO($B$1,H122,"PSFTID"),"")</f>
        <v/>
      </c>
      <c r="N122" s="24" t="e">
        <f ca="1">IF(_xll.EVDES(H122,$B$1)="#NODATA","",_xll.EVDES(H122,$B$1))</f>
        <v>#NAME?</v>
      </c>
      <c r="O122" s="19">
        <f t="shared" ref="O122:Z122" si="53">O99+O107+O115</f>
        <v>0</v>
      </c>
      <c r="P122" s="19">
        <f t="shared" si="53"/>
        <v>0</v>
      </c>
      <c r="Q122" s="19">
        <f t="shared" si="53"/>
        <v>0</v>
      </c>
      <c r="R122" s="19">
        <f t="shared" si="53"/>
        <v>0</v>
      </c>
      <c r="S122" s="19">
        <f t="shared" si="53"/>
        <v>0</v>
      </c>
      <c r="T122" s="19">
        <f t="shared" si="53"/>
        <v>0</v>
      </c>
      <c r="U122" s="19">
        <f t="shared" si="53"/>
        <v>0</v>
      </c>
      <c r="V122" s="19">
        <f t="shared" si="53"/>
        <v>0</v>
      </c>
      <c r="W122" s="19">
        <f t="shared" si="53"/>
        <v>0</v>
      </c>
      <c r="X122" s="19">
        <f t="shared" si="53"/>
        <v>0</v>
      </c>
      <c r="Y122" s="19">
        <f t="shared" si="53"/>
        <v>0</v>
      </c>
      <c r="Z122" s="19">
        <f t="shared" si="53"/>
        <v>0</v>
      </c>
      <c r="AA122" s="19">
        <f t="shared" si="47"/>
        <v>0</v>
      </c>
      <c r="AB122" s="15" t="str">
        <f t="shared" si="48"/>
        <v/>
      </c>
      <c r="AD122" s="19">
        <f>AD99+AD107+AD115</f>
        <v>0</v>
      </c>
      <c r="AE122" s="15" t="str">
        <f t="shared" si="49"/>
        <v/>
      </c>
      <c r="AF122" s="47">
        <f t="shared" si="50"/>
        <v>0</v>
      </c>
      <c r="AG122" s="19">
        <f>AG99+AG107+AG115</f>
        <v>0</v>
      </c>
      <c r="AH122" s="15" t="str">
        <f t="shared" si="51"/>
        <v/>
      </c>
      <c r="AI122" s="47">
        <f t="shared" si="52"/>
        <v>0</v>
      </c>
    </row>
    <row r="123" spans="3:35" x14ac:dyDescent="0.2">
      <c r="C123" s="23"/>
      <c r="H123" s="133" t="s">
        <v>269</v>
      </c>
      <c r="I123" s="25"/>
      <c r="J123" s="25"/>
      <c r="L123" s="24" t="e">
        <f ca="1">_xll.EVPRO($B$1,H123,"JDEID")</f>
        <v>#NAME?</v>
      </c>
      <c r="M123" s="24" t="str">
        <f>IF(AND(I123="N",J123="N"),_xll.EVPRO($B$1,H123,"PSFTID"),"")</f>
        <v/>
      </c>
      <c r="N123" s="24" t="e">
        <f ca="1">IF(_xll.EVDES(H123,$B$1)="#NODATA","",_xll.EVDES(H123,$B$1))</f>
        <v>#NAME?</v>
      </c>
      <c r="O123" s="19">
        <f t="shared" ref="O123:Z123" si="54">O100+O108+O116</f>
        <v>0</v>
      </c>
      <c r="P123" s="19">
        <f t="shared" si="54"/>
        <v>0</v>
      </c>
      <c r="Q123" s="19">
        <f t="shared" si="54"/>
        <v>0</v>
      </c>
      <c r="R123" s="19">
        <f t="shared" si="54"/>
        <v>0</v>
      </c>
      <c r="S123" s="19">
        <f t="shared" si="54"/>
        <v>0</v>
      </c>
      <c r="T123" s="19">
        <f t="shared" si="54"/>
        <v>0</v>
      </c>
      <c r="U123" s="19">
        <f t="shared" si="54"/>
        <v>0</v>
      </c>
      <c r="V123" s="19">
        <f t="shared" si="54"/>
        <v>0</v>
      </c>
      <c r="W123" s="19">
        <f t="shared" si="54"/>
        <v>0</v>
      </c>
      <c r="X123" s="19">
        <f t="shared" si="54"/>
        <v>0</v>
      </c>
      <c r="Y123" s="19">
        <f t="shared" si="54"/>
        <v>0</v>
      </c>
      <c r="Z123" s="19">
        <f t="shared" si="54"/>
        <v>0</v>
      </c>
      <c r="AA123" s="19">
        <f t="shared" si="47"/>
        <v>0</v>
      </c>
      <c r="AB123" s="15" t="str">
        <f t="shared" si="48"/>
        <v/>
      </c>
      <c r="AD123" s="19">
        <f>AD100+AD108+AD116</f>
        <v>0</v>
      </c>
      <c r="AE123" s="15" t="str">
        <f t="shared" si="49"/>
        <v/>
      </c>
      <c r="AF123" s="47">
        <f t="shared" si="50"/>
        <v>0</v>
      </c>
      <c r="AG123" s="19">
        <f>AG100+AG108+AG116</f>
        <v>33198.43</v>
      </c>
      <c r="AH123" s="15" t="str">
        <f t="shared" ca="1" si="51"/>
        <v/>
      </c>
      <c r="AI123" s="47">
        <f t="shared" si="52"/>
        <v>-33198.43</v>
      </c>
    </row>
    <row r="124" spans="3:35" x14ac:dyDescent="0.2">
      <c r="C124" s="23"/>
      <c r="H124" s="133" t="s">
        <v>270</v>
      </c>
      <c r="I124" s="25"/>
      <c r="J124" s="25"/>
      <c r="L124" s="24" t="e">
        <f ca="1">_xll.EVPRO($B$1,H124,"JDEID")</f>
        <v>#NAME?</v>
      </c>
      <c r="M124" s="24" t="str">
        <f>IF(AND(I124="N",J124="N"),_xll.EVPRO($B$1,H124,"PSFTID"),"")</f>
        <v/>
      </c>
      <c r="N124" s="24" t="e">
        <f ca="1">IF(_xll.EVDES(H124,$B$1)="#NODATA","",_xll.EVDES(H124,$B$1))</f>
        <v>#NAME?</v>
      </c>
      <c r="O124" s="19">
        <f t="shared" ref="O124:Z124" si="55">O101+O109+O117</f>
        <v>0</v>
      </c>
      <c r="P124" s="19">
        <f t="shared" si="55"/>
        <v>0</v>
      </c>
      <c r="Q124" s="19">
        <f t="shared" si="55"/>
        <v>0</v>
      </c>
      <c r="R124" s="19">
        <f t="shared" si="55"/>
        <v>0</v>
      </c>
      <c r="S124" s="19">
        <f t="shared" si="55"/>
        <v>0</v>
      </c>
      <c r="T124" s="19">
        <f t="shared" si="55"/>
        <v>0</v>
      </c>
      <c r="U124" s="19">
        <f t="shared" si="55"/>
        <v>0</v>
      </c>
      <c r="V124" s="19">
        <f t="shared" si="55"/>
        <v>0</v>
      </c>
      <c r="W124" s="19">
        <f t="shared" si="55"/>
        <v>0</v>
      </c>
      <c r="X124" s="19">
        <f t="shared" si="55"/>
        <v>0</v>
      </c>
      <c r="Y124" s="19">
        <f t="shared" si="55"/>
        <v>0</v>
      </c>
      <c r="Z124" s="19">
        <f t="shared" si="55"/>
        <v>0</v>
      </c>
      <c r="AA124" s="19">
        <f t="shared" si="47"/>
        <v>0</v>
      </c>
      <c r="AB124" s="15" t="str">
        <f t="shared" si="48"/>
        <v/>
      </c>
      <c r="AD124" s="19">
        <f>AD101+AD109+AD117</f>
        <v>0</v>
      </c>
      <c r="AE124" s="15" t="str">
        <f t="shared" si="49"/>
        <v/>
      </c>
      <c r="AF124" s="47">
        <f t="shared" si="50"/>
        <v>0</v>
      </c>
      <c r="AG124" s="19">
        <f>AG101+AG109+AG117</f>
        <v>0</v>
      </c>
      <c r="AH124" s="15" t="str">
        <f t="shared" si="51"/>
        <v/>
      </c>
      <c r="AI124" s="47">
        <f t="shared" si="52"/>
        <v>0</v>
      </c>
    </row>
    <row r="125" spans="3:35" x14ac:dyDescent="0.2">
      <c r="C125" s="23"/>
      <c r="H125" s="133" t="s">
        <v>271</v>
      </c>
      <c r="I125" s="25"/>
      <c r="J125" s="25"/>
      <c r="L125" s="24" t="e">
        <f ca="1">_xll.EVPRO($B$1,H125,"JDEID")</f>
        <v>#NAME?</v>
      </c>
      <c r="M125" s="24" t="str">
        <f>IF(AND(I125="N",J125="N"),_xll.EVPRO($B$1,H125,"PSFTID"),"")</f>
        <v/>
      </c>
      <c r="N125" s="24" t="e">
        <f ca="1">IF(_xll.EVDES(H125,$B$1)="#NODATA","",_xll.EVDES(H125,$B$1))</f>
        <v>#NAME?</v>
      </c>
      <c r="O125" s="19">
        <f t="shared" ref="O125:Z125" si="56">O102+O110+O118</f>
        <v>0</v>
      </c>
      <c r="P125" s="19">
        <f t="shared" si="56"/>
        <v>0</v>
      </c>
      <c r="Q125" s="19">
        <f t="shared" si="56"/>
        <v>0</v>
      </c>
      <c r="R125" s="19">
        <f t="shared" si="56"/>
        <v>0</v>
      </c>
      <c r="S125" s="19">
        <f t="shared" si="56"/>
        <v>0</v>
      </c>
      <c r="T125" s="19">
        <f t="shared" si="56"/>
        <v>0</v>
      </c>
      <c r="U125" s="19">
        <f t="shared" si="56"/>
        <v>0</v>
      </c>
      <c r="V125" s="19">
        <f t="shared" si="56"/>
        <v>0</v>
      </c>
      <c r="W125" s="19">
        <f t="shared" si="56"/>
        <v>0</v>
      </c>
      <c r="X125" s="19">
        <f t="shared" si="56"/>
        <v>0</v>
      </c>
      <c r="Y125" s="19">
        <f t="shared" si="56"/>
        <v>0</v>
      </c>
      <c r="Z125" s="19">
        <f t="shared" si="56"/>
        <v>0</v>
      </c>
      <c r="AA125" s="19">
        <f t="shared" si="47"/>
        <v>0</v>
      </c>
      <c r="AB125" s="15" t="str">
        <f t="shared" si="48"/>
        <v/>
      </c>
      <c r="AD125" s="19">
        <f>AD102+AD110+AD118</f>
        <v>0</v>
      </c>
      <c r="AE125" s="15" t="str">
        <f t="shared" si="49"/>
        <v/>
      </c>
      <c r="AF125" s="47">
        <f t="shared" si="50"/>
        <v>0</v>
      </c>
      <c r="AG125" s="19">
        <f>AG102+AG110+AG118</f>
        <v>0</v>
      </c>
      <c r="AH125" s="15" t="str">
        <f t="shared" si="51"/>
        <v/>
      </c>
      <c r="AI125" s="47">
        <f t="shared" si="52"/>
        <v>0</v>
      </c>
    </row>
    <row r="126" spans="3:35" x14ac:dyDescent="0.2">
      <c r="C126" s="23"/>
      <c r="H126" s="10" t="s">
        <v>272</v>
      </c>
      <c r="I126" s="25"/>
      <c r="J126" s="25"/>
      <c r="L126" s="24" t="e">
        <f ca="1">_xll.EVPRO($B$1,H126,"JDEID")</f>
        <v>#NAME?</v>
      </c>
      <c r="M126" s="24" t="str">
        <f>IF(AND(I126="N",J126="N"),_xll.EVPRO($B$1,H126,"PSFTID"),"")</f>
        <v/>
      </c>
      <c r="N126" s="23" t="e">
        <f ca="1">IF(_xll.EVDES(H126,$B$1)="#NODATA","",_xll.EVDES(H126,$B$1))</f>
        <v>#NAME?</v>
      </c>
      <c r="O126" s="145">
        <f t="shared" ref="O126:Z126" si="57">SUM(O121:O125)</f>
        <v>316</v>
      </c>
      <c r="P126" s="145">
        <f t="shared" si="57"/>
        <v>0</v>
      </c>
      <c r="Q126" s="145">
        <f t="shared" si="57"/>
        <v>0</v>
      </c>
      <c r="R126" s="145">
        <f t="shared" si="57"/>
        <v>0</v>
      </c>
      <c r="S126" s="145">
        <f t="shared" si="57"/>
        <v>0</v>
      </c>
      <c r="T126" s="145">
        <f t="shared" si="57"/>
        <v>0</v>
      </c>
      <c r="U126" s="145">
        <f t="shared" si="57"/>
        <v>0</v>
      </c>
      <c r="V126" s="145">
        <f t="shared" si="57"/>
        <v>0</v>
      </c>
      <c r="W126" s="145">
        <f t="shared" si="57"/>
        <v>0</v>
      </c>
      <c r="X126" s="145">
        <f t="shared" si="57"/>
        <v>0</v>
      </c>
      <c r="Y126" s="145">
        <f t="shared" si="57"/>
        <v>0</v>
      </c>
      <c r="Z126" s="145">
        <f t="shared" si="57"/>
        <v>0</v>
      </c>
      <c r="AA126" s="145">
        <f t="shared" si="47"/>
        <v>316</v>
      </c>
      <c r="AB126" s="156" t="str">
        <f t="shared" ca="1" si="48"/>
        <v/>
      </c>
      <c r="AD126" s="145">
        <f>SUM(AD121:AD125)</f>
        <v>0</v>
      </c>
      <c r="AE126" s="156" t="str">
        <f t="shared" si="49"/>
        <v/>
      </c>
      <c r="AF126" s="146">
        <f t="shared" si="50"/>
        <v>316</v>
      </c>
      <c r="AG126" s="145">
        <f>SUM(AG121:AG125)</f>
        <v>78926.450000000012</v>
      </c>
      <c r="AH126" s="156" t="str">
        <f t="shared" ca="1" si="51"/>
        <v/>
      </c>
      <c r="AI126" s="146">
        <f t="shared" si="52"/>
        <v>-78610.450000000012</v>
      </c>
    </row>
    <row r="127" spans="3:35" x14ac:dyDescent="0.2">
      <c r="C127" s="23"/>
      <c r="H127" s="133"/>
      <c r="I127" s="25"/>
      <c r="J127" s="25"/>
      <c r="O127" s="124">
        <f t="shared" ref="O127:AA127" si="58">O103+O111+O119-O126</f>
        <v>0</v>
      </c>
      <c r="P127" s="124">
        <f t="shared" si="58"/>
        <v>0</v>
      </c>
      <c r="Q127" s="124">
        <f t="shared" si="58"/>
        <v>0</v>
      </c>
      <c r="R127" s="124">
        <f t="shared" si="58"/>
        <v>0</v>
      </c>
      <c r="S127" s="124">
        <f t="shared" si="58"/>
        <v>0</v>
      </c>
      <c r="T127" s="124">
        <f t="shared" si="58"/>
        <v>0</v>
      </c>
      <c r="U127" s="124">
        <f t="shared" si="58"/>
        <v>0</v>
      </c>
      <c r="V127" s="124">
        <f t="shared" si="58"/>
        <v>0</v>
      </c>
      <c r="W127" s="124">
        <f t="shared" si="58"/>
        <v>0</v>
      </c>
      <c r="X127" s="124">
        <f t="shared" si="58"/>
        <v>0</v>
      </c>
      <c r="Y127" s="124">
        <f t="shared" si="58"/>
        <v>0</v>
      </c>
      <c r="Z127" s="124">
        <f t="shared" si="58"/>
        <v>0</v>
      </c>
      <c r="AA127" s="124">
        <f t="shared" si="58"/>
        <v>0</v>
      </c>
      <c r="AB127" s="15"/>
      <c r="AD127" s="124">
        <f>AD103+AD111+AD119-AD126</f>
        <v>0</v>
      </c>
      <c r="AE127" s="15"/>
      <c r="AF127" s="19"/>
      <c r="AG127" s="124">
        <f>AG103+AG111+AG119-AG126</f>
        <v>0</v>
      </c>
      <c r="AH127" s="15"/>
      <c r="AI127" s="19"/>
    </row>
    <row r="128" spans="3:35" x14ac:dyDescent="0.2">
      <c r="C128" s="23"/>
      <c r="H128" s="133"/>
      <c r="I128" s="25"/>
      <c r="J128" s="25"/>
      <c r="O128" s="38"/>
      <c r="P128" s="42"/>
      <c r="Q128" s="42"/>
      <c r="R128" s="42"/>
      <c r="S128" s="42"/>
      <c r="T128" s="42"/>
      <c r="U128" s="42"/>
      <c r="V128" s="42"/>
      <c r="W128" s="42"/>
      <c r="X128" s="42"/>
      <c r="Y128" s="42"/>
      <c r="Z128" s="42"/>
      <c r="AA128" s="42"/>
      <c r="AB128" s="39"/>
      <c r="AD128" s="38"/>
      <c r="AE128" s="42"/>
      <c r="AF128" s="39"/>
      <c r="AG128" s="38"/>
      <c r="AH128" s="42"/>
      <c r="AI128" s="39"/>
    </row>
    <row r="129" spans="3:35" ht="16" x14ac:dyDescent="0.2">
      <c r="C129" s="23"/>
      <c r="H129" s="133" t="s">
        <v>281</v>
      </c>
      <c r="I129" s="25"/>
      <c r="J129" s="25"/>
      <c r="N129" s="155" t="e">
        <f ca="1">IF(_xll.EVDES(H129,$B$1)="#NODATA","",_xll.EVDES(H129,$B$1))</f>
        <v>#NAME?</v>
      </c>
      <c r="O129" s="436"/>
      <c r="P129" s="438"/>
      <c r="Q129" s="438"/>
      <c r="R129" s="438"/>
      <c r="S129" s="438"/>
      <c r="T129" s="438"/>
      <c r="U129" s="438"/>
      <c r="V129" s="438"/>
      <c r="W129" s="438"/>
      <c r="X129" s="438"/>
      <c r="Y129" s="438"/>
      <c r="Z129" s="438"/>
      <c r="AA129" s="438"/>
      <c r="AB129" s="437"/>
      <c r="AD129" s="436"/>
      <c r="AE129" s="438"/>
      <c r="AF129" s="438"/>
      <c r="AG129" s="438"/>
      <c r="AH129" s="438"/>
      <c r="AI129" s="437"/>
    </row>
    <row r="130" spans="3:35" x14ac:dyDescent="0.2">
      <c r="C130" s="23"/>
      <c r="H130" s="133">
        <v>561100</v>
      </c>
      <c r="I130" s="25"/>
      <c r="J130" s="25"/>
      <c r="L130" s="24" t="e">
        <f ca="1">_xll.EVPRO($B$1,H130,"JDEID")</f>
        <v>#NAME?</v>
      </c>
      <c r="M130" s="24" t="str">
        <f>IF(AND(I130="N",J130="N"),_xll.EVPRO($B$1,H130,"PSFTID"),"")</f>
        <v/>
      </c>
      <c r="N130" s="24" t="e">
        <f ca="1">IF(_xll.EVDES(H130,$B$1)="#NODATA","",_xll.EVDES(H130,$B$1))</f>
        <v>#NAME?</v>
      </c>
      <c r="O130" s="19">
        <v>2177.35</v>
      </c>
      <c r="P130" s="19">
        <v>5707.46</v>
      </c>
      <c r="Q130" s="19">
        <v>-594.05999999999995</v>
      </c>
      <c r="R130" s="19"/>
      <c r="S130" s="19"/>
      <c r="T130" s="19"/>
      <c r="U130" s="19"/>
      <c r="V130" s="19"/>
      <c r="W130" s="19"/>
      <c r="X130" s="19">
        <v>149.06</v>
      </c>
      <c r="Y130" s="19"/>
      <c r="Z130" s="19">
        <v>235.41</v>
      </c>
      <c r="AA130" s="19">
        <f>SUM(O130:Z130)</f>
        <v>7675.22</v>
      </c>
      <c r="AB130" s="284" t="str">
        <f ca="1">IF(AA130=0,"",IFERROR(AA130/_xll.EVGTS($B$1,1,_xll.EVPRO($B$1,$H130,"COSBASIS"),$B$3,$B$5,$B$6,$B$7,$B$9,AA$16,AA$17,AA$11),""))</f>
        <v/>
      </c>
      <c r="AD130" s="19"/>
      <c r="AE130" s="284" t="str">
        <f>IF(AD130=0,"",IFERROR(AD130/_xll.EVGTS($B$1,1,_xll.EVPRO($B$1,$H130,"COSBASIS"),$B$3,$B$5,$B$6,$B$7,$B$9,AD$16,AD$17,AD$18),""))</f>
        <v/>
      </c>
      <c r="AF130" s="47">
        <f t="shared" ref="AF130:AF140" si="59">IF(AND($AA130="",AD130=""),"",$AA130-AD130)</f>
        <v>7675.22</v>
      </c>
      <c r="AG130" s="19">
        <v>176270.66</v>
      </c>
      <c r="AH130" s="284" t="str">
        <f ca="1">IF(AG130=0,"",IFERROR(AG130/_xll.EVGTS($B$1,1,_xll.EVPRO($B$1,$H130,"COSBASIS"),$B$3,$B$5,$B$6,$B$7,$B$9,AG$16,AG$17,AG$18),""))</f>
        <v/>
      </c>
      <c r="AI130" s="47">
        <f t="shared" ref="AI130:AI141" si="60">IF(AND($AA130="",AG130=""),"",$AA130-AG130)</f>
        <v>-168595.44</v>
      </c>
    </row>
    <row r="131" spans="3:35" x14ac:dyDescent="0.2">
      <c r="C131" s="23"/>
      <c r="H131" s="133" t="s">
        <v>756</v>
      </c>
      <c r="I131" s="25"/>
      <c r="J131" s="25"/>
      <c r="L131" s="24" t="e">
        <f ca="1">_xll.EVPRO($B$1,H131,"JDEID")</f>
        <v>#NAME?</v>
      </c>
      <c r="M131" s="24" t="str">
        <f>IF(AND(I131="N",J131="N"),_xll.EVPRO($B$1,H131,"PSFTID"),"")</f>
        <v/>
      </c>
      <c r="N131" s="439" t="e">
        <f ca="1">IF(_xll.EVDES(H131,$B$1)="#NODATA","",_xll.EVDES(H131,$B$1))</f>
        <v>#NAME?</v>
      </c>
      <c r="O131" s="153">
        <v>0.43202417517877401</v>
      </c>
      <c r="P131" s="153"/>
      <c r="Q131" s="153"/>
      <c r="R131" s="153"/>
      <c r="S131" s="153"/>
      <c r="T131" s="153"/>
      <c r="U131" s="153"/>
      <c r="V131" s="153"/>
      <c r="W131" s="153"/>
      <c r="X131" s="153"/>
      <c r="Y131" s="153"/>
      <c r="Z131" s="153">
        <v>-0.18437500000000001</v>
      </c>
      <c r="AA131" s="153">
        <v>2.6860100508140001</v>
      </c>
      <c r="AB131" s="284"/>
      <c r="AD131" s="153"/>
      <c r="AE131" s="284"/>
      <c r="AF131" s="440">
        <f t="shared" si="59"/>
        <v>2.6860100508140001</v>
      </c>
      <c r="AG131" s="153">
        <v>0.34630899102161899</v>
      </c>
      <c r="AH131" s="284"/>
      <c r="AI131" s="440">
        <f t="shared" si="60"/>
        <v>2.3397010597923811</v>
      </c>
    </row>
    <row r="132" spans="3:35" x14ac:dyDescent="0.2">
      <c r="C132" s="23"/>
      <c r="H132" s="133" t="s">
        <v>636</v>
      </c>
      <c r="I132" s="25"/>
      <c r="J132" s="25"/>
      <c r="L132" s="24" t="e">
        <f ca="1">_xll.EVPRO($B$1,H132,"JDEID")</f>
        <v>#NAME?</v>
      </c>
      <c r="M132" s="24" t="str">
        <f>IF(AND(I132="N",J132="N"),_xll.EVPRO($B$1,H132,"PSFTID"),"")</f>
        <v/>
      </c>
      <c r="N132" s="24" t="e">
        <f ca="1">IF(_xll.EVDES(H132,$B$1)="#NODATA","",_xll.EVDES(H132,$B$1))</f>
        <v>#NAME?</v>
      </c>
      <c r="O132" s="19">
        <v>424.86</v>
      </c>
      <c r="P132" s="19"/>
      <c r="Q132" s="19"/>
      <c r="R132" s="19"/>
      <c r="S132" s="19"/>
      <c r="T132" s="19"/>
      <c r="U132" s="19"/>
      <c r="V132" s="19"/>
      <c r="W132" s="19"/>
      <c r="X132" s="19"/>
      <c r="Y132" s="19"/>
      <c r="Z132" s="19"/>
      <c r="AA132" s="19">
        <f>SUM(O132:Z132)</f>
        <v>424.86</v>
      </c>
      <c r="AB132" s="284" t="str">
        <f ca="1">IF(AA132=0,"",IFERROR(AA132/_xll.EVGTS($B$1,1,_xll.EVPRO($B$1,$H132,"COSBASIS"),$B$3,$B$5,$B$6,$B$7,$B$9,AA$16,AA$17,AA$11),""))</f>
        <v/>
      </c>
      <c r="AD132" s="19"/>
      <c r="AE132" s="284" t="str">
        <f>IF(AD132=0,"",IFERROR(AD132/_xll.EVGTS($B$1,1,_xll.EVPRO($B$1,$H132,"COSBASIS"),$B$3,$B$5,$B$6,$B$7,$B$9,AD$16,AD$17,AD$18),""))</f>
        <v/>
      </c>
      <c r="AF132" s="47">
        <f t="shared" si="59"/>
        <v>424.86</v>
      </c>
      <c r="AG132" s="19">
        <v>25236.33</v>
      </c>
      <c r="AH132" s="284" t="str">
        <f ca="1">IF(AG132=0,"",IFERROR(AG132/_xll.EVGTS($B$1,1,_xll.EVPRO($B$1,$H132,"COSBASIS"),$B$3,$B$5,$B$6,$B$7,$B$9,AG$16,AG$17,AG$18),""))</f>
        <v/>
      </c>
      <c r="AI132" s="47">
        <f t="shared" si="60"/>
        <v>-24811.47</v>
      </c>
    </row>
    <row r="133" spans="3:35" x14ac:dyDescent="0.2">
      <c r="C133" s="23"/>
      <c r="H133" s="133" t="s">
        <v>757</v>
      </c>
      <c r="I133" s="25"/>
      <c r="J133" s="25"/>
      <c r="L133" s="24" t="e">
        <f ca="1">_xll.EVPRO($B$1,H133,"JDEID")</f>
        <v>#NAME?</v>
      </c>
      <c r="M133" s="24" t="str">
        <f>IF(AND(I133="N",J133="N"),_xll.EVPRO($B$1,H133,"PSFTID"),"")</f>
        <v/>
      </c>
      <c r="N133" s="439" t="e">
        <f ca="1">IF(_xll.EVDES(H133,$B$1)="#NODATA","",_xll.EVDES(H133,$B$1))</f>
        <v>#NAME?</v>
      </c>
      <c r="O133" s="153">
        <v>1.34449367088608</v>
      </c>
      <c r="P133" s="153"/>
      <c r="Q133" s="153"/>
      <c r="R133" s="153"/>
      <c r="S133" s="153"/>
      <c r="T133" s="153"/>
      <c r="U133" s="153"/>
      <c r="V133" s="153"/>
      <c r="W133" s="153"/>
      <c r="X133" s="153"/>
      <c r="Y133" s="153"/>
      <c r="Z133" s="153"/>
      <c r="AA133" s="153">
        <v>1.34449367088608</v>
      </c>
      <c r="AB133" s="284"/>
      <c r="AD133" s="153"/>
      <c r="AE133" s="284"/>
      <c r="AF133" s="440">
        <f t="shared" si="59"/>
        <v>1.34449367088608</v>
      </c>
      <c r="AG133" s="153">
        <v>0.319744901740798</v>
      </c>
      <c r="AH133" s="284"/>
      <c r="AI133" s="440">
        <f t="shared" si="60"/>
        <v>1.0247487691452819</v>
      </c>
    </row>
    <row r="134" spans="3:35" x14ac:dyDescent="0.2">
      <c r="C134" s="23"/>
      <c r="H134" s="133" t="s">
        <v>755</v>
      </c>
      <c r="I134" s="25"/>
      <c r="J134" s="25"/>
      <c r="L134" s="24" t="e">
        <f ca="1">_xll.EVPRO($B$1,H134,"JDEID")</f>
        <v>#NAME?</v>
      </c>
      <c r="M134" s="24" t="str">
        <f>IF(AND(I134="N",J134="N"),_xll.EVPRO($B$1,H134,"PSFTID"),"")</f>
        <v/>
      </c>
      <c r="N134" s="24" t="e">
        <f ca="1">IF(_xll.EVDES(H134,$B$1)="#NODATA","",_xll.EVDES(H134,$B$1))</f>
        <v>#NAME?</v>
      </c>
      <c r="O134" s="19">
        <v>15.72</v>
      </c>
      <c r="P134" s="19"/>
      <c r="Q134" s="19"/>
      <c r="R134" s="19"/>
      <c r="S134" s="19"/>
      <c r="T134" s="19"/>
      <c r="U134" s="19"/>
      <c r="V134" s="19"/>
      <c r="W134" s="19"/>
      <c r="X134" s="19"/>
      <c r="Y134" s="19"/>
      <c r="Z134" s="19"/>
      <c r="AA134" s="19">
        <f>SUM(O134:Z134)</f>
        <v>15.72</v>
      </c>
      <c r="AB134" s="284" t="str">
        <f ca="1">IF(AA134=0,"",IFERROR(AA134/_xll.EVGTS($B$1,1,_xll.EVPRO($B$1,$H134,"COSBASIS"),$B$3,$B$5,$B$6,$B$7,$B$9,AA$16,AA$17,AA$11),""))</f>
        <v/>
      </c>
      <c r="AD134" s="19"/>
      <c r="AE134" s="284" t="str">
        <f>IF(AD134=0,"",IFERROR(AD134/_xll.EVGTS($B$1,1,_xll.EVPRO($B$1,$H134,"COSBASIS"),$B$3,$B$5,$B$6,$B$7,$B$9,AD$16,AD$17,AD$18),""))</f>
        <v/>
      </c>
      <c r="AF134" s="47">
        <f t="shared" si="59"/>
        <v>15.72</v>
      </c>
      <c r="AG134" s="19">
        <v>10231.43</v>
      </c>
      <c r="AH134" s="284" t="str">
        <f ca="1">IF(AG134=0,"",IFERROR(AG134/_xll.EVGTS($B$1,1,_xll.EVPRO($B$1,$H134,"COSBASIS"),$B$3,$B$5,$B$6,$B$7,$B$9,AG$16,AG$17,AG$18),""))</f>
        <v/>
      </c>
      <c r="AI134" s="47">
        <f t="shared" si="60"/>
        <v>-10215.710000000001</v>
      </c>
    </row>
    <row r="135" spans="3:35" x14ac:dyDescent="0.2">
      <c r="C135" s="23"/>
      <c r="H135" s="133" t="s">
        <v>758</v>
      </c>
      <c r="I135" s="25"/>
      <c r="J135" s="25"/>
      <c r="L135" s="24" t="e">
        <f ca="1">_xll.EVPRO($B$1,H135,"JDEID")</f>
        <v>#NAME?</v>
      </c>
      <c r="M135" s="24" t="str">
        <f>IF(AND(I135="N",J135="N"),_xll.EVPRO($B$1,H135,"PSFTID"),"")</f>
        <v/>
      </c>
      <c r="N135" s="439" t="e">
        <f ca="1">IF(_xll.EVDES(H135,$B$1)="#NODATA","",_xll.EVDES(H135,$B$1))</f>
        <v>#NAME?</v>
      </c>
      <c r="O135" s="153">
        <v>7.48571428571429E-2</v>
      </c>
      <c r="P135" s="153"/>
      <c r="Q135" s="153"/>
      <c r="R135" s="153"/>
      <c r="S135" s="153"/>
      <c r="T135" s="153"/>
      <c r="U135" s="153"/>
      <c r="V135" s="153"/>
      <c r="W135" s="153"/>
      <c r="X135" s="153"/>
      <c r="Y135" s="153"/>
      <c r="Z135" s="153"/>
      <c r="AA135" s="153">
        <v>7.48571428571429E-2</v>
      </c>
      <c r="AB135" s="284"/>
      <c r="AD135" s="153"/>
      <c r="AE135" s="284"/>
      <c r="AF135" s="440">
        <f t="shared" si="59"/>
        <v>7.48571428571429E-2</v>
      </c>
      <c r="AG135" s="153">
        <v>0.248757843408036</v>
      </c>
      <c r="AH135" s="284"/>
      <c r="AI135" s="440">
        <f t="shared" si="60"/>
        <v>-0.1739007005508931</v>
      </c>
    </row>
    <row r="136" spans="3:35" x14ac:dyDescent="0.2">
      <c r="C136" s="23"/>
      <c r="H136" s="133">
        <v>561400</v>
      </c>
      <c r="I136" s="25"/>
      <c r="J136" s="25"/>
      <c r="L136" s="24" t="e">
        <f ca="1">_xll.EVPRO($B$1,H136,"JDEID")</f>
        <v>#NAME?</v>
      </c>
      <c r="M136" s="24" t="str">
        <f>IF(AND(I136="N",J136="N"),_xll.EVPRO($B$1,H136,"PSFTID"),"")</f>
        <v/>
      </c>
      <c r="N136" s="24" t="e">
        <f ca="1">IF(_xll.EVDES(H136,$B$1)="#NODATA","",_xll.EVDES(H136,$B$1))</f>
        <v>#NAME?</v>
      </c>
      <c r="O136" s="19">
        <v>127.6</v>
      </c>
      <c r="P136" s="19"/>
      <c r="Q136" s="19"/>
      <c r="R136" s="19"/>
      <c r="S136" s="19"/>
      <c r="T136" s="19"/>
      <c r="U136" s="19"/>
      <c r="V136" s="19"/>
      <c r="W136" s="19"/>
      <c r="X136" s="19"/>
      <c r="Y136" s="19"/>
      <c r="Z136" s="19"/>
      <c r="AA136" s="19">
        <f>SUM(O136:Z136)</f>
        <v>127.6</v>
      </c>
      <c r="AB136" s="284" t="str">
        <f ca="1">IF(AA136=0,"",IFERROR(AA136/_xll.EVGTS($B$1,1,_xll.EVPRO($B$1,$H136,"COSBASIS"),$B$3,$B$5,$B$6,$B$7,$B$9,AA$16,AA$17,AA$11),""))</f>
        <v/>
      </c>
      <c r="AD136" s="19"/>
      <c r="AE136" s="284" t="str">
        <f>IF(AD136=0,"",IFERROR(AD136/_xll.EVGTS($B$1,1,_xll.EVPRO($B$1,$H136,"COSBASIS"),$B$3,$B$5,$B$6,$B$7,$B$9,AD$16,AD$17,AD$18),""))</f>
        <v/>
      </c>
      <c r="AF136" s="47">
        <f t="shared" si="59"/>
        <v>127.6</v>
      </c>
      <c r="AG136" s="19">
        <v>1339.73</v>
      </c>
      <c r="AH136" s="284" t="str">
        <f ca="1">IF(AG136=0,"",IFERROR(AG136/_xll.EVGTS($B$1,1,_xll.EVPRO($B$1,$H136,"COSBASIS"),$B$3,$B$5,$B$6,$B$7,$B$9,AG$16,AG$17,AG$18),""))</f>
        <v/>
      </c>
      <c r="AI136" s="47">
        <f t="shared" si="60"/>
        <v>-1212.1300000000001</v>
      </c>
    </row>
    <row r="137" spans="3:35" x14ac:dyDescent="0.2">
      <c r="C137" s="23"/>
      <c r="H137" s="133" t="s">
        <v>759</v>
      </c>
      <c r="I137" s="25"/>
      <c r="J137" s="25"/>
      <c r="L137" s="24" t="e">
        <f ca="1">_xll.EVPRO($B$1,H137,"JDEID")</f>
        <v>#NAME?</v>
      </c>
      <c r="M137" s="24" t="str">
        <f>IF(AND(I137="N",J137="N"),_xll.EVPRO($B$1,H137,"PSFTID"),"")</f>
        <v/>
      </c>
      <c r="N137" s="439" t="e">
        <f ca="1">IF(_xll.EVDES(H137,$B$1)="#NODATA","",_xll.EVDES(H137,$B$1))</f>
        <v>#NAME?</v>
      </c>
      <c r="O137" s="153">
        <v>4.5571428571428596</v>
      </c>
      <c r="P137" s="153"/>
      <c r="Q137" s="153"/>
      <c r="R137" s="153"/>
      <c r="S137" s="153"/>
      <c r="T137" s="153"/>
      <c r="U137" s="153"/>
      <c r="V137" s="153"/>
      <c r="W137" s="153"/>
      <c r="X137" s="153"/>
      <c r="Y137" s="153"/>
      <c r="Z137" s="153"/>
      <c r="AA137" s="153">
        <v>4.5571428571428596</v>
      </c>
      <c r="AB137" s="284"/>
      <c r="AD137" s="153"/>
      <c r="AE137" s="284"/>
      <c r="AF137" s="440">
        <f t="shared" si="59"/>
        <v>4.5571428571428596</v>
      </c>
      <c r="AG137" s="153">
        <v>0.223328532469178</v>
      </c>
      <c r="AH137" s="284"/>
      <c r="AI137" s="440">
        <f t="shared" si="60"/>
        <v>4.333814324673682</v>
      </c>
    </row>
    <row r="138" spans="3:35" x14ac:dyDescent="0.2">
      <c r="H138" s="133">
        <v>561500</v>
      </c>
      <c r="I138" s="25"/>
      <c r="J138" s="25"/>
      <c r="L138" s="24" t="e">
        <f ca="1">_xll.EVPRO($B$1,H138,"JDEID")</f>
        <v>#NAME?</v>
      </c>
      <c r="M138" s="24" t="str">
        <f>IF(AND(I138="N",J138="N"),_xll.EVPRO($B$1,H138,"PSFTID"),"")</f>
        <v/>
      </c>
      <c r="N138" s="24" t="e">
        <f ca="1">IF(_xll.EVDES(H138,$B$1)="#NODATA","",_xll.EVDES(H138,$B$1))</f>
        <v>#NAME?</v>
      </c>
      <c r="O138" s="19">
        <v>281.54000000000002</v>
      </c>
      <c r="P138" s="19"/>
      <c r="Q138" s="19"/>
      <c r="R138" s="19"/>
      <c r="S138" s="19"/>
      <c r="T138" s="19"/>
      <c r="U138" s="19"/>
      <c r="V138" s="19"/>
      <c r="W138" s="19"/>
      <c r="X138" s="19"/>
      <c r="Y138" s="19"/>
      <c r="Z138" s="19"/>
      <c r="AA138" s="19">
        <f>SUM(O138:Z138)</f>
        <v>281.54000000000002</v>
      </c>
      <c r="AB138" s="284" t="str">
        <f ca="1">IF(AA138=0,"",IFERROR(AA138/_xll.EVGTS($B$1,1,_xll.EVPRO($B$1,$H138,"COSBASIS"),$B$3,$B$5,$B$6,$B$7,$B$9,AA$16,AA$17,AA$11),""))</f>
        <v/>
      </c>
      <c r="AD138" s="19"/>
      <c r="AE138" s="284" t="str">
        <f>IF(AD138=0,"",IFERROR(AD138/_xll.EVGTS($B$1,1,_xll.EVPRO($B$1,$H138,"COSBASIS"),$B$3,$B$5,$B$6,$B$7,$B$9,AD$16,AD$17,AD$18),""))</f>
        <v/>
      </c>
      <c r="AF138" s="47">
        <f t="shared" si="59"/>
        <v>281.54000000000002</v>
      </c>
      <c r="AG138" s="19">
        <v>13665.17</v>
      </c>
      <c r="AH138" s="284" t="str">
        <f ca="1">IF(AG138=0,"",IFERROR(AG138/_xll.EVGTS($B$1,1,_xll.EVPRO($B$1,$H138,"COSBASIS"),$B$3,$B$5,$B$6,$B$7,$B$9,AG$16,AG$17,AG$18),""))</f>
        <v/>
      </c>
      <c r="AI138" s="47">
        <f t="shared" si="60"/>
        <v>-13383.63</v>
      </c>
    </row>
    <row r="139" spans="3:35" x14ac:dyDescent="0.2">
      <c r="C139" s="23"/>
      <c r="H139" s="133" t="s">
        <v>760</v>
      </c>
      <c r="I139" s="25"/>
      <c r="J139" s="25"/>
      <c r="L139" s="24" t="e">
        <f ca="1">_xll.EVPRO($B$1,H139,"JDEID")</f>
        <v>#NAME?</v>
      </c>
      <c r="M139" s="24" t="str">
        <f>IF(AND(I139="N",J139="N"),_xll.EVPRO($B$1,H139,"PSFTID"),"")</f>
        <v/>
      </c>
      <c r="N139" s="439" t="e">
        <f ca="1">IF(_xll.EVDES(H139,$B$1)="#NODATA","",_xll.EVDES(H139,$B$1))</f>
        <v>#NAME?</v>
      </c>
      <c r="O139" s="153">
        <v>3.6094871794871799</v>
      </c>
      <c r="P139" s="153"/>
      <c r="Q139" s="153"/>
      <c r="R139" s="153"/>
      <c r="S139" s="153"/>
      <c r="T139" s="153"/>
      <c r="U139" s="153"/>
      <c r="V139" s="153"/>
      <c r="W139" s="153"/>
      <c r="X139" s="153"/>
      <c r="Y139" s="153"/>
      <c r="Z139" s="153"/>
      <c r="AA139" s="153">
        <v>3.6094871794871799</v>
      </c>
      <c r="AB139" s="284"/>
      <c r="AD139" s="153"/>
      <c r="AE139" s="284"/>
      <c r="AF139" s="440">
        <f t="shared" si="59"/>
        <v>3.6094871794871799</v>
      </c>
      <c r="AG139" s="153">
        <v>0.42975678867330602</v>
      </c>
      <c r="AH139" s="284"/>
      <c r="AI139" s="440">
        <f t="shared" si="60"/>
        <v>3.1797303908138739</v>
      </c>
    </row>
    <row r="140" spans="3:35" x14ac:dyDescent="0.2">
      <c r="C140" s="23"/>
      <c r="H140" s="133" t="s">
        <v>286</v>
      </c>
      <c r="I140" s="25"/>
      <c r="J140" s="25"/>
      <c r="L140" s="24" t="e">
        <f ca="1">_xll.EVPRO($B$1,H140,"JDEID")</f>
        <v>#NAME?</v>
      </c>
      <c r="M140" s="24" t="str">
        <f>IF(AND(I140="N",J140="N"),_xll.EVPRO($B$1,H140,"PSFTID"),"")</f>
        <v/>
      </c>
      <c r="N140" s="24" t="e">
        <f ca="1">IF(_xll.EVDES(H140,$B$1)="#NODATA","",_xll.EVDES(H140,$B$1))</f>
        <v>#NAME?</v>
      </c>
      <c r="O140" s="19">
        <v>2602.21</v>
      </c>
      <c r="P140" s="19">
        <v>5707.46</v>
      </c>
      <c r="Q140" s="19">
        <v>-594.05999999999995</v>
      </c>
      <c r="R140" s="19"/>
      <c r="S140" s="19"/>
      <c r="T140" s="19"/>
      <c r="U140" s="19"/>
      <c r="V140" s="19"/>
      <c r="W140" s="19"/>
      <c r="X140" s="19">
        <v>149.06</v>
      </c>
      <c r="Y140" s="19"/>
      <c r="Z140" s="19">
        <v>235.41</v>
      </c>
      <c r="AA140" s="19">
        <f>SUM(O140:Z140)</f>
        <v>8100.0800000000008</v>
      </c>
      <c r="AB140" s="284" t="str">
        <f ca="1">IF(AA140=0,"",IFERROR(AA140/_xll.EVGTS($B$1,1,_xll.EVPRO($B$1,$H140,"COSBASIS"),$B$3,$B$5,$B$6,$B$7,$B$9,AA$16,AA$17,AA$11),""))</f>
        <v/>
      </c>
      <c r="AD140" s="19"/>
      <c r="AE140" s="284" t="str">
        <f>IF(AD140=0,"",IFERROR(AD140/_xll.EVGTS($B$1,1,_xll.EVPRO($B$1,$H140,"COSBASIS"),$B$3,$B$5,$B$6,$B$7,$B$9,AD$16,AD$17,AD$18),""))</f>
        <v/>
      </c>
      <c r="AF140" s="47">
        <f t="shared" si="59"/>
        <v>8100.0800000000008</v>
      </c>
      <c r="AG140" s="19">
        <v>201506.99</v>
      </c>
      <c r="AH140" s="284" t="str">
        <f ca="1">IF(AG140=0,"",IFERROR(AG140/_xll.EVGTS($B$1,1,_xll.EVPRO($B$1,$H140,"COSBASIS"),$B$3,$B$5,$B$6,$B$7,$B$9,AG$16,AG$17,AG$18),""))</f>
        <v/>
      </c>
      <c r="AI140" s="47">
        <f t="shared" si="60"/>
        <v>-193406.91</v>
      </c>
    </row>
    <row r="141" spans="3:35" x14ac:dyDescent="0.2">
      <c r="C141" s="23"/>
      <c r="H141" s="133"/>
      <c r="I141" s="25"/>
      <c r="J141" s="25"/>
      <c r="L141" s="24"/>
      <c r="M141" s="24"/>
      <c r="N141" s="439" t="s">
        <v>762</v>
      </c>
      <c r="O141" s="153">
        <f>IFERROR(O140/O85,"")</f>
        <v>0.48586040015833065</v>
      </c>
      <c r="P141" s="153" t="str">
        <f t="shared" ref="P141:AA141" si="61">IFERROR(P140/P85,"")</f>
        <v/>
      </c>
      <c r="Q141" s="153" t="str">
        <f t="shared" si="61"/>
        <v/>
      </c>
      <c r="R141" s="153" t="str">
        <f t="shared" si="61"/>
        <v/>
      </c>
      <c r="S141" s="153" t="str">
        <f t="shared" si="61"/>
        <v/>
      </c>
      <c r="T141" s="153" t="str">
        <f t="shared" si="61"/>
        <v/>
      </c>
      <c r="U141" s="153" t="str">
        <f t="shared" si="61"/>
        <v/>
      </c>
      <c r="V141" s="153" t="str">
        <f t="shared" si="61"/>
        <v/>
      </c>
      <c r="W141" s="153" t="str">
        <f t="shared" si="61"/>
        <v/>
      </c>
      <c r="X141" s="153" t="str">
        <f t="shared" si="61"/>
        <v/>
      </c>
      <c r="Y141" s="153">
        <f t="shared" si="61"/>
        <v>0</v>
      </c>
      <c r="Z141" s="153">
        <f t="shared" si="61"/>
        <v>-0.18437500000000001</v>
      </c>
      <c r="AA141" s="153">
        <f t="shared" si="61"/>
        <v>2.5524282491145374</v>
      </c>
      <c r="AB141" s="284"/>
      <c r="AD141" s="153" t="str">
        <f>IFERROR(AD140/AD85,"")</f>
        <v/>
      </c>
      <c r="AE141" s="284"/>
      <c r="AF141" s="440" t="e">
        <f t="shared" ref="AF141" si="62">IF(AND($AA141="",AD141=""),"",$AA141-AD141)</f>
        <v>#VALUE!</v>
      </c>
      <c r="AG141" s="153">
        <f>IFERROR(AG140/AG85,"")</f>
        <v>0.34322956163133889</v>
      </c>
      <c r="AH141" s="284"/>
      <c r="AI141" s="440">
        <f t="shared" si="60"/>
        <v>2.2091986874831986</v>
      </c>
    </row>
    <row r="142" spans="3:35" x14ac:dyDescent="0.2">
      <c r="C142" s="23"/>
    </row>
    <row r="143" spans="3:35" x14ac:dyDescent="0.2">
      <c r="C143" s="23"/>
      <c r="H143" s="133"/>
      <c r="I143" s="25"/>
      <c r="J143" s="25"/>
      <c r="N143" s="24" t="e">
        <f ca="1">N85&amp;" - Check"</f>
        <v>#NAME?</v>
      </c>
      <c r="O143" s="124">
        <f t="shared" ref="O143:AA143" si="63">O39+O49+O59+O69+O79+O83-O85</f>
        <v>0</v>
      </c>
      <c r="P143" s="124">
        <f t="shared" si="63"/>
        <v>0</v>
      </c>
      <c r="Q143" s="124">
        <f t="shared" si="63"/>
        <v>0</v>
      </c>
      <c r="R143" s="124">
        <f t="shared" si="63"/>
        <v>0</v>
      </c>
      <c r="S143" s="124">
        <f t="shared" si="63"/>
        <v>0</v>
      </c>
      <c r="T143" s="124">
        <f t="shared" si="63"/>
        <v>0</v>
      </c>
      <c r="U143" s="124">
        <f t="shared" si="63"/>
        <v>0</v>
      </c>
      <c r="V143" s="124">
        <f t="shared" si="63"/>
        <v>0</v>
      </c>
      <c r="W143" s="124">
        <f t="shared" si="63"/>
        <v>0</v>
      </c>
      <c r="X143" s="124">
        <f t="shared" si="63"/>
        <v>0</v>
      </c>
      <c r="Y143" s="124">
        <f t="shared" si="63"/>
        <v>0</v>
      </c>
      <c r="Z143" s="124">
        <f t="shared" si="63"/>
        <v>0</v>
      </c>
      <c r="AA143" s="124">
        <f t="shared" si="63"/>
        <v>0</v>
      </c>
      <c r="AB143" s="15"/>
      <c r="AD143" s="124">
        <f>AD39+AD49+AD59+AD69+AD79+AD83-AD85</f>
        <v>0</v>
      </c>
      <c r="AE143" s="15"/>
      <c r="AF143" s="19"/>
      <c r="AG143" s="124">
        <f>AG39+AG49+AG59+AG69+AG79+AG83-AG85</f>
        <v>0</v>
      </c>
      <c r="AH143" s="15"/>
      <c r="AI143" s="19"/>
    </row>
    <row r="144" spans="3:35" x14ac:dyDescent="0.2">
      <c r="C144" s="23"/>
      <c r="H144" s="133"/>
      <c r="I144" s="25"/>
      <c r="J144" s="25"/>
      <c r="N144" s="24" t="e">
        <f ca="1">N87&amp;" - Check"</f>
        <v>#NAME?</v>
      </c>
      <c r="O144" s="124">
        <f t="shared" ref="O144:AA144" si="64">O41+O51+O61+O71+O80-O87</f>
        <v>0</v>
      </c>
      <c r="P144" s="124">
        <f t="shared" si="64"/>
        <v>0</v>
      </c>
      <c r="Q144" s="124">
        <f t="shared" si="64"/>
        <v>0</v>
      </c>
      <c r="R144" s="124">
        <f t="shared" si="64"/>
        <v>0</v>
      </c>
      <c r="S144" s="124">
        <f t="shared" si="64"/>
        <v>0</v>
      </c>
      <c r="T144" s="124">
        <f t="shared" si="64"/>
        <v>0</v>
      </c>
      <c r="U144" s="124">
        <f t="shared" si="64"/>
        <v>0</v>
      </c>
      <c r="V144" s="124">
        <f t="shared" si="64"/>
        <v>0</v>
      </c>
      <c r="W144" s="124">
        <f t="shared" si="64"/>
        <v>0</v>
      </c>
      <c r="X144" s="124">
        <f t="shared" si="64"/>
        <v>0</v>
      </c>
      <c r="Y144" s="124">
        <f t="shared" si="64"/>
        <v>0</v>
      </c>
      <c r="Z144" s="124">
        <f t="shared" si="64"/>
        <v>0</v>
      </c>
      <c r="AA144" s="124">
        <f t="shared" si="64"/>
        <v>0</v>
      </c>
      <c r="AB144" s="15"/>
      <c r="AD144" s="124">
        <f>AD41+AD51+AD61+AD71+AD80-AD87</f>
        <v>0</v>
      </c>
      <c r="AE144" s="15"/>
      <c r="AF144" s="19"/>
      <c r="AG144" s="124">
        <f>AG41+AG51+AG61+AG71+AG80-AG87</f>
        <v>0</v>
      </c>
      <c r="AH144" s="15"/>
      <c r="AI144" s="19"/>
    </row>
    <row r="145" spans="3:35" x14ac:dyDescent="0.2">
      <c r="C145" s="23"/>
      <c r="H145" s="133"/>
      <c r="I145" s="25"/>
      <c r="J145" s="25"/>
      <c r="N145" s="24" t="e">
        <f ca="1">N88&amp;" - Check"</f>
        <v>#NAME?</v>
      </c>
      <c r="O145" s="159">
        <f>IFERROR(O$85/O87,"")-O88</f>
        <v>0</v>
      </c>
      <c r="P145" s="159" t="e">
        <f t="shared" ref="P145:Z145" si="65">IFERROR(P$85/P87,"")-P88</f>
        <v>#VALUE!</v>
      </c>
      <c r="Q145" s="159" t="e">
        <f t="shared" si="65"/>
        <v>#VALUE!</v>
      </c>
      <c r="R145" s="159" t="e">
        <f t="shared" si="65"/>
        <v>#VALUE!</v>
      </c>
      <c r="S145" s="159" t="e">
        <f t="shared" si="65"/>
        <v>#VALUE!</v>
      </c>
      <c r="T145" s="159" t="e">
        <f t="shared" si="65"/>
        <v>#VALUE!</v>
      </c>
      <c r="U145" s="159" t="e">
        <f t="shared" si="65"/>
        <v>#VALUE!</v>
      </c>
      <c r="V145" s="159" t="e">
        <f t="shared" si="65"/>
        <v>#VALUE!</v>
      </c>
      <c r="W145" s="159" t="e">
        <f t="shared" si="65"/>
        <v>#VALUE!</v>
      </c>
      <c r="X145" s="159" t="e">
        <f t="shared" si="65"/>
        <v>#VALUE!</v>
      </c>
      <c r="Y145" s="159" t="e">
        <f t="shared" si="65"/>
        <v>#VALUE!</v>
      </c>
      <c r="Z145" s="159" t="e">
        <f t="shared" si="65"/>
        <v>#VALUE!</v>
      </c>
      <c r="AA145" s="159">
        <f>IFERROR(AA$85/AA87,"")-AA88</f>
        <v>0</v>
      </c>
      <c r="AB145" s="15"/>
      <c r="AD145" s="159" t="e">
        <f>IFERROR(AD$85/AD87,"")-AD88</f>
        <v>#VALUE!</v>
      </c>
      <c r="AE145" s="15"/>
      <c r="AF145" s="19"/>
      <c r="AG145" s="159">
        <f>IFERROR(AG$85/AG87,"")-AG88</f>
        <v>3.1974423109204508E-14</v>
      </c>
      <c r="AH145" s="15"/>
      <c r="AI145" s="19"/>
    </row>
    <row r="146" spans="3:35" x14ac:dyDescent="0.2">
      <c r="C146" s="23"/>
      <c r="H146" s="133"/>
      <c r="I146" s="25"/>
      <c r="J146" s="25"/>
      <c r="N146" s="24" t="s">
        <v>768</v>
      </c>
      <c r="O146" s="124">
        <f>(O130+O132)-O140</f>
        <v>0</v>
      </c>
      <c r="P146" s="124">
        <f t="shared" ref="P146:AA146" si="66">(P130+P132)-P140</f>
        <v>0</v>
      </c>
      <c r="Q146" s="124">
        <f t="shared" si="66"/>
        <v>0</v>
      </c>
      <c r="R146" s="124">
        <f t="shared" si="66"/>
        <v>0</v>
      </c>
      <c r="S146" s="124">
        <f t="shared" si="66"/>
        <v>0</v>
      </c>
      <c r="T146" s="124">
        <f t="shared" si="66"/>
        <v>0</v>
      </c>
      <c r="U146" s="124">
        <f t="shared" si="66"/>
        <v>0</v>
      </c>
      <c r="V146" s="124">
        <f t="shared" si="66"/>
        <v>0</v>
      </c>
      <c r="W146" s="124">
        <f t="shared" si="66"/>
        <v>0</v>
      </c>
      <c r="X146" s="124">
        <f t="shared" si="66"/>
        <v>0</v>
      </c>
      <c r="Y146" s="124">
        <f t="shared" si="66"/>
        <v>0</v>
      </c>
      <c r="Z146" s="124">
        <f t="shared" si="66"/>
        <v>0</v>
      </c>
      <c r="AA146" s="124">
        <f t="shared" si="66"/>
        <v>0</v>
      </c>
      <c r="AB146" s="15"/>
      <c r="AD146" s="124">
        <f>(AD130+AD132)-AD140</f>
        <v>0</v>
      </c>
      <c r="AE146" s="15"/>
      <c r="AF146" s="19"/>
      <c r="AG146" s="124">
        <f>(AG130+AG132)-AG140</f>
        <v>0</v>
      </c>
      <c r="AH146" s="15"/>
      <c r="AI146" s="19"/>
    </row>
    <row r="147" spans="3:35" x14ac:dyDescent="0.2">
      <c r="C147" s="23"/>
    </row>
    <row r="148" spans="3:35" x14ac:dyDescent="0.2">
      <c r="C148" s="23"/>
    </row>
    <row r="149" spans="3:35" x14ac:dyDescent="0.2">
      <c r="C149" s="23"/>
    </row>
    <row r="150" spans="3:35" x14ac:dyDescent="0.2">
      <c r="C150" s="23"/>
    </row>
    <row r="151" spans="3:35" x14ac:dyDescent="0.2">
      <c r="C151" s="23"/>
    </row>
    <row r="152" spans="3:35" x14ac:dyDescent="0.2">
      <c r="C152" s="23"/>
    </row>
    <row r="153" spans="3:35" x14ac:dyDescent="0.2">
      <c r="C153" s="23"/>
    </row>
    <row r="169" spans="9:34" x14ac:dyDescent="0.2">
      <c r="I169" s="72"/>
      <c r="J169" s="1"/>
      <c r="K169" s="72"/>
      <c r="L169" s="72"/>
      <c r="M169" s="72"/>
      <c r="O169" s="72"/>
      <c r="P169" s="72"/>
      <c r="Q169" s="72"/>
      <c r="R169" s="72"/>
      <c r="S169" s="72"/>
      <c r="T169" s="72"/>
      <c r="U169" s="72"/>
      <c r="V169" s="72"/>
      <c r="W169" s="72"/>
      <c r="X169" s="72"/>
      <c r="Y169" s="72"/>
      <c r="Z169" s="72"/>
      <c r="AA169" s="72"/>
      <c r="AD169" s="72"/>
      <c r="AF169" s="72"/>
      <c r="AH169" s="72"/>
    </row>
    <row r="173" spans="9:34" x14ac:dyDescent="0.2">
      <c r="I173" s="72"/>
      <c r="J173" s="1"/>
      <c r="K173" s="72"/>
      <c r="L173" s="72"/>
      <c r="M173" s="72"/>
      <c r="O173" s="72"/>
      <c r="P173" s="72"/>
      <c r="Q173" s="72"/>
      <c r="R173" s="72"/>
      <c r="S173" s="72"/>
      <c r="T173" s="72"/>
      <c r="U173" s="72"/>
      <c r="V173" s="72"/>
      <c r="W173" s="72"/>
      <c r="X173" s="72"/>
      <c r="Y173" s="72"/>
      <c r="Z173" s="72"/>
      <c r="AA173" s="72"/>
      <c r="AD173" s="72"/>
      <c r="AF173" s="72"/>
      <c r="AH173" s="72"/>
    </row>
    <row r="207" spans="5:5" x14ac:dyDescent="0.2">
      <c r="E207" s="72"/>
    </row>
    <row r="211" spans="5:5" x14ac:dyDescent="0.2">
      <c r="E211" s="72"/>
    </row>
  </sheetData>
  <mergeCells count="2">
    <mergeCell ref="AD31:AE31"/>
    <mergeCell ref="AG31:AH31"/>
  </mergeCells>
  <conditionalFormatting sqref="N43">
    <cfRule type="expression" dxfId="155" priority="14">
      <formula>$G43&lt;&gt;0</formula>
    </cfRule>
  </conditionalFormatting>
  <conditionalFormatting sqref="N53">
    <cfRule type="expression" dxfId="154" priority="12">
      <formula>$G53&lt;&gt;0</formula>
    </cfRule>
  </conditionalFormatting>
  <conditionalFormatting sqref="N63">
    <cfRule type="expression" dxfId="153" priority="10">
      <formula>$G63&lt;&gt;0</formula>
    </cfRule>
  </conditionalFormatting>
  <conditionalFormatting sqref="N73">
    <cfRule type="expression" dxfId="152" priority="8">
      <formula>$G73&lt;&gt;0</formula>
    </cfRule>
  </conditionalFormatting>
  <conditionalFormatting sqref="N82">
    <cfRule type="expression" dxfId="151" priority="7">
      <formula>$G82&lt;&gt;0</formula>
    </cfRule>
  </conditionalFormatting>
  <conditionalFormatting sqref="O43:AA43 AD43 AF43:AG43">
    <cfRule type="expression" dxfId="150" priority="15">
      <formula>ROUND(O42,2)&lt;&gt;ROUND(O43,2)</formula>
    </cfRule>
  </conditionalFormatting>
  <conditionalFormatting sqref="O53:AA53 AD53 AF53:AG53">
    <cfRule type="expression" dxfId="149" priority="13">
      <formula>ROUND(O52,2)&lt;&gt;ROUND(O53,2)</formula>
    </cfRule>
  </conditionalFormatting>
  <conditionalFormatting sqref="O63:AA63 AD63 AF63:AG63">
    <cfRule type="expression" dxfId="148" priority="11">
      <formula>ROUND(O62,2)&lt;&gt;ROUND(O63,2)</formula>
    </cfRule>
  </conditionalFormatting>
  <conditionalFormatting sqref="O73:AA73 AD73 AF73:AG73">
    <cfRule type="expression" dxfId="147" priority="9">
      <formula>ROUND(O72,2)&lt;&gt;ROUND(O73,2)</formula>
    </cfRule>
  </conditionalFormatting>
  <conditionalFormatting sqref="O82:AA82 AD82 AF82:AG82">
    <cfRule type="expression" dxfId="146" priority="6">
      <formula>ROUND(O81,2)&lt;&gt;ROUND(O82,2)</formula>
    </cfRule>
  </conditionalFormatting>
  <conditionalFormatting sqref="AI43">
    <cfRule type="expression" dxfId="145" priority="5">
      <formula>ROUND(AI42,2)&lt;&gt;ROUND(AI43,2)</formula>
    </cfRule>
  </conditionalFormatting>
  <conditionalFormatting sqref="AI53">
    <cfRule type="expression" dxfId="144" priority="4">
      <formula>ROUND(AI52,2)&lt;&gt;ROUND(AI53,2)</formula>
    </cfRule>
  </conditionalFormatting>
  <conditionalFormatting sqref="AI63">
    <cfRule type="expression" dxfId="143" priority="3">
      <formula>ROUND(AI62,2)&lt;&gt;ROUND(AI63,2)</formula>
    </cfRule>
  </conditionalFormatting>
  <conditionalFormatting sqref="AI73">
    <cfRule type="expression" dxfId="142" priority="2">
      <formula>ROUND(AI72,2)&lt;&gt;ROUND(AI73,2)</formula>
    </cfRule>
  </conditionalFormatting>
  <conditionalFormatting sqref="AI82">
    <cfRule type="expression" dxfId="141" priority="1">
      <formula>ROUND(AI81,2)&lt;&gt;ROUND(AI82,2)</formula>
    </cfRule>
  </conditionalFormatting>
  <dataValidations disablePrompts="1" count="2">
    <dataValidation type="list" allowBlank="1" sqref="B29" xr:uid="{00000000-0002-0000-1000-000000000000}">
      <formula1>"SELF,ALL,BAS,DEP,BASMEMBERS,MEMBERS,NOEXPAND,GDEP"</formula1>
    </dataValidation>
    <dataValidation type="list" allowBlank="1" sqref="B28" xr:uid="{00000000-0002-0000-10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2">
    <tabColor theme="6" tint="0.39997558519241921"/>
    <pageSetUpPr fitToPage="1"/>
  </sheetPr>
  <dimension ref="A1:AO19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G1" s="319" t="s">
        <v>22</v>
      </c>
      <c r="H1" s="46" t="s">
        <v>728</v>
      </c>
      <c r="I1" s="1"/>
      <c r="J1" s="1"/>
      <c r="N1" s="16" t="e">
        <f ca="1">IF(OR(_xll.EVCGT($B$1,$B$6,$H$1,$H$2,$H$3,$H$4,$H$5,$H$6,$H$7,$H$8)="#RFR",_xll.EVCGT($B$1,$B$6,$H$1,$H$2,$H$3,$H$4,$H$5,$H$6,$H$7,$H$8)="#NODATA"),"",_xll.EVCGT($B$1,$B$6,$H$1,$H$2,$H$3,$H$4,$H$5,$H$6,$H$7,$H$8))</f>
        <v>#NAME?</v>
      </c>
      <c r="O1" s="1" t="s">
        <v>731</v>
      </c>
    </row>
    <row r="2" spans="1:35" hidden="1" outlineLevel="1" x14ac:dyDescent="0.2">
      <c r="A2" s="8" t="s">
        <v>22</v>
      </c>
      <c r="B2" s="12" t="s">
        <v>56</v>
      </c>
      <c r="C2" s="1" t="e">
        <f ca="1">_xll.EVDES(B2,$B$1)</f>
        <v>#NAME?</v>
      </c>
      <c r="G2" s="319" t="s">
        <v>50</v>
      </c>
      <c r="H2" s="46" t="e">
        <f ca="1">"BU"&amp;RIGHT(B3,4)</f>
        <v>#NAME?</v>
      </c>
      <c r="I2" s="1"/>
      <c r="J2" s="1"/>
    </row>
    <row r="3" spans="1:35" hidden="1" outlineLevel="1" x14ac:dyDescent="0.2">
      <c r="A3" s="8" t="s">
        <v>50</v>
      </c>
      <c r="B3" s="9" t="e">
        <f ca="1">_xll.EVCVW($B$1,A3)</f>
        <v>#NAME?</v>
      </c>
      <c r="C3" s="1" t="e">
        <f ca="1">_xll.EVDES(B3,$B$1)</f>
        <v>#NAME?</v>
      </c>
      <c r="G3" s="319" t="s">
        <v>19</v>
      </c>
      <c r="H3" s="46" t="s">
        <v>683</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c r="G4" s="319" t="s">
        <v>51</v>
      </c>
      <c r="H4" s="46" t="s">
        <v>730</v>
      </c>
    </row>
    <row r="5" spans="1:35" hidden="1" outlineLevel="1" x14ac:dyDescent="0.2">
      <c r="A5" s="8" t="s">
        <v>51</v>
      </c>
      <c r="B5" s="12" t="s">
        <v>59</v>
      </c>
      <c r="C5" s="1" t="e">
        <f ca="1">_xll.EVDES(B5,$B$1)</f>
        <v>#NAME?</v>
      </c>
      <c r="G5" s="319" t="s">
        <v>53</v>
      </c>
      <c r="H5" s="46" t="s">
        <v>729</v>
      </c>
    </row>
    <row r="6" spans="1:35" hidden="1" outlineLevel="1" x14ac:dyDescent="0.2">
      <c r="A6" s="8" t="s">
        <v>52</v>
      </c>
      <c r="B6" s="12" t="s">
        <v>726</v>
      </c>
      <c r="C6" s="1" t="e">
        <f ca="1">_xll.EVDES(B6,$B$1)</f>
        <v>#NAME?</v>
      </c>
      <c r="E6" s="46" t="e">
        <f ca="1">_xll.EVPRO($B$1,$B$6,$F$6)</f>
        <v>#NAME?</v>
      </c>
      <c r="F6" s="1" t="s">
        <v>278</v>
      </c>
      <c r="G6" s="319" t="s">
        <v>20</v>
      </c>
      <c r="H6" s="46" t="s">
        <v>55</v>
      </c>
    </row>
    <row r="7" spans="1:35" hidden="1" outlineLevel="1" x14ac:dyDescent="0.2">
      <c r="A7" s="8" t="s">
        <v>53</v>
      </c>
      <c r="B7" s="12" t="s">
        <v>61</v>
      </c>
      <c r="C7" s="1" t="e">
        <f ca="1">_xll.EVDES(B7,$B$1)</f>
        <v>#NAME?</v>
      </c>
      <c r="G7" s="319" t="s">
        <v>54</v>
      </c>
      <c r="H7" s="46" t="s">
        <v>62</v>
      </c>
    </row>
    <row r="8" spans="1:35" hidden="1" outlineLevel="1" x14ac:dyDescent="0.2">
      <c r="A8" s="8" t="s">
        <v>20</v>
      </c>
      <c r="B8" s="12" t="s">
        <v>63</v>
      </c>
      <c r="C8" s="1" t="e">
        <f ca="1">_xll.EVDES(B8,$B$1)</f>
        <v>#NAME?</v>
      </c>
      <c r="G8" s="319" t="s">
        <v>18</v>
      </c>
      <c r="H8" s="46" t="s">
        <v>727</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_xll.EVRNG(H35:H58)</f>
        <v>#NAME?</v>
      </c>
      <c r="G19" s="16" t="str">
        <f>$B$6</f>
        <v>D2141</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tr">
        <f>$B$6</f>
        <v>D2141</v>
      </c>
      <c r="H20" s="16">
        <v>946000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I21" s="1"/>
      <c r="J21" s="1"/>
    </row>
    <row r="22" spans="1:40" hidden="1" outlineLevel="1" x14ac:dyDescent="0.2">
      <c r="A22" s="6" t="s">
        <v>7</v>
      </c>
      <c r="B22" s="7" t="e">
        <f ca="1">_xll.EVRNG(A36:F44)</f>
        <v>#NAME?</v>
      </c>
      <c r="I22" s="1"/>
      <c r="J22" s="1"/>
    </row>
    <row r="23" spans="1:40" hidden="1" outlineLevel="1" x14ac:dyDescent="0.2">
      <c r="A23" s="6" t="s">
        <v>47</v>
      </c>
      <c r="B23" s="7" t="e">
        <f ca="1">_xll.EVRNG($A$125:$B$146)</f>
        <v>#NAME?</v>
      </c>
      <c r="K23" s="53"/>
      <c r="L23" s="53"/>
      <c r="M23" s="53"/>
      <c r="AD23" s="136"/>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IF($N$1="",IF(_xll.EVDES(B6,$B$1)="#NODATA","",_xll.EVDES(B6,$B$1)&amp;" Department"),$N$1)</f>
        <v>#NAME?</v>
      </c>
    </row>
    <row r="28" spans="1:40" ht="16" x14ac:dyDescent="0.2">
      <c r="A28" s="6" t="s">
        <v>12</v>
      </c>
      <c r="B28" s="7" t="s">
        <v>22</v>
      </c>
      <c r="N28" s="67" t="e">
        <f ca="1">"For the Period ended"&amp;" "&amp;IF(_xll.EVDES($B$10,$B$1)="#NODATA","",_xll.EVDES($B$10,$B$1))</f>
        <v>#NAME?</v>
      </c>
    </row>
    <row r="29" spans="1:40" ht="15" customHeight="1" x14ac:dyDescent="0.2">
      <c r="A29" s="6" t="s">
        <v>13</v>
      </c>
      <c r="B29" s="7" t="e">
        <f ca="1">"DEP(REV_F) AND "&amp;$E$6&amp;"=Y,REV_F,BEV,DEP(REV_BEV) AND "&amp;$E$6&amp;"=Y,REV_BEV,ALLOW_FB,REV_FB,OTHR_REV,DEP(REV_OTHR) AND "&amp;$E$6&amp;"=Y,REV_OTHR,400000"</f>
        <v>#NAME?</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751</v>
      </c>
      <c r="AK30" s="209"/>
      <c r="AL30" s="210"/>
      <c r="AM30" s="209" t="s">
        <v>750</v>
      </c>
      <c r="AN30" s="209"/>
    </row>
    <row r="31" spans="1:40" x14ac:dyDescent="0.2">
      <c r="A31" s="6" t="s">
        <v>15</v>
      </c>
      <c r="B31" s="7"/>
      <c r="G31" s="13"/>
      <c r="K31" s="11"/>
      <c r="L31" s="11"/>
      <c r="M31" s="1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69</v>
      </c>
      <c r="I33" s="11" t="e">
        <f ca="1">_xll.EVPRO($B$1,$H33,"STYLE")</f>
        <v>#NAME?</v>
      </c>
      <c r="J33" s="11" t="e">
        <f ca="1">_xll.EVPRO($B$1,$H33,"CALC")</f>
        <v>#NAME?</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0" x14ac:dyDescent="0.2">
      <c r="H34" s="1" t="s">
        <v>259</v>
      </c>
      <c r="I34" s="11" t="e">
        <f ca="1">_xll.EVPRO($B$1,$H34,"STYLE")</f>
        <v>#NAME?</v>
      </c>
      <c r="J34" s="11" t="e">
        <f ca="1">_xll.EVPRO($B$1,$H34,"CALC")</f>
        <v>#NAME?</v>
      </c>
      <c r="L34" s="175" t="s">
        <v>364</v>
      </c>
      <c r="M34" s="175" t="s">
        <v>782</v>
      </c>
      <c r="N34" s="8" t="e">
        <f ca="1">IF(_xll.EVDES(H34,$B$1)="#NODATA","",_xll.EVDES(H34,$B$1))</f>
        <v>#NAME?</v>
      </c>
      <c r="O34" s="50"/>
      <c r="AB34" s="51"/>
      <c r="AD34" s="50"/>
      <c r="AF34" s="51"/>
      <c r="AG34" s="50"/>
      <c r="AI34" s="51"/>
    </row>
    <row r="35" spans="1:40" x14ac:dyDescent="0.2">
      <c r="A35" s="20" t="s">
        <v>92</v>
      </c>
      <c r="B35" s="21" t="s">
        <v>93</v>
      </c>
      <c r="C35" s="21" t="s">
        <v>94</v>
      </c>
      <c r="D35" s="21" t="s">
        <v>95</v>
      </c>
      <c r="E35" s="21" t="s">
        <v>96</v>
      </c>
      <c r="F35" s="22" t="s">
        <v>97</v>
      </c>
      <c r="H35" s="10" t="s">
        <v>260</v>
      </c>
      <c r="I35" s="25" t="e">
        <f ca="1">_xll.EVPRO($B$1,$H35,"STYLE")</f>
        <v>#NAME?</v>
      </c>
      <c r="J35" s="25" t="e">
        <f ca="1">_xll.EVPRO($B$1,$H35,"CALC")</f>
        <v>#NAME?</v>
      </c>
      <c r="K35" s="64" t="e">
        <f ca="1">IF(AND(I35&gt;="T5"),"&gt;","")</f>
        <v>#NAME?</v>
      </c>
      <c r="L35" s="24" t="e">
        <f ca="1">_xll.EVPRO($B$1,H35,"JDEID")</f>
        <v>#NAME?</v>
      </c>
      <c r="M35" s="24" t="e">
        <f ca="1">IF(AND(I35="N",J35="N"),_xll.EVPRO($B$1,H35,"PSFTID"),"")</f>
        <v>#NAME?</v>
      </c>
      <c r="N35" s="24" t="e">
        <f ca="1">IF(_xll.EVDES(H35,$B$1)="#NODATA","",_xll.EVDES(H35,$B$1))</f>
        <v>#NAME?</v>
      </c>
      <c r="O35" s="282"/>
      <c r="P35" s="283"/>
      <c r="Q35" s="283"/>
      <c r="R35" s="283"/>
      <c r="S35" s="283"/>
      <c r="T35" s="283"/>
      <c r="U35" s="283"/>
      <c r="V35" s="283"/>
      <c r="W35" s="283"/>
      <c r="X35" s="283"/>
      <c r="Y35" s="283"/>
      <c r="Z35" s="283"/>
      <c r="AA35" s="283" t="e">
        <f t="shared" ref="AA35:AA58" ca="1" si="0">IF($I35="B1","",SUM(O35:Z35))</f>
        <v>#NAME?</v>
      </c>
      <c r="AB35" s="284" t="e">
        <f t="shared" ref="AB35:AB58" ca="1" si="1">IF(AA35=0,"",IFERROR(AA35/AA$19,""))</f>
        <v>#NAME?</v>
      </c>
      <c r="AC35" s="300"/>
      <c r="AD35" s="283"/>
      <c r="AE35" s="284" t="str">
        <f t="shared" ref="AE35:AE58" si="2">IF(AD35=0,"",IFERROR(AD35/AD$19,""))</f>
        <v/>
      </c>
      <c r="AF35" s="285" t="e">
        <f t="shared" ref="AF35:AF58" ca="1" si="3">IF(AND($AA35="",AD35=""),"",$AA35-AD35)</f>
        <v>#NAME?</v>
      </c>
      <c r="AG35" s="283">
        <v>54.38</v>
      </c>
      <c r="AH35" s="284" t="str">
        <f ca="1">IF(AG35=0,"",IFERROR(AG35/AG$19,""))</f>
        <v/>
      </c>
      <c r="AI35" s="286" t="e">
        <f ca="1">IF(AND($AA35="",AG35=""),"",$AA35-AG35)</f>
        <v>#NAME?</v>
      </c>
      <c r="AJ35" s="371">
        <f ca="1">IFERROR(AA35/AA$20,0)</f>
        <v>0</v>
      </c>
      <c r="AK35" s="372">
        <f ca="1">IFERROR(AD35/AD$20,0)</f>
        <v>0</v>
      </c>
      <c r="AL35" s="373">
        <f ca="1">IFERROR(AG35/AG$20,0)</f>
        <v>0</v>
      </c>
      <c r="AM35" s="374">
        <f ca="1">+IFERROR(ROUND(($AB35-AE35)*100,2)&amp;" pts.",0)</f>
        <v>0</v>
      </c>
      <c r="AN35" s="375">
        <f ca="1">+IFERROR(ROUND(($AB35-AH35)*100,2)&amp;" pts.",0)</f>
        <v>0</v>
      </c>
    </row>
    <row r="36" spans="1:40" x14ac:dyDescent="0.2">
      <c r="H36" s="133" t="s">
        <v>261</v>
      </c>
      <c r="I36" s="25" t="e">
        <f ca="1">_xll.EVPRO($B$1,$H36,"STYLE")</f>
        <v>#NAME?</v>
      </c>
      <c r="J36" s="25" t="e">
        <f ca="1">_xll.EVPRO($B$1,$H36,"CALC")</f>
        <v>#NAME?</v>
      </c>
      <c r="K36" s="64" t="e">
        <f t="shared" ref="K36:K58" ca="1" si="4">IF(AND(I36&gt;="T5"),"&gt;","")</f>
        <v>#NAME?</v>
      </c>
      <c r="L36" s="24" t="e">
        <f ca="1">_xll.EVPRO($B$1,H36,"JDEID")</f>
        <v>#NAME?</v>
      </c>
      <c r="M36" s="24" t="e">
        <f ca="1">IF(AND(I36="N",J36="N"),_xll.EVPRO($B$1,H36,"PSFTID"),"")</f>
        <v>#NAME?</v>
      </c>
      <c r="N36" s="24" t="e">
        <f ca="1">IF(_xll.EVDES(H36,$B$1)="#NODATA","",_xll.EVDES(H36,$B$1))</f>
        <v>#NAME?</v>
      </c>
      <c r="O36" s="282">
        <v>1039.5</v>
      </c>
      <c r="P36" s="283"/>
      <c r="Q36" s="283"/>
      <c r="R36" s="283"/>
      <c r="S36" s="283"/>
      <c r="T36" s="283"/>
      <c r="U36" s="283"/>
      <c r="V36" s="283"/>
      <c r="W36" s="283"/>
      <c r="X36" s="283"/>
      <c r="Y36" s="283"/>
      <c r="Z36" s="283"/>
      <c r="AA36" s="283" t="e">
        <f t="shared" ca="1" si="0"/>
        <v>#NAME?</v>
      </c>
      <c r="AB36" s="284" t="e">
        <f t="shared" ca="1" si="1"/>
        <v>#NAME?</v>
      </c>
      <c r="AC36" s="300"/>
      <c r="AD36" s="283"/>
      <c r="AE36" s="284" t="str">
        <f t="shared" si="2"/>
        <v/>
      </c>
      <c r="AF36" s="285" t="e">
        <f t="shared" ca="1" si="3"/>
        <v>#NAME?</v>
      </c>
      <c r="AG36" s="283">
        <v>89094.2</v>
      </c>
      <c r="AH36" s="284" t="str">
        <f t="shared" ref="AH36:AH58" ca="1" si="5">IF(AG36=0,"",IFERROR(AG36/AG$19,""))</f>
        <v/>
      </c>
      <c r="AI36" s="286" t="e">
        <f t="shared" ref="AI36:AI58" ca="1" si="6">IF(AND($AA36="",AG36=""),"",$AA36-AG36)</f>
        <v>#NAME?</v>
      </c>
      <c r="AJ36" s="371">
        <f t="shared" ref="AJ36:AJ58" ca="1" si="7">IFERROR(AA36/AA$20,0)</f>
        <v>0</v>
      </c>
      <c r="AK36" s="372">
        <f t="shared" ref="AK36:AK58" ca="1" si="8">IFERROR(AD36/AD$20,0)</f>
        <v>0</v>
      </c>
      <c r="AL36" s="373">
        <f t="shared" ref="AL36:AL58" ca="1" si="9">IFERROR(AG36/AG$20,0)</f>
        <v>0</v>
      </c>
      <c r="AM36" s="374">
        <f t="shared" ref="AM36:AM58" ca="1" si="10">+IFERROR(ROUND(($AB36-AE36)*100,2)&amp;" pts.",0)</f>
        <v>0</v>
      </c>
      <c r="AN36" s="375">
        <f t="shared" ref="AN36:AN58" ca="1" si="11">+IFERROR(ROUND(($AB36-AH36)*100,2)&amp;" pts.",0)</f>
        <v>0</v>
      </c>
    </row>
    <row r="37" spans="1:40" x14ac:dyDescent="0.2">
      <c r="A37" s="1" t="s">
        <v>209</v>
      </c>
      <c r="B37" s="1" t="s">
        <v>21</v>
      </c>
      <c r="C37" s="70"/>
      <c r="D37" s="1" t="s">
        <v>590</v>
      </c>
      <c r="F37" s="1" t="s">
        <v>99</v>
      </c>
      <c r="H37" s="133" t="s">
        <v>262</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282"/>
      <c r="P37" s="283"/>
      <c r="Q37" s="283"/>
      <c r="R37" s="283"/>
      <c r="S37" s="283"/>
      <c r="T37" s="283"/>
      <c r="U37" s="283"/>
      <c r="V37" s="283"/>
      <c r="W37" s="283"/>
      <c r="X37" s="283"/>
      <c r="Y37" s="283"/>
      <c r="Z37" s="283"/>
      <c r="AA37" s="283" t="e">
        <f t="shared" ca="1" si="0"/>
        <v>#NAME?</v>
      </c>
      <c r="AB37" s="284" t="e">
        <f t="shared" ca="1" si="1"/>
        <v>#NAME?</v>
      </c>
      <c r="AC37" s="300"/>
      <c r="AD37" s="283"/>
      <c r="AE37" s="284" t="str">
        <f t="shared" si="2"/>
        <v/>
      </c>
      <c r="AF37" s="285" t="e">
        <f t="shared" ca="1" si="3"/>
        <v>#NAME?</v>
      </c>
      <c r="AG37" s="283">
        <v>1780.5</v>
      </c>
      <c r="AH37" s="284" t="str">
        <f t="shared" ca="1" si="5"/>
        <v/>
      </c>
      <c r="AI37" s="286" t="e">
        <f t="shared" ca="1" si="6"/>
        <v>#NAME?</v>
      </c>
      <c r="AJ37" s="371">
        <f t="shared" ca="1" si="7"/>
        <v>0</v>
      </c>
      <c r="AK37" s="372">
        <f t="shared" ca="1" si="8"/>
        <v>0</v>
      </c>
      <c r="AL37" s="373">
        <f t="shared" ca="1" si="9"/>
        <v>0</v>
      </c>
      <c r="AM37" s="374">
        <f t="shared" ca="1" si="10"/>
        <v>0</v>
      </c>
      <c r="AN37" s="375">
        <f t="shared" ca="1" si="11"/>
        <v>0</v>
      </c>
    </row>
    <row r="38" spans="1:40" x14ac:dyDescent="0.2">
      <c r="A38" s="1" t="s">
        <v>105</v>
      </c>
      <c r="C38" s="24" t="s">
        <v>101</v>
      </c>
      <c r="D38" s="1" t="s">
        <v>106</v>
      </c>
      <c r="F38" s="1" t="s">
        <v>98</v>
      </c>
      <c r="H38" s="10" t="s">
        <v>263</v>
      </c>
      <c r="I38" s="25" t="e">
        <f ca="1">_xll.EVPRO($B$1,$H38,"STYLE")</f>
        <v>#NAME?</v>
      </c>
      <c r="J38" s="25" t="e">
        <f ca="1">_xll.EVPRO($B$1,$H38,"CALC")</f>
        <v>#NAME?</v>
      </c>
      <c r="K38" s="64" t="e">
        <f t="shared" ca="1" si="4"/>
        <v>#NAME?</v>
      </c>
      <c r="L38" s="24" t="e">
        <f ca="1">_xll.EVPRO($B$1,H38,"JDEID")</f>
        <v>#NAME?</v>
      </c>
      <c r="M38" s="24" t="e">
        <f ca="1">IF(AND(I38="N",J38="N"),_xll.EVPRO($B$1,H38,"PSFTID"),"")</f>
        <v>#NAME?</v>
      </c>
      <c r="N38" s="24" t="e">
        <f ca="1">IF(_xll.EVDES(H38,$B$1)="#NODATA","",_xll.EVDES(H38,$B$1))</f>
        <v>#NAME?</v>
      </c>
      <c r="O38" s="282"/>
      <c r="P38" s="283"/>
      <c r="Q38" s="283"/>
      <c r="R38" s="283"/>
      <c r="S38" s="283"/>
      <c r="T38" s="283"/>
      <c r="U38" s="283"/>
      <c r="V38" s="283"/>
      <c r="W38" s="283"/>
      <c r="X38" s="283"/>
      <c r="Y38" s="283"/>
      <c r="Z38" s="283"/>
      <c r="AA38" s="283" t="e">
        <f t="shared" ca="1" si="0"/>
        <v>#NAME?</v>
      </c>
      <c r="AB38" s="284" t="e">
        <f t="shared" ca="1" si="1"/>
        <v>#NAME?</v>
      </c>
      <c r="AC38" s="300"/>
      <c r="AD38" s="283"/>
      <c r="AE38" s="284" t="str">
        <f t="shared" si="2"/>
        <v/>
      </c>
      <c r="AF38" s="285" t="e">
        <f t="shared" ca="1" si="3"/>
        <v>#NAME?</v>
      </c>
      <c r="AG38" s="283"/>
      <c r="AH38" s="284" t="str">
        <f t="shared" si="5"/>
        <v/>
      </c>
      <c r="AI38" s="286" t="e">
        <f t="shared" ca="1" si="6"/>
        <v>#NAME?</v>
      </c>
      <c r="AJ38" s="371">
        <f t="shared" ca="1" si="7"/>
        <v>0</v>
      </c>
      <c r="AK38" s="372">
        <f t="shared" ca="1" si="8"/>
        <v>0</v>
      </c>
      <c r="AL38" s="373">
        <f t="shared" ca="1" si="9"/>
        <v>0</v>
      </c>
      <c r="AM38" s="374">
        <f t="shared" ca="1" si="10"/>
        <v>0</v>
      </c>
      <c r="AN38" s="375">
        <f t="shared" ca="1" si="11"/>
        <v>0</v>
      </c>
    </row>
    <row r="39" spans="1:40" x14ac:dyDescent="0.2">
      <c r="A39" s="1" t="s">
        <v>104</v>
      </c>
      <c r="C39" s="24" t="s">
        <v>101</v>
      </c>
      <c r="D39" s="1" t="s">
        <v>106</v>
      </c>
      <c r="F39" s="1" t="s">
        <v>98</v>
      </c>
      <c r="H39" s="10" t="s">
        <v>264</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295"/>
      <c r="P39" s="296"/>
      <c r="Q39" s="296"/>
      <c r="R39" s="296"/>
      <c r="S39" s="296"/>
      <c r="T39" s="296"/>
      <c r="U39" s="296"/>
      <c r="V39" s="296"/>
      <c r="W39" s="296"/>
      <c r="X39" s="296"/>
      <c r="Y39" s="296"/>
      <c r="Z39" s="296"/>
      <c r="AA39" s="296" t="e">
        <f t="shared" ca="1" si="0"/>
        <v>#NAME?</v>
      </c>
      <c r="AB39" s="297" t="e">
        <f t="shared" ca="1" si="1"/>
        <v>#NAME?</v>
      </c>
      <c r="AC39" s="263"/>
      <c r="AD39" s="296"/>
      <c r="AE39" s="297" t="str">
        <f t="shared" si="2"/>
        <v/>
      </c>
      <c r="AF39" s="298" t="e">
        <f t="shared" ca="1" si="3"/>
        <v>#NAME?</v>
      </c>
      <c r="AG39" s="296"/>
      <c r="AH39" s="297" t="str">
        <f t="shared" si="5"/>
        <v/>
      </c>
      <c r="AI39" s="299" t="e">
        <f t="shared" ca="1" si="6"/>
        <v>#NAME?</v>
      </c>
      <c r="AJ39" s="381">
        <f t="shared" ca="1" si="7"/>
        <v>0</v>
      </c>
      <c r="AK39" s="382">
        <f t="shared" ca="1" si="8"/>
        <v>0</v>
      </c>
      <c r="AL39" s="383">
        <f t="shared" ca="1" si="9"/>
        <v>0</v>
      </c>
      <c r="AM39" s="384">
        <f t="shared" ca="1" si="10"/>
        <v>0</v>
      </c>
      <c r="AN39" s="385">
        <f t="shared" ca="1" si="11"/>
        <v>0</v>
      </c>
    </row>
    <row r="40" spans="1:40" x14ac:dyDescent="0.2">
      <c r="A40" s="1" t="s">
        <v>100</v>
      </c>
      <c r="C40" s="8" t="s">
        <v>101</v>
      </c>
      <c r="D40" s="1" t="s">
        <v>106</v>
      </c>
      <c r="F40" s="1" t="s">
        <v>98</v>
      </c>
      <c r="H40" s="10" t="s">
        <v>265</v>
      </c>
      <c r="I40" s="447" t="e">
        <f ca="1">_xll.EVPRO($B$1,$H40,"STYLE")</f>
        <v>#NAME?</v>
      </c>
      <c r="J40" s="447" t="e">
        <f ca="1">_xll.EVPRO($B$1,$H40,"CALC")</f>
        <v>#NAME?</v>
      </c>
      <c r="K40" s="448" t="e">
        <f t="shared" ca="1" si="4"/>
        <v>#NAME?</v>
      </c>
      <c r="L40" s="151" t="e">
        <f ca="1">_xll.EVPRO($B$1,H40,"JDEID")</f>
        <v>#NAME?</v>
      </c>
      <c r="M40" s="151" t="e">
        <f ca="1">IF(AND(I40="N",J40="N"),_xll.EVPRO($B$1,H40,"PSFTID"),"")</f>
        <v>#NAME?</v>
      </c>
      <c r="N40" s="151" t="e">
        <f ca="1">IF(_xll.EVDES(H40,$B$1)="#NODATA","",_xll.EVDES(H40,$B$1))</f>
        <v>#NAME?</v>
      </c>
      <c r="O40" s="202">
        <v>1039.5</v>
      </c>
      <c r="P40" s="120"/>
      <c r="Q40" s="120"/>
      <c r="R40" s="120"/>
      <c r="S40" s="120"/>
      <c r="T40" s="120"/>
      <c r="U40" s="120"/>
      <c r="V40" s="120"/>
      <c r="W40" s="120"/>
      <c r="X40" s="120"/>
      <c r="Y40" s="120"/>
      <c r="Z40" s="120"/>
      <c r="AA40" s="120" t="e">
        <f t="shared" ca="1" si="0"/>
        <v>#NAME?</v>
      </c>
      <c r="AB40" s="121" t="e">
        <f t="shared" ca="1" si="1"/>
        <v>#NAME?</v>
      </c>
      <c r="AC40" s="123"/>
      <c r="AD40" s="120"/>
      <c r="AE40" s="121" t="str">
        <f t="shared" si="2"/>
        <v/>
      </c>
      <c r="AF40" s="122" t="e">
        <f t="shared" ca="1" si="3"/>
        <v>#NAME?</v>
      </c>
      <c r="AG40" s="120">
        <v>90929.08</v>
      </c>
      <c r="AH40" s="121" t="str">
        <f t="shared" ca="1" si="5"/>
        <v/>
      </c>
      <c r="AI40" s="264" t="e">
        <f t="shared" ca="1" si="6"/>
        <v>#NAME?</v>
      </c>
      <c r="AJ40" s="332">
        <f t="shared" ca="1" si="7"/>
        <v>0</v>
      </c>
      <c r="AK40" s="333">
        <f t="shared" ca="1" si="8"/>
        <v>0</v>
      </c>
      <c r="AL40" s="335">
        <f t="shared" ca="1" si="9"/>
        <v>0</v>
      </c>
      <c r="AM40" s="377">
        <f t="shared" ca="1" si="10"/>
        <v>0</v>
      </c>
      <c r="AN40" s="378">
        <f t="shared" ca="1" si="11"/>
        <v>0</v>
      </c>
    </row>
    <row r="41" spans="1:40" x14ac:dyDescent="0.2">
      <c r="A41" s="1" t="s">
        <v>102</v>
      </c>
      <c r="C41" s="23" t="s">
        <v>101</v>
      </c>
      <c r="D41" s="1" t="s">
        <v>106</v>
      </c>
      <c r="F41" s="1" t="s">
        <v>98</v>
      </c>
      <c r="H41" s="10" t="s">
        <v>266</v>
      </c>
      <c r="I41" s="447" t="e">
        <f ca="1">_xll.EVPRO($B$1,$H41,"STYLE")</f>
        <v>#NAME?</v>
      </c>
      <c r="J41" s="447" t="e">
        <f ca="1">_xll.EVPRO($B$1,$H41,"CALC")</f>
        <v>#NAME?</v>
      </c>
      <c r="K41" s="448" t="e">
        <f t="shared" ca="1" si="4"/>
        <v>#NAME?</v>
      </c>
      <c r="L41" s="151" t="e">
        <f ca="1">_xll.EVPRO($B$1,H41,"JDEID")</f>
        <v>#NAME?</v>
      </c>
      <c r="M41" s="151" t="e">
        <f ca="1">IF(AND(I41="N",J41="N"),_xll.EVPRO($B$1,H41,"PSFTID"),"")</f>
        <v>#NAME?</v>
      </c>
      <c r="N41" s="151" t="e">
        <f ca="1">IF(_xll.EVDES(H41,$B$1)="#NODATA","",_xll.EVDES(H41,$B$1))</f>
        <v>#NAME?</v>
      </c>
      <c r="O41" s="287"/>
      <c r="P41" s="288"/>
      <c r="Q41" s="288"/>
      <c r="R41" s="288"/>
      <c r="S41" s="288"/>
      <c r="T41" s="288"/>
      <c r="U41" s="288"/>
      <c r="V41" s="288"/>
      <c r="W41" s="288"/>
      <c r="X41" s="288"/>
      <c r="Y41" s="288"/>
      <c r="Z41" s="288"/>
      <c r="AA41" s="288" t="e">
        <f t="shared" ca="1" si="0"/>
        <v>#NAME?</v>
      </c>
      <c r="AB41" s="289" t="e">
        <f t="shared" ca="1" si="1"/>
        <v>#NAME?</v>
      </c>
      <c r="AC41" s="301"/>
      <c r="AD41" s="288"/>
      <c r="AE41" s="289" t="str">
        <f t="shared" si="2"/>
        <v/>
      </c>
      <c r="AF41" s="290" t="e">
        <f t="shared" ca="1" si="3"/>
        <v>#NAME?</v>
      </c>
      <c r="AG41" s="288"/>
      <c r="AH41" s="289" t="str">
        <f t="shared" si="5"/>
        <v/>
      </c>
      <c r="AI41" s="291" t="e">
        <f t="shared" ca="1" si="6"/>
        <v>#NAME?</v>
      </c>
      <c r="AJ41" s="325">
        <f t="shared" ca="1" si="7"/>
        <v>0</v>
      </c>
      <c r="AK41" s="326">
        <f t="shared" ca="1" si="8"/>
        <v>0</v>
      </c>
      <c r="AL41" s="328">
        <f t="shared" ca="1" si="9"/>
        <v>0</v>
      </c>
      <c r="AM41" s="362">
        <f t="shared" ca="1" si="10"/>
        <v>0</v>
      </c>
      <c r="AN41" s="376">
        <f t="shared" ca="1" si="11"/>
        <v>0</v>
      </c>
    </row>
    <row r="42" spans="1:40" x14ac:dyDescent="0.2">
      <c r="A42" s="1" t="s">
        <v>102</v>
      </c>
      <c r="C42" s="135" t="s">
        <v>101</v>
      </c>
      <c r="D42" s="1" t="s">
        <v>107</v>
      </c>
      <c r="F42" s="1" t="s">
        <v>99</v>
      </c>
      <c r="H42" s="10" t="s">
        <v>267</v>
      </c>
      <c r="I42" s="25" t="e">
        <f ca="1">_xll.EVPRO($B$1,$H42,"STYLE")</f>
        <v>#NAME?</v>
      </c>
      <c r="J42" s="25" t="e">
        <f ca="1">_xll.EVPRO($B$1,$H42,"CALC")</f>
        <v>#NAME?</v>
      </c>
      <c r="K42" s="64" t="e">
        <f t="shared" ca="1" si="4"/>
        <v>#NAME?</v>
      </c>
      <c r="L42" s="24" t="e">
        <f ca="1">_xll.EVPRO($B$1,H42,"JDEID")</f>
        <v>#NAME?</v>
      </c>
      <c r="M42" s="24" t="e">
        <f ca="1">IF(AND(I42="N",J42="N"),_xll.EVPRO($B$1,H42,"PSFTID"),"")</f>
        <v>#NAME?</v>
      </c>
      <c r="N42" s="24" t="e">
        <f ca="1">IF(_xll.EVDES(H42,$B$1)="#NODATA","",_xll.EVDES(H42,$B$1))</f>
        <v>#NAME?</v>
      </c>
      <c r="O42" s="282"/>
      <c r="P42" s="283"/>
      <c r="Q42" s="283"/>
      <c r="R42" s="283"/>
      <c r="S42" s="283"/>
      <c r="T42" s="283"/>
      <c r="U42" s="283"/>
      <c r="V42" s="283"/>
      <c r="W42" s="283"/>
      <c r="X42" s="283"/>
      <c r="Y42" s="283"/>
      <c r="Z42" s="283"/>
      <c r="AA42" s="283" t="e">
        <f t="shared" ca="1" si="0"/>
        <v>#NAME?</v>
      </c>
      <c r="AB42" s="284" t="e">
        <f t="shared" ca="1" si="1"/>
        <v>#NAME?</v>
      </c>
      <c r="AC42" s="300"/>
      <c r="AD42" s="283"/>
      <c r="AE42" s="284" t="str">
        <f t="shared" si="2"/>
        <v/>
      </c>
      <c r="AF42" s="285" t="e">
        <f t="shared" ca="1" si="3"/>
        <v>#NAME?</v>
      </c>
      <c r="AG42" s="283">
        <v>116</v>
      </c>
      <c r="AH42" s="284" t="str">
        <f t="shared" ca="1" si="5"/>
        <v/>
      </c>
      <c r="AI42" s="286" t="e">
        <f t="shared" ca="1" si="6"/>
        <v>#NAME?</v>
      </c>
      <c r="AJ42" s="371">
        <f t="shared" ca="1" si="7"/>
        <v>0</v>
      </c>
      <c r="AK42" s="372">
        <f t="shared" ca="1" si="8"/>
        <v>0</v>
      </c>
      <c r="AL42" s="373">
        <f t="shared" ca="1" si="9"/>
        <v>0</v>
      </c>
      <c r="AM42" s="374">
        <f t="shared" ca="1" si="10"/>
        <v>0</v>
      </c>
      <c r="AN42" s="375">
        <f t="shared" ca="1" si="11"/>
        <v>0</v>
      </c>
    </row>
    <row r="43" spans="1:40" x14ac:dyDescent="0.2">
      <c r="A43" s="1" t="s">
        <v>108</v>
      </c>
      <c r="C43" s="23" t="s">
        <v>101</v>
      </c>
      <c r="D43" s="1" t="s">
        <v>106</v>
      </c>
      <c r="F43" s="1" t="s">
        <v>98</v>
      </c>
      <c r="H43" s="10" t="s">
        <v>268</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282">
        <v>2103</v>
      </c>
      <c r="P43" s="283"/>
      <c r="Q43" s="283"/>
      <c r="R43" s="283"/>
      <c r="S43" s="283"/>
      <c r="T43" s="283"/>
      <c r="U43" s="283"/>
      <c r="V43" s="283"/>
      <c r="W43" s="283"/>
      <c r="X43" s="283"/>
      <c r="Y43" s="283"/>
      <c r="Z43" s="283"/>
      <c r="AA43" s="283" t="e">
        <f t="shared" ca="1" si="0"/>
        <v>#NAME?</v>
      </c>
      <c r="AB43" s="284" t="e">
        <f t="shared" ca="1" si="1"/>
        <v>#NAME?</v>
      </c>
      <c r="AC43" s="300"/>
      <c r="AD43" s="283"/>
      <c r="AE43" s="284" t="str">
        <f t="shared" si="2"/>
        <v/>
      </c>
      <c r="AF43" s="285" t="e">
        <f t="shared" ca="1" si="3"/>
        <v>#NAME?</v>
      </c>
      <c r="AG43" s="283">
        <v>199393.22</v>
      </c>
      <c r="AH43" s="284" t="str">
        <f t="shared" ca="1" si="5"/>
        <v/>
      </c>
      <c r="AI43" s="286" t="e">
        <f t="shared" ca="1" si="6"/>
        <v>#NAME?</v>
      </c>
      <c r="AJ43" s="371">
        <f t="shared" ca="1" si="7"/>
        <v>0</v>
      </c>
      <c r="AK43" s="372">
        <f t="shared" ca="1" si="8"/>
        <v>0</v>
      </c>
      <c r="AL43" s="373">
        <f t="shared" ca="1" si="9"/>
        <v>0</v>
      </c>
      <c r="AM43" s="374">
        <f t="shared" ca="1" si="10"/>
        <v>0</v>
      </c>
      <c r="AN43" s="375">
        <f t="shared" ca="1" si="11"/>
        <v>0</v>
      </c>
    </row>
    <row r="44" spans="1:40" x14ac:dyDescent="0.2">
      <c r="A44" s="1" t="s">
        <v>108</v>
      </c>
      <c r="C44" s="135" t="s">
        <v>101</v>
      </c>
      <c r="D44" s="1" t="s">
        <v>107</v>
      </c>
      <c r="F44" s="1" t="s">
        <v>99</v>
      </c>
      <c r="H44" s="10" t="s">
        <v>269</v>
      </c>
      <c r="I44" s="25" t="e">
        <f ca="1">_xll.EVPRO($B$1,$H44,"STYLE")</f>
        <v>#NAME?</v>
      </c>
      <c r="J44" s="25" t="e">
        <f ca="1">_xll.EVPRO($B$1,$H44,"CALC")</f>
        <v>#NAME?</v>
      </c>
      <c r="K44" s="64" t="e">
        <f t="shared" ca="1" si="4"/>
        <v>#NAME?</v>
      </c>
      <c r="L44" s="24" t="e">
        <f ca="1">_xll.EVPRO($B$1,H44,"JDEID")</f>
        <v>#NAME?</v>
      </c>
      <c r="M44" s="24" t="e">
        <f ca="1">IF(AND(I44="N",J44="N"),_xll.EVPRO($B$1,H44,"PSFTID"),"")</f>
        <v>#NAME?</v>
      </c>
      <c r="N44" s="24" t="e">
        <f ca="1">IF(_xll.EVDES(H44,$B$1)="#NODATA","",_xll.EVDES(H44,$B$1))</f>
        <v>#NAME?</v>
      </c>
      <c r="O44" s="282"/>
      <c r="P44" s="283"/>
      <c r="Q44" s="283"/>
      <c r="R44" s="283"/>
      <c r="S44" s="283"/>
      <c r="T44" s="283"/>
      <c r="U44" s="283"/>
      <c r="V44" s="283"/>
      <c r="W44" s="283"/>
      <c r="X44" s="283"/>
      <c r="Y44" s="283"/>
      <c r="Z44" s="283"/>
      <c r="AA44" s="283" t="e">
        <f t="shared" ca="1" si="0"/>
        <v>#NAME?</v>
      </c>
      <c r="AB44" s="284" t="e">
        <f t="shared" ca="1" si="1"/>
        <v>#NAME?</v>
      </c>
      <c r="AC44" s="300"/>
      <c r="AD44" s="283"/>
      <c r="AE44" s="284" t="str">
        <f t="shared" si="2"/>
        <v/>
      </c>
      <c r="AF44" s="285" t="e">
        <f t="shared" ca="1" si="3"/>
        <v>#NAME?</v>
      </c>
      <c r="AG44" s="283">
        <v>3549</v>
      </c>
      <c r="AH44" s="284" t="str">
        <f t="shared" ca="1" si="5"/>
        <v/>
      </c>
      <c r="AI44" s="286" t="e">
        <f t="shared" ca="1" si="6"/>
        <v>#NAME?</v>
      </c>
      <c r="AJ44" s="371">
        <f t="shared" ca="1" si="7"/>
        <v>0</v>
      </c>
      <c r="AK44" s="372">
        <f t="shared" ca="1" si="8"/>
        <v>0</v>
      </c>
      <c r="AL44" s="373">
        <f t="shared" ca="1" si="9"/>
        <v>0</v>
      </c>
      <c r="AM44" s="374">
        <f t="shared" ca="1" si="10"/>
        <v>0</v>
      </c>
      <c r="AN44" s="375">
        <f t="shared" ca="1" si="11"/>
        <v>0</v>
      </c>
    </row>
    <row r="45" spans="1:40" x14ac:dyDescent="0.2">
      <c r="H45" s="10" t="s">
        <v>270</v>
      </c>
      <c r="I45" s="25" t="e">
        <f ca="1">_xll.EVPRO($B$1,$H45,"STYLE")</f>
        <v>#NAME?</v>
      </c>
      <c r="J45" s="25" t="e">
        <f ca="1">_xll.EVPRO($B$1,$H45,"CALC")</f>
        <v>#NAME?</v>
      </c>
      <c r="K45" s="64" t="e">
        <f t="shared" ca="1" si="4"/>
        <v>#NAME?</v>
      </c>
      <c r="L45" s="24" t="e">
        <f ca="1">_xll.EVPRO($B$1,H45,"JDEID")</f>
        <v>#NAME?</v>
      </c>
      <c r="M45" s="24" t="e">
        <f ca="1">IF(AND(I45="N",J45="N"),_xll.EVPRO($B$1,H45,"PSFTID"),"")</f>
        <v>#NAME?</v>
      </c>
      <c r="N45" s="24" t="e">
        <f ca="1">IF(_xll.EVDES(H45,$B$1)="#NODATA","",_xll.EVDES(H45,$B$1))</f>
        <v>#NAME?</v>
      </c>
      <c r="O45" s="282"/>
      <c r="P45" s="283"/>
      <c r="Q45" s="283"/>
      <c r="R45" s="283"/>
      <c r="S45" s="283"/>
      <c r="T45" s="283"/>
      <c r="U45" s="283"/>
      <c r="V45" s="283"/>
      <c r="W45" s="283"/>
      <c r="X45" s="283"/>
      <c r="Y45" s="283"/>
      <c r="Z45" s="283"/>
      <c r="AA45" s="283" t="e">
        <f t="shared" ca="1" si="0"/>
        <v>#NAME?</v>
      </c>
      <c r="AB45" s="284" t="e">
        <f t="shared" ca="1" si="1"/>
        <v>#NAME?</v>
      </c>
      <c r="AC45" s="300"/>
      <c r="AD45" s="283"/>
      <c r="AE45" s="284" t="str">
        <f t="shared" si="2"/>
        <v/>
      </c>
      <c r="AF45" s="285" t="e">
        <f t="shared" ca="1" si="3"/>
        <v>#NAME?</v>
      </c>
      <c r="AG45" s="283">
        <v>0</v>
      </c>
      <c r="AH45" s="284" t="str">
        <f t="shared" si="5"/>
        <v/>
      </c>
      <c r="AI45" s="286" t="e">
        <f t="shared" ca="1" si="6"/>
        <v>#NAME?</v>
      </c>
      <c r="AJ45" s="371">
        <f t="shared" ca="1" si="7"/>
        <v>0</v>
      </c>
      <c r="AK45" s="372">
        <f t="shared" ca="1" si="8"/>
        <v>0</v>
      </c>
      <c r="AL45" s="373">
        <f t="shared" ca="1" si="9"/>
        <v>0</v>
      </c>
      <c r="AM45" s="374">
        <f t="shared" ca="1" si="10"/>
        <v>0</v>
      </c>
      <c r="AN45" s="375">
        <f t="shared" ca="1" si="11"/>
        <v>0</v>
      </c>
    </row>
    <row r="46" spans="1:40" x14ac:dyDescent="0.2">
      <c r="H46" s="10" t="s">
        <v>271</v>
      </c>
      <c r="I46" s="25" t="e">
        <f ca="1">_xll.EVPRO($B$1,$H46,"STYLE")</f>
        <v>#NAME?</v>
      </c>
      <c r="J46" s="25" t="e">
        <f ca="1">_xll.EVPRO($B$1,$H46,"CALC")</f>
        <v>#NAME?</v>
      </c>
      <c r="K46" s="64" t="e">
        <f t="shared" ca="1" si="4"/>
        <v>#NAME?</v>
      </c>
      <c r="L46" s="24" t="e">
        <f ca="1">_xll.EVPRO($B$1,H46,"JDEID")</f>
        <v>#NAME?</v>
      </c>
      <c r="M46" s="24" t="e">
        <f ca="1">IF(AND(I46="N",J46="N"),_xll.EVPRO($B$1,H46,"PSFTID"),"")</f>
        <v>#NAME?</v>
      </c>
      <c r="N46" s="24" t="e">
        <f ca="1">IF(_xll.EVDES(H46,$B$1)="#NODATA","",_xll.EVDES(H46,$B$1))</f>
        <v>#NAME?</v>
      </c>
      <c r="O46" s="295"/>
      <c r="P46" s="296"/>
      <c r="Q46" s="296"/>
      <c r="R46" s="296"/>
      <c r="S46" s="296"/>
      <c r="T46" s="296"/>
      <c r="U46" s="296"/>
      <c r="V46" s="296"/>
      <c r="W46" s="296"/>
      <c r="X46" s="296"/>
      <c r="Y46" s="296"/>
      <c r="Z46" s="296"/>
      <c r="AA46" s="296" t="e">
        <f t="shared" ca="1" si="0"/>
        <v>#NAME?</v>
      </c>
      <c r="AB46" s="297" t="e">
        <f t="shared" ca="1" si="1"/>
        <v>#NAME?</v>
      </c>
      <c r="AC46" s="263"/>
      <c r="AD46" s="296"/>
      <c r="AE46" s="297" t="str">
        <f t="shared" si="2"/>
        <v/>
      </c>
      <c r="AF46" s="298" t="e">
        <f t="shared" ca="1" si="3"/>
        <v>#NAME?</v>
      </c>
      <c r="AG46" s="296"/>
      <c r="AH46" s="297" t="str">
        <f t="shared" si="5"/>
        <v/>
      </c>
      <c r="AI46" s="299" t="e">
        <f t="shared" ca="1" si="6"/>
        <v>#NAME?</v>
      </c>
      <c r="AJ46" s="381">
        <f t="shared" ca="1" si="7"/>
        <v>0</v>
      </c>
      <c r="AK46" s="382">
        <f t="shared" ca="1" si="8"/>
        <v>0</v>
      </c>
      <c r="AL46" s="383">
        <f t="shared" ca="1" si="9"/>
        <v>0</v>
      </c>
      <c r="AM46" s="384">
        <f t="shared" ca="1" si="10"/>
        <v>0</v>
      </c>
      <c r="AN46" s="385">
        <f t="shared" ca="1" si="11"/>
        <v>0</v>
      </c>
    </row>
    <row r="47" spans="1:40" x14ac:dyDescent="0.2">
      <c r="A47" s="4" t="e">
        <f ca="1">_xll.EVDRE($B$1,A50:B57,A60:B66)</f>
        <v>#NAME?</v>
      </c>
      <c r="H47" s="10" t="s">
        <v>272</v>
      </c>
      <c r="I47" s="447" t="e">
        <f ca="1">_xll.EVPRO($B$1,$H47,"STYLE")</f>
        <v>#NAME?</v>
      </c>
      <c r="J47" s="447" t="e">
        <f ca="1">_xll.EVPRO($B$1,$H47,"CALC")</f>
        <v>#NAME?</v>
      </c>
      <c r="K47" s="448" t="e">
        <f t="shared" ca="1" si="4"/>
        <v>#NAME?</v>
      </c>
      <c r="L47" s="151" t="e">
        <f ca="1">_xll.EVPRO($B$1,H47,"JDEID")</f>
        <v>#NAME?</v>
      </c>
      <c r="M47" s="151" t="e">
        <f ca="1">IF(AND(I47="N",J47="N"),_xll.EVPRO($B$1,H47,"PSFTID"),"")</f>
        <v>#NAME?</v>
      </c>
      <c r="N47" s="151" t="e">
        <f ca="1">IF(_xll.EVDES(H47,$B$1)="#NODATA","",_xll.EVDES(H47,$B$1))</f>
        <v>#NAME?</v>
      </c>
      <c r="O47" s="202">
        <v>2103</v>
      </c>
      <c r="P47" s="120"/>
      <c r="Q47" s="120"/>
      <c r="R47" s="120"/>
      <c r="S47" s="120"/>
      <c r="T47" s="120"/>
      <c r="U47" s="120"/>
      <c r="V47" s="120"/>
      <c r="W47" s="120"/>
      <c r="X47" s="120"/>
      <c r="Y47" s="120"/>
      <c r="Z47" s="120"/>
      <c r="AA47" s="120" t="e">
        <f t="shared" ca="1" si="0"/>
        <v>#NAME?</v>
      </c>
      <c r="AB47" s="121" t="e">
        <f t="shared" ca="1" si="1"/>
        <v>#NAME?</v>
      </c>
      <c r="AC47" s="123"/>
      <c r="AD47" s="120"/>
      <c r="AE47" s="121" t="str">
        <f t="shared" si="2"/>
        <v/>
      </c>
      <c r="AF47" s="122" t="e">
        <f t="shared" ca="1" si="3"/>
        <v>#NAME?</v>
      </c>
      <c r="AG47" s="120">
        <v>203058.22</v>
      </c>
      <c r="AH47" s="121" t="str">
        <f t="shared" ca="1" si="5"/>
        <v/>
      </c>
      <c r="AI47" s="264" t="e">
        <f t="shared" ca="1" si="6"/>
        <v>#NAME?</v>
      </c>
      <c r="AJ47" s="332">
        <f t="shared" ca="1" si="7"/>
        <v>0</v>
      </c>
      <c r="AK47" s="333">
        <f t="shared" ca="1" si="8"/>
        <v>0</v>
      </c>
      <c r="AL47" s="335">
        <f t="shared" ca="1" si="9"/>
        <v>0</v>
      </c>
      <c r="AM47" s="377">
        <f t="shared" ca="1" si="10"/>
        <v>0</v>
      </c>
      <c r="AN47" s="378">
        <f t="shared" ca="1" si="11"/>
        <v>0</v>
      </c>
    </row>
    <row r="48" spans="1:40" x14ac:dyDescent="0.2">
      <c r="H48" s="10" t="s">
        <v>486</v>
      </c>
      <c r="I48" s="25" t="e">
        <f ca="1">_xll.EVPRO($B$1,$H48,"STYLE")</f>
        <v>#NAME?</v>
      </c>
      <c r="J48" s="25" t="e">
        <f ca="1">_xll.EVPRO($B$1,$H48,"CALC")</f>
        <v>#NAME?</v>
      </c>
      <c r="K48" s="64" t="e">
        <f t="shared" ca="1" si="4"/>
        <v>#NAME?</v>
      </c>
      <c r="L48" s="24" t="e">
        <f ca="1">_xll.EVPRO($B$1,H48,"JDEID")</f>
        <v>#NAME?</v>
      </c>
      <c r="M48" s="24" t="e">
        <f ca="1">IF(AND(I48="N",J48="N"),_xll.EVPRO($B$1,H48,"PSFTID"),"")</f>
        <v>#NAME?</v>
      </c>
      <c r="N48" s="24" t="e">
        <f ca="1">IF(_xll.EVDES(H48,$B$1)="#NODATA","",_xll.EVDES(H48,$B$1))</f>
        <v>#NAME?</v>
      </c>
      <c r="O48" s="302"/>
      <c r="P48" s="44"/>
      <c r="Q48" s="44">
        <v>-43.18</v>
      </c>
      <c r="R48" s="44"/>
      <c r="S48" s="44"/>
      <c r="T48" s="44"/>
      <c r="U48" s="44"/>
      <c r="V48" s="44"/>
      <c r="W48" s="44"/>
      <c r="X48" s="44"/>
      <c r="Y48" s="44"/>
      <c r="Z48" s="44"/>
      <c r="AA48" s="44" t="e">
        <f t="shared" ca="1" si="0"/>
        <v>#NAME?</v>
      </c>
      <c r="AB48" s="45" t="e">
        <f t="shared" ca="1" si="1"/>
        <v>#NAME?</v>
      </c>
      <c r="AD48" s="44"/>
      <c r="AE48" s="45" t="str">
        <f t="shared" si="2"/>
        <v/>
      </c>
      <c r="AF48" s="134" t="e">
        <f t="shared" ca="1" si="3"/>
        <v>#NAME?</v>
      </c>
      <c r="AG48" s="44">
        <v>-884.53</v>
      </c>
      <c r="AH48" s="45" t="str">
        <f t="shared" ca="1" si="5"/>
        <v/>
      </c>
      <c r="AI48" s="303" t="e">
        <f t="shared" ca="1" si="6"/>
        <v>#NAME?</v>
      </c>
      <c r="AJ48" s="392">
        <f t="shared" ca="1" si="7"/>
        <v>0</v>
      </c>
      <c r="AK48" s="393">
        <f t="shared" ca="1" si="8"/>
        <v>0</v>
      </c>
      <c r="AL48" s="394">
        <f t="shared" ca="1" si="9"/>
        <v>0</v>
      </c>
      <c r="AM48" s="395">
        <f t="shared" ca="1" si="10"/>
        <v>0</v>
      </c>
      <c r="AN48" s="396">
        <f t="shared" ca="1" si="11"/>
        <v>0</v>
      </c>
    </row>
    <row r="49" spans="1:40" x14ac:dyDescent="0.2">
      <c r="A49" s="3" t="s">
        <v>0</v>
      </c>
      <c r="B49" s="5" t="s">
        <v>1</v>
      </c>
      <c r="H49" s="10" t="s">
        <v>273</v>
      </c>
      <c r="I49" s="447" t="e">
        <f ca="1">_xll.EVPRO($B$1,$H49,"STYLE")</f>
        <v>#NAME?</v>
      </c>
      <c r="J49" s="447" t="e">
        <f ca="1">_xll.EVPRO($B$1,$H49,"CALC")</f>
        <v>#NAME?</v>
      </c>
      <c r="K49" s="448" t="e">
        <f t="shared" ca="1" si="4"/>
        <v>#NAME?</v>
      </c>
      <c r="L49" s="151" t="e">
        <f ca="1">_xll.EVPRO($B$1,H49,"JDEID")</f>
        <v>#NAME?</v>
      </c>
      <c r="M49" s="151" t="e">
        <f ca="1">IF(AND(I49="N",J49="N"),_xll.EVPRO($B$1,H49,"PSFTID"),"")</f>
        <v>#NAME?</v>
      </c>
      <c r="N49" s="151" t="e">
        <f ca="1">IF(_xll.EVDES(H49,$B$1)="#NODATA","",_xll.EVDES(H49,$B$1))</f>
        <v>#NAME?</v>
      </c>
      <c r="O49" s="202">
        <v>3142.5</v>
      </c>
      <c r="P49" s="120"/>
      <c r="Q49" s="120">
        <v>-43.18</v>
      </c>
      <c r="R49" s="120"/>
      <c r="S49" s="120"/>
      <c r="T49" s="120"/>
      <c r="U49" s="120"/>
      <c r="V49" s="120"/>
      <c r="W49" s="120"/>
      <c r="X49" s="120"/>
      <c r="Y49" s="120"/>
      <c r="Z49" s="120"/>
      <c r="AA49" s="120" t="e">
        <f t="shared" ca="1" si="0"/>
        <v>#NAME?</v>
      </c>
      <c r="AB49" s="121" t="e">
        <f t="shared" ca="1" si="1"/>
        <v>#NAME?</v>
      </c>
      <c r="AC49" s="123"/>
      <c r="AD49" s="120"/>
      <c r="AE49" s="121" t="str">
        <f t="shared" si="2"/>
        <v/>
      </c>
      <c r="AF49" s="122" t="e">
        <f t="shared" ca="1" si="3"/>
        <v>#NAME?</v>
      </c>
      <c r="AG49" s="120">
        <v>293102.77</v>
      </c>
      <c r="AH49" s="121" t="str">
        <f t="shared" ca="1" si="5"/>
        <v/>
      </c>
      <c r="AI49" s="264" t="e">
        <f t="shared" ca="1" si="6"/>
        <v>#NAME?</v>
      </c>
      <c r="AJ49" s="332">
        <f t="shared" ca="1" si="7"/>
        <v>0</v>
      </c>
      <c r="AK49" s="333">
        <f t="shared" ca="1" si="8"/>
        <v>0</v>
      </c>
      <c r="AL49" s="335">
        <f t="shared" ca="1" si="9"/>
        <v>0</v>
      </c>
      <c r="AM49" s="377">
        <f t="shared" ca="1" si="10"/>
        <v>0</v>
      </c>
      <c r="AN49" s="378">
        <f t="shared" ca="1" si="11"/>
        <v>0</v>
      </c>
    </row>
    <row r="50" spans="1:40" x14ac:dyDescent="0.2">
      <c r="A50" s="6" t="s">
        <v>2</v>
      </c>
      <c r="B50" s="7" t="e">
        <f ca="1">_xll.EVRNG($B$2:$B$10)</f>
        <v>#NAME?</v>
      </c>
      <c r="H50" s="10" t="s">
        <v>279</v>
      </c>
      <c r="I50" s="447" t="e">
        <f ca="1">_xll.EVPRO($B$1,$H50,"STYLE")</f>
        <v>#NAME?</v>
      </c>
      <c r="J50" s="447" t="e">
        <f ca="1">_xll.EVPRO($B$1,$H50,"CALC")</f>
        <v>#NAME?</v>
      </c>
      <c r="K50" s="448" t="e">
        <f t="shared" ca="1" si="4"/>
        <v>#NAME?</v>
      </c>
      <c r="L50" s="151" t="e">
        <f ca="1">_xll.EVPRO($B$1,H50,"JDEID")</f>
        <v>#NAME?</v>
      </c>
      <c r="M50" s="151" t="e">
        <f ca="1">IF(AND(I50="N",J50="N"),_xll.EVPRO($B$1,H50,"PSFTID"),"")</f>
        <v>#NAME?</v>
      </c>
      <c r="N50" s="151" t="e">
        <f ca="1">IF(_xll.EVDES(H50,$B$1)="#NODATA","",_xll.EVDES(H50,$B$1))</f>
        <v>#NAME?</v>
      </c>
      <c r="O50" s="287"/>
      <c r="P50" s="288"/>
      <c r="Q50" s="288"/>
      <c r="R50" s="288"/>
      <c r="S50" s="288"/>
      <c r="T50" s="288"/>
      <c r="U50" s="288"/>
      <c r="V50" s="288"/>
      <c r="W50" s="288"/>
      <c r="X50" s="288"/>
      <c r="Y50" s="288"/>
      <c r="Z50" s="288"/>
      <c r="AA50" s="288" t="e">
        <f t="shared" ca="1" si="0"/>
        <v>#NAME?</v>
      </c>
      <c r="AB50" s="289" t="e">
        <f t="shared" ca="1" si="1"/>
        <v>#NAME?</v>
      </c>
      <c r="AC50" s="301"/>
      <c r="AD50" s="288"/>
      <c r="AE50" s="289" t="str">
        <f t="shared" si="2"/>
        <v/>
      </c>
      <c r="AF50" s="290" t="e">
        <f t="shared" ca="1" si="3"/>
        <v>#NAME?</v>
      </c>
      <c r="AG50" s="288"/>
      <c r="AH50" s="289" t="str">
        <f t="shared" si="5"/>
        <v/>
      </c>
      <c r="AI50" s="291" t="e">
        <f t="shared" ca="1" si="6"/>
        <v>#NAME?</v>
      </c>
      <c r="AJ50" s="325">
        <f t="shared" ca="1" si="7"/>
        <v>0</v>
      </c>
      <c r="AK50" s="326">
        <f t="shared" ca="1" si="8"/>
        <v>0</v>
      </c>
      <c r="AL50" s="328">
        <f t="shared" ca="1" si="9"/>
        <v>0</v>
      </c>
      <c r="AM50" s="362">
        <f t="shared" ca="1" si="10"/>
        <v>0</v>
      </c>
      <c r="AN50" s="376">
        <f t="shared" ca="1" si="11"/>
        <v>0</v>
      </c>
    </row>
    <row r="51" spans="1:40" x14ac:dyDescent="0.2">
      <c r="A51" s="6" t="s">
        <v>3</v>
      </c>
      <c r="B51" s="7" t="e">
        <f ca="1">_xll.EVRNG($O$16:$AN$18)</f>
        <v>#NAME?</v>
      </c>
      <c r="H51" s="10" t="s">
        <v>274</v>
      </c>
      <c r="I51" s="25" t="e">
        <f ca="1">_xll.EVPRO($B$1,$H51,"STYLE")</f>
        <v>#NAME?</v>
      </c>
      <c r="J51" s="25" t="e">
        <f ca="1">_xll.EVPRO($B$1,$H51,"CALC")</f>
        <v>#NAME?</v>
      </c>
      <c r="K51" s="64" t="e">
        <f t="shared" ca="1" si="4"/>
        <v>#NAME?</v>
      </c>
      <c r="L51" s="24" t="e">
        <f ca="1">_xll.EVPRO($B$1,H51,"JDEID")</f>
        <v>#NAME?</v>
      </c>
      <c r="M51" s="24" t="e">
        <f ca="1">IF(AND(I51="N",J51="N"),_xll.EVPRO($B$1,H51,"PSFTID"),"")</f>
        <v>#NAME?</v>
      </c>
      <c r="N51" s="24" t="e">
        <f ca="1">IF(_xll.EVDES(H51,$B$1)="#NODATA","",_xll.EVDES(H51,$B$1))</f>
        <v>#NAME?</v>
      </c>
      <c r="O51" s="282"/>
      <c r="P51" s="283"/>
      <c r="Q51" s="283"/>
      <c r="R51" s="283"/>
      <c r="S51" s="283"/>
      <c r="T51" s="283"/>
      <c r="U51" s="283"/>
      <c r="V51" s="283"/>
      <c r="W51" s="283"/>
      <c r="X51" s="283"/>
      <c r="Y51" s="283"/>
      <c r="Z51" s="283"/>
      <c r="AA51" s="283" t="e">
        <f t="shared" ca="1" si="0"/>
        <v>#NAME?</v>
      </c>
      <c r="AB51" s="284" t="e">
        <f t="shared" ca="1" si="1"/>
        <v>#NAME?</v>
      </c>
      <c r="AC51" s="300"/>
      <c r="AD51" s="283"/>
      <c r="AE51" s="284" t="str">
        <f t="shared" si="2"/>
        <v/>
      </c>
      <c r="AF51" s="285" t="e">
        <f t="shared" ca="1" si="3"/>
        <v>#NAME?</v>
      </c>
      <c r="AG51" s="283"/>
      <c r="AH51" s="284" t="str">
        <f t="shared" si="5"/>
        <v/>
      </c>
      <c r="AI51" s="286" t="e">
        <f t="shared" ca="1" si="6"/>
        <v>#NAME?</v>
      </c>
      <c r="AJ51" s="371">
        <f t="shared" ca="1" si="7"/>
        <v>0</v>
      </c>
      <c r="AK51" s="372">
        <f t="shared" ca="1" si="8"/>
        <v>0</v>
      </c>
      <c r="AL51" s="373">
        <f t="shared" ca="1" si="9"/>
        <v>0</v>
      </c>
      <c r="AM51" s="374">
        <f t="shared" ca="1" si="10"/>
        <v>0</v>
      </c>
      <c r="AN51" s="375">
        <f t="shared" ca="1" si="11"/>
        <v>0</v>
      </c>
    </row>
    <row r="52" spans="1:40" x14ac:dyDescent="0.2">
      <c r="A52" s="6" t="s">
        <v>4</v>
      </c>
      <c r="B52" s="7" t="e">
        <f ca="1">_xll.EVRNG(H62:H70)</f>
        <v>#NAME?</v>
      </c>
      <c r="H52" s="10" t="s">
        <v>275</v>
      </c>
      <c r="I52" s="25" t="e">
        <f ca="1">_xll.EVPRO($B$1,$H52,"STYLE")</f>
        <v>#NAME?</v>
      </c>
      <c r="J52" s="25" t="e">
        <f ca="1">_xll.EVPRO($B$1,$H52,"CALC")</f>
        <v>#NAME?</v>
      </c>
      <c r="K52" s="64" t="e">
        <f t="shared" ca="1" si="4"/>
        <v>#NAME?</v>
      </c>
      <c r="L52" s="24" t="e">
        <f ca="1">_xll.EVPRO($B$1,H52,"JDEID")</f>
        <v>#NAME?</v>
      </c>
      <c r="M52" s="24" t="e">
        <f ca="1">IF(AND(I52="N",J52="N"),_xll.EVPRO($B$1,H52,"PSFTID"),"")</f>
        <v>#NAME?</v>
      </c>
      <c r="N52" s="24" t="e">
        <f ca="1">IF(_xll.EVDES(H52,$B$1)="#NODATA","",_xll.EVDES(H52,$B$1))</f>
        <v>#NAME?</v>
      </c>
      <c r="O52" s="282"/>
      <c r="P52" s="283"/>
      <c r="Q52" s="283"/>
      <c r="R52" s="283"/>
      <c r="S52" s="283"/>
      <c r="T52" s="283"/>
      <c r="U52" s="283"/>
      <c r="V52" s="283"/>
      <c r="W52" s="283"/>
      <c r="X52" s="283"/>
      <c r="Y52" s="283"/>
      <c r="Z52" s="283"/>
      <c r="AA52" s="283" t="e">
        <f t="shared" ca="1" si="0"/>
        <v>#NAME?</v>
      </c>
      <c r="AB52" s="284" t="e">
        <f t="shared" ca="1" si="1"/>
        <v>#NAME?</v>
      </c>
      <c r="AC52" s="300"/>
      <c r="AD52" s="283"/>
      <c r="AE52" s="284" t="str">
        <f t="shared" si="2"/>
        <v/>
      </c>
      <c r="AF52" s="285" t="e">
        <f t="shared" ca="1" si="3"/>
        <v>#NAME?</v>
      </c>
      <c r="AG52" s="283"/>
      <c r="AH52" s="284" t="str">
        <f t="shared" si="5"/>
        <v/>
      </c>
      <c r="AI52" s="286" t="e">
        <f t="shared" ca="1" si="6"/>
        <v>#NAME?</v>
      </c>
      <c r="AJ52" s="371">
        <f t="shared" ca="1" si="7"/>
        <v>0</v>
      </c>
      <c r="AK52" s="372">
        <f t="shared" ca="1" si="8"/>
        <v>0</v>
      </c>
      <c r="AL52" s="373">
        <f t="shared" ca="1" si="9"/>
        <v>0</v>
      </c>
      <c r="AM52" s="374">
        <f t="shared" ca="1" si="10"/>
        <v>0</v>
      </c>
      <c r="AN52" s="375">
        <f t="shared" ca="1" si="11"/>
        <v>0</v>
      </c>
    </row>
    <row r="53" spans="1:40" x14ac:dyDescent="0.2">
      <c r="A53" s="6" t="s">
        <v>5</v>
      </c>
      <c r="B53" s="7"/>
      <c r="F53" s="136"/>
      <c r="H53" s="10" t="s">
        <v>276</v>
      </c>
      <c r="I53" s="25" t="e">
        <f ca="1">_xll.EVPRO($B$1,$H53,"STYLE")</f>
        <v>#NAME?</v>
      </c>
      <c r="J53" s="25" t="e">
        <f ca="1">_xll.EVPRO($B$1,$H53,"CALC")</f>
        <v>#NAME?</v>
      </c>
      <c r="K53" s="64" t="e">
        <f t="shared" ca="1" si="4"/>
        <v>#NAME?</v>
      </c>
      <c r="L53" s="24" t="e">
        <f ca="1">_xll.EVPRO($B$1,H53,"JDEID")</f>
        <v>#NAME?</v>
      </c>
      <c r="M53" s="24" t="e">
        <f ca="1">IF(AND(I53="N",J53="N"),_xll.EVPRO($B$1,H53,"PSFTID"),"")</f>
        <v>#NAME?</v>
      </c>
      <c r="N53" s="24" t="e">
        <f ca="1">IF(_xll.EVDES(H53,$B$1)="#NODATA","",_xll.EVDES(H53,$B$1))</f>
        <v>#NAME?</v>
      </c>
      <c r="O53" s="282"/>
      <c r="P53" s="283"/>
      <c r="Q53" s="283"/>
      <c r="R53" s="283"/>
      <c r="S53" s="283"/>
      <c r="T53" s="283"/>
      <c r="U53" s="283"/>
      <c r="V53" s="283"/>
      <c r="W53" s="283"/>
      <c r="X53" s="283"/>
      <c r="Y53" s="283"/>
      <c r="Z53" s="283"/>
      <c r="AA53" s="283" t="e">
        <f t="shared" ca="1" si="0"/>
        <v>#NAME?</v>
      </c>
      <c r="AB53" s="284" t="e">
        <f t="shared" ca="1" si="1"/>
        <v>#NAME?</v>
      </c>
      <c r="AC53" s="300"/>
      <c r="AD53" s="283"/>
      <c r="AE53" s="284" t="str">
        <f t="shared" si="2"/>
        <v/>
      </c>
      <c r="AF53" s="285" t="e">
        <f t="shared" ca="1" si="3"/>
        <v>#NAME?</v>
      </c>
      <c r="AG53" s="283"/>
      <c r="AH53" s="284" t="str">
        <f t="shared" si="5"/>
        <v/>
      </c>
      <c r="AI53" s="286" t="e">
        <f t="shared" ca="1" si="6"/>
        <v>#NAME?</v>
      </c>
      <c r="AJ53" s="371">
        <f t="shared" ca="1" si="7"/>
        <v>0</v>
      </c>
      <c r="AK53" s="372">
        <f t="shared" ca="1" si="8"/>
        <v>0</v>
      </c>
      <c r="AL53" s="373">
        <f t="shared" ca="1" si="9"/>
        <v>0</v>
      </c>
      <c r="AM53" s="374">
        <f t="shared" ca="1" si="10"/>
        <v>0</v>
      </c>
      <c r="AN53" s="375">
        <f t="shared" ca="1" si="11"/>
        <v>0</v>
      </c>
    </row>
    <row r="54" spans="1:40" x14ac:dyDescent="0.2">
      <c r="A54" s="6" t="s">
        <v>6</v>
      </c>
      <c r="B54" s="7"/>
      <c r="F54" s="136"/>
      <c r="H54" s="10" t="s">
        <v>282</v>
      </c>
      <c r="I54" s="25" t="e">
        <f ca="1">_xll.EVPRO($B$1,$H54,"STYLE")</f>
        <v>#NAME?</v>
      </c>
      <c r="J54" s="25" t="e">
        <f ca="1">_xll.EVPRO($B$1,$H54,"CALC")</f>
        <v>#NAME?</v>
      </c>
      <c r="K54" s="64" t="e">
        <f t="shared" ca="1" si="4"/>
        <v>#NAME?</v>
      </c>
      <c r="L54" s="24" t="e">
        <f ca="1">_xll.EVPRO($B$1,H54,"JDEID")</f>
        <v>#NAME?</v>
      </c>
      <c r="M54" s="24" t="e">
        <f ca="1">IF(AND(I54="N",J54="N"),_xll.EVPRO($B$1,H54,"PSFTID"),"")</f>
        <v>#NAME?</v>
      </c>
      <c r="N54" s="24" t="e">
        <f ca="1">IF(_xll.EVDES(H54,$B$1)="#NODATA","",_xll.EVDES(H54,$B$1))</f>
        <v>#NAME?</v>
      </c>
      <c r="O54" s="282">
        <v>624.96</v>
      </c>
      <c r="P54" s="283"/>
      <c r="Q54" s="283"/>
      <c r="R54" s="283"/>
      <c r="S54" s="283"/>
      <c r="T54" s="283"/>
      <c r="U54" s="283"/>
      <c r="V54" s="283"/>
      <c r="W54" s="283"/>
      <c r="X54" s="283"/>
      <c r="Y54" s="283"/>
      <c r="Z54" s="283"/>
      <c r="AA54" s="283" t="e">
        <f t="shared" ca="1" si="0"/>
        <v>#NAME?</v>
      </c>
      <c r="AB54" s="284" t="e">
        <f t="shared" ca="1" si="1"/>
        <v>#NAME?</v>
      </c>
      <c r="AC54" s="300"/>
      <c r="AD54" s="283"/>
      <c r="AE54" s="284" t="str">
        <f t="shared" si="2"/>
        <v/>
      </c>
      <c r="AF54" s="285" t="e">
        <f t="shared" ca="1" si="3"/>
        <v>#NAME?</v>
      </c>
      <c r="AG54" s="283">
        <v>54713.27</v>
      </c>
      <c r="AH54" s="284" t="str">
        <f t="shared" ca="1" si="5"/>
        <v/>
      </c>
      <c r="AI54" s="286" t="e">
        <f t="shared" ca="1" si="6"/>
        <v>#NAME?</v>
      </c>
      <c r="AJ54" s="371">
        <f t="shared" ca="1" si="7"/>
        <v>0</v>
      </c>
      <c r="AK54" s="372">
        <f t="shared" ca="1" si="8"/>
        <v>0</v>
      </c>
      <c r="AL54" s="373">
        <f t="shared" ca="1" si="9"/>
        <v>0</v>
      </c>
      <c r="AM54" s="374">
        <f t="shared" ca="1" si="10"/>
        <v>0</v>
      </c>
      <c r="AN54" s="375">
        <f t="shared" ca="1" si="11"/>
        <v>0</v>
      </c>
    </row>
    <row r="55" spans="1:40" x14ac:dyDescent="0.2">
      <c r="A55" s="6" t="s">
        <v>7</v>
      </c>
      <c r="B55" s="7" t="e">
        <f ca="1">_xll.EVRNG(A69:F77)</f>
        <v>#NAME?</v>
      </c>
      <c r="F55" s="136"/>
      <c r="H55" s="10" t="s">
        <v>283</v>
      </c>
      <c r="I55" s="25" t="e">
        <f ca="1">_xll.EVPRO($B$1,$H55,"STYLE")</f>
        <v>#NAME?</v>
      </c>
      <c r="J55" s="25" t="e">
        <f ca="1">_xll.EVPRO($B$1,$H55,"CALC")</f>
        <v>#NAME?</v>
      </c>
      <c r="K55" s="64" t="e">
        <f t="shared" ca="1" si="4"/>
        <v>#NAME?</v>
      </c>
      <c r="L55" s="24" t="e">
        <f ca="1">_xll.EVPRO($B$1,H55,"JDEID")</f>
        <v>#NAME?</v>
      </c>
      <c r="M55" s="24" t="e">
        <f ca="1">IF(AND(I55="N",J55="N"),_xll.EVPRO($B$1,H55,"PSFTID"),"")</f>
        <v>#NAME?</v>
      </c>
      <c r="N55" s="24" t="e">
        <f ca="1">IF(_xll.EVDES(H55,$B$1)="#NODATA","",_xll.EVDES(H55,$B$1))</f>
        <v>#NAME?</v>
      </c>
      <c r="O55" s="282">
        <v>388.61</v>
      </c>
      <c r="P55" s="283"/>
      <c r="Q55" s="283"/>
      <c r="R55" s="283"/>
      <c r="S55" s="283"/>
      <c r="T55" s="283"/>
      <c r="U55" s="283"/>
      <c r="V55" s="283"/>
      <c r="W55" s="283"/>
      <c r="X55" s="283"/>
      <c r="Y55" s="283"/>
      <c r="Z55" s="283"/>
      <c r="AA55" s="283" t="e">
        <f t="shared" ca="1" si="0"/>
        <v>#NAME?</v>
      </c>
      <c r="AB55" s="284" t="e">
        <f t="shared" ca="1" si="1"/>
        <v>#NAME?</v>
      </c>
      <c r="AC55" s="300"/>
      <c r="AD55" s="283"/>
      <c r="AE55" s="284" t="str">
        <f t="shared" si="2"/>
        <v/>
      </c>
      <c r="AF55" s="285" t="e">
        <f t="shared" ca="1" si="3"/>
        <v>#NAME?</v>
      </c>
      <c r="AG55" s="283">
        <v>61786.59</v>
      </c>
      <c r="AH55" s="284" t="str">
        <f t="shared" ca="1" si="5"/>
        <v/>
      </c>
      <c r="AI55" s="286" t="e">
        <f t="shared" ca="1" si="6"/>
        <v>#NAME?</v>
      </c>
      <c r="AJ55" s="371">
        <f t="shared" ca="1" si="7"/>
        <v>0</v>
      </c>
      <c r="AK55" s="372">
        <f t="shared" ca="1" si="8"/>
        <v>0</v>
      </c>
      <c r="AL55" s="373">
        <f t="shared" ca="1" si="9"/>
        <v>0</v>
      </c>
      <c r="AM55" s="374">
        <f t="shared" ca="1" si="10"/>
        <v>0</v>
      </c>
      <c r="AN55" s="375">
        <f t="shared" ca="1" si="11"/>
        <v>0</v>
      </c>
    </row>
    <row r="56" spans="1:40" x14ac:dyDescent="0.2">
      <c r="A56" s="6" t="s">
        <v>47</v>
      </c>
      <c r="B56" s="7" t="e">
        <f ca="1">_xll.EVRNG($A$125:$B$146)</f>
        <v>#NAME?</v>
      </c>
      <c r="H56" s="10" t="s">
        <v>473</v>
      </c>
      <c r="I56" s="25" t="e">
        <f ca="1">_xll.EVPRO($B$1,$H56,"STYLE")</f>
        <v>#NAME?</v>
      </c>
      <c r="J56" s="25" t="e">
        <f ca="1">_xll.EVPRO($B$1,$H56,"CALC")</f>
        <v>#NAME?</v>
      </c>
      <c r="K56" s="64" t="e">
        <f t="shared" ca="1" si="4"/>
        <v>#NAME?</v>
      </c>
      <c r="L56" s="24" t="e">
        <f ca="1">_xll.EVPRO($B$1,H56,"JDEID")</f>
        <v>#NAME?</v>
      </c>
      <c r="M56" s="24" t="e">
        <f ca="1">IF(AND(I56="N",J56="N"),_xll.EVPRO($B$1,H56,"PSFTID"),"")</f>
        <v>#NAME?</v>
      </c>
      <c r="N56" s="24" t="e">
        <f ca="1">IF(_xll.EVDES(H56,$B$1)="#NODATA","",_xll.EVDES(H56,$B$1))</f>
        <v>#NAME?</v>
      </c>
      <c r="O56" s="295"/>
      <c r="P56" s="296"/>
      <c r="Q56" s="296"/>
      <c r="R56" s="296"/>
      <c r="S56" s="296"/>
      <c r="T56" s="296"/>
      <c r="U56" s="296"/>
      <c r="V56" s="296"/>
      <c r="W56" s="296"/>
      <c r="X56" s="296"/>
      <c r="Y56" s="296"/>
      <c r="Z56" s="296"/>
      <c r="AA56" s="296" t="e">
        <f t="shared" ca="1" si="0"/>
        <v>#NAME?</v>
      </c>
      <c r="AB56" s="297" t="e">
        <f t="shared" ca="1" si="1"/>
        <v>#NAME?</v>
      </c>
      <c r="AC56" s="263"/>
      <c r="AD56" s="296"/>
      <c r="AE56" s="297" t="str">
        <f t="shared" si="2"/>
        <v/>
      </c>
      <c r="AF56" s="298" t="e">
        <f t="shared" ca="1" si="3"/>
        <v>#NAME?</v>
      </c>
      <c r="AG56" s="296"/>
      <c r="AH56" s="297" t="str">
        <f t="shared" si="5"/>
        <v/>
      </c>
      <c r="AI56" s="299" t="e">
        <f t="shared" ca="1" si="6"/>
        <v>#NAME?</v>
      </c>
      <c r="AJ56" s="381">
        <f t="shared" ca="1" si="7"/>
        <v>0</v>
      </c>
      <c r="AK56" s="382">
        <f t="shared" ca="1" si="8"/>
        <v>0</v>
      </c>
      <c r="AL56" s="383">
        <f t="shared" ca="1" si="9"/>
        <v>0</v>
      </c>
      <c r="AM56" s="384">
        <f t="shared" ca="1" si="10"/>
        <v>0</v>
      </c>
      <c r="AN56" s="385">
        <f t="shared" ca="1" si="11"/>
        <v>0</v>
      </c>
    </row>
    <row r="57" spans="1:40" x14ac:dyDescent="0.2">
      <c r="A57" s="6" t="s">
        <v>8</v>
      </c>
      <c r="B57" s="7"/>
      <c r="H57" s="10" t="s">
        <v>277</v>
      </c>
      <c r="I57" s="447" t="e">
        <f ca="1">_xll.EVPRO($B$1,$H57,"STYLE")</f>
        <v>#NAME?</v>
      </c>
      <c r="J57" s="447" t="e">
        <f ca="1">_xll.EVPRO($B$1,$H57,"CALC")</f>
        <v>#NAME?</v>
      </c>
      <c r="K57" s="448" t="e">
        <f t="shared" ca="1" si="4"/>
        <v>#NAME?</v>
      </c>
      <c r="L57" s="151" t="e">
        <f ca="1">_xll.EVPRO($B$1,H57,"JDEID")</f>
        <v>#NAME?</v>
      </c>
      <c r="M57" s="151" t="e">
        <f ca="1">IF(AND(I57="N",J57="N"),_xll.EVPRO($B$1,H57,"PSFTID"),"")</f>
        <v>#NAME?</v>
      </c>
      <c r="N57" s="151" t="e">
        <f ca="1">IF(_xll.EVDES(H57,$B$1)="#NODATA","",_xll.EVDES(H57,$B$1))</f>
        <v>#NAME?</v>
      </c>
      <c r="O57" s="203">
        <v>1013.57</v>
      </c>
      <c r="P57" s="33"/>
      <c r="Q57" s="33"/>
      <c r="R57" s="33"/>
      <c r="S57" s="33"/>
      <c r="T57" s="33"/>
      <c r="U57" s="33"/>
      <c r="V57" s="33"/>
      <c r="W57" s="33"/>
      <c r="X57" s="33"/>
      <c r="Y57" s="33"/>
      <c r="Z57" s="33"/>
      <c r="AA57" s="33" t="e">
        <f t="shared" ca="1" si="0"/>
        <v>#NAME?</v>
      </c>
      <c r="AB57" s="34" t="e">
        <f t="shared" ca="1" si="1"/>
        <v>#NAME?</v>
      </c>
      <c r="AC57" s="32"/>
      <c r="AD57" s="33"/>
      <c r="AE57" s="34" t="str">
        <f t="shared" si="2"/>
        <v/>
      </c>
      <c r="AF57" s="54" t="e">
        <f t="shared" ca="1" si="3"/>
        <v>#NAME?</v>
      </c>
      <c r="AG57" s="33">
        <v>116499.86</v>
      </c>
      <c r="AH57" s="34" t="str">
        <f t="shared" ca="1" si="5"/>
        <v/>
      </c>
      <c r="AI57" s="265" t="e">
        <f t="shared" ca="1" si="6"/>
        <v>#NAME?</v>
      </c>
      <c r="AJ57" s="344">
        <f t="shared" ca="1" si="7"/>
        <v>0</v>
      </c>
      <c r="AK57" s="345">
        <f t="shared" ca="1" si="8"/>
        <v>0</v>
      </c>
      <c r="AL57" s="347">
        <f t="shared" ca="1" si="9"/>
        <v>0</v>
      </c>
      <c r="AM57" s="379">
        <f t="shared" ca="1" si="10"/>
        <v>0</v>
      </c>
      <c r="AN57" s="380">
        <f t="shared" ca="1" si="11"/>
        <v>0</v>
      </c>
    </row>
    <row r="58" spans="1:40" x14ac:dyDescent="0.2">
      <c r="G58" s="13"/>
      <c r="H58" s="10" t="s">
        <v>280</v>
      </c>
      <c r="I58" s="447" t="e">
        <f ca="1">_xll.EVPRO($B$1,$H58,"STYLE")</f>
        <v>#NAME?</v>
      </c>
      <c r="J58" s="447" t="e">
        <f ca="1">_xll.EVPRO($B$1,$H58,"CALC")</f>
        <v>#NAME?</v>
      </c>
      <c r="K58" s="448" t="e">
        <f t="shared" ca="1" si="4"/>
        <v>#NAME?</v>
      </c>
      <c r="L58" s="151" t="e">
        <f ca="1">_xll.EVPRO($B$1,H58,"JDEID")</f>
        <v>#NAME?</v>
      </c>
      <c r="M58" s="151" t="e">
        <f ca="1">IF(AND(I58="N",J58="N"),_xll.EVPRO($B$1,H58,"PSFTID"),"")</f>
        <v>#NAME?</v>
      </c>
      <c r="N58" s="151" t="e">
        <f ca="1">IF(_xll.EVDES(H58,$B$1)="#NODATA","",_xll.EVDES(H58,$B$1))</f>
        <v>#NAME?</v>
      </c>
      <c r="O58" s="202">
        <v>4156.07</v>
      </c>
      <c r="P58" s="120"/>
      <c r="Q58" s="120">
        <v>-43.18</v>
      </c>
      <c r="R58" s="120"/>
      <c r="S58" s="120"/>
      <c r="T58" s="120"/>
      <c r="U58" s="120"/>
      <c r="V58" s="120"/>
      <c r="W58" s="120"/>
      <c r="X58" s="120"/>
      <c r="Y58" s="120"/>
      <c r="Z58" s="120"/>
      <c r="AA58" s="120" t="e">
        <f t="shared" ca="1" si="0"/>
        <v>#NAME?</v>
      </c>
      <c r="AB58" s="121" t="e">
        <f t="shared" ca="1" si="1"/>
        <v>#NAME?</v>
      </c>
      <c r="AC58" s="123"/>
      <c r="AD58" s="120"/>
      <c r="AE58" s="121" t="str">
        <f t="shared" si="2"/>
        <v/>
      </c>
      <c r="AF58" s="122" t="e">
        <f t="shared" ca="1" si="3"/>
        <v>#NAME?</v>
      </c>
      <c r="AG58" s="120">
        <v>409602.63</v>
      </c>
      <c r="AH58" s="121" t="str">
        <f t="shared" ca="1" si="5"/>
        <v/>
      </c>
      <c r="AI58" s="264" t="e">
        <f t="shared" ca="1" si="6"/>
        <v>#NAME?</v>
      </c>
      <c r="AJ58" s="332">
        <f t="shared" ca="1" si="7"/>
        <v>0</v>
      </c>
      <c r="AK58" s="333">
        <f t="shared" ca="1" si="8"/>
        <v>0</v>
      </c>
      <c r="AL58" s="335">
        <f t="shared" ca="1" si="9"/>
        <v>0</v>
      </c>
      <c r="AM58" s="377">
        <f t="shared" ca="1" si="10"/>
        <v>0</v>
      </c>
      <c r="AN58" s="378">
        <f t="shared" ca="1" si="11"/>
        <v>0</v>
      </c>
    </row>
    <row r="59" spans="1:40" x14ac:dyDescent="0.2">
      <c r="A59" s="3" t="s">
        <v>9</v>
      </c>
      <c r="B59" s="5" t="s">
        <v>10</v>
      </c>
      <c r="O59" s="50"/>
      <c r="AB59" s="51"/>
      <c r="AD59" s="50"/>
      <c r="AF59" s="51"/>
      <c r="AG59" s="50"/>
      <c r="AI59" s="51"/>
    </row>
    <row r="60" spans="1:40" x14ac:dyDescent="0.2">
      <c r="A60" s="6" t="s">
        <v>11</v>
      </c>
      <c r="B60" s="7" t="s">
        <v>21</v>
      </c>
      <c r="H60" s="1" t="s">
        <v>281</v>
      </c>
      <c r="I60" s="11" t="e">
        <f ca="1">_xll.EVPRO($B$1,$H60,"STYLE")</f>
        <v>#NAME?</v>
      </c>
      <c r="J60" s="11" t="e">
        <f ca="1">_xll.EVPRO($B$1,$H60,"CALC")</f>
        <v>#NAME?</v>
      </c>
      <c r="N60" s="37" t="e">
        <f ca="1">IF(_xll.EVDES(H60,$B$1)="#NODATA","",_xll.EVDES(H60,$B$1))</f>
        <v>#NAME?</v>
      </c>
      <c r="O60" s="50"/>
      <c r="AB60" s="51"/>
      <c r="AD60" s="50"/>
      <c r="AF60" s="51"/>
      <c r="AG60" s="50"/>
      <c r="AI60" s="51"/>
    </row>
    <row r="61" spans="1:40" x14ac:dyDescent="0.2">
      <c r="A61" s="6" t="s">
        <v>12</v>
      </c>
      <c r="B61" s="7" t="s">
        <v>22</v>
      </c>
      <c r="H61" s="1" t="s">
        <v>284</v>
      </c>
      <c r="I61" s="11" t="e">
        <f ca="1">_xll.EVPRO($B$1,$H61,"STYLE")</f>
        <v>#NAME?</v>
      </c>
      <c r="J61" s="11" t="e">
        <f ca="1">_xll.EVPRO($B$1,$H61,"CALC")</f>
        <v>#NAME?</v>
      </c>
      <c r="N61" s="8" t="e">
        <f ca="1">IF(_xll.EVDES(H61,$B$1)="#NODATA","",_xll.EVDES(H61,$B$1))</f>
        <v>#NAME?</v>
      </c>
      <c r="O61" s="50"/>
      <c r="AB61" s="51"/>
      <c r="AD61" s="50"/>
      <c r="AF61" s="51"/>
      <c r="AG61" s="50"/>
      <c r="AI61" s="51"/>
    </row>
    <row r="62" spans="1:40" x14ac:dyDescent="0.2">
      <c r="A62" s="6" t="s">
        <v>13</v>
      </c>
      <c r="B62" s="7" t="e">
        <f ca="1">"DEP(COS_FB) AND "&amp;$E$6&amp;"=Y,COS_FB,COSOTH,DEP(COS_OTHR) AND "&amp;$E$6&amp;"=Y,COS_OTHR,500001"</f>
        <v>#NAME?</v>
      </c>
      <c r="H62" s="10" t="s">
        <v>285</v>
      </c>
      <c r="I62" s="25" t="e">
        <f ca="1">_xll.EVPRO($B$1,$H62,"STYLE")</f>
        <v>#NAME?</v>
      </c>
      <c r="J62" s="25" t="e">
        <f ca="1">_xll.EVPRO($B$1,$H62,"CALC")</f>
        <v>#NAME?</v>
      </c>
      <c r="K62" s="64" t="e">
        <f ca="1">IF(AND(I62&gt;="T5"),"&gt;","")</f>
        <v>#NAME?</v>
      </c>
      <c r="L62" s="24" t="e">
        <f ca="1">_xll.EVPRO($B$1,H62,"JDEID")</f>
        <v>#NAME?</v>
      </c>
      <c r="M62" s="24" t="e">
        <f ca="1">IF(AND(I62="N",J62="N"),_xll.EVPRO($B$1,H62,"PSFTID"),"")</f>
        <v>#NAME?</v>
      </c>
      <c r="N62" s="24" t="e">
        <f ca="1">IF(_xll.EVDES(H62,$B$1)="#NODATA","",_xll.EVDES(H62,$B$1))</f>
        <v>#NAME?</v>
      </c>
      <c r="O62" s="282">
        <v>260</v>
      </c>
      <c r="P62" s="283"/>
      <c r="Q62" s="283"/>
      <c r="R62" s="283"/>
      <c r="S62" s="283"/>
      <c r="T62" s="283"/>
      <c r="U62" s="283"/>
      <c r="V62" s="283"/>
      <c r="W62" s="283"/>
      <c r="X62" s="283"/>
      <c r="Y62" s="283"/>
      <c r="Z62" s="283"/>
      <c r="AA62" s="283" t="e">
        <f t="shared" ref="AA62:AA70" ca="1" si="12">IF($I62="B1","",SUM(O62:Z62))</f>
        <v>#NAME?</v>
      </c>
      <c r="AB62" s="284" t="e">
        <f ca="1">IF(AA62=0,"",IFERROR(AA62/_xll.EVGTS($B$1,1,_xll.EVPRO($B$1,$H62,"COSBASIS"),$B$3,$B$5,$B$6,$B$7,$B$9,AA$16,AA$17,AA$11),""))</f>
        <v>#NAME?</v>
      </c>
      <c r="AC62" s="300"/>
      <c r="AD62" s="283"/>
      <c r="AE62" s="284" t="str">
        <f>IF(AD62=0,"",IFERROR(AD62/_xll.EVGTS($B$1,1,_xll.EVPRO($B$1,$H62,"COSBASIS"),$B$3,$B$5,$B$6,$B$7,$B$9,AD$16,AD$17,AD$18),""))</f>
        <v/>
      </c>
      <c r="AF62" s="285" t="e">
        <f t="shared" ref="AF62:AF70" ca="1" si="13">IF(AND($AA62="",AD62=""),"",$AA62-AD62)</f>
        <v>#NAME?</v>
      </c>
      <c r="AG62" s="283">
        <v>22224.19</v>
      </c>
      <c r="AH62" s="284" t="str">
        <f ca="1">IF(AG62=0,"",IFERROR(AG62/_xll.EVGTS($B$1,1,_xll.EVPRO($B$1,$H62,"COSBASIS"),$B$3,$B$5,$B$6,$B$7,$B$9,AG$16,AG$17,AG$18),""))</f>
        <v/>
      </c>
      <c r="AI62" s="286" t="e">
        <f ca="1">IF(AND($AA62="",AG62=""),"",$AA62-AG62)</f>
        <v>#NAME?</v>
      </c>
      <c r="AJ62" s="371">
        <f ca="1">IFERROR(AA62/AA$20,0)</f>
        <v>0</v>
      </c>
      <c r="AK62" s="372">
        <f ca="1">IFERROR(AD62/AD$20,0)</f>
        <v>0</v>
      </c>
      <c r="AL62" s="373">
        <f ca="1">IFERROR(AG62/AG$20,0)</f>
        <v>0</v>
      </c>
      <c r="AM62" s="374">
        <f ca="1">+IFERROR(ROUND(($AB62-AE62)*100,2)&amp;" pts.",0)</f>
        <v>0</v>
      </c>
      <c r="AN62" s="375">
        <f ca="1">+IFERROR(ROUND(($AB62-AH62)*100,2)&amp;" pts.",0)</f>
        <v>0</v>
      </c>
    </row>
    <row r="63" spans="1:40" x14ac:dyDescent="0.2">
      <c r="A63" s="6" t="s">
        <v>14</v>
      </c>
      <c r="B63" s="7"/>
      <c r="H63" s="10" t="s">
        <v>636</v>
      </c>
      <c r="I63" s="25" t="e">
        <f ca="1">_xll.EVPRO($B$1,$H63,"STYLE")</f>
        <v>#NAME?</v>
      </c>
      <c r="J63" s="25" t="e">
        <f ca="1">_xll.EVPRO($B$1,$H63,"CALC")</f>
        <v>#NAME?</v>
      </c>
      <c r="K63" s="64" t="e">
        <f t="shared" ref="K63:K70" ca="1" si="14">IF(AND(I63&gt;="T5"),"&gt;","")</f>
        <v>#NAME?</v>
      </c>
      <c r="L63" s="24" t="e">
        <f ca="1">_xll.EVPRO($B$1,H63,"JDEID")</f>
        <v>#NAME?</v>
      </c>
      <c r="M63" s="24" t="e">
        <f ca="1">IF(AND(I63="N",J63="N"),_xll.EVPRO($B$1,H63,"PSFTID"),"")</f>
        <v>#NAME?</v>
      </c>
      <c r="N63" s="24" t="e">
        <f ca="1">IF(_xll.EVDES(H63,$B$1)="#NODATA","",_xll.EVDES(H63,$B$1))</f>
        <v>#NAME?</v>
      </c>
      <c r="O63" s="295">
        <v>404.37</v>
      </c>
      <c r="P63" s="296"/>
      <c r="Q63" s="296"/>
      <c r="R63" s="296"/>
      <c r="S63" s="296"/>
      <c r="T63" s="296"/>
      <c r="U63" s="296"/>
      <c r="V63" s="296"/>
      <c r="W63" s="296"/>
      <c r="X63" s="296"/>
      <c r="Y63" s="296"/>
      <c r="Z63" s="296"/>
      <c r="AA63" s="296" t="e">
        <f t="shared" ca="1" si="12"/>
        <v>#NAME?</v>
      </c>
      <c r="AB63" s="297" t="e">
        <f ca="1">IF(AA63=0,"",IFERROR(AA63/_xll.EVGTS($B$1,1,_xll.EVPRO($B$1,$H63,"COSBASIS"),$B$3,$B$5,$B$6,$B$7,$B$9,AA$16,AA$17,AA$11),""))</f>
        <v>#NAME?</v>
      </c>
      <c r="AC63" s="263"/>
      <c r="AD63" s="296"/>
      <c r="AE63" s="297" t="str">
        <f>IF(AD63=0,"",IFERROR(AD63/_xll.EVGTS($B$1,1,_xll.EVPRO($B$1,$H63,"COSBASIS"),$B$3,$B$5,$B$6,$B$7,$B$9,AD$16,AD$17,AD$18),""))</f>
        <v/>
      </c>
      <c r="AF63" s="298" t="e">
        <f t="shared" ca="1" si="13"/>
        <v>#NAME?</v>
      </c>
      <c r="AG63" s="296">
        <v>39772.720000000001</v>
      </c>
      <c r="AH63" s="297" t="str">
        <f ca="1">IF(AG63=0,"",IFERROR(AG63/_xll.EVGTS($B$1,1,_xll.EVPRO($B$1,$H63,"COSBASIS"),$B$3,$B$5,$B$6,$B$7,$B$9,AG$16,AG$17,AG$18),""))</f>
        <v/>
      </c>
      <c r="AI63" s="299" t="e">
        <f t="shared" ref="AI63:AI70" ca="1" si="15">IF(AND($AA63="",AG63=""),"",$AA63-AG63)</f>
        <v>#NAME?</v>
      </c>
      <c r="AJ63" s="381">
        <f t="shared" ref="AJ63:AJ70" ca="1" si="16">IFERROR(AA63/AA$20,0)</f>
        <v>0</v>
      </c>
      <c r="AK63" s="382">
        <f t="shared" ref="AK63:AK70" ca="1" si="17">IFERROR(AD63/AD$20,0)</f>
        <v>0</v>
      </c>
      <c r="AL63" s="383">
        <f t="shared" ref="AL63:AL70" ca="1" si="18">IFERROR(AG63/AG$20,0)</f>
        <v>0</v>
      </c>
      <c r="AM63" s="384">
        <f t="shared" ref="AM63:AM70" ca="1" si="19">+IFERROR(ROUND(($AB63-AE63)*100,2)&amp;" pts.",0)</f>
        <v>0</v>
      </c>
      <c r="AN63" s="385">
        <f t="shared" ref="AN63:AN70" ca="1" si="20">+IFERROR(ROUND(($AB63-AH63)*100,2)&amp;" pts.",0)</f>
        <v>0</v>
      </c>
    </row>
    <row r="64" spans="1:40" x14ac:dyDescent="0.2">
      <c r="A64" s="6" t="s">
        <v>15</v>
      </c>
      <c r="B64" s="7"/>
      <c r="H64" s="10" t="s">
        <v>286</v>
      </c>
      <c r="I64" s="447" t="e">
        <f ca="1">_xll.EVPRO($B$1,$H64,"STYLE")</f>
        <v>#NAME?</v>
      </c>
      <c r="J64" s="447" t="e">
        <f ca="1">_xll.EVPRO($B$1,$H64,"CALC")</f>
        <v>#NAME?</v>
      </c>
      <c r="K64" s="448" t="e">
        <f t="shared" ca="1" si="14"/>
        <v>#NAME?</v>
      </c>
      <c r="L64" s="151" t="e">
        <f ca="1">_xll.EVPRO($B$1,H64,"JDEID")</f>
        <v>#NAME?</v>
      </c>
      <c r="M64" s="151" t="e">
        <f ca="1">IF(AND(I64="N",J64="N"),_xll.EVPRO($B$1,H64,"PSFTID"),"")</f>
        <v>#NAME?</v>
      </c>
      <c r="N64" s="151" t="e">
        <f ca="1">IF(_xll.EVDES(H64,$B$1)="#NODATA","",_xll.EVDES(H64,$B$1))</f>
        <v>#NAME?</v>
      </c>
      <c r="O64" s="202">
        <v>664.37</v>
      </c>
      <c r="P64" s="120"/>
      <c r="Q64" s="120"/>
      <c r="R64" s="120"/>
      <c r="S64" s="120"/>
      <c r="T64" s="120"/>
      <c r="U64" s="120"/>
      <c r="V64" s="120"/>
      <c r="W64" s="120"/>
      <c r="X64" s="120"/>
      <c r="Y64" s="120"/>
      <c r="Z64" s="120"/>
      <c r="AA64" s="120" t="e">
        <f t="shared" ca="1" si="12"/>
        <v>#NAME?</v>
      </c>
      <c r="AB64" s="121" t="e">
        <f ca="1">IF(AA64=0,"",IFERROR(AA64/_xll.EVGTS($B$1,1,_xll.EVPRO($B$1,$H64,"COSBASIS"),$B$3,$B$5,$B$6,$B$7,$B$9,AA$16,AA$17,AA$11),""))</f>
        <v>#NAME?</v>
      </c>
      <c r="AC64" s="123"/>
      <c r="AD64" s="120"/>
      <c r="AE64" s="121" t="str">
        <f>IF(AD64=0,"",IFERROR(AD64/_xll.EVGTS($B$1,1,_xll.EVPRO($B$1,$H64,"COSBASIS"),$B$3,$B$5,$B$6,$B$7,$B$9,AD$16,AD$17,AD$18),""))</f>
        <v/>
      </c>
      <c r="AF64" s="122" t="e">
        <f t="shared" ca="1" si="13"/>
        <v>#NAME?</v>
      </c>
      <c r="AG64" s="120">
        <v>61996.91</v>
      </c>
      <c r="AH64" s="121" t="str">
        <f ca="1">IF(AG64=0,"",IFERROR(AG64/_xll.EVGTS($B$1,1,_xll.EVPRO($B$1,$H64,"COSBASIS"),$B$3,$B$5,$B$6,$B$7,$B$9,AG$16,AG$17,AG$18),""))</f>
        <v/>
      </c>
      <c r="AI64" s="264" t="e">
        <f t="shared" ca="1" si="15"/>
        <v>#NAME?</v>
      </c>
      <c r="AJ64" s="332">
        <f t="shared" ca="1" si="16"/>
        <v>0</v>
      </c>
      <c r="AK64" s="333">
        <f t="shared" ca="1" si="17"/>
        <v>0</v>
      </c>
      <c r="AL64" s="335">
        <f t="shared" ca="1" si="18"/>
        <v>0</v>
      </c>
      <c r="AM64" s="377">
        <f t="shared" ca="1" si="19"/>
        <v>0</v>
      </c>
      <c r="AN64" s="378">
        <f t="shared" ca="1" si="20"/>
        <v>0</v>
      </c>
    </row>
    <row r="65" spans="1:40" x14ac:dyDescent="0.2">
      <c r="A65" s="6" t="s">
        <v>16</v>
      </c>
      <c r="B65" s="7"/>
      <c r="H65" s="10" t="s">
        <v>287</v>
      </c>
      <c r="I65" s="447" t="e">
        <f ca="1">_xll.EVPRO($B$1,$H65,"STYLE")</f>
        <v>#NAME?</v>
      </c>
      <c r="J65" s="447" t="e">
        <f ca="1">_xll.EVPRO($B$1,$H65,"CALC")</f>
        <v>#NAME?</v>
      </c>
      <c r="K65" s="448" t="e">
        <f t="shared" ca="1" si="14"/>
        <v>#NAME?</v>
      </c>
      <c r="L65" s="151" t="e">
        <f ca="1">_xll.EVPRO($B$1,H65,"JDEID")</f>
        <v>#NAME?</v>
      </c>
      <c r="M65" s="151" t="e">
        <f ca="1">IF(AND(I65="N",J65="N"),_xll.EVPRO($B$1,H65,"PSFTID"),"")</f>
        <v>#NAME?</v>
      </c>
      <c r="N65" s="151" t="e">
        <f ca="1">IF(_xll.EVDES(H65,$B$1)="#NODATA","",_xll.EVDES(H65,$B$1))</f>
        <v>#NAME?</v>
      </c>
      <c r="O65" s="287"/>
      <c r="P65" s="288"/>
      <c r="Q65" s="288"/>
      <c r="R65" s="288"/>
      <c r="S65" s="288"/>
      <c r="T65" s="288"/>
      <c r="U65" s="288"/>
      <c r="V65" s="288"/>
      <c r="W65" s="288"/>
      <c r="X65" s="288"/>
      <c r="Y65" s="288"/>
      <c r="Z65" s="288"/>
      <c r="AA65" s="288" t="e">
        <f t="shared" ca="1" si="12"/>
        <v>#NAME?</v>
      </c>
      <c r="AB65" s="289" t="e">
        <f ca="1">IF(AA65=0,"",IFERROR(AA65/_xll.EVGTS($B$1,1,_xll.EVPRO($B$1,$H65,"COSBASIS"),$B$3,$B$5,$B$6,$B$7,$B$9,AA$16,AA$17,AA$11),""))</f>
        <v>#NAME?</v>
      </c>
      <c r="AC65" s="301"/>
      <c r="AD65" s="288"/>
      <c r="AE65" s="289" t="str">
        <f>IF(AD65=0,"",IFERROR(AD65/_xll.EVGTS($B$1,1,_xll.EVPRO($B$1,$H65,"COSBASIS"),$B$3,$B$5,$B$6,$B$7,$B$9,AD$16,AD$17,AD$18),""))</f>
        <v/>
      </c>
      <c r="AF65" s="290" t="e">
        <f t="shared" ca="1" si="13"/>
        <v>#NAME?</v>
      </c>
      <c r="AG65" s="288"/>
      <c r="AH65" s="289" t="str">
        <f>IF(AG65=0,"",IFERROR(AG65/_xll.EVGTS($B$1,1,_xll.EVPRO($B$1,$H65,"COSBASIS"),$B$3,$B$5,$B$6,$B$7,$B$9,AG$16,AG$17,AG$18),""))</f>
        <v/>
      </c>
      <c r="AI65" s="291" t="e">
        <f t="shared" ca="1" si="15"/>
        <v>#NAME?</v>
      </c>
      <c r="AJ65" s="325">
        <f t="shared" ca="1" si="16"/>
        <v>0</v>
      </c>
      <c r="AK65" s="326">
        <f t="shared" ca="1" si="17"/>
        <v>0</v>
      </c>
      <c r="AL65" s="328">
        <f t="shared" ca="1" si="18"/>
        <v>0</v>
      </c>
      <c r="AM65" s="362">
        <f t="shared" ca="1" si="19"/>
        <v>0</v>
      </c>
      <c r="AN65" s="376">
        <f t="shared" ca="1" si="20"/>
        <v>0</v>
      </c>
    </row>
    <row r="66" spans="1:40" x14ac:dyDescent="0.2">
      <c r="A66" s="6" t="s">
        <v>17</v>
      </c>
      <c r="B66" s="7"/>
      <c r="H66" s="10" t="s">
        <v>637</v>
      </c>
      <c r="I66" s="25" t="e">
        <f ca="1">_xll.EVPRO($B$1,$H66,"STYLE")</f>
        <v>#NAME?</v>
      </c>
      <c r="J66" s="25" t="e">
        <f ca="1">_xll.EVPRO($B$1,$H66,"CALC")</f>
        <v>#NAME?</v>
      </c>
      <c r="K66" s="64" t="e">
        <f t="shared" ca="1" si="14"/>
        <v>#NAME?</v>
      </c>
      <c r="L66" s="24" t="e">
        <f ca="1">_xll.EVPRO($B$1,H66,"JDEID")</f>
        <v>#NAME?</v>
      </c>
      <c r="M66" s="24" t="e">
        <f ca="1">IF(AND(I66="N",J66="N"),_xll.EVPRO($B$1,H66,"PSFTID"),"")</f>
        <v>#NAME?</v>
      </c>
      <c r="N66" s="24" t="e">
        <f ca="1">IF(_xll.EVDES(H66,$B$1)="#NODATA","",_xll.EVDES(H66,$B$1))</f>
        <v>#NAME?</v>
      </c>
      <c r="O66" s="282"/>
      <c r="P66" s="283"/>
      <c r="Q66" s="283"/>
      <c r="R66" s="283"/>
      <c r="S66" s="283"/>
      <c r="T66" s="283"/>
      <c r="U66" s="283"/>
      <c r="V66" s="283"/>
      <c r="W66" s="283"/>
      <c r="X66" s="283"/>
      <c r="Y66" s="283"/>
      <c r="Z66" s="283"/>
      <c r="AA66" s="283" t="e">
        <f t="shared" ca="1" si="12"/>
        <v>#NAME?</v>
      </c>
      <c r="AB66" s="284" t="e">
        <f ca="1">IF(AA66=0,"",IFERROR(AA66/_xll.EVGTS($B$1,1,_xll.EVPRO($B$1,$H66,"COSBASIS"),$B$3,$B$5,$B$6,$B$7,$B$9,AA$16,AA$17,AA$11),""))</f>
        <v>#NAME?</v>
      </c>
      <c r="AC66" s="300"/>
      <c r="AD66" s="283"/>
      <c r="AE66" s="284" t="str">
        <f>IF(AD66=0,"",IFERROR(AD66/_xll.EVGTS($B$1,1,_xll.EVPRO($B$1,$H66,"COSBASIS"),$B$3,$B$5,$B$6,$B$7,$B$9,AD$16,AD$17,AD$18),""))</f>
        <v/>
      </c>
      <c r="AF66" s="285" t="e">
        <f t="shared" ca="1" si="13"/>
        <v>#NAME?</v>
      </c>
      <c r="AG66" s="283"/>
      <c r="AH66" s="284" t="str">
        <f>IF(AG66=0,"",IFERROR(AG66/_xll.EVGTS($B$1,1,_xll.EVPRO($B$1,$H66,"COSBASIS"),$B$3,$B$5,$B$6,$B$7,$B$9,AG$16,AG$17,AG$18),""))</f>
        <v/>
      </c>
      <c r="AI66" s="286" t="e">
        <f t="shared" ca="1" si="15"/>
        <v>#NAME?</v>
      </c>
      <c r="AJ66" s="371">
        <f t="shared" ca="1" si="16"/>
        <v>0</v>
      </c>
      <c r="AK66" s="372">
        <f t="shared" ca="1" si="17"/>
        <v>0</v>
      </c>
      <c r="AL66" s="373">
        <f t="shared" ca="1" si="18"/>
        <v>0</v>
      </c>
      <c r="AM66" s="374">
        <f t="shared" ca="1" si="19"/>
        <v>0</v>
      </c>
      <c r="AN66" s="375">
        <f t="shared" ca="1" si="20"/>
        <v>0</v>
      </c>
    </row>
    <row r="67" spans="1:40" x14ac:dyDescent="0.2">
      <c r="H67" s="10" t="s">
        <v>638</v>
      </c>
      <c r="I67" s="25" t="e">
        <f ca="1">_xll.EVPRO($B$1,$H67,"STYLE")</f>
        <v>#NAME?</v>
      </c>
      <c r="J67" s="25" t="e">
        <f ca="1">_xll.EVPRO($B$1,$H67,"CALC")</f>
        <v>#NAME?</v>
      </c>
      <c r="K67" s="64" t="e">
        <f t="shared" ca="1" si="14"/>
        <v>#NAME?</v>
      </c>
      <c r="L67" s="24" t="e">
        <f ca="1">_xll.EVPRO($B$1,H67,"JDEID")</f>
        <v>#NAME?</v>
      </c>
      <c r="M67" s="24" t="e">
        <f ca="1">IF(AND(I67="N",J67="N"),_xll.EVPRO($B$1,H67,"PSFTID"),"")</f>
        <v>#NAME?</v>
      </c>
      <c r="N67" s="24" t="e">
        <f ca="1">IF(_xll.EVDES(H67,$B$1)="#NODATA","",_xll.EVDES(H67,$B$1))</f>
        <v>#NAME?</v>
      </c>
      <c r="O67" s="282"/>
      <c r="P67" s="283"/>
      <c r="Q67" s="283"/>
      <c r="R67" s="283"/>
      <c r="S67" s="283"/>
      <c r="T67" s="283"/>
      <c r="U67" s="283"/>
      <c r="V67" s="283"/>
      <c r="W67" s="283"/>
      <c r="X67" s="283"/>
      <c r="Y67" s="283"/>
      <c r="Z67" s="283"/>
      <c r="AA67" s="283" t="e">
        <f t="shared" ca="1" si="12"/>
        <v>#NAME?</v>
      </c>
      <c r="AB67" s="284" t="e">
        <f ca="1">IF(AA67=0,"",IFERROR(AA67/_xll.EVGTS($B$1,1,_xll.EVPRO($B$1,$H67,"COSBASIS"),$B$3,$B$5,$B$6,$B$7,$B$9,AA$16,AA$17,AA$11),""))</f>
        <v>#NAME?</v>
      </c>
      <c r="AC67" s="300"/>
      <c r="AD67" s="283"/>
      <c r="AE67" s="284" t="str">
        <f>IF(AD67=0,"",IFERROR(AD67/_xll.EVGTS($B$1,1,_xll.EVPRO($B$1,$H67,"COSBASIS"),$B$3,$B$5,$B$6,$B$7,$B$9,AD$16,AD$17,AD$18),""))</f>
        <v/>
      </c>
      <c r="AF67" s="285" t="e">
        <f t="shared" ca="1" si="13"/>
        <v>#NAME?</v>
      </c>
      <c r="AG67" s="283"/>
      <c r="AH67" s="284" t="str">
        <f>IF(AG67=0,"",IFERROR(AG67/_xll.EVGTS($B$1,1,_xll.EVPRO($B$1,$H67,"COSBASIS"),$B$3,$B$5,$B$6,$B$7,$B$9,AG$16,AG$17,AG$18),""))</f>
        <v/>
      </c>
      <c r="AI67" s="286" t="e">
        <f t="shared" ca="1" si="15"/>
        <v>#NAME?</v>
      </c>
      <c r="AJ67" s="371">
        <f t="shared" ca="1" si="16"/>
        <v>0</v>
      </c>
      <c r="AK67" s="372">
        <f t="shared" ca="1" si="17"/>
        <v>0</v>
      </c>
      <c r="AL67" s="373">
        <f t="shared" ca="1" si="18"/>
        <v>0</v>
      </c>
      <c r="AM67" s="374">
        <f t="shared" ca="1" si="19"/>
        <v>0</v>
      </c>
      <c r="AN67" s="375">
        <f t="shared" ca="1" si="20"/>
        <v>0</v>
      </c>
    </row>
    <row r="68" spans="1:40" x14ac:dyDescent="0.2">
      <c r="A68" s="20" t="s">
        <v>92</v>
      </c>
      <c r="B68" s="21" t="s">
        <v>93</v>
      </c>
      <c r="C68" s="21" t="s">
        <v>94</v>
      </c>
      <c r="D68" s="21" t="s">
        <v>95</v>
      </c>
      <c r="E68" s="21" t="s">
        <v>96</v>
      </c>
      <c r="F68" s="22" t="s">
        <v>97</v>
      </c>
      <c r="H68" s="10" t="s">
        <v>639</v>
      </c>
      <c r="I68" s="25" t="e">
        <f ca="1">_xll.EVPRO($B$1,$H68,"STYLE")</f>
        <v>#NAME?</v>
      </c>
      <c r="J68" s="25" t="e">
        <f ca="1">_xll.EVPRO($B$1,$H68,"CALC")</f>
        <v>#NAME?</v>
      </c>
      <c r="K68" s="64" t="e">
        <f t="shared" ca="1" si="14"/>
        <v>#NAME?</v>
      </c>
      <c r="L68" s="24" t="e">
        <f ca="1">_xll.EVPRO($B$1,H68,"JDEID")</f>
        <v>#NAME?</v>
      </c>
      <c r="M68" s="24" t="e">
        <f ca="1">IF(AND(I68="N",J68="N"),_xll.EVPRO($B$1,H68,"PSFTID"),"")</f>
        <v>#NAME?</v>
      </c>
      <c r="N68" s="24" t="e">
        <f ca="1">IF(_xll.EVDES(H68,$B$1)="#NODATA","",_xll.EVDES(H68,$B$1))</f>
        <v>#NAME?</v>
      </c>
      <c r="O68" s="295"/>
      <c r="P68" s="296"/>
      <c r="Q68" s="296"/>
      <c r="R68" s="296"/>
      <c r="S68" s="296"/>
      <c r="T68" s="296"/>
      <c r="U68" s="296"/>
      <c r="V68" s="296"/>
      <c r="W68" s="296"/>
      <c r="X68" s="296"/>
      <c r="Y68" s="296"/>
      <c r="Z68" s="296"/>
      <c r="AA68" s="296" t="e">
        <f t="shared" ca="1" si="12"/>
        <v>#NAME?</v>
      </c>
      <c r="AB68" s="297" t="e">
        <f ca="1">IF(AA68=0,"",IFERROR(AA68/_xll.EVGTS($B$1,1,_xll.EVPRO($B$1,$H68,"COSBASIS"),$B$3,$B$5,$B$6,$B$7,$B$9,AA$16,AA$17,AA$11),""))</f>
        <v>#NAME?</v>
      </c>
      <c r="AC68" s="263"/>
      <c r="AD68" s="296"/>
      <c r="AE68" s="297" t="str">
        <f>IF(AD68=0,"",IFERROR(AD68/_xll.EVGTS($B$1,1,_xll.EVPRO($B$1,$H68,"COSBASIS"),$B$3,$B$5,$B$6,$B$7,$B$9,AD$16,AD$17,AD$18),""))</f>
        <v/>
      </c>
      <c r="AF68" s="298" t="e">
        <f t="shared" ca="1" si="13"/>
        <v>#NAME?</v>
      </c>
      <c r="AG68" s="296"/>
      <c r="AH68" s="297" t="str">
        <f>IF(AG68=0,"",IFERROR(AG68/_xll.EVGTS($B$1,1,_xll.EVPRO($B$1,$H68,"COSBASIS"),$B$3,$B$5,$B$6,$B$7,$B$9,AG$16,AG$17,AG$18),""))</f>
        <v/>
      </c>
      <c r="AI68" s="299" t="e">
        <f t="shared" ca="1" si="15"/>
        <v>#NAME?</v>
      </c>
      <c r="AJ68" s="381">
        <f t="shared" ca="1" si="16"/>
        <v>0</v>
      </c>
      <c r="AK68" s="382">
        <f t="shared" ca="1" si="17"/>
        <v>0</v>
      </c>
      <c r="AL68" s="383">
        <f t="shared" ca="1" si="18"/>
        <v>0</v>
      </c>
      <c r="AM68" s="384">
        <f t="shared" ca="1" si="19"/>
        <v>0</v>
      </c>
      <c r="AN68" s="385">
        <f t="shared" ca="1" si="20"/>
        <v>0</v>
      </c>
    </row>
    <row r="69" spans="1:40" x14ac:dyDescent="0.2">
      <c r="H69" s="10" t="s">
        <v>288</v>
      </c>
      <c r="I69" s="447" t="e">
        <f ca="1">_xll.EVPRO($B$1,$H69,"STYLE")</f>
        <v>#NAME?</v>
      </c>
      <c r="J69" s="447" t="e">
        <f ca="1">_xll.EVPRO($B$1,$H69,"CALC")</f>
        <v>#NAME?</v>
      </c>
      <c r="K69" s="448" t="e">
        <f t="shared" ca="1" si="14"/>
        <v>#NAME?</v>
      </c>
      <c r="L69" s="151" t="e">
        <f ca="1">_xll.EVPRO($B$1,H69,"JDEID")</f>
        <v>#NAME?</v>
      </c>
      <c r="M69" s="151" t="e">
        <f ca="1">IF(AND(I69="N",J69="N"),_xll.EVPRO($B$1,H69,"PSFTID"),"")</f>
        <v>#NAME?</v>
      </c>
      <c r="N69" s="151" t="e">
        <f ca="1">IF(_xll.EVDES(H69,$B$1)="#NODATA","",_xll.EVDES(H69,$B$1))</f>
        <v>#NAME?</v>
      </c>
      <c r="O69" s="203"/>
      <c r="P69" s="33"/>
      <c r="Q69" s="33"/>
      <c r="R69" s="33"/>
      <c r="S69" s="33"/>
      <c r="T69" s="33"/>
      <c r="U69" s="33"/>
      <c r="V69" s="33"/>
      <c r="W69" s="33"/>
      <c r="X69" s="33"/>
      <c r="Y69" s="33"/>
      <c r="Z69" s="33"/>
      <c r="AA69" s="33" t="e">
        <f t="shared" ca="1" si="12"/>
        <v>#NAME?</v>
      </c>
      <c r="AB69" s="34" t="e">
        <f ca="1">IF(AA69=0,"",IFERROR(AA69/_xll.EVGTS($B$1,1,_xll.EVPRO($B$1,$H69,"COSBASIS"),$B$3,$B$5,$B$6,$B$7,$B$9,AA$16,AA$17,AA$11),""))</f>
        <v>#NAME?</v>
      </c>
      <c r="AC69" s="32"/>
      <c r="AD69" s="33"/>
      <c r="AE69" s="34" t="str">
        <f>IF(AD69=0,"",IFERROR(AD69/_xll.EVGTS($B$1,1,_xll.EVPRO($B$1,$H69,"COSBASIS"),$B$3,$B$5,$B$6,$B$7,$B$9,AD$16,AD$17,AD$18),""))</f>
        <v/>
      </c>
      <c r="AF69" s="54" t="e">
        <f t="shared" ca="1" si="13"/>
        <v>#NAME?</v>
      </c>
      <c r="AG69" s="33"/>
      <c r="AH69" s="34" t="str">
        <f>IF(AG69=0,"",IFERROR(AG69/_xll.EVGTS($B$1,1,_xll.EVPRO($B$1,$H69,"COSBASIS"),$B$3,$B$5,$B$6,$B$7,$B$9,AG$16,AG$17,AG$18),""))</f>
        <v/>
      </c>
      <c r="AI69" s="265" t="e">
        <f t="shared" ca="1" si="15"/>
        <v>#NAME?</v>
      </c>
      <c r="AJ69" s="344">
        <f t="shared" ca="1" si="16"/>
        <v>0</v>
      </c>
      <c r="AK69" s="345">
        <f t="shared" ca="1" si="17"/>
        <v>0</v>
      </c>
      <c r="AL69" s="347">
        <f t="shared" ca="1" si="18"/>
        <v>0</v>
      </c>
      <c r="AM69" s="379">
        <f t="shared" ca="1" si="19"/>
        <v>0</v>
      </c>
      <c r="AN69" s="380">
        <f t="shared" ca="1" si="20"/>
        <v>0</v>
      </c>
    </row>
    <row r="70" spans="1:40" x14ac:dyDescent="0.2">
      <c r="A70" s="1" t="s">
        <v>209</v>
      </c>
      <c r="B70" s="1" t="s">
        <v>21</v>
      </c>
      <c r="C70" s="70"/>
      <c r="D70" s="1" t="s">
        <v>590</v>
      </c>
      <c r="F70" s="1" t="s">
        <v>99</v>
      </c>
      <c r="H70" s="10" t="s">
        <v>289</v>
      </c>
      <c r="I70" s="447" t="e">
        <f ca="1">_xll.EVPRO($B$1,$H70,"STYLE")</f>
        <v>#NAME?</v>
      </c>
      <c r="J70" s="447" t="e">
        <f ca="1">_xll.EVPRO($B$1,$H70,"CALC")</f>
        <v>#NAME?</v>
      </c>
      <c r="K70" s="448" t="e">
        <f t="shared" ca="1" si="14"/>
        <v>#NAME?</v>
      </c>
      <c r="L70" s="151" t="e">
        <f ca="1">_xll.EVPRO($B$1,H70,"JDEID")</f>
        <v>#NAME?</v>
      </c>
      <c r="M70" s="151" t="e">
        <f ca="1">IF(AND(I70="N",J70="N"),_xll.EVPRO($B$1,H70,"PSFTID"),"")</f>
        <v>#NAME?</v>
      </c>
      <c r="N70" s="151" t="e">
        <f ca="1">IF(_xll.EVDES(H70,$B$1)="#NODATA","",_xll.EVDES(H70,$B$1))</f>
        <v>#NAME?</v>
      </c>
      <c r="O70" s="202">
        <v>664.37</v>
      </c>
      <c r="P70" s="120"/>
      <c r="Q70" s="120"/>
      <c r="R70" s="120"/>
      <c r="S70" s="120"/>
      <c r="T70" s="120"/>
      <c r="U70" s="120"/>
      <c r="V70" s="120"/>
      <c r="W70" s="120"/>
      <c r="X70" s="120"/>
      <c r="Y70" s="120"/>
      <c r="Z70" s="120"/>
      <c r="AA70" s="120" t="e">
        <f t="shared" ca="1" si="12"/>
        <v>#NAME?</v>
      </c>
      <c r="AB70" s="121" t="e">
        <f ca="1">IF(AA70=0,"",IFERROR(AA70/_xll.EVGTS($B$1,1,_xll.EVPRO($B$1,$H70,"COSBASIS"),$B$3,$B$5,$B$6,$B$7,$B$9,AA$16,AA$17,AA$11),""))</f>
        <v>#NAME?</v>
      </c>
      <c r="AC70" s="123"/>
      <c r="AD70" s="120"/>
      <c r="AE70" s="121" t="str">
        <f>IF(AD70=0,"",IFERROR(AD70/_xll.EVGTS($B$1,1,_xll.EVPRO($B$1,$H70,"COSBASIS"),$B$3,$B$5,$B$6,$B$7,$B$9,AD$16,AD$17,AD$18),""))</f>
        <v/>
      </c>
      <c r="AF70" s="122" t="e">
        <f t="shared" ca="1" si="13"/>
        <v>#NAME?</v>
      </c>
      <c r="AG70" s="120">
        <v>61996.91</v>
      </c>
      <c r="AH70" s="121" t="str">
        <f ca="1">IF(AG70=0,"",IFERROR(AG70/_xll.EVGTS($B$1,1,_xll.EVPRO($B$1,$H70,"COSBASIS"),$B$3,$B$5,$B$6,$B$7,$B$9,AG$16,AG$17,AG$18),""))</f>
        <v/>
      </c>
      <c r="AI70" s="264" t="e">
        <f t="shared" ca="1" si="15"/>
        <v>#NAME?</v>
      </c>
      <c r="AJ70" s="332">
        <f t="shared" ca="1" si="16"/>
        <v>0</v>
      </c>
      <c r="AK70" s="333">
        <f t="shared" ca="1" si="17"/>
        <v>0</v>
      </c>
      <c r="AL70" s="335">
        <f t="shared" ca="1" si="18"/>
        <v>0</v>
      </c>
      <c r="AM70" s="377">
        <f t="shared" ca="1" si="19"/>
        <v>0</v>
      </c>
      <c r="AN70" s="378">
        <f t="shared" ca="1" si="20"/>
        <v>0</v>
      </c>
    </row>
    <row r="71" spans="1:40" x14ac:dyDescent="0.2">
      <c r="A71" s="1" t="s">
        <v>105</v>
      </c>
      <c r="C71" s="24" t="s">
        <v>101</v>
      </c>
      <c r="D71" s="1" t="s">
        <v>106</v>
      </c>
      <c r="F71" s="1" t="s">
        <v>98</v>
      </c>
      <c r="H71" s="133" t="s">
        <v>175</v>
      </c>
      <c r="I71" s="26" t="e">
        <f ca="1">_xll.EVPRO($B$1,$H71,"STYLE")</f>
        <v>#NAME?</v>
      </c>
      <c r="J71" s="26" t="e">
        <f ca="1">_xll.EVPRO($B$1,$H71,"CALC")</f>
        <v>#NAME?</v>
      </c>
      <c r="K71" s="65" t="e">
        <f ca="1">IF(AND(I71&gt;="T5"),"&gt;","")</f>
        <v>#NAME?</v>
      </c>
      <c r="L71" s="65"/>
      <c r="M71" s="65"/>
      <c r="N71" s="23" t="e">
        <f ca="1">IF(_xll.EVDES(H71,$B$1)="#NODATA","",_xll.EVDES(H71,$B$1))</f>
        <v>#NAME?</v>
      </c>
      <c r="O71" s="44"/>
      <c r="P71" s="44"/>
      <c r="Q71" s="44"/>
      <c r="R71" s="44"/>
      <c r="S71" s="44"/>
      <c r="T71" s="44"/>
      <c r="U71" s="44"/>
      <c r="V71" s="44"/>
      <c r="W71" s="44"/>
      <c r="X71" s="44"/>
      <c r="Y71" s="44"/>
      <c r="Z71" s="44"/>
      <c r="AA71" s="44"/>
      <c r="AB71" s="45" t="str">
        <f>IF(O71=0,"",IFERROR(O71/_xll.EVGTS($B$1,1,INDEX($C$152:$C$175,MATCH($H71,$A$152:$A$175,0)),$B$3,$B$5,$B$6,$B$7,$B$9,O$16,O$17,O$18),""))</f>
        <v/>
      </c>
      <c r="AD71" s="44"/>
      <c r="AE71" s="45" t="str">
        <f>IF(AD71=0,"",IFERROR(AD71/_xll.EVGTS($B$1,1,INDEX($C$152:$C$175,MATCH($H71,$A$152:$A$175,0)),$B$3,$B$5,$B$6,$B$7,$B$9,AD$16,AD$17,AD$18),""))</f>
        <v/>
      </c>
      <c r="AF71" s="134" t="str">
        <f t="shared" ref="AF71:AF72" si="21">IF(AND($AA71="",AD71=""),"",$AA71-AD71)</f>
        <v/>
      </c>
      <c r="AG71" s="44"/>
      <c r="AH71" s="45" t="str">
        <f>IF(AG71=0,"",IFERROR(AG71/_xll.EVGTS($B$1,1,INDEX($C$152:$C$175,MATCH($H71,$A$152:$A$175,0)),$B$3,$B$5,$B$6,$B$7,$B$9,AG$16,AG$17,AG$18),""))</f>
        <v/>
      </c>
      <c r="AI71" s="134" t="str">
        <f>IF(AND($AA71="",AG71=""),"",$AA71-AG71)</f>
        <v/>
      </c>
    </row>
    <row r="72" spans="1:40" x14ac:dyDescent="0.2">
      <c r="A72" s="1" t="s">
        <v>104</v>
      </c>
      <c r="C72" s="24" t="s">
        <v>101</v>
      </c>
      <c r="D72" s="1" t="s">
        <v>106</v>
      </c>
      <c r="F72" s="1" t="s">
        <v>98</v>
      </c>
      <c r="H72" s="133" t="s">
        <v>292</v>
      </c>
      <c r="I72" s="26" t="e">
        <f ca="1">_xll.EVPRO($B$1,$H72,"STYLE")</f>
        <v>#NAME?</v>
      </c>
      <c r="J72" s="26" t="e">
        <f ca="1">_xll.EVPRO($B$1,$H72,"CALC")</f>
        <v>#NAME?</v>
      </c>
      <c r="K72" s="65" t="e">
        <f ca="1">IF(AND(I72&gt;="T5"),"&gt;","")</f>
        <v>#NAME?</v>
      </c>
      <c r="L72" s="65"/>
      <c r="M72" s="65"/>
      <c r="N72" s="23" t="e">
        <f ca="1">IF(_xll.EVDES(H72,$B$1)="#NODATA","",_xll.EVDES(H72,$B$1))</f>
        <v>#NAME?</v>
      </c>
      <c r="O72" s="145">
        <f t="shared" ref="O72:Z72" si="22">SUMIF($H$35:$H$70,"400000",O35:O70)-SUMIF($H$35:$H$70,"500001",O35:O70)</f>
        <v>3491.7</v>
      </c>
      <c r="P72" s="145">
        <f t="shared" si="22"/>
        <v>0</v>
      </c>
      <c r="Q72" s="145">
        <f t="shared" si="22"/>
        <v>-43.18</v>
      </c>
      <c r="R72" s="145">
        <f t="shared" si="22"/>
        <v>0</v>
      </c>
      <c r="S72" s="145">
        <f t="shared" si="22"/>
        <v>0</v>
      </c>
      <c r="T72" s="145">
        <f t="shared" si="22"/>
        <v>0</v>
      </c>
      <c r="U72" s="145">
        <f t="shared" si="22"/>
        <v>0</v>
      </c>
      <c r="V72" s="145">
        <f t="shared" si="22"/>
        <v>0</v>
      </c>
      <c r="W72" s="145">
        <f t="shared" si="22"/>
        <v>0</v>
      </c>
      <c r="X72" s="145">
        <f t="shared" si="22"/>
        <v>0</v>
      </c>
      <c r="Y72" s="145">
        <f t="shared" si="22"/>
        <v>0</v>
      </c>
      <c r="Z72" s="145">
        <f t="shared" si="22"/>
        <v>0</v>
      </c>
      <c r="AA72" s="120" t="e">
        <f ca="1">IF($I72="B1","",SUM(O72:Z72))</f>
        <v>#NAME?</v>
      </c>
      <c r="AB72" s="121" t="e">
        <f ca="1">IF(AA72=0,"",IFERROR(AA72/AA$19,""))</f>
        <v>#NAME?</v>
      </c>
      <c r="AD72" s="145">
        <f>SUMIF($H$35:$H$70,"400000",AD35:AD70)-SUMIF($H$35:$H$70,"500001",AD35:AD70)</f>
        <v>0</v>
      </c>
      <c r="AE72" s="121" t="str">
        <f>IF(AD72=0,"",IFERROR(AD72/AD$19,""))</f>
        <v/>
      </c>
      <c r="AF72" s="146" t="e">
        <f t="shared" ca="1" si="21"/>
        <v>#NAME?</v>
      </c>
      <c r="AG72" s="145">
        <f>SUMIF($H$35:$H$70,"400000",AG35:AG70)-SUMIF($H$35:$H$70,"500001",AG35:AG70)</f>
        <v>347605.72</v>
      </c>
      <c r="AH72" s="121" t="str">
        <f ca="1">IF(AG72=0,"",IFERROR(AG72/AG$19,""))</f>
        <v/>
      </c>
      <c r="AI72" s="146" t="e">
        <f ca="1">IF(AND($AA72="",AG72=""),"",$AA72-AG72)</f>
        <v>#NAME?</v>
      </c>
      <c r="AJ72" s="332">
        <f ca="1">IFERROR(AA72/AA$20,0)</f>
        <v>0</v>
      </c>
      <c r="AK72" s="333">
        <f ca="1">IFERROR(AD72/AD$20,0)</f>
        <v>0</v>
      </c>
      <c r="AL72" s="335">
        <f ca="1">IFERROR(AG72/AG$20,0)</f>
        <v>0</v>
      </c>
      <c r="AM72" s="377">
        <f ca="1">+IFERROR(ROUND(($AB72-AE72)*100,2)&amp;" pts.",0)</f>
        <v>0</v>
      </c>
      <c r="AN72" s="378">
        <f ca="1">+IFERROR(ROUND(($AB72-AH72)*100,2)&amp;" pts.",0)</f>
        <v>0</v>
      </c>
    </row>
    <row r="73" spans="1:40" x14ac:dyDescent="0.2">
      <c r="A73" s="1" t="s">
        <v>100</v>
      </c>
      <c r="C73" s="8" t="s">
        <v>101</v>
      </c>
      <c r="D73" s="1" t="s">
        <v>106</v>
      </c>
      <c r="F73" s="1" t="s">
        <v>98</v>
      </c>
      <c r="O73" s="144"/>
      <c r="P73" s="147"/>
      <c r="Q73" s="147"/>
      <c r="R73" s="147"/>
      <c r="S73" s="147"/>
      <c r="T73" s="147"/>
      <c r="U73" s="147"/>
      <c r="V73" s="147"/>
      <c r="W73" s="147"/>
      <c r="X73" s="147"/>
      <c r="Y73" s="147"/>
      <c r="Z73" s="147"/>
      <c r="AA73" s="147"/>
      <c r="AB73" s="51"/>
      <c r="AD73" s="50"/>
      <c r="AF73" s="51"/>
      <c r="AI73" s="51"/>
    </row>
    <row r="74" spans="1:40" x14ac:dyDescent="0.2">
      <c r="A74" s="1" t="s">
        <v>102</v>
      </c>
      <c r="C74" s="23" t="s">
        <v>101</v>
      </c>
      <c r="D74" s="1" t="s">
        <v>106</v>
      </c>
      <c r="F74" s="1" t="s">
        <v>98</v>
      </c>
      <c r="H74" s="1" t="s">
        <v>73</v>
      </c>
      <c r="I74" s="11" t="e">
        <f ca="1">_xll.EVPRO($B$1,$H74,"STYLE")</f>
        <v>#NAME?</v>
      </c>
      <c r="J74" s="11" t="e">
        <f ca="1">_xll.EVPRO($B$1,$H74,"CALC")</f>
        <v>#NAME?</v>
      </c>
      <c r="M74" s="24"/>
      <c r="N74" s="37" t="e">
        <f ca="1">IF(_xll.EVDES(H74,$B$1)="#NODATA","",_xll.EVDES(H74,$B$1))</f>
        <v>#NAME?</v>
      </c>
      <c r="O74" s="50"/>
      <c r="AB74" s="149"/>
      <c r="AD74" s="148"/>
      <c r="AE74" s="150"/>
      <c r="AF74" s="51"/>
      <c r="AH74" s="150"/>
      <c r="AI74" s="51"/>
    </row>
    <row r="75" spans="1:40" x14ac:dyDescent="0.2">
      <c r="A75" s="1" t="s">
        <v>102</v>
      </c>
      <c r="C75" s="135" t="s">
        <v>101</v>
      </c>
      <c r="D75" s="1" t="s">
        <v>107</v>
      </c>
      <c r="F75" s="1" t="s">
        <v>99</v>
      </c>
      <c r="H75" s="1" t="s">
        <v>74</v>
      </c>
      <c r="I75" s="11" t="e">
        <f ca="1">_xll.EVPRO($B$1,$H75,"STYLE")</f>
        <v>#NAME?</v>
      </c>
      <c r="J75" s="11" t="e">
        <f ca="1">_xll.EVPRO($B$1,$H75,"CALC")</f>
        <v>#NAME?</v>
      </c>
      <c r="M75" s="24"/>
      <c r="N75" s="8" t="e">
        <f ca="1">IF(_xll.EVDES(H75,$B$1)="#NODATA","",_xll.EVDES(H75,$B$1))</f>
        <v>#NAME?</v>
      </c>
      <c r="O75" s="40"/>
      <c r="P75" s="43"/>
      <c r="Q75" s="43"/>
      <c r="R75" s="43"/>
      <c r="S75" s="43"/>
      <c r="T75" s="43"/>
      <c r="U75" s="43"/>
      <c r="V75" s="43"/>
      <c r="W75" s="43"/>
      <c r="X75" s="43"/>
      <c r="Y75" s="43"/>
      <c r="Z75" s="43"/>
      <c r="AA75" s="43"/>
      <c r="AB75" s="41"/>
      <c r="AD75" s="40"/>
      <c r="AE75" s="43"/>
      <c r="AF75" s="41"/>
      <c r="AG75" s="43"/>
      <c r="AH75" s="43"/>
      <c r="AI75" s="41"/>
    </row>
    <row r="76" spans="1:40" hidden="1" x14ac:dyDescent="0.2">
      <c r="A76" s="1" t="s">
        <v>108</v>
      </c>
      <c r="C76" s="23" t="s">
        <v>101</v>
      </c>
      <c r="D76" s="1" t="s">
        <v>106</v>
      </c>
      <c r="F76" s="1" t="s">
        <v>98</v>
      </c>
      <c r="H76" s="10" t="s">
        <v>667</v>
      </c>
      <c r="I76" s="25" t="e">
        <f ca="1">_xll.EVPRO($B$1,$H76,"STYLE")</f>
        <v>#NAME?</v>
      </c>
      <c r="J76" s="25" t="e">
        <f ca="1">_xll.EVPRO($B$1,$H76,"CALC")</f>
        <v>#NAME?</v>
      </c>
      <c r="K76" s="64" t="e">
        <f ca="1">IF(AND(I76&gt;="T3"),"&gt;","")</f>
        <v>#NAME?</v>
      </c>
      <c r="L76" s="24" t="e">
        <f ca="1">_xll.EVPRO($B$1,H76,"JDEID")</f>
        <v>#NAME?</v>
      </c>
      <c r="M76" s="24" t="e">
        <f ca="1">IF(AND(I76="N",J76="N"),_xll.EVPRO($B$1,H76,"PSFTID"),"")</f>
        <v>#NAME?</v>
      </c>
      <c r="N76" s="24" t="e">
        <f ca="1">IF(_xll.EVDES(H76,$B$1)="#NODATA","",_xll.EVDES(H76,$B$1))</f>
        <v>#NAME?</v>
      </c>
      <c r="O76" s="35"/>
      <c r="P76" s="35"/>
      <c r="Q76" s="35"/>
      <c r="R76" s="35"/>
      <c r="S76" s="35"/>
      <c r="T76" s="35"/>
      <c r="U76" s="35"/>
      <c r="V76" s="35"/>
      <c r="W76" s="35"/>
      <c r="X76" s="35"/>
      <c r="Y76" s="35"/>
      <c r="Z76" s="35"/>
      <c r="AA76" s="283" t="e">
        <f t="shared" ref="AA76:AA83" ca="1" si="23">IF($I76="B1","",SUM(O76:Z76))</f>
        <v>#NAME?</v>
      </c>
      <c r="AB76" s="36" t="e">
        <f t="shared" ref="AB76:AB83" ca="1" si="24">IF(AA76=0,"",IFERROR(AA76/AA$19,""))</f>
        <v>#NAME?</v>
      </c>
      <c r="AD76" s="35"/>
      <c r="AE76" s="36" t="str">
        <f t="shared" ref="AE76:AE83" si="25">IF(AD76=0,"",IFERROR(AD76/AD$19,""))</f>
        <v/>
      </c>
      <c r="AF76" s="118" t="e">
        <f t="shared" ref="AF76:AF83" ca="1" si="26">IF(AND($AA76="",AD76=""),"",$AA76-AD76)</f>
        <v>#NAME?</v>
      </c>
      <c r="AG76" s="35"/>
      <c r="AH76" s="36" t="str">
        <f>IF(AG76=0,"",IFERROR(AG76/AG$19,""))</f>
        <v/>
      </c>
      <c r="AI76" s="118" t="e">
        <f ca="1">IF(AND($AA76="",AG76=""),"",$AA76-AG76)</f>
        <v>#NAME?</v>
      </c>
      <c r="AJ76" s="371">
        <f ca="1">IFERROR(AA76/AA$20,0)</f>
        <v>0</v>
      </c>
      <c r="AK76" s="372">
        <f ca="1">IFERROR(AD76/AD$20,0)</f>
        <v>0</v>
      </c>
      <c r="AL76" s="373">
        <f ca="1">IFERROR(AG76/AG$20,0)</f>
        <v>0</v>
      </c>
      <c r="AM76" s="374">
        <f ca="1">+IFERROR(ROUND(($AB76-AE76)*100,2)&amp;" pts.",0)</f>
        <v>0</v>
      </c>
      <c r="AN76" s="375">
        <f ca="1">+IFERROR(ROUND(($AB76-AH76)*100,2)&amp;" pts.",0)</f>
        <v>0</v>
      </c>
    </row>
    <row r="77" spans="1:40" hidden="1" x14ac:dyDescent="0.2">
      <c r="A77" s="1" t="s">
        <v>108</v>
      </c>
      <c r="C77" s="135" t="s">
        <v>101</v>
      </c>
      <c r="D77" s="1" t="s">
        <v>107</v>
      </c>
      <c r="F77" s="1" t="s">
        <v>99</v>
      </c>
      <c r="H77" s="10"/>
      <c r="I77" s="25" t="e">
        <f ca="1">_xll.EVPRO($B$1,$H77,"STYLE")</f>
        <v>#NAME?</v>
      </c>
      <c r="J77" s="25" t="e">
        <f ca="1">_xll.EVPRO($B$1,$H77,"CALC")</f>
        <v>#NAME?</v>
      </c>
      <c r="K77" s="64" t="e">
        <f ca="1">IF(AND(I77&gt;="T3"),"&gt;","")</f>
        <v>#NAME?</v>
      </c>
      <c r="L77" s="24" t="e">
        <f ca="1">_xll.EVPRO($B$1,H77,"JDEID")</f>
        <v>#NAME?</v>
      </c>
      <c r="M77" s="24" t="e">
        <f ca="1">IF(AND(I77="N",J77="N"),_xll.EVPRO($B$1,H77,"PSFTID"),"")</f>
        <v>#NAME?</v>
      </c>
      <c r="N77" s="24" t="e">
        <f ca="1">IF(_xll.EVDES(H77,$B$1)="#NODATA","",_xll.EVDES(H77,$B$1))</f>
        <v>#NAME?</v>
      </c>
      <c r="O77" s="35"/>
      <c r="P77" s="35"/>
      <c r="Q77" s="35"/>
      <c r="R77" s="35"/>
      <c r="S77" s="35"/>
      <c r="T77" s="35"/>
      <c r="U77" s="35"/>
      <c r="V77" s="35"/>
      <c r="W77" s="35"/>
      <c r="X77" s="35"/>
      <c r="Y77" s="35"/>
      <c r="Z77" s="35"/>
      <c r="AA77" s="283" t="e">
        <f t="shared" ca="1" si="23"/>
        <v>#NAME?</v>
      </c>
      <c r="AB77" s="36" t="e">
        <f t="shared" ca="1" si="24"/>
        <v>#NAME?</v>
      </c>
      <c r="AD77" s="35"/>
      <c r="AE77" s="36" t="str">
        <f t="shared" si="25"/>
        <v/>
      </c>
      <c r="AF77" s="118" t="e">
        <f t="shared" ca="1" si="26"/>
        <v>#NAME?</v>
      </c>
      <c r="AG77" s="35"/>
      <c r="AH77" s="36" t="str">
        <f>IF(AG77=0,"",IFERROR(AG77/AG$19,""))</f>
        <v/>
      </c>
      <c r="AI77" s="118" t="e">
        <f ca="1">IF(AND($AA77="",AG77=""),"",$AA77-AG77)</f>
        <v>#NAME?</v>
      </c>
      <c r="AJ77" s="371">
        <f ca="1">IFERROR(AA77/AA$20,0)</f>
        <v>0</v>
      </c>
      <c r="AK77" s="372">
        <f ca="1">IFERROR(AD77/AD$20,0)</f>
        <v>0</v>
      </c>
      <c r="AL77" s="373">
        <f ca="1">IFERROR(AG77/AG$20,0)</f>
        <v>0</v>
      </c>
      <c r="AM77" s="374">
        <f ca="1">+IFERROR(ROUND(($AB77-AE77)*100,2)&amp;" pts.",0)</f>
        <v>0</v>
      </c>
      <c r="AN77" s="375">
        <f ca="1">+IFERROR(ROUND(($AB77-AH77)*100,2)&amp;" pts.",0)</f>
        <v>0</v>
      </c>
    </row>
    <row r="78" spans="1:40" x14ac:dyDescent="0.2">
      <c r="H78" s="10" t="s">
        <v>75</v>
      </c>
      <c r="I78" s="26" t="e">
        <f ca="1">_xll.EVPRO($B$1,$H78,"STYLE")</f>
        <v>#NAME?</v>
      </c>
      <c r="J78" s="26" t="e">
        <f ca="1">_xll.EVPRO($B$1,$H78,"CALC")</f>
        <v>#NAME?</v>
      </c>
      <c r="K78" s="65" t="e">
        <f ca="1">IF(AND(I78&gt;="T3"),"&gt;","")</f>
        <v>#NAME?</v>
      </c>
      <c r="L78" s="23" t="e">
        <f ca="1">_xll.EVPRO($B$1,H78,"JDEID")</f>
        <v>#NAME?</v>
      </c>
      <c r="M78" s="24" t="e">
        <f ca="1">IF(AND(I78="N",J78="N"),_xll.EVPRO($B$1,H78,"PSFTID"),"")</f>
        <v>#NAME?</v>
      </c>
      <c r="N78" s="23" t="e">
        <f ca="1">IF(_xll.EVDES(H78,$B$1)="#NODATA","",_xll.EVDES(H78,$B$1))</f>
        <v>#NAME?</v>
      </c>
      <c r="O78" s="44"/>
      <c r="P78" s="44"/>
      <c r="Q78" s="44"/>
      <c r="R78" s="44"/>
      <c r="S78" s="44"/>
      <c r="T78" s="44"/>
      <c r="U78" s="44"/>
      <c r="V78" s="44"/>
      <c r="W78" s="44"/>
      <c r="X78" s="44"/>
      <c r="Y78" s="44"/>
      <c r="Z78" s="44"/>
      <c r="AA78" s="296" t="e">
        <f t="shared" ca="1" si="23"/>
        <v>#NAME?</v>
      </c>
      <c r="AB78" s="45" t="e">
        <f t="shared" ca="1" si="24"/>
        <v>#NAME?</v>
      </c>
      <c r="AD78" s="44"/>
      <c r="AE78" s="45" t="str">
        <f t="shared" si="25"/>
        <v/>
      </c>
      <c r="AF78" s="134" t="e">
        <f t="shared" ca="1" si="26"/>
        <v>#NAME?</v>
      </c>
      <c r="AG78" s="44"/>
      <c r="AH78" s="45" t="str">
        <f>IF(AG78=0,"",IFERROR(AG78/AG$19,""))</f>
        <v/>
      </c>
      <c r="AI78" s="134" t="e">
        <f ca="1">IF(AND($AA78="",AG78=""),"",$AA78-AG78)</f>
        <v>#NAME?</v>
      </c>
      <c r="AJ78" s="381">
        <f ca="1">IFERROR(AA78/AA$20,0)</f>
        <v>0</v>
      </c>
      <c r="AK78" s="382">
        <f ca="1">IFERROR(AD78/AD$20,0)</f>
        <v>0</v>
      </c>
      <c r="AL78" s="383">
        <f ca="1">IFERROR(AG78/AG$20,0)</f>
        <v>0</v>
      </c>
      <c r="AM78" s="384">
        <f ca="1">+IFERROR(ROUND(($AB78-AE78)*100,2)&amp;" pts.",0)</f>
        <v>0</v>
      </c>
      <c r="AN78" s="385">
        <f ca="1">+IFERROR(ROUND(($AB78-AH78)*100,2)&amp;" pts.",0)</f>
        <v>0</v>
      </c>
    </row>
    <row r="79" spans="1:40" x14ac:dyDescent="0.2">
      <c r="C79" s="23"/>
      <c r="H79" s="10" t="s">
        <v>861</v>
      </c>
      <c r="I79" s="441" t="e">
        <f ca="1">_xll.EVPRO($B$1,$H79,"STYLE")</f>
        <v>#NAME?</v>
      </c>
      <c r="J79" s="441" t="e">
        <f ca="1">_xll.EVPRO($B$1,$H79,"CALC")</f>
        <v>#NAME?</v>
      </c>
      <c r="K79" s="204" t="e">
        <f ca="1">IF(AND(I79&gt;="T3"),"&gt;","")</f>
        <v>#NAME?</v>
      </c>
      <c r="L79" s="72" t="e">
        <f ca="1">_xll.EVPRO($B$1,H79,"JDEID")</f>
        <v>#NAME?</v>
      </c>
      <c r="M79" s="24" t="e">
        <f ca="1">IF(AND(I79="N",J79="N"),_xll.EVPRO($B$1,H79,"PSFTID"),"")</f>
        <v>#NAME?</v>
      </c>
      <c r="N79" s="72" t="e">
        <f ca="1">IF(_xll.EVDES(H79,$B$1)="#NODATA","",_xll.EVDES(H79,$B$1))</f>
        <v>#NAME?</v>
      </c>
      <c r="O79" s="33">
        <v>332.48</v>
      </c>
      <c r="P79" s="33"/>
      <c r="Q79" s="33"/>
      <c r="R79" s="33"/>
      <c r="S79" s="33"/>
      <c r="T79" s="33"/>
      <c r="U79" s="33"/>
      <c r="V79" s="33"/>
      <c r="W79" s="33"/>
      <c r="X79" s="33"/>
      <c r="Y79" s="33"/>
      <c r="Z79" s="33"/>
      <c r="AA79" s="33" t="e">
        <f t="shared" ca="1" si="23"/>
        <v>#NAME?</v>
      </c>
      <c r="AB79" s="34" t="e">
        <f t="shared" ca="1" si="24"/>
        <v>#NAME?</v>
      </c>
      <c r="AC79" s="32"/>
      <c r="AD79" s="33"/>
      <c r="AE79" s="34" t="str">
        <f t="shared" si="25"/>
        <v/>
      </c>
      <c r="AF79" s="54" t="e">
        <f t="shared" ca="1" si="26"/>
        <v>#NAME?</v>
      </c>
      <c r="AG79" s="33">
        <v>28923.02</v>
      </c>
      <c r="AH79" s="34" t="str">
        <f ca="1">IF(AG79=0,"",IFERROR(AG79/AG$19,""))</f>
        <v/>
      </c>
      <c r="AI79" s="54" t="e">
        <f ca="1">IF(AND($AA79="",AG79=""),"",$AA79-AG79)</f>
        <v>#NAME?</v>
      </c>
      <c r="AJ79" s="344">
        <f ca="1">IFERROR(AA79/AA$20,0)</f>
        <v>0</v>
      </c>
      <c r="AK79" s="345">
        <f ca="1">IFERROR(AD79/AD$20,0)</f>
        <v>0</v>
      </c>
      <c r="AL79" s="347">
        <f ca="1">IFERROR(AG79/AG$20,0)</f>
        <v>0</v>
      </c>
      <c r="AM79" s="379">
        <f ca="1">+IFERROR(ROUND(($AB79-AE79)*100,2)&amp;" pts.",0)</f>
        <v>0</v>
      </c>
      <c r="AN79" s="380">
        <f ca="1">+IFERROR(ROUND(($AB79-AH79)*100,2)&amp;" pts.",0)</f>
        <v>0</v>
      </c>
    </row>
    <row r="80" spans="1:40" x14ac:dyDescent="0.2">
      <c r="A80" s="4" t="e">
        <f ca="1">_xll.EVDRE($B$1,A83:B90,A93:B99)</f>
        <v>#NAME?</v>
      </c>
      <c r="H80" s="10" t="s">
        <v>849</v>
      </c>
      <c r="I80" s="26" t="e">
        <f ca="1">_xll.EVPRO($B$1,$H80,"STYLE")</f>
        <v>#NAME?</v>
      </c>
      <c r="J80" s="26" t="e">
        <f ca="1">_xll.EVPRO($B$1,$H80,"CALC")</f>
        <v>#NAME?</v>
      </c>
      <c r="K80" s="65" t="e">
        <f t="shared" ref="K80:K83" ca="1" si="27">IF(AND(I80&gt;="T3"),"&gt;","")</f>
        <v>#NAME?</v>
      </c>
      <c r="L80" s="23" t="e">
        <f ca="1">_xll.EVPRO($B$1,H80,"JDEID")</f>
        <v>#NAME?</v>
      </c>
      <c r="M80" s="151" t="e">
        <f ca="1">IF(AND(I80="N",J80="N"),_xll.EVPRO($B$1,H80,"PSFTID"),"")</f>
        <v>#NAME?</v>
      </c>
      <c r="N80" s="23" t="e">
        <f ca="1">IF(_xll.EVDES(H80,$B$1)="#NODATA","",_xll.EVDES(H80,$B$1))</f>
        <v>#NAME?</v>
      </c>
      <c r="O80" s="120">
        <v>332.48</v>
      </c>
      <c r="P80" s="120"/>
      <c r="Q80" s="120"/>
      <c r="R80" s="120"/>
      <c r="S80" s="120"/>
      <c r="T80" s="120"/>
      <c r="U80" s="120"/>
      <c r="V80" s="120"/>
      <c r="W80" s="120"/>
      <c r="X80" s="120"/>
      <c r="Y80" s="120"/>
      <c r="Z80" s="120"/>
      <c r="AA80" s="120" t="e">
        <f t="shared" ca="1" si="23"/>
        <v>#NAME?</v>
      </c>
      <c r="AB80" s="121" t="e">
        <f t="shared" ca="1" si="24"/>
        <v>#NAME?</v>
      </c>
      <c r="AC80" s="123"/>
      <c r="AD80" s="120"/>
      <c r="AE80" s="121" t="str">
        <f t="shared" si="25"/>
        <v/>
      </c>
      <c r="AF80" s="122" t="e">
        <f t="shared" ca="1" si="26"/>
        <v>#NAME?</v>
      </c>
      <c r="AG80" s="120">
        <v>28923.02</v>
      </c>
      <c r="AH80" s="121" t="str">
        <f t="shared" ref="AH80:AH83" ca="1" si="28">IF(AG80=0,"",IFERROR(AG80/AG$19,""))</f>
        <v/>
      </c>
      <c r="AI80" s="122" t="e">
        <f t="shared" ref="AI80:AI83" ca="1" si="29">IF(AND($AA80="",AG80=""),"",$AA80-AG80)</f>
        <v>#NAME?</v>
      </c>
      <c r="AJ80" s="332">
        <f t="shared" ref="AJ80:AJ83" ca="1" si="30">IFERROR(AA80/AA$20,0)</f>
        <v>0</v>
      </c>
      <c r="AK80" s="333">
        <f t="shared" ref="AK80:AK83" ca="1" si="31">IFERROR(AD80/AD$20,0)</f>
        <v>0</v>
      </c>
      <c r="AL80" s="335">
        <f t="shared" ref="AL80:AL83" ca="1" si="32">IFERROR(AG80/AG$20,0)</f>
        <v>0</v>
      </c>
      <c r="AM80" s="377">
        <f t="shared" ref="AM80:AM83" ca="1" si="33">+IFERROR(ROUND(($AB80-AE80)*100,2)&amp;" pts.",0)</f>
        <v>0</v>
      </c>
      <c r="AN80" s="378">
        <f t="shared" ref="AN80:AN83" ca="1" si="34">+IFERROR(ROUND(($AB80-AH80)*100,2)&amp;" pts.",0)</f>
        <v>0</v>
      </c>
    </row>
    <row r="81" spans="1:40" x14ac:dyDescent="0.2">
      <c r="H81" s="10" t="s">
        <v>862</v>
      </c>
      <c r="I81" s="441" t="e">
        <f ca="1">_xll.EVPRO($B$1,$H81,"STYLE")</f>
        <v>#NAME?</v>
      </c>
      <c r="J81" s="441" t="e">
        <f ca="1">_xll.EVPRO($B$1,$H81,"CALC")</f>
        <v>#NAME?</v>
      </c>
      <c r="K81" s="204" t="e">
        <f t="shared" ca="1" si="27"/>
        <v>#NAME?</v>
      </c>
      <c r="L81" s="72" t="e">
        <f ca="1">_xll.EVPRO($B$1,H81,"JDEID")</f>
        <v>#NAME?</v>
      </c>
      <c r="M81" s="24" t="e">
        <f ca="1">IF(AND(I81="N",J81="N"),_xll.EVPRO($B$1,H81,"PSFTID"),"")</f>
        <v>#NAME?</v>
      </c>
      <c r="N81" s="72" t="e">
        <f ca="1">IF(_xll.EVDES(H81,$B$1)="#NODATA","",_xll.EVDES(H81,$B$1))</f>
        <v>#NAME?</v>
      </c>
      <c r="O81" s="471">
        <v>625.96</v>
      </c>
      <c r="P81" s="471"/>
      <c r="Q81" s="471"/>
      <c r="R81" s="471"/>
      <c r="S81" s="471"/>
      <c r="T81" s="471"/>
      <c r="U81" s="471"/>
      <c r="V81" s="471"/>
      <c r="W81" s="471"/>
      <c r="X81" s="471"/>
      <c r="Y81" s="471"/>
      <c r="Z81" s="471"/>
      <c r="AA81" s="471" t="e">
        <f t="shared" ca="1" si="23"/>
        <v>#NAME?</v>
      </c>
      <c r="AB81" s="472" t="e">
        <f t="shared" ca="1" si="24"/>
        <v>#NAME?</v>
      </c>
      <c r="AC81" s="8"/>
      <c r="AD81" s="471"/>
      <c r="AE81" s="472" t="str">
        <f t="shared" si="25"/>
        <v/>
      </c>
      <c r="AF81" s="473" t="e">
        <f t="shared" ca="1" si="26"/>
        <v>#NAME?</v>
      </c>
      <c r="AG81" s="471">
        <v>54716.46</v>
      </c>
      <c r="AH81" s="472" t="str">
        <f t="shared" ca="1" si="28"/>
        <v/>
      </c>
      <c r="AI81" s="473" t="e">
        <f t="shared" ca="1" si="29"/>
        <v>#NAME?</v>
      </c>
      <c r="AJ81" s="474">
        <f t="shared" ca="1" si="30"/>
        <v>0</v>
      </c>
      <c r="AK81" s="475">
        <f t="shared" ca="1" si="31"/>
        <v>0</v>
      </c>
      <c r="AL81" s="476">
        <f t="shared" ca="1" si="32"/>
        <v>0</v>
      </c>
      <c r="AM81" s="477">
        <f t="shared" ca="1" si="33"/>
        <v>0</v>
      </c>
      <c r="AN81" s="478">
        <f t="shared" ca="1" si="34"/>
        <v>0</v>
      </c>
    </row>
    <row r="82" spans="1:40" x14ac:dyDescent="0.2">
      <c r="A82" s="3" t="s">
        <v>0</v>
      </c>
      <c r="B82" s="5" t="s">
        <v>1</v>
      </c>
      <c r="H82" s="10" t="s">
        <v>851</v>
      </c>
      <c r="I82" s="26" t="e">
        <f ca="1">_xll.EVPRO($B$1,$H82,"STYLE")</f>
        <v>#NAME?</v>
      </c>
      <c r="J82" s="26" t="e">
        <f ca="1">_xll.EVPRO($B$1,$H82,"CALC")</f>
        <v>#NAME?</v>
      </c>
      <c r="K82" s="65" t="e">
        <f t="shared" ca="1" si="27"/>
        <v>#NAME?</v>
      </c>
      <c r="L82" s="23" t="e">
        <f ca="1">_xll.EVPRO($B$1,H82,"JDEID")</f>
        <v>#NAME?</v>
      </c>
      <c r="M82" s="151" t="e">
        <f ca="1">IF(AND(I82="N",J82="N"),_xll.EVPRO($B$1,H82,"PSFTID"),"")</f>
        <v>#NAME?</v>
      </c>
      <c r="N82" s="23" t="e">
        <f ca="1">IF(_xll.EVDES(H82,$B$1)="#NODATA","",_xll.EVDES(H82,$B$1))</f>
        <v>#NAME?</v>
      </c>
      <c r="O82" s="33">
        <v>958.44</v>
      </c>
      <c r="P82" s="33"/>
      <c r="Q82" s="33"/>
      <c r="R82" s="33"/>
      <c r="S82" s="33"/>
      <c r="T82" s="33"/>
      <c r="U82" s="33"/>
      <c r="V82" s="33"/>
      <c r="W82" s="33"/>
      <c r="X82" s="33"/>
      <c r="Y82" s="33"/>
      <c r="Z82" s="33"/>
      <c r="AA82" s="33" t="e">
        <f t="shared" ca="1" si="23"/>
        <v>#NAME?</v>
      </c>
      <c r="AB82" s="34" t="e">
        <f t="shared" ca="1" si="24"/>
        <v>#NAME?</v>
      </c>
      <c r="AC82" s="32"/>
      <c r="AD82" s="33"/>
      <c r="AE82" s="34" t="str">
        <f t="shared" si="25"/>
        <v/>
      </c>
      <c r="AF82" s="54" t="e">
        <f t="shared" ca="1" si="26"/>
        <v>#NAME?</v>
      </c>
      <c r="AG82" s="33">
        <v>83639.48</v>
      </c>
      <c r="AH82" s="34" t="str">
        <f t="shared" ca="1" si="28"/>
        <v/>
      </c>
      <c r="AI82" s="54" t="e">
        <f t="shared" ca="1" si="29"/>
        <v>#NAME?</v>
      </c>
      <c r="AJ82" s="344">
        <f t="shared" ca="1" si="30"/>
        <v>0</v>
      </c>
      <c r="AK82" s="345">
        <f t="shared" ca="1" si="31"/>
        <v>0</v>
      </c>
      <c r="AL82" s="347">
        <f t="shared" ca="1" si="32"/>
        <v>0</v>
      </c>
      <c r="AM82" s="379">
        <f t="shared" ca="1" si="33"/>
        <v>0</v>
      </c>
      <c r="AN82" s="380">
        <f t="shared" ca="1" si="34"/>
        <v>0</v>
      </c>
    </row>
    <row r="83" spans="1:40" x14ac:dyDescent="0.2">
      <c r="A83" s="6" t="s">
        <v>2</v>
      </c>
      <c r="B83" s="7" t="e">
        <f ca="1">_xll.EVRNG($B$2:$B$10)</f>
        <v>#NAME?</v>
      </c>
      <c r="H83" s="10" t="s">
        <v>76</v>
      </c>
      <c r="I83" s="26" t="e">
        <f ca="1">_xll.EVPRO($B$1,$H83,"STYLE")</f>
        <v>#NAME?</v>
      </c>
      <c r="J83" s="26" t="e">
        <f ca="1">_xll.EVPRO($B$1,$H83,"CALC")</f>
        <v>#NAME?</v>
      </c>
      <c r="K83" s="65" t="e">
        <f t="shared" ca="1" si="27"/>
        <v>#NAME?</v>
      </c>
      <c r="L83" s="23" t="e">
        <f ca="1">_xll.EVPRO($B$1,H83,"JDEID")</f>
        <v>#NAME?</v>
      </c>
      <c r="M83" s="151" t="e">
        <f ca="1">IF(AND(I83="N",J83="N"),_xll.EVPRO($B$1,H83,"PSFTID"),"")</f>
        <v>#NAME?</v>
      </c>
      <c r="N83" s="23" t="e">
        <f ca="1">IF(_xll.EVDES(H83,$B$1)="#NODATA","",_xll.EVDES(H83,$B$1))</f>
        <v>#NAME?</v>
      </c>
      <c r="O83" s="33">
        <v>958.44</v>
      </c>
      <c r="P83" s="33"/>
      <c r="Q83" s="33"/>
      <c r="R83" s="33"/>
      <c r="S83" s="33"/>
      <c r="T83" s="33"/>
      <c r="U83" s="33"/>
      <c r="V83" s="33"/>
      <c r="W83" s="33"/>
      <c r="X83" s="33"/>
      <c r="Y83" s="33"/>
      <c r="Z83" s="33"/>
      <c r="AA83" s="33" t="e">
        <f t="shared" ca="1" si="23"/>
        <v>#NAME?</v>
      </c>
      <c r="AB83" s="34" t="e">
        <f t="shared" ca="1" si="24"/>
        <v>#NAME?</v>
      </c>
      <c r="AC83" s="32"/>
      <c r="AD83" s="33"/>
      <c r="AE83" s="34" t="str">
        <f t="shared" si="25"/>
        <v/>
      </c>
      <c r="AF83" s="54" t="e">
        <f t="shared" ca="1" si="26"/>
        <v>#NAME?</v>
      </c>
      <c r="AG83" s="33">
        <v>83639.48</v>
      </c>
      <c r="AH83" s="34" t="str">
        <f t="shared" ca="1" si="28"/>
        <v/>
      </c>
      <c r="AI83" s="54" t="e">
        <f t="shared" ca="1" si="29"/>
        <v>#NAME?</v>
      </c>
      <c r="AJ83" s="344">
        <f t="shared" ca="1" si="30"/>
        <v>0</v>
      </c>
      <c r="AK83" s="345">
        <f t="shared" ca="1" si="31"/>
        <v>0</v>
      </c>
      <c r="AL83" s="347">
        <f t="shared" ca="1" si="32"/>
        <v>0</v>
      </c>
      <c r="AM83" s="379">
        <f t="shared" ca="1" si="33"/>
        <v>0</v>
      </c>
      <c r="AN83" s="380">
        <f t="shared" ca="1" si="34"/>
        <v>0</v>
      </c>
    </row>
    <row r="84" spans="1:40" x14ac:dyDescent="0.2">
      <c r="A84" s="6" t="s">
        <v>3</v>
      </c>
      <c r="B84" s="7" t="e">
        <f ca="1">_xll.EVRNG($O$16:$AN$18)</f>
        <v>#NAME?</v>
      </c>
      <c r="O84" s="38"/>
      <c r="P84" s="42"/>
      <c r="Q84" s="42"/>
      <c r="R84" s="42"/>
      <c r="S84" s="42"/>
      <c r="T84" s="42"/>
      <c r="U84" s="42"/>
      <c r="V84" s="42"/>
      <c r="W84" s="42"/>
      <c r="X84" s="42"/>
      <c r="Y84" s="42"/>
      <c r="Z84" s="42"/>
      <c r="AA84" s="42"/>
      <c r="AB84" s="39"/>
      <c r="AD84" s="38"/>
      <c r="AE84" s="42"/>
      <c r="AF84" s="39"/>
      <c r="AG84" s="38"/>
      <c r="AH84" s="42"/>
      <c r="AI84" s="39"/>
    </row>
    <row r="85" spans="1:40" x14ac:dyDescent="0.2">
      <c r="A85" s="6" t="s">
        <v>4</v>
      </c>
      <c r="B85" s="7" t="e">
        <f ca="1">_xll.EVRNG(H76:H77,H79:H83,H86:H93)</f>
        <v>#NAME?</v>
      </c>
      <c r="H85" s="1" t="s">
        <v>82</v>
      </c>
      <c r="I85" s="11" t="e">
        <f ca="1">_xll.EVPRO($B$1,$H85,"STYLE")</f>
        <v>#NAME?</v>
      </c>
      <c r="J85" s="11" t="e">
        <f ca="1">_xll.EVPRO($B$1,$H85,"CALC")</f>
        <v>#NAME?</v>
      </c>
      <c r="N85" s="37" t="e">
        <f ca="1">IF(_xll.EVDES(H85,$B$1)="#NODATA","",_xll.EVDES(H85,$B$1))</f>
        <v>#NAME?</v>
      </c>
      <c r="O85" s="40"/>
      <c r="P85" s="43"/>
      <c r="Q85" s="43"/>
      <c r="R85" s="43"/>
      <c r="S85" s="43"/>
      <c r="T85" s="43"/>
      <c r="U85" s="43"/>
      <c r="V85" s="43"/>
      <c r="W85" s="43"/>
      <c r="X85" s="43"/>
      <c r="Y85" s="43"/>
      <c r="Z85" s="43"/>
      <c r="AA85" s="43"/>
      <c r="AB85" s="41"/>
      <c r="AD85" s="40"/>
      <c r="AE85" s="43"/>
      <c r="AF85" s="41"/>
      <c r="AG85" s="40"/>
      <c r="AH85" s="43"/>
      <c r="AI85" s="41"/>
    </row>
    <row r="86" spans="1:40" x14ac:dyDescent="0.2">
      <c r="A86" s="6" t="s">
        <v>5</v>
      </c>
      <c r="B86" s="7"/>
      <c r="H86" s="10" t="s">
        <v>832</v>
      </c>
      <c r="I86" s="25" t="e">
        <f ca="1">_xll.EVPRO($B$1,$H86,"STYLE")</f>
        <v>#NAME?</v>
      </c>
      <c r="J86" s="25" t="e">
        <f ca="1">_xll.EVPRO($B$1,$H86,"CALC")</f>
        <v>#NAME?</v>
      </c>
      <c r="K86" s="64" t="e">
        <f ca="1">IF(AND(I86&lt;&gt;"B1",J86="Y"),"&gt;","")</f>
        <v>#NAME?</v>
      </c>
      <c r="L86" s="24" t="e">
        <f ca="1">_xll.EVPRO($B$1,H86,"JDEID")</f>
        <v>#NAME?</v>
      </c>
      <c r="M86" s="24" t="e">
        <f ca="1">IF(AND(I86="N",J86="N"),_xll.EVPRO($B$1,H86,"PSFTID"),"")</f>
        <v>#NAME?</v>
      </c>
      <c r="N86" s="24" t="e">
        <f ca="1">IF(_xll.EVDES(H86,$B$1)="#NODATA","",_xll.EVDES(H86,$B$1))</f>
        <v>#NAME?</v>
      </c>
      <c r="O86" s="19"/>
      <c r="P86" s="19"/>
      <c r="Q86" s="19"/>
      <c r="R86" s="19"/>
      <c r="S86" s="19"/>
      <c r="T86" s="19"/>
      <c r="U86" s="19">
        <v>-194.74</v>
      </c>
      <c r="V86" s="19"/>
      <c r="W86" s="19"/>
      <c r="X86" s="19"/>
      <c r="Y86" s="19"/>
      <c r="Z86" s="19"/>
      <c r="AA86" s="283" t="e">
        <f t="shared" ref="AA86:AA94" ca="1" si="35">IF($I86="B1","",SUM(O86:Z86))</f>
        <v>#NAME?</v>
      </c>
      <c r="AB86" s="15" t="e">
        <f t="shared" ref="AB86:AB94" ca="1" si="36">IF(AA86=0,"",IFERROR(AA86/AA$19,""))</f>
        <v>#NAME?</v>
      </c>
      <c r="AD86" s="19"/>
      <c r="AE86" s="15" t="str">
        <f t="shared" ref="AE86:AE94" si="37">IF(AD86=0,"",IFERROR(AD86/AD$19,""))</f>
        <v/>
      </c>
      <c r="AF86" s="47" t="e">
        <f t="shared" ref="AF86:AF94" ca="1" si="38">IF(AND($AA86="",AD86=""),"",$AA86-AD86)</f>
        <v>#NAME?</v>
      </c>
      <c r="AG86" s="19">
        <v>1221.67</v>
      </c>
      <c r="AH86" s="15" t="str">
        <f ca="1">IF(AG86=0,"",IFERROR(AG86/AG$19,""))</f>
        <v/>
      </c>
      <c r="AI86" s="47" t="e">
        <f ca="1">IF(AND($AA86="",AG86=""),"",$AA86-AG86)</f>
        <v>#NAME?</v>
      </c>
      <c r="AJ86" s="371">
        <f ca="1">IFERROR(AA86/AA$20,0)</f>
        <v>0</v>
      </c>
      <c r="AK86" s="372">
        <f ca="1">IFERROR(AD86/AD$20,0)</f>
        <v>0</v>
      </c>
      <c r="AL86" s="373">
        <f ca="1">IFERROR(AG86/AG$20,0)</f>
        <v>0</v>
      </c>
      <c r="AM86" s="374">
        <f ca="1">+IFERROR(ROUND(($AB86-AE86)*100,2)&amp;" pts.",0)</f>
        <v>0</v>
      </c>
      <c r="AN86" s="375">
        <f ca="1">+IFERROR(ROUND(($AB86-AH86)*100,2)&amp;" pts.",0)</f>
        <v>0</v>
      </c>
    </row>
    <row r="87" spans="1:40" x14ac:dyDescent="0.2">
      <c r="A87" s="6" t="s">
        <v>6</v>
      </c>
      <c r="B87" s="7"/>
      <c r="H87" s="10" t="s">
        <v>857</v>
      </c>
      <c r="I87" s="25" t="e">
        <f ca="1">_xll.EVPRO($B$1,$H87,"STYLE")</f>
        <v>#NAME?</v>
      </c>
      <c r="J87" s="25" t="e">
        <f ca="1">_xll.EVPRO($B$1,$H87,"CALC")</f>
        <v>#NAME?</v>
      </c>
      <c r="K87" s="64" t="e">
        <f t="shared" ref="K87:K93" ca="1" si="39">IF(AND(I87&lt;&gt;"B1",J87="Y"),"&gt;","")</f>
        <v>#NAME?</v>
      </c>
      <c r="L87" s="24" t="e">
        <f ca="1">_xll.EVPRO($B$1,H87,"JDEID")</f>
        <v>#NAME?</v>
      </c>
      <c r="M87" s="24" t="e">
        <f ca="1">IF(AND(I87="N",J87="N"),_xll.EVPRO($B$1,H87,"PSFTID"),"")</f>
        <v>#NAME?</v>
      </c>
      <c r="N87" s="24" t="e">
        <f ca="1">IF(_xll.EVDES(H87,$B$1)="#NODATA","",_xll.EVDES(H87,$B$1))</f>
        <v>#NAME?</v>
      </c>
      <c r="O87" s="19"/>
      <c r="P87" s="19"/>
      <c r="Q87" s="19"/>
      <c r="R87" s="19"/>
      <c r="S87" s="19"/>
      <c r="T87" s="19"/>
      <c r="U87" s="19"/>
      <c r="V87" s="19"/>
      <c r="W87" s="19"/>
      <c r="X87" s="19"/>
      <c r="Y87" s="19"/>
      <c r="Z87" s="19"/>
      <c r="AA87" s="283" t="e">
        <f t="shared" ca="1" si="35"/>
        <v>#NAME?</v>
      </c>
      <c r="AB87" s="15" t="e">
        <f t="shared" ca="1" si="36"/>
        <v>#NAME?</v>
      </c>
      <c r="AD87" s="19"/>
      <c r="AE87" s="15" t="str">
        <f t="shared" si="37"/>
        <v/>
      </c>
      <c r="AF87" s="47" t="e">
        <f t="shared" ca="1" si="38"/>
        <v>#NAME?</v>
      </c>
      <c r="AG87" s="19">
        <v>11.51</v>
      </c>
      <c r="AH87" s="15" t="str">
        <f t="shared" ref="AH87:AH93" ca="1" si="40">IF(AG87=0,"",IFERROR(AG87/AG$19,""))</f>
        <v/>
      </c>
      <c r="AI87" s="47" t="e">
        <f t="shared" ref="AI87:AI93" ca="1" si="41">IF(AND($AA87="",AG87=""),"",$AA87-AG87)</f>
        <v>#NAME?</v>
      </c>
      <c r="AJ87" s="371">
        <f t="shared" ref="AJ87:AJ93" ca="1" si="42">IFERROR(AA87/AA$20,0)</f>
        <v>0</v>
      </c>
      <c r="AK87" s="372">
        <f t="shared" ref="AK87:AK93" ca="1" si="43">IFERROR(AD87/AD$20,0)</f>
        <v>0</v>
      </c>
      <c r="AL87" s="373">
        <f t="shared" ref="AL87:AL93" ca="1" si="44">IFERROR(AG87/AG$20,0)</f>
        <v>0</v>
      </c>
      <c r="AM87" s="374">
        <f t="shared" ref="AM87:AM93" ca="1" si="45">+IFERROR(ROUND(($AB87-AE87)*100,2)&amp;" pts.",0)</f>
        <v>0</v>
      </c>
      <c r="AN87" s="375">
        <f t="shared" ref="AN87:AN93" ca="1" si="46">+IFERROR(ROUND(($AB87-AH87)*100,2)&amp;" pts.",0)</f>
        <v>0</v>
      </c>
    </row>
    <row r="88" spans="1:40" x14ac:dyDescent="0.2">
      <c r="A88" s="6" t="s">
        <v>7</v>
      </c>
      <c r="B88" s="7" t="e">
        <f ca="1">_xll.EVRNG(A102:F108)</f>
        <v>#NAME?</v>
      </c>
      <c r="H88" s="10" t="s">
        <v>859</v>
      </c>
      <c r="I88" s="25" t="e">
        <f ca="1">_xll.EVPRO($B$1,$H88,"STYLE")</f>
        <v>#NAME?</v>
      </c>
      <c r="J88" s="25" t="e">
        <f ca="1">_xll.EVPRO($B$1,$H88,"CALC")</f>
        <v>#NAME?</v>
      </c>
      <c r="K88" s="64" t="e">
        <f t="shared" ca="1" si="39"/>
        <v>#NAME?</v>
      </c>
      <c r="L88" s="24" t="e">
        <f ca="1">_xll.EVPRO($B$1,H88,"JDEID")</f>
        <v>#NAME?</v>
      </c>
      <c r="M88" s="24" t="e">
        <f ca="1">IF(AND(I88="N",J88="N"),_xll.EVPRO($B$1,H88,"PSFTID"),"")</f>
        <v>#NAME?</v>
      </c>
      <c r="N88" s="24" t="e">
        <f ca="1">IF(_xll.EVDES(H88,$B$1)="#NODATA","",_xll.EVDES(H88,$B$1))</f>
        <v>#NAME?</v>
      </c>
      <c r="O88" s="19"/>
      <c r="P88" s="19"/>
      <c r="Q88" s="19"/>
      <c r="R88" s="19"/>
      <c r="S88" s="19"/>
      <c r="T88" s="19"/>
      <c r="U88" s="19"/>
      <c r="V88" s="19"/>
      <c r="W88" s="19"/>
      <c r="X88" s="19"/>
      <c r="Y88" s="19"/>
      <c r="Z88" s="19"/>
      <c r="AA88" s="283" t="e">
        <f t="shared" ca="1" si="35"/>
        <v>#NAME?</v>
      </c>
      <c r="AB88" s="15" t="e">
        <f t="shared" ca="1" si="36"/>
        <v>#NAME?</v>
      </c>
      <c r="AD88" s="19"/>
      <c r="AE88" s="15" t="str">
        <f t="shared" si="37"/>
        <v/>
      </c>
      <c r="AF88" s="47" t="e">
        <f t="shared" ca="1" si="38"/>
        <v>#NAME?</v>
      </c>
      <c r="AG88" s="19">
        <v>380.12</v>
      </c>
      <c r="AH88" s="15" t="str">
        <f t="shared" ca="1" si="40"/>
        <v/>
      </c>
      <c r="AI88" s="47" t="e">
        <f t="shared" ca="1" si="41"/>
        <v>#NAME?</v>
      </c>
      <c r="AJ88" s="371">
        <f t="shared" ca="1" si="42"/>
        <v>0</v>
      </c>
      <c r="AK88" s="372">
        <f t="shared" ca="1" si="43"/>
        <v>0</v>
      </c>
      <c r="AL88" s="373">
        <f t="shared" ca="1" si="44"/>
        <v>0</v>
      </c>
      <c r="AM88" s="374">
        <f t="shared" ca="1" si="45"/>
        <v>0</v>
      </c>
      <c r="AN88" s="375">
        <f t="shared" ca="1" si="46"/>
        <v>0</v>
      </c>
    </row>
    <row r="89" spans="1:40" x14ac:dyDescent="0.2">
      <c r="A89" s="6" t="s">
        <v>47</v>
      </c>
      <c r="B89" s="7" t="e">
        <f ca="1">_xll.EVRNG($A$125:$B$146)</f>
        <v>#NAME?</v>
      </c>
      <c r="H89" s="10" t="s">
        <v>833</v>
      </c>
      <c r="I89" s="25" t="e">
        <f ca="1">_xll.EVPRO($B$1,$H89,"STYLE")</f>
        <v>#NAME?</v>
      </c>
      <c r="J89" s="25" t="e">
        <f ca="1">_xll.EVPRO($B$1,$H89,"CALC")</f>
        <v>#NAME?</v>
      </c>
      <c r="K89" s="64" t="e">
        <f t="shared" ca="1" si="39"/>
        <v>#NAME?</v>
      </c>
      <c r="L89" s="24" t="e">
        <f ca="1">_xll.EVPRO($B$1,H89,"JDEID")</f>
        <v>#NAME?</v>
      </c>
      <c r="M89" s="24" t="e">
        <f ca="1">IF(AND(I89="N",J89="N"),_xll.EVPRO($B$1,H89,"PSFTID"),"")</f>
        <v>#NAME?</v>
      </c>
      <c r="N89" s="24" t="e">
        <f ca="1">IF(_xll.EVDES(H89,$B$1)="#NODATA","",_xll.EVDES(H89,$B$1))</f>
        <v>#NAME?</v>
      </c>
      <c r="O89" s="19"/>
      <c r="P89" s="19"/>
      <c r="Q89" s="19"/>
      <c r="R89" s="19"/>
      <c r="S89" s="19"/>
      <c r="T89" s="19"/>
      <c r="U89" s="19"/>
      <c r="V89" s="19"/>
      <c r="W89" s="19"/>
      <c r="X89" s="19"/>
      <c r="Y89" s="19"/>
      <c r="Z89" s="19"/>
      <c r="AA89" s="283" t="e">
        <f t="shared" ca="1" si="35"/>
        <v>#NAME?</v>
      </c>
      <c r="AB89" s="15" t="e">
        <f t="shared" ca="1" si="36"/>
        <v>#NAME?</v>
      </c>
      <c r="AD89" s="19"/>
      <c r="AE89" s="15" t="str">
        <f t="shared" si="37"/>
        <v/>
      </c>
      <c r="AF89" s="47" t="e">
        <f t="shared" ca="1" si="38"/>
        <v>#NAME?</v>
      </c>
      <c r="AG89" s="19">
        <v>1125</v>
      </c>
      <c r="AH89" s="15" t="str">
        <f t="shared" ca="1" si="40"/>
        <v/>
      </c>
      <c r="AI89" s="47" t="e">
        <f t="shared" ca="1" si="41"/>
        <v>#NAME?</v>
      </c>
      <c r="AJ89" s="371">
        <f t="shared" ca="1" si="42"/>
        <v>0</v>
      </c>
      <c r="AK89" s="372">
        <f t="shared" ca="1" si="43"/>
        <v>0</v>
      </c>
      <c r="AL89" s="373">
        <f t="shared" ca="1" si="44"/>
        <v>0</v>
      </c>
      <c r="AM89" s="374">
        <f t="shared" ca="1" si="45"/>
        <v>0</v>
      </c>
      <c r="AN89" s="375">
        <f t="shared" ca="1" si="46"/>
        <v>0</v>
      </c>
    </row>
    <row r="90" spans="1:40" x14ac:dyDescent="0.2">
      <c r="A90" s="6" t="s">
        <v>8</v>
      </c>
      <c r="B90" s="7"/>
      <c r="H90" s="10" t="s">
        <v>877</v>
      </c>
      <c r="I90" s="25" t="e">
        <f ca="1">_xll.EVPRO($B$1,$H90,"STYLE")</f>
        <v>#NAME?</v>
      </c>
      <c r="J90" s="25" t="e">
        <f ca="1">_xll.EVPRO($B$1,$H90,"CALC")</f>
        <v>#NAME?</v>
      </c>
      <c r="K90" s="64" t="e">
        <f t="shared" ca="1" si="39"/>
        <v>#NAME?</v>
      </c>
      <c r="L90" s="24" t="e">
        <f ca="1">_xll.EVPRO($B$1,H90,"JDEID")</f>
        <v>#NAME?</v>
      </c>
      <c r="M90" s="24" t="e">
        <f ca="1">IF(AND(I90="N",J90="N"),_xll.EVPRO($B$1,H90,"PSFTID"),"")</f>
        <v>#NAME?</v>
      </c>
      <c r="N90" s="24" t="e">
        <f ca="1">IF(_xll.EVDES(H90,$B$1)="#NODATA","",_xll.EVDES(H90,$B$1))</f>
        <v>#NAME?</v>
      </c>
      <c r="O90" s="19"/>
      <c r="P90" s="19"/>
      <c r="Q90" s="19"/>
      <c r="R90" s="19"/>
      <c r="S90" s="19"/>
      <c r="T90" s="19"/>
      <c r="U90" s="19"/>
      <c r="V90" s="19"/>
      <c r="W90" s="19"/>
      <c r="X90" s="19"/>
      <c r="Y90" s="19"/>
      <c r="Z90" s="19"/>
      <c r="AA90" s="283" t="e">
        <f t="shared" ca="1" si="35"/>
        <v>#NAME?</v>
      </c>
      <c r="AB90" s="15" t="e">
        <f t="shared" ca="1" si="36"/>
        <v>#NAME?</v>
      </c>
      <c r="AD90" s="19"/>
      <c r="AE90" s="15" t="str">
        <f t="shared" si="37"/>
        <v/>
      </c>
      <c r="AF90" s="47" t="e">
        <f t="shared" ca="1" si="38"/>
        <v>#NAME?</v>
      </c>
      <c r="AG90" s="19">
        <v>340.28</v>
      </c>
      <c r="AH90" s="15" t="str">
        <f t="shared" ca="1" si="40"/>
        <v/>
      </c>
      <c r="AI90" s="47" t="e">
        <f t="shared" ca="1" si="41"/>
        <v>#NAME?</v>
      </c>
      <c r="AJ90" s="371">
        <f t="shared" ca="1" si="42"/>
        <v>0</v>
      </c>
      <c r="AK90" s="372">
        <f t="shared" ca="1" si="43"/>
        <v>0</v>
      </c>
      <c r="AL90" s="373">
        <f t="shared" ca="1" si="44"/>
        <v>0</v>
      </c>
      <c r="AM90" s="374">
        <f t="shared" ca="1" si="45"/>
        <v>0</v>
      </c>
      <c r="AN90" s="375">
        <f t="shared" ca="1" si="46"/>
        <v>0</v>
      </c>
    </row>
    <row r="91" spans="1:40" x14ac:dyDescent="0.2">
      <c r="G91" s="13"/>
      <c r="H91" s="10" t="s">
        <v>878</v>
      </c>
      <c r="I91" s="25" t="e">
        <f ca="1">_xll.EVPRO($B$1,$H91,"STYLE")</f>
        <v>#NAME?</v>
      </c>
      <c r="J91" s="25" t="e">
        <f ca="1">_xll.EVPRO($B$1,$H91,"CALC")</f>
        <v>#NAME?</v>
      </c>
      <c r="K91" s="64" t="e">
        <f t="shared" ca="1" si="39"/>
        <v>#NAME?</v>
      </c>
      <c r="L91" s="24" t="e">
        <f ca="1">_xll.EVPRO($B$1,H91,"JDEID")</f>
        <v>#NAME?</v>
      </c>
      <c r="M91" s="24" t="e">
        <f ca="1">IF(AND(I91="N",J91="N"),_xll.EVPRO($B$1,H91,"PSFTID"),"")</f>
        <v>#NAME?</v>
      </c>
      <c r="N91" s="24" t="e">
        <f ca="1">IF(_xll.EVDES(H91,$B$1)="#NODATA","",_xll.EVDES(H91,$B$1))</f>
        <v>#NAME?</v>
      </c>
      <c r="O91" s="19"/>
      <c r="P91" s="19"/>
      <c r="Q91" s="19"/>
      <c r="R91" s="19"/>
      <c r="S91" s="19"/>
      <c r="T91" s="19"/>
      <c r="U91" s="19"/>
      <c r="V91" s="19"/>
      <c r="W91" s="19"/>
      <c r="X91" s="19"/>
      <c r="Y91" s="19"/>
      <c r="Z91" s="19"/>
      <c r="AA91" s="283" t="e">
        <f t="shared" ca="1" si="35"/>
        <v>#NAME?</v>
      </c>
      <c r="AB91" s="15" t="e">
        <f t="shared" ca="1" si="36"/>
        <v>#NAME?</v>
      </c>
      <c r="AD91" s="19"/>
      <c r="AE91" s="15" t="str">
        <f t="shared" si="37"/>
        <v/>
      </c>
      <c r="AF91" s="47" t="e">
        <f t="shared" ca="1" si="38"/>
        <v>#NAME?</v>
      </c>
      <c r="AG91" s="19">
        <v>216.44</v>
      </c>
      <c r="AH91" s="15" t="str">
        <f t="shared" ca="1" si="40"/>
        <v/>
      </c>
      <c r="AI91" s="47" t="e">
        <f t="shared" ca="1" si="41"/>
        <v>#NAME?</v>
      </c>
      <c r="AJ91" s="371">
        <f t="shared" ca="1" si="42"/>
        <v>0</v>
      </c>
      <c r="AK91" s="372">
        <f t="shared" ca="1" si="43"/>
        <v>0</v>
      </c>
      <c r="AL91" s="373">
        <f t="shared" ca="1" si="44"/>
        <v>0</v>
      </c>
      <c r="AM91" s="374">
        <f t="shared" ca="1" si="45"/>
        <v>0</v>
      </c>
      <c r="AN91" s="375">
        <f t="shared" ca="1" si="46"/>
        <v>0</v>
      </c>
    </row>
    <row r="92" spans="1:40" x14ac:dyDescent="0.2">
      <c r="A92" s="3" t="s">
        <v>9</v>
      </c>
      <c r="B92" s="5" t="s">
        <v>10</v>
      </c>
      <c r="H92" s="10" t="s">
        <v>880</v>
      </c>
      <c r="I92" s="25" t="e">
        <f ca="1">_xll.EVPRO($B$1,$H92,"STYLE")</f>
        <v>#NAME?</v>
      </c>
      <c r="J92" s="25" t="e">
        <f ca="1">_xll.EVPRO($B$1,$H92,"CALC")</f>
        <v>#NAME?</v>
      </c>
      <c r="K92" s="64" t="e">
        <f t="shared" ca="1" si="39"/>
        <v>#NAME?</v>
      </c>
      <c r="L92" s="24" t="e">
        <f ca="1">_xll.EVPRO($B$1,H92,"JDEID")</f>
        <v>#NAME?</v>
      </c>
      <c r="M92" s="24" t="e">
        <f ca="1">IF(AND(I92="N",J92="N"),_xll.EVPRO($B$1,H92,"PSFTID"),"")</f>
        <v>#NAME?</v>
      </c>
      <c r="N92" s="24" t="e">
        <f ca="1">IF(_xll.EVDES(H92,$B$1)="#NODATA","",_xll.EVDES(H92,$B$1))</f>
        <v>#NAME?</v>
      </c>
      <c r="O92" s="19"/>
      <c r="P92" s="19"/>
      <c r="Q92" s="19"/>
      <c r="R92" s="19"/>
      <c r="S92" s="19"/>
      <c r="T92" s="19"/>
      <c r="U92" s="19"/>
      <c r="V92" s="19"/>
      <c r="W92" s="19"/>
      <c r="X92" s="19"/>
      <c r="Y92" s="19"/>
      <c r="Z92" s="19"/>
      <c r="AA92" s="283" t="e">
        <f t="shared" ca="1" si="35"/>
        <v>#NAME?</v>
      </c>
      <c r="AB92" s="15" t="e">
        <f t="shared" ca="1" si="36"/>
        <v>#NAME?</v>
      </c>
      <c r="AD92" s="19"/>
      <c r="AE92" s="15" t="str">
        <f t="shared" si="37"/>
        <v/>
      </c>
      <c r="AF92" s="47" t="e">
        <f t="shared" ca="1" si="38"/>
        <v>#NAME?</v>
      </c>
      <c r="AG92" s="19">
        <v>251.76</v>
      </c>
      <c r="AH92" s="15" t="str">
        <f t="shared" ca="1" si="40"/>
        <v/>
      </c>
      <c r="AI92" s="47" t="e">
        <f t="shared" ca="1" si="41"/>
        <v>#NAME?</v>
      </c>
      <c r="AJ92" s="371">
        <f t="shared" ca="1" si="42"/>
        <v>0</v>
      </c>
      <c r="AK92" s="372">
        <f t="shared" ca="1" si="43"/>
        <v>0</v>
      </c>
      <c r="AL92" s="373">
        <f t="shared" ca="1" si="44"/>
        <v>0</v>
      </c>
      <c r="AM92" s="374">
        <f t="shared" ca="1" si="45"/>
        <v>0</v>
      </c>
      <c r="AN92" s="375">
        <f t="shared" ca="1" si="46"/>
        <v>0</v>
      </c>
    </row>
    <row r="93" spans="1:40" x14ac:dyDescent="0.2">
      <c r="A93" s="6" t="s">
        <v>11</v>
      </c>
      <c r="B93" s="7" t="s">
        <v>21</v>
      </c>
      <c r="H93" s="10" t="s">
        <v>881</v>
      </c>
      <c r="I93" s="25" t="e">
        <f ca="1">_xll.EVPRO($B$1,$H93,"STYLE")</f>
        <v>#NAME?</v>
      </c>
      <c r="J93" s="25" t="e">
        <f ca="1">_xll.EVPRO($B$1,$H93,"CALC")</f>
        <v>#NAME?</v>
      </c>
      <c r="K93" s="64" t="e">
        <f t="shared" ca="1" si="39"/>
        <v>#NAME?</v>
      </c>
      <c r="L93" s="24" t="e">
        <f ca="1">_xll.EVPRO($B$1,H93,"JDEID")</f>
        <v>#NAME?</v>
      </c>
      <c r="M93" s="24" t="e">
        <f ca="1">IF(AND(I93="N",J93="N"),_xll.EVPRO($B$1,H93,"PSFTID"),"")</f>
        <v>#NAME?</v>
      </c>
      <c r="N93" s="24" t="e">
        <f ca="1">IF(_xll.EVDES(H93,$B$1)="#NODATA","",_xll.EVDES(H93,$B$1))</f>
        <v>#NAME?</v>
      </c>
      <c r="O93" s="19"/>
      <c r="P93" s="19"/>
      <c r="Q93" s="19"/>
      <c r="R93" s="19"/>
      <c r="S93" s="19"/>
      <c r="T93" s="19"/>
      <c r="U93" s="19"/>
      <c r="V93" s="19"/>
      <c r="W93" s="19"/>
      <c r="X93" s="19"/>
      <c r="Y93" s="19"/>
      <c r="Z93" s="19"/>
      <c r="AA93" s="283" t="e">
        <f t="shared" ca="1" si="35"/>
        <v>#NAME?</v>
      </c>
      <c r="AB93" s="15" t="e">
        <f t="shared" ca="1" si="36"/>
        <v>#NAME?</v>
      </c>
      <c r="AD93" s="19"/>
      <c r="AE93" s="15" t="str">
        <f t="shared" si="37"/>
        <v/>
      </c>
      <c r="AF93" s="47" t="e">
        <f t="shared" ca="1" si="38"/>
        <v>#NAME?</v>
      </c>
      <c r="AG93" s="19">
        <v>1000</v>
      </c>
      <c r="AH93" s="15" t="str">
        <f t="shared" ca="1" si="40"/>
        <v/>
      </c>
      <c r="AI93" s="47" t="e">
        <f t="shared" ca="1" si="41"/>
        <v>#NAME?</v>
      </c>
      <c r="AJ93" s="371">
        <f t="shared" ca="1" si="42"/>
        <v>0</v>
      </c>
      <c r="AK93" s="372">
        <f t="shared" ca="1" si="43"/>
        <v>0</v>
      </c>
      <c r="AL93" s="373">
        <f t="shared" ca="1" si="44"/>
        <v>0</v>
      </c>
      <c r="AM93" s="374">
        <f t="shared" ca="1" si="45"/>
        <v>0</v>
      </c>
      <c r="AN93" s="375">
        <f t="shared" ca="1" si="46"/>
        <v>0</v>
      </c>
    </row>
    <row r="94" spans="1:40" x14ac:dyDescent="0.2">
      <c r="A94" s="6" t="s">
        <v>12</v>
      </c>
      <c r="B94" s="7" t="s">
        <v>22</v>
      </c>
      <c r="H94" s="10" t="s">
        <v>79</v>
      </c>
      <c r="I94" s="25" t="e">
        <f ca="1">_xll.EVPRO($B$1,$H94,"STYLE")</f>
        <v>#NAME?</v>
      </c>
      <c r="J94" s="25" t="e">
        <f ca="1">_xll.EVPRO($B$1,$H94,"CALC")</f>
        <v>#NAME?</v>
      </c>
      <c r="K94" s="24"/>
      <c r="L94" s="24"/>
      <c r="M94" s="24"/>
      <c r="N94" s="23" t="e">
        <f ca="1">IF(_xll.EVDES(H94,$B$1)="#NODATA","",_xll.EVDES(H94,$B$1))</f>
        <v>#NAME?</v>
      </c>
      <c r="O94" s="30"/>
      <c r="P94" s="30"/>
      <c r="Q94" s="30"/>
      <c r="R94" s="30"/>
      <c r="S94" s="30"/>
      <c r="T94" s="30"/>
      <c r="U94" s="30">
        <v>-194.74</v>
      </c>
      <c r="V94" s="30"/>
      <c r="W94" s="30"/>
      <c r="X94" s="30"/>
      <c r="Y94" s="30"/>
      <c r="Z94" s="30"/>
      <c r="AA94" s="30" t="e">
        <f t="shared" ca="1" si="35"/>
        <v>#NAME?</v>
      </c>
      <c r="AB94" s="31" t="e">
        <f t="shared" ca="1" si="36"/>
        <v>#NAME?</v>
      </c>
      <c r="AD94" s="30"/>
      <c r="AE94" s="31" t="str">
        <f t="shared" si="37"/>
        <v/>
      </c>
      <c r="AF94" s="49" t="e">
        <f t="shared" ca="1" si="38"/>
        <v>#NAME?</v>
      </c>
      <c r="AG94" s="30">
        <v>4546.78</v>
      </c>
      <c r="AH94" s="31" t="str">
        <f ca="1">IF(AG94=0,"",IFERROR(AG94/AG$19,""))</f>
        <v/>
      </c>
      <c r="AI94" s="49" t="e">
        <f ca="1">IF(AND($AA94="",AG94=""),"",$AA94-AG94)</f>
        <v>#NAME?</v>
      </c>
      <c r="AJ94" s="387">
        <f ca="1">IFERROR(AA94/AA$20,0)</f>
        <v>0</v>
      </c>
      <c r="AK94" s="388">
        <f ca="1">IFERROR(AD94/AD$20,0)</f>
        <v>0</v>
      </c>
      <c r="AL94" s="389">
        <f ca="1">IFERROR(AG94/AG$20,0)</f>
        <v>0</v>
      </c>
      <c r="AM94" s="390">
        <f ca="1">+IFERROR(ROUND(($AB94-AE94)*100,2)&amp;" pts.",0)</f>
        <v>0</v>
      </c>
      <c r="AN94" s="408">
        <f ca="1">+IFERROR(ROUND(($AB94-AH94)*100,2)&amp;" pts.",0)</f>
        <v>0</v>
      </c>
    </row>
    <row r="95" spans="1:40" x14ac:dyDescent="0.2">
      <c r="A95" s="6" t="s">
        <v>13</v>
      </c>
      <c r="B95" s="7" t="s">
        <v>737</v>
      </c>
    </row>
    <row r="96" spans="1:40" x14ac:dyDescent="0.2">
      <c r="A96" s="6" t="s">
        <v>14</v>
      </c>
      <c r="B96" s="7"/>
      <c r="H96" s="10" t="s">
        <v>80</v>
      </c>
      <c r="I96" s="25" t="e">
        <f ca="1">_xll.EVPRO($B$1,$H96,"STYLE")</f>
        <v>#NAME?</v>
      </c>
      <c r="J96" s="25" t="e">
        <f ca="1">_xll.EVPRO($B$1,$H96,"CALC")</f>
        <v>#NAME?</v>
      </c>
      <c r="K96" s="23"/>
      <c r="L96" s="23"/>
      <c r="M96" s="23"/>
      <c r="N96" s="23" t="e">
        <f ca="1">IF(_xll.EVDES(H96,$B$1)="#NODATA","",_xll.EVDES(H96,$B$1))</f>
        <v>#NAME?</v>
      </c>
      <c r="O96" s="33">
        <v>958.44</v>
      </c>
      <c r="P96" s="33"/>
      <c r="Q96" s="33"/>
      <c r="R96" s="33"/>
      <c r="S96" s="33"/>
      <c r="T96" s="33"/>
      <c r="U96" s="33">
        <v>-194.74</v>
      </c>
      <c r="V96" s="33"/>
      <c r="W96" s="33"/>
      <c r="X96" s="33"/>
      <c r="Y96" s="33"/>
      <c r="Z96" s="33"/>
      <c r="AA96" s="33" t="e">
        <f ca="1">IF($I96="B1","",SUM(O96:Z96))</f>
        <v>#NAME?</v>
      </c>
      <c r="AB96" s="34" t="e">
        <f ca="1">IF(AA96=0,"",IFERROR(AA96/AA$19,""))</f>
        <v>#NAME?</v>
      </c>
      <c r="AD96" s="33"/>
      <c r="AE96" s="34" t="str">
        <f>IF(AD96=0,"",IFERROR(AD96/AD$19,""))</f>
        <v/>
      </c>
      <c r="AF96" s="55" t="e">
        <f ca="1">IF(AND($AA96="",AD96=""),"",$AA96-AD96)</f>
        <v>#NAME?</v>
      </c>
      <c r="AG96" s="56">
        <v>88186.26</v>
      </c>
      <c r="AH96" s="57" t="str">
        <f ca="1">IF(AG96=0,"",IFERROR(AG96/AG$19,""))</f>
        <v/>
      </c>
      <c r="AI96" s="55" t="e">
        <f ca="1">IF(AND($AA96="",AG96=""),"",$AA96-AG96)</f>
        <v>#NAME?</v>
      </c>
      <c r="AJ96" s="364">
        <f ca="1">IFERROR(AA96/AA$20,0)</f>
        <v>0</v>
      </c>
      <c r="AK96" s="365">
        <f ca="1">IFERROR(AD96/AD$20,0)</f>
        <v>0</v>
      </c>
      <c r="AL96" s="366">
        <f ca="1">IFERROR(AG96/AG$20,0)</f>
        <v>0</v>
      </c>
      <c r="AM96" s="367">
        <f ca="1">+IFERROR(ROUND(($AB96-AE96)*100,2)&amp;" pts.",0)</f>
        <v>0</v>
      </c>
      <c r="AN96" s="409">
        <f ca="1">+IFERROR(ROUND(($AB96-AH96)*100,2)&amp;" pts.",0)</f>
        <v>0</v>
      </c>
    </row>
    <row r="97" spans="1:40" ht="16" thickBot="1" x14ac:dyDescent="0.25">
      <c r="A97" s="6" t="s">
        <v>15</v>
      </c>
      <c r="B97" s="7"/>
      <c r="H97" s="10" t="s">
        <v>81</v>
      </c>
      <c r="I97" s="25" t="e">
        <f ca="1">_xll.EVPRO($B$1,$H97,"STYLE")</f>
        <v>#NAME?</v>
      </c>
      <c r="J97" s="25" t="e">
        <f ca="1">_xll.EVPRO($B$1,$H97,"CALC")</f>
        <v>#NAME?</v>
      </c>
      <c r="K97" s="23"/>
      <c r="L97" s="23"/>
      <c r="M97" s="23"/>
      <c r="N97" s="23" t="e">
        <f ca="1">IF(_xll.EVDES(H97,$B$1)="#NODATA","",_xll.EVDES(H97,$B$1))</f>
        <v>#NAME?</v>
      </c>
      <c r="O97" s="58">
        <v>2533.2600000000002</v>
      </c>
      <c r="P97" s="58"/>
      <c r="Q97" s="58">
        <v>-43.18</v>
      </c>
      <c r="R97" s="58"/>
      <c r="S97" s="58"/>
      <c r="T97" s="58"/>
      <c r="U97" s="58">
        <v>194.74</v>
      </c>
      <c r="V97" s="58"/>
      <c r="W97" s="58"/>
      <c r="X97" s="58"/>
      <c r="Y97" s="58"/>
      <c r="Z97" s="58"/>
      <c r="AA97" s="58" t="e">
        <f ca="1">IF($I97="B1","",SUM(O97:Z97))</f>
        <v>#NAME?</v>
      </c>
      <c r="AB97" s="59" t="e">
        <f ca="1">IF(AA97=0,"",IFERROR(AA97/AA$19,""))</f>
        <v>#NAME?</v>
      </c>
      <c r="AD97" s="58"/>
      <c r="AE97" s="59" t="str">
        <f>IF(AD97=0,"",IFERROR(AD97/AD$19,""))</f>
        <v/>
      </c>
      <c r="AF97" s="60" t="e">
        <f ca="1">IF(AND($AA97="",AD97=""),"",$AA97-AD97)</f>
        <v>#NAME?</v>
      </c>
      <c r="AG97" s="58">
        <v>259419.46</v>
      </c>
      <c r="AH97" s="59" t="str">
        <f ca="1">IF(AG97=0,"",IFERROR(AG97/AG$19,""))</f>
        <v/>
      </c>
      <c r="AI97" s="60" t="e">
        <f ca="1">IF(AND($AA97="",AG97=""),"",$AA97-AG97)</f>
        <v>#NAME?</v>
      </c>
      <c r="AJ97" s="402">
        <f ca="1">IFERROR(AA97/AA$20,0)</f>
        <v>0</v>
      </c>
      <c r="AK97" s="403">
        <f ca="1">IFERROR(AD97/AD$20,0)</f>
        <v>0</v>
      </c>
      <c r="AL97" s="404">
        <f ca="1">IFERROR(AG97/AG$20,0)</f>
        <v>0</v>
      </c>
      <c r="AM97" s="405">
        <f ca="1">+IFERROR(ROUND(($AB97-AE97)*100,2)&amp;" pts.",0)</f>
        <v>0</v>
      </c>
      <c r="AN97" s="410">
        <f ca="1">+IFERROR(ROUND(($AB97-AH97)*100,2)&amp;" pts.",0)</f>
        <v>0</v>
      </c>
    </row>
    <row r="98" spans="1:40" ht="16" thickTop="1" x14ac:dyDescent="0.2">
      <c r="A98" s="6" t="s">
        <v>16</v>
      </c>
      <c r="B98" s="7" t="s">
        <v>78</v>
      </c>
    </row>
    <row r="99" spans="1:40" x14ac:dyDescent="0.2">
      <c r="A99" s="6" t="s">
        <v>17</v>
      </c>
      <c r="B99" s="7"/>
      <c r="N99" s="24" t="e">
        <f ca="1">N96&amp;" - Check"</f>
        <v>#NAME?</v>
      </c>
      <c r="O99" s="124">
        <f t="shared" ref="O99:AA99" si="47">SUMIF($H$35:$H$97,"600000",O$35:O$97)+SUMIF($H$35:$H$97,"700000",O$35:O$97)-SUMIF($H$35:$H$97,"TOTDEPTEXP",O$35:O$97)</f>
        <v>0</v>
      </c>
      <c r="P99" s="124">
        <f t="shared" si="47"/>
        <v>0</v>
      </c>
      <c r="Q99" s="124">
        <f t="shared" si="47"/>
        <v>0</v>
      </c>
      <c r="R99" s="124">
        <f t="shared" si="47"/>
        <v>0</v>
      </c>
      <c r="S99" s="124">
        <f t="shared" si="47"/>
        <v>0</v>
      </c>
      <c r="T99" s="124">
        <f t="shared" si="47"/>
        <v>0</v>
      </c>
      <c r="U99" s="124">
        <f t="shared" si="47"/>
        <v>0</v>
      </c>
      <c r="V99" s="124">
        <f t="shared" si="47"/>
        <v>0</v>
      </c>
      <c r="W99" s="124">
        <f t="shared" si="47"/>
        <v>0</v>
      </c>
      <c r="X99" s="124">
        <f t="shared" si="47"/>
        <v>0</v>
      </c>
      <c r="Y99" s="124">
        <f t="shared" si="47"/>
        <v>0</v>
      </c>
      <c r="Z99" s="124">
        <f t="shared" si="47"/>
        <v>0</v>
      </c>
      <c r="AA99" s="124" t="e">
        <f t="shared" ca="1" si="47"/>
        <v>#NAME?</v>
      </c>
      <c r="AB99" s="15"/>
      <c r="AD99" s="124">
        <f>SUMIF($H$35:$H$97,"600000",AD$35:AD$97)+SUMIF($H$35:$H$97,"700000",AD$35:AD$97)-SUMIF($H$35:$H$97,"TOTDEPTEXP",AD$35:AD$97)</f>
        <v>0</v>
      </c>
      <c r="AE99" s="15"/>
      <c r="AF99" s="19"/>
      <c r="AG99" s="124">
        <f>SUMIF($H$35:$H$97,"600000",AG$35:AG$97)+SUMIF($H$35:$H$97,"700000",AG$35:AG$97)-SUMIF($H$35:$H$97,"TOTDEPTEXP",AG$35:AG$97)</f>
        <v>0</v>
      </c>
      <c r="AH99" s="15"/>
      <c r="AI99" s="19"/>
    </row>
    <row r="100" spans="1:40" x14ac:dyDescent="0.2">
      <c r="N100" s="24" t="e">
        <f ca="1">N97&amp;" - Check"</f>
        <v>#NAME?</v>
      </c>
      <c r="O100" s="124">
        <f t="shared" ref="O100:AA100" si="48">SUMIF($H$35:$H$97,"KPI_GP",O$35:O$97)-SUMIF($H$35:$H$97,"TOTDEPTEXP",O$35:O$97)-SUMIF($H$35:$H$97,"TOTDEPTPL",O$35:O$97)</f>
        <v>0</v>
      </c>
      <c r="P100" s="124">
        <f t="shared" si="48"/>
        <v>0</v>
      </c>
      <c r="Q100" s="124">
        <f t="shared" si="48"/>
        <v>0</v>
      </c>
      <c r="R100" s="124">
        <f t="shared" si="48"/>
        <v>0</v>
      </c>
      <c r="S100" s="124">
        <f t="shared" si="48"/>
        <v>0</v>
      </c>
      <c r="T100" s="124">
        <f t="shared" si="48"/>
        <v>0</v>
      </c>
      <c r="U100" s="124">
        <f t="shared" si="48"/>
        <v>0</v>
      </c>
      <c r="V100" s="124">
        <f t="shared" si="48"/>
        <v>0</v>
      </c>
      <c r="W100" s="124">
        <f t="shared" si="48"/>
        <v>0</v>
      </c>
      <c r="X100" s="124">
        <f t="shared" si="48"/>
        <v>0</v>
      </c>
      <c r="Y100" s="124">
        <f t="shared" si="48"/>
        <v>0</v>
      </c>
      <c r="Z100" s="124">
        <f t="shared" si="48"/>
        <v>0</v>
      </c>
      <c r="AA100" s="124" t="e">
        <f t="shared" ca="1" si="48"/>
        <v>#NAME?</v>
      </c>
      <c r="AB100" s="15"/>
      <c r="AD100" s="124">
        <f>SUMIF($H$35:$H$97,"KPI_GP",AD$35:AD$97)-SUMIF($H$35:$H$97,"TOTDEPTEXP",AD$35:AD$97)-SUMIF($H$35:$H$97,"TOTDEPTPL",AD$35:AD$97)</f>
        <v>0</v>
      </c>
      <c r="AE100" s="15"/>
      <c r="AF100" s="19"/>
      <c r="AG100" s="124">
        <f>SUMIF($H$35:$H$97,"KPI_GP",AG$35:AG$97)-SUMIF($H$35:$H$97,"TOTDEPTEXP",AG$35:AG$97)-SUMIF($H$35:$H$97,"TOTDEPTPL",AG$35:AG$97)</f>
        <v>0</v>
      </c>
      <c r="AH100" s="15"/>
      <c r="AI100" s="19"/>
    </row>
    <row r="101" spans="1:40" x14ac:dyDescent="0.2">
      <c r="A101" s="20" t="s">
        <v>92</v>
      </c>
      <c r="B101" s="21" t="s">
        <v>93</v>
      </c>
      <c r="C101" s="21" t="s">
        <v>94</v>
      </c>
      <c r="D101" s="21" t="s">
        <v>95</v>
      </c>
      <c r="E101" s="21" t="s">
        <v>96</v>
      </c>
      <c r="F101" s="22" t="s">
        <v>97</v>
      </c>
    </row>
    <row r="102" spans="1:40" x14ac:dyDescent="0.2">
      <c r="O102" s="147"/>
      <c r="P102" s="147"/>
      <c r="Q102" s="147"/>
      <c r="R102" s="147"/>
      <c r="S102" s="147"/>
      <c r="T102" s="147"/>
      <c r="U102" s="147"/>
      <c r="V102" s="147"/>
      <c r="W102" s="147"/>
      <c r="X102" s="147"/>
      <c r="Y102" s="147"/>
      <c r="Z102" s="147"/>
      <c r="AA102" s="147"/>
      <c r="AD102" s="147"/>
      <c r="AG102" s="147"/>
    </row>
    <row r="103" spans="1:40" x14ac:dyDescent="0.2">
      <c r="A103" s="1" t="s">
        <v>108</v>
      </c>
      <c r="C103" s="24" t="s">
        <v>101</v>
      </c>
      <c r="D103" s="1" t="s">
        <v>106</v>
      </c>
      <c r="F103" s="1" t="s">
        <v>98</v>
      </c>
    </row>
    <row r="104" spans="1:40" x14ac:dyDescent="0.2">
      <c r="A104" s="1" t="s">
        <v>100</v>
      </c>
      <c r="C104" s="8" t="s">
        <v>101</v>
      </c>
      <c r="D104" s="1" t="s">
        <v>106</v>
      </c>
      <c r="F104" s="1" t="s">
        <v>98</v>
      </c>
      <c r="O104" s="147"/>
      <c r="P104" s="147"/>
      <c r="Q104" s="147"/>
      <c r="R104" s="147"/>
      <c r="S104" s="147"/>
      <c r="T104" s="147"/>
      <c r="U104" s="147"/>
      <c r="V104" s="147"/>
      <c r="W104" s="147"/>
      <c r="X104" s="147"/>
      <c r="Y104" s="147"/>
      <c r="Z104" s="147"/>
      <c r="AA104" s="147"/>
      <c r="AD104" s="147"/>
      <c r="AG104" s="147"/>
    </row>
    <row r="105" spans="1:40" x14ac:dyDescent="0.2">
      <c r="A105" s="1" t="s">
        <v>109</v>
      </c>
      <c r="C105" s="23" t="s">
        <v>101</v>
      </c>
      <c r="D105" s="1" t="s">
        <v>106</v>
      </c>
      <c r="F105" s="1" t="s">
        <v>98</v>
      </c>
      <c r="G105" s="13"/>
    </row>
    <row r="106" spans="1:40" x14ac:dyDescent="0.2">
      <c r="A106" s="1" t="s">
        <v>109</v>
      </c>
      <c r="C106" s="135" t="s">
        <v>101</v>
      </c>
      <c r="D106" s="1" t="s">
        <v>107</v>
      </c>
      <c r="F106" s="1" t="s">
        <v>99</v>
      </c>
    </row>
    <row r="107" spans="1:40" x14ac:dyDescent="0.2">
      <c r="A107" s="1" t="s">
        <v>110</v>
      </c>
      <c r="C107" s="23" t="s">
        <v>101</v>
      </c>
      <c r="D107" s="1" t="s">
        <v>106</v>
      </c>
      <c r="F107" s="1" t="s">
        <v>98</v>
      </c>
      <c r="H107" s="11"/>
      <c r="J107" s="1"/>
    </row>
    <row r="108" spans="1:40" x14ac:dyDescent="0.2">
      <c r="A108" s="1" t="s">
        <v>110</v>
      </c>
      <c r="C108" s="27" t="s">
        <v>101</v>
      </c>
      <c r="D108" s="1" t="s">
        <v>107</v>
      </c>
      <c r="F108" s="1" t="s">
        <v>99</v>
      </c>
      <c r="H108" s="11"/>
      <c r="J108" s="1"/>
    </row>
    <row r="109" spans="1:40" x14ac:dyDescent="0.2">
      <c r="C109" s="23"/>
      <c r="H109" s="11"/>
      <c r="J109" s="1"/>
    </row>
    <row r="110" spans="1:40" x14ac:dyDescent="0.2">
      <c r="H110" s="11"/>
      <c r="J110" s="1"/>
    </row>
    <row r="111" spans="1:40" x14ac:dyDescent="0.2">
      <c r="A111" s="4" t="e">
        <f ca="1">_xll.EVDRE($B$1,A114:B121)</f>
        <v>#NAME?</v>
      </c>
      <c r="B111" s="1" t="s">
        <v>736</v>
      </c>
      <c r="G111" s="13"/>
      <c r="H111" s="11"/>
      <c r="J111" s="1"/>
    </row>
    <row r="112" spans="1:40" x14ac:dyDescent="0.2">
      <c r="H112" s="11"/>
      <c r="J112" s="1"/>
    </row>
    <row r="113" spans="1:10" x14ac:dyDescent="0.2">
      <c r="A113" s="3" t="s">
        <v>0</v>
      </c>
      <c r="B113" s="5" t="s">
        <v>1</v>
      </c>
      <c r="H113" s="11"/>
      <c r="J113" s="1"/>
    </row>
    <row r="114" spans="1:10" x14ac:dyDescent="0.2">
      <c r="A114" s="6" t="s">
        <v>2</v>
      </c>
      <c r="B114" s="7" t="e">
        <f ca="1">_xll.EVRNG($B$2:$B$10)</f>
        <v>#NAME?</v>
      </c>
      <c r="H114" s="11"/>
      <c r="J114" s="1"/>
    </row>
    <row r="115" spans="1:10" x14ac:dyDescent="0.2">
      <c r="A115" s="6" t="s">
        <v>3</v>
      </c>
      <c r="B115" s="7" t="e">
        <f ca="1">_xll.EVRNG($O$16:$AN$18)</f>
        <v>#NAME?</v>
      </c>
      <c r="H115" s="11"/>
      <c r="J115" s="1"/>
    </row>
    <row r="116" spans="1:10" x14ac:dyDescent="0.2">
      <c r="A116" s="6" t="s">
        <v>4</v>
      </c>
      <c r="B116" s="7" t="e">
        <f ca="1">_xll.EVRNG(H94:H97)</f>
        <v>#NAME?</v>
      </c>
      <c r="H116" s="11"/>
      <c r="J116" s="1"/>
    </row>
    <row r="117" spans="1:10" x14ac:dyDescent="0.2">
      <c r="A117" s="6" t="s">
        <v>5</v>
      </c>
      <c r="B117" s="7"/>
      <c r="H117" s="11"/>
      <c r="J117" s="1"/>
    </row>
    <row r="118" spans="1:10" x14ac:dyDescent="0.2">
      <c r="A118" s="6" t="s">
        <v>6</v>
      </c>
      <c r="B118" s="7"/>
      <c r="H118" s="11"/>
      <c r="J118" s="1"/>
    </row>
    <row r="119" spans="1:10" x14ac:dyDescent="0.2">
      <c r="A119" s="6" t="s">
        <v>7</v>
      </c>
      <c r="B119" s="7"/>
      <c r="H119" s="11"/>
      <c r="J119" s="1"/>
    </row>
    <row r="120" spans="1:10" x14ac:dyDescent="0.2">
      <c r="A120" s="6" t="s">
        <v>47</v>
      </c>
      <c r="B120" s="7" t="e">
        <f ca="1">_xll.EVRNG($A$125:$B$146)</f>
        <v>#NAME?</v>
      </c>
      <c r="H120" s="11"/>
      <c r="J120" s="1"/>
    </row>
    <row r="121" spans="1:10" x14ac:dyDescent="0.2">
      <c r="A121" s="6" t="s">
        <v>8</v>
      </c>
      <c r="B121" s="7"/>
      <c r="H121" s="11"/>
      <c r="J121" s="1"/>
    </row>
    <row r="122" spans="1:10" x14ac:dyDescent="0.2">
      <c r="H122" s="11"/>
      <c r="J122" s="1"/>
    </row>
    <row r="123" spans="1:10" x14ac:dyDescent="0.2">
      <c r="H123" s="11"/>
      <c r="J123" s="1"/>
    </row>
    <row r="124" spans="1:10" x14ac:dyDescent="0.2">
      <c r="A124" s="3" t="s">
        <v>23</v>
      </c>
      <c r="B124" s="5" t="s">
        <v>24</v>
      </c>
      <c r="H124" s="11"/>
      <c r="J124" s="1"/>
    </row>
    <row r="125" spans="1:10" x14ac:dyDescent="0.2">
      <c r="A125" s="6" t="s">
        <v>25</v>
      </c>
      <c r="B125" s="7"/>
      <c r="H125" s="11"/>
      <c r="J125" s="1"/>
    </row>
    <row r="126" spans="1:10" x14ac:dyDescent="0.2">
      <c r="A126" s="6" t="s">
        <v>26</v>
      </c>
      <c r="B126" s="7"/>
      <c r="H126" s="11"/>
      <c r="J126" s="1"/>
    </row>
    <row r="127" spans="1:10" x14ac:dyDescent="0.2">
      <c r="A127" s="6" t="s">
        <v>27</v>
      </c>
      <c r="B127" s="7"/>
      <c r="H127" s="11"/>
      <c r="J127" s="1"/>
    </row>
    <row r="128" spans="1:10" x14ac:dyDescent="0.2">
      <c r="A128" s="6" t="s">
        <v>28</v>
      </c>
      <c r="B128" s="7"/>
      <c r="H128" s="11"/>
      <c r="J128" s="1"/>
    </row>
    <row r="129" spans="1:10" x14ac:dyDescent="0.2">
      <c r="A129" s="6" t="s">
        <v>29</v>
      </c>
      <c r="B129" s="7"/>
      <c r="H129" s="11"/>
      <c r="J129" s="1"/>
    </row>
    <row r="130" spans="1:10" x14ac:dyDescent="0.2">
      <c r="A130" s="6" t="s">
        <v>30</v>
      </c>
      <c r="B130" s="7" t="s">
        <v>78</v>
      </c>
    </row>
    <row r="131" spans="1:10" x14ac:dyDescent="0.2">
      <c r="A131" s="6" t="s">
        <v>31</v>
      </c>
      <c r="B131" s="7" t="s">
        <v>78</v>
      </c>
    </row>
    <row r="132" spans="1:10" x14ac:dyDescent="0.2">
      <c r="A132" s="6" t="s">
        <v>32</v>
      </c>
      <c r="B132" s="7"/>
    </row>
    <row r="133" spans="1:10" x14ac:dyDescent="0.2">
      <c r="A133" s="6" t="s">
        <v>33</v>
      </c>
      <c r="B133" s="7"/>
    </row>
    <row r="134" spans="1:10" x14ac:dyDescent="0.2">
      <c r="A134" s="6" t="s">
        <v>34</v>
      </c>
      <c r="B134" s="7"/>
    </row>
    <row r="135" spans="1:10" x14ac:dyDescent="0.2">
      <c r="A135" s="6" t="s">
        <v>35</v>
      </c>
      <c r="B135" s="7"/>
    </row>
    <row r="136" spans="1:10" x14ac:dyDescent="0.2">
      <c r="A136" s="6" t="s">
        <v>36</v>
      </c>
      <c r="B136" s="7"/>
    </row>
    <row r="137" spans="1:10" x14ac:dyDescent="0.2">
      <c r="A137" s="6" t="s">
        <v>37</v>
      </c>
      <c r="B137" s="7"/>
    </row>
    <row r="138" spans="1:10" x14ac:dyDescent="0.2">
      <c r="A138" s="6" t="s">
        <v>38</v>
      </c>
      <c r="B138" s="7"/>
    </row>
    <row r="139" spans="1:10" x14ac:dyDescent="0.2">
      <c r="A139" s="6" t="s">
        <v>39</v>
      </c>
      <c r="B139" s="7"/>
    </row>
    <row r="140" spans="1:10" x14ac:dyDescent="0.2">
      <c r="A140" s="6" t="s">
        <v>40</v>
      </c>
      <c r="B140" s="7"/>
    </row>
    <row r="141" spans="1:10" x14ac:dyDescent="0.2">
      <c r="A141" s="6" t="s">
        <v>41</v>
      </c>
      <c r="B141" s="7"/>
    </row>
    <row r="142" spans="1:10" x14ac:dyDescent="0.2">
      <c r="A142" s="6" t="s">
        <v>42</v>
      </c>
      <c r="B142" s="7"/>
    </row>
    <row r="143" spans="1:10" x14ac:dyDescent="0.2">
      <c r="A143" s="6" t="s">
        <v>43</v>
      </c>
      <c r="B143" s="7"/>
    </row>
    <row r="144" spans="1:10" x14ac:dyDescent="0.2">
      <c r="A144" s="6" t="s">
        <v>44</v>
      </c>
      <c r="B144" s="7"/>
    </row>
    <row r="145" spans="1:2" x14ac:dyDescent="0.2">
      <c r="A145" s="6" t="s">
        <v>45</v>
      </c>
      <c r="B145" s="7"/>
    </row>
    <row r="146" spans="1:2" x14ac:dyDescent="0.2">
      <c r="A146" s="6" t="s">
        <v>46</v>
      </c>
      <c r="B146" s="7"/>
    </row>
    <row r="163" spans="5:34" x14ac:dyDescent="0.2">
      <c r="E163" s="72"/>
    </row>
    <row r="167" spans="5:34" x14ac:dyDescent="0.2">
      <c r="E167" s="72"/>
    </row>
    <row r="170" spans="5:34" x14ac:dyDescent="0.2">
      <c r="I170" s="72"/>
      <c r="J170" s="1"/>
      <c r="K170" s="72"/>
      <c r="L170" s="72"/>
      <c r="M170" s="72"/>
      <c r="O170" s="72"/>
      <c r="P170" s="72"/>
      <c r="Q170" s="72"/>
      <c r="R170" s="72"/>
      <c r="S170" s="72"/>
      <c r="T170" s="72"/>
      <c r="U170" s="72"/>
      <c r="V170" s="72"/>
      <c r="W170" s="72"/>
      <c r="X170" s="72"/>
      <c r="Y170" s="72"/>
      <c r="Z170" s="72"/>
      <c r="AA170" s="72"/>
      <c r="AD170" s="72"/>
      <c r="AF170" s="72"/>
      <c r="AH170" s="72"/>
    </row>
    <row r="174" spans="5:34" x14ac:dyDescent="0.2">
      <c r="I174" s="72"/>
      <c r="J174" s="1"/>
      <c r="K174" s="72"/>
      <c r="L174" s="72"/>
      <c r="M174" s="72"/>
      <c r="O174" s="72"/>
      <c r="P174" s="72"/>
      <c r="Q174" s="72"/>
      <c r="R174" s="72"/>
      <c r="S174" s="72"/>
      <c r="T174" s="72"/>
      <c r="U174" s="72"/>
      <c r="V174" s="72"/>
      <c r="W174" s="72"/>
      <c r="X174" s="72"/>
      <c r="Y174" s="72"/>
      <c r="Z174" s="72"/>
      <c r="AA174" s="72"/>
      <c r="AD174" s="72"/>
      <c r="AF174" s="72"/>
      <c r="AH174" s="72"/>
    </row>
    <row r="190" spans="7:7" x14ac:dyDescent="0.2">
      <c r="G190" s="72"/>
    </row>
    <row r="194" spans="7:7" x14ac:dyDescent="0.2">
      <c r="G194" s="72"/>
    </row>
  </sheetData>
  <mergeCells count="2">
    <mergeCell ref="AD31:AE31"/>
    <mergeCell ref="AG31:AH31"/>
  </mergeCells>
  <dataValidations count="2">
    <dataValidation type="list" allowBlank="1" sqref="B29 B95 B62" xr:uid="{00000000-0002-0000-1200-000000000000}">
      <formula1>"SELF,ALL,BAS,DEP,BASMEMBERS,MEMBERS,NOEXPAND,GDEP"</formula1>
    </dataValidation>
    <dataValidation type="list" allowBlank="1" sqref="B28 B94 B61" xr:uid="{00000000-0002-0000-12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6">
    <tabColor theme="6" tint="0.39997558519241921"/>
    <pageSetUpPr fitToPage="1"/>
  </sheetPr>
  <dimension ref="A1:AI211"/>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8"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16384" width="9.1640625" style="1"/>
  </cols>
  <sheetData>
    <row r="1" spans="1:35" hidden="1" outlineLevel="1" x14ac:dyDescent="0.2">
      <c r="A1" s="8" t="s">
        <v>48</v>
      </c>
      <c r="B1" s="2" t="s">
        <v>49</v>
      </c>
      <c r="C1" s="8" t="e">
        <f ca="1">_xll.EVAPD($B$1)</f>
        <v>#NAME?</v>
      </c>
      <c r="I1" s="1"/>
      <c r="J1" s="1"/>
      <c r="N1" s="16" t="e">
        <f ca="1">'R893yzqfMUOrUK6CHRYw9A=='!N1</f>
        <v>#NAME?</v>
      </c>
      <c r="O1" s="1" t="s">
        <v>731</v>
      </c>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726</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35"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35" hidden="1" outlineLevel="1" x14ac:dyDescent="0.2">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2" t="e">
        <f ca="1">AA11</f>
        <v>#NAME?</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35" hidden="1" outlineLevel="1" x14ac:dyDescent="0.2">
      <c r="A19" s="6" t="s">
        <v>4</v>
      </c>
      <c r="B19" s="7" t="e">
        <f ca="1">_xll.EVRNG(H35:H146)</f>
        <v>#NAME?</v>
      </c>
      <c r="G19" s="16" t="str">
        <f>$B$6</f>
        <v>D2141</v>
      </c>
      <c r="H19" s="16" t="s">
        <v>273</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35" hidden="1" outlineLevel="1" x14ac:dyDescent="0.2">
      <c r="A20" s="6" t="s">
        <v>5</v>
      </c>
      <c r="B20" s="7"/>
      <c r="G20" s="16" t="str">
        <f>$B$6</f>
        <v>D2141</v>
      </c>
      <c r="H20" s="16">
        <v>946000</v>
      </c>
      <c r="I20" s="17"/>
      <c r="J20" s="17"/>
      <c r="K20" s="16"/>
      <c r="L20" s="16"/>
      <c r="M20" s="16"/>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35" hidden="1" outlineLevel="1" x14ac:dyDescent="0.2">
      <c r="A21" s="6" t="s">
        <v>6</v>
      </c>
      <c r="B21" s="7"/>
      <c r="I21" s="1"/>
      <c r="J21" s="1"/>
    </row>
    <row r="22" spans="1:35" hidden="1" outlineLevel="1" x14ac:dyDescent="0.2">
      <c r="A22" s="6" t="s">
        <v>7</v>
      </c>
      <c r="B22" s="7"/>
      <c r="I22" s="1"/>
      <c r="J22" s="1"/>
    </row>
    <row r="23" spans="1:35" hidden="1" outlineLevel="1" x14ac:dyDescent="0.2">
      <c r="A23" s="6" t="s">
        <v>47</v>
      </c>
      <c r="B23" s="7" t="e">
        <f ca="1">_xll.EVRNG($A$37:$B$58)</f>
        <v>#NAME?</v>
      </c>
      <c r="K23" s="53"/>
      <c r="L23" s="53"/>
      <c r="M23" s="53"/>
      <c r="AD23" s="136"/>
    </row>
    <row r="24" spans="1:35" hidden="1" outlineLevel="1" x14ac:dyDescent="0.2">
      <c r="A24" s="6" t="s">
        <v>8</v>
      </c>
      <c r="B24" s="7"/>
    </row>
    <row r="25" spans="1:35" collapsed="1" x14ac:dyDescent="0.2"/>
    <row r="26" spans="1:35" ht="23" x14ac:dyDescent="0.25">
      <c r="A26" s="3" t="s">
        <v>9</v>
      </c>
      <c r="B26" s="5" t="s">
        <v>10</v>
      </c>
      <c r="N26" s="61" t="e">
        <f ca="1">IF(_xll.EVDES(B3,$B$1)="#NODATA","",_xll.EVDES(B3,$B$1))</f>
        <v>#NAME?</v>
      </c>
    </row>
    <row r="27" spans="1:35" ht="18" x14ac:dyDescent="0.2">
      <c r="A27" s="6" t="s">
        <v>11</v>
      </c>
      <c r="B27" s="7" t="s">
        <v>21</v>
      </c>
      <c r="N27" s="66" t="e">
        <f ca="1">IF($N$1="",IF(_xll.EVDES(B6,$B$1)="#NODATA","",_xll.EVDES(B6,$B$1)&amp;" Department"),$N$1)</f>
        <v>#NAME?</v>
      </c>
    </row>
    <row r="28" spans="1:35" ht="16" x14ac:dyDescent="0.2">
      <c r="A28" s="6" t="s">
        <v>12</v>
      </c>
      <c r="B28" s="7" t="s">
        <v>22</v>
      </c>
      <c r="N28" s="67" t="e">
        <f ca="1">"For the Period ended"&amp;" "&amp;IF(_xll.EVDES($B$10,$B$1)="#NODATA","",_xll.EVDES($B$10,$B$1))</f>
        <v>#NAME?</v>
      </c>
    </row>
    <row r="29" spans="1:35" ht="15" customHeight="1" x14ac:dyDescent="0.2">
      <c r="A29" s="6" t="s">
        <v>13</v>
      </c>
      <c r="B29" s="7" t="s">
        <v>293</v>
      </c>
      <c r="N29" s="67" t="e">
        <f ca="1">_xll.EVDES(B9,B1)</f>
        <v>#NAME?</v>
      </c>
      <c r="O29" s="62" t="s">
        <v>344</v>
      </c>
      <c r="P29" s="62"/>
      <c r="Q29" s="62"/>
      <c r="R29" s="62"/>
      <c r="S29" s="62"/>
      <c r="T29" s="62"/>
      <c r="U29" s="62"/>
      <c r="V29" s="62"/>
      <c r="W29" s="62"/>
      <c r="X29" s="62"/>
      <c r="Y29" s="62"/>
      <c r="Z29" s="62"/>
      <c r="AA29" s="62"/>
    </row>
    <row r="30" spans="1:35"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row>
    <row r="31" spans="1:35" x14ac:dyDescent="0.2">
      <c r="A31" s="6" t="s">
        <v>15</v>
      </c>
      <c r="B31" s="7"/>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row>
    <row r="32" spans="1:35" s="232" customFormat="1" ht="30" customHeight="1" x14ac:dyDescent="0.2">
      <c r="A32" s="230" t="s">
        <v>16</v>
      </c>
      <c r="B32" s="231"/>
      <c r="E32" s="1"/>
      <c r="H32" s="233"/>
      <c r="I32" s="234"/>
      <c r="J32" s="234"/>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row>
    <row r="33" spans="1:35" ht="16" x14ac:dyDescent="0.2">
      <c r="A33" s="6" t="s">
        <v>17</v>
      </c>
      <c r="B33" s="7"/>
      <c r="N33" s="155" t="s">
        <v>330</v>
      </c>
      <c r="O33" s="38"/>
      <c r="P33" s="42"/>
      <c r="Q33" s="42"/>
      <c r="R33" s="42"/>
      <c r="S33" s="42"/>
      <c r="T33" s="42"/>
      <c r="U33" s="42"/>
      <c r="V33" s="42"/>
      <c r="W33" s="42"/>
      <c r="X33" s="42"/>
      <c r="Y33" s="42"/>
      <c r="Z33" s="42"/>
      <c r="AA33" s="42"/>
      <c r="AB33" s="39"/>
      <c r="AD33" s="38"/>
      <c r="AE33" s="42"/>
      <c r="AF33" s="39"/>
      <c r="AG33" s="38"/>
      <c r="AH33" s="42"/>
      <c r="AI33" s="39"/>
    </row>
    <row r="34" spans="1:35" x14ac:dyDescent="0.2">
      <c r="L34" s="175" t="s">
        <v>364</v>
      </c>
      <c r="M34" s="175" t="s">
        <v>782</v>
      </c>
      <c r="N34" s="8" t="s">
        <v>312</v>
      </c>
      <c r="O34" s="50"/>
      <c r="AB34" s="51"/>
      <c r="AD34" s="50"/>
      <c r="AF34" s="51"/>
      <c r="AG34" s="50"/>
      <c r="AI34" s="51"/>
    </row>
    <row r="35" spans="1:35" x14ac:dyDescent="0.2">
      <c r="H35" s="10" t="s">
        <v>260</v>
      </c>
      <c r="I35" s="25" t="e">
        <f ca="1">_xll.EVPRO($B$1,$H35,"STYLE")</f>
        <v>#NAME?</v>
      </c>
      <c r="J35" s="25" t="e">
        <f ca="1">_xll.EVPRO($B$1,$H35,"CALC")</f>
        <v>#NAME?</v>
      </c>
      <c r="K35" s="24"/>
      <c r="L35" s="24" t="e">
        <f ca="1">_xll.EVPRO($B$1,H35,"JDEID")</f>
        <v>#NAME?</v>
      </c>
      <c r="M35" s="24" t="e">
        <f ca="1">IF(AND(I35="N",J35="N"),_xll.EVPRO($B$1,H35,"PSFTID"),"")</f>
        <v>#NAME?</v>
      </c>
      <c r="N35" s="24" t="e">
        <f ca="1">IF(_xll.EVDES(H35,$B$1)="#NODATA","",_xll.EVDES(H35,$B$1))</f>
        <v>#NAME?</v>
      </c>
      <c r="O35" s="19"/>
      <c r="P35" s="19"/>
      <c r="Q35" s="19"/>
      <c r="R35" s="19"/>
      <c r="S35" s="19"/>
      <c r="T35" s="19"/>
      <c r="U35" s="19"/>
      <c r="V35" s="19"/>
      <c r="W35" s="19"/>
      <c r="X35" s="19"/>
      <c r="Y35" s="19"/>
      <c r="Z35" s="19"/>
      <c r="AA35" s="19">
        <f t="shared" ref="AA35:AA41" si="0">SUM(O35:Z35)</f>
        <v>0</v>
      </c>
      <c r="AB35" s="15" t="str">
        <f>IF(AA35=0,"",IFERROR(AA35/AA$19,""))</f>
        <v/>
      </c>
      <c r="AD35" s="19"/>
      <c r="AE35" s="15" t="str">
        <f>IF(AD35=0,"",IFERROR(AD35/AD$19,""))</f>
        <v/>
      </c>
      <c r="AF35" s="47">
        <f t="shared" ref="AF35:AF42" si="1">IF(AND($AA35="",AD35=""),"",$AA35-AD35)</f>
        <v>0</v>
      </c>
      <c r="AG35" s="19">
        <v>54.38</v>
      </c>
      <c r="AH35" s="15" t="str">
        <f ca="1">IF(AG35=0,"",IFERROR(AG35/AG$19,""))</f>
        <v/>
      </c>
      <c r="AI35" s="47">
        <f t="shared" ref="AI35:AI42" si="2">IF(AND($AA35="",AG35=""),"",$AA35-AG35)</f>
        <v>-54.38</v>
      </c>
    </row>
    <row r="36" spans="1:35" x14ac:dyDescent="0.2">
      <c r="A36" s="3" t="s">
        <v>23</v>
      </c>
      <c r="B36" s="5" t="s">
        <v>24</v>
      </c>
      <c r="H36" s="10" t="s">
        <v>294</v>
      </c>
      <c r="I36" s="25" t="e">
        <f ca="1">_xll.EVPRO($B$1,$H36,"STYLE")</f>
        <v>#NAME?</v>
      </c>
      <c r="J36" s="25" t="e">
        <f ca="1">_xll.EVPRO($B$1,$H36,"CALC")</f>
        <v>#NAME?</v>
      </c>
      <c r="K36" s="24"/>
      <c r="L36" s="24" t="e">
        <f ca="1">_xll.EVPRO($B$1,H36,"JDEID")</f>
        <v>#NAME?</v>
      </c>
      <c r="M36" s="24" t="e">
        <f ca="1">IF(AND(I36="N",J36="N"),_xll.EVPRO($B$1,H36,"PSFTID"),"")</f>
        <v>#NAME?</v>
      </c>
      <c r="N36" s="24" t="e">
        <f ca="1">IF(_xll.EVDES(H36,$B$1)="#NODATA","",_xll.EVDES(H36,$B$1))</f>
        <v>#NAME?</v>
      </c>
      <c r="O36" s="19"/>
      <c r="P36" s="19"/>
      <c r="Q36" s="19"/>
      <c r="R36" s="19"/>
      <c r="S36" s="19"/>
      <c r="T36" s="19"/>
      <c r="U36" s="19"/>
      <c r="V36" s="19"/>
      <c r="W36" s="19"/>
      <c r="X36" s="19"/>
      <c r="Y36" s="19"/>
      <c r="Z36" s="19"/>
      <c r="AA36" s="19">
        <f t="shared" si="0"/>
        <v>0</v>
      </c>
      <c r="AB36" s="15" t="str">
        <f>IF(AA36=0,"",IFERROR(AA36/AA$19,""))</f>
        <v/>
      </c>
      <c r="AD36" s="19"/>
      <c r="AE36" s="15" t="str">
        <f>IF(AD36=0,"",IFERROR(AD36/AD$19,""))</f>
        <v/>
      </c>
      <c r="AF36" s="47">
        <f t="shared" si="1"/>
        <v>0</v>
      </c>
      <c r="AG36" s="19">
        <v>116</v>
      </c>
      <c r="AH36" s="15" t="str">
        <f t="shared" ref="AH36:AH79" ca="1" si="3">IF(AG36=0,"",IFERROR(AG36/AG$19,""))</f>
        <v/>
      </c>
      <c r="AI36" s="47">
        <f t="shared" si="2"/>
        <v>-116</v>
      </c>
    </row>
    <row r="37" spans="1:35" x14ac:dyDescent="0.2">
      <c r="A37" s="6" t="s">
        <v>25</v>
      </c>
      <c r="B37" s="7"/>
      <c r="H37" s="10" t="s">
        <v>295</v>
      </c>
      <c r="I37" s="25" t="e">
        <f ca="1">_xll.EVPRO($B$1,$H37,"STYLE")</f>
        <v>#NAME?</v>
      </c>
      <c r="J37" s="25" t="e">
        <f ca="1">_xll.EVPRO($B$1,$H37,"CALC")</f>
        <v>#NAME?</v>
      </c>
      <c r="K37" s="24"/>
      <c r="L37" s="24" t="e">
        <f ca="1">_xll.EVPRO($B$1,H37,"JDEID")</f>
        <v>#NAME?</v>
      </c>
      <c r="M37" s="24" t="e">
        <f ca="1">IF(AND(I37="N",J37="N"),_xll.EVPRO($B$1,H37,"PSFTID"),"")</f>
        <v>#NAME?</v>
      </c>
      <c r="N37" s="24" t="e">
        <f ca="1">IF(_xll.EVDES(H37,$B$1)="#NODATA","",_xll.EVDES(H37,$B$1))</f>
        <v>#NAME?</v>
      </c>
      <c r="O37" s="19"/>
      <c r="P37" s="19"/>
      <c r="Q37" s="19"/>
      <c r="R37" s="19"/>
      <c r="S37" s="19"/>
      <c r="T37" s="19"/>
      <c r="U37" s="19"/>
      <c r="V37" s="19"/>
      <c r="W37" s="19"/>
      <c r="X37" s="19"/>
      <c r="Y37" s="19"/>
      <c r="Z37" s="19"/>
      <c r="AA37" s="19">
        <f t="shared" si="0"/>
        <v>0</v>
      </c>
      <c r="AB37" s="15" t="str">
        <f>IF(AA37=0,"",IFERROR(AA37/AA$19,""))</f>
        <v/>
      </c>
      <c r="AD37" s="19"/>
      <c r="AE37" s="15" t="str">
        <f>IF(AD37=0,"",IFERROR(AD37/AD$19,""))</f>
        <v/>
      </c>
      <c r="AF37" s="47">
        <f t="shared" si="1"/>
        <v>0</v>
      </c>
      <c r="AG37" s="19"/>
      <c r="AH37" s="15" t="str">
        <f t="shared" si="3"/>
        <v/>
      </c>
      <c r="AI37" s="47">
        <f t="shared" si="2"/>
        <v>0</v>
      </c>
    </row>
    <row r="38" spans="1:35" x14ac:dyDescent="0.2">
      <c r="A38" s="6" t="s">
        <v>26</v>
      </c>
      <c r="B38" s="7"/>
      <c r="H38" s="10" t="s">
        <v>296</v>
      </c>
      <c r="I38" s="25" t="e">
        <f ca="1">_xll.EVPRO($B$1,$H38,"STYLE")</f>
        <v>#NAME?</v>
      </c>
      <c r="J38" s="25" t="e">
        <f ca="1">_xll.EVPRO($B$1,$H38,"CALC")</f>
        <v>#NAME?</v>
      </c>
      <c r="K38" s="24"/>
      <c r="L38" s="24" t="e">
        <f ca="1">_xll.EVPRO($B$1,H38,"JDEID")</f>
        <v>#NAME?</v>
      </c>
      <c r="M38" s="24" t="e">
        <f ca="1">IF(AND(I38="N",J38="N"),_xll.EVPRO($B$1,H38,"PSFTID"),"")</f>
        <v>#NAME?</v>
      </c>
      <c r="N38" s="24" t="e">
        <f ca="1">IF(_xll.EVDES(H38,$B$1)="#NODATA","",_xll.EVDES(H38,$B$1))</f>
        <v>#NAME?</v>
      </c>
      <c r="O38" s="28"/>
      <c r="P38" s="28"/>
      <c r="Q38" s="28"/>
      <c r="R38" s="28"/>
      <c r="S38" s="28"/>
      <c r="T38" s="28"/>
      <c r="U38" s="28"/>
      <c r="V38" s="28"/>
      <c r="W38" s="28"/>
      <c r="X38" s="28"/>
      <c r="Y38" s="28"/>
      <c r="Z38" s="28"/>
      <c r="AA38" s="28">
        <f t="shared" si="0"/>
        <v>0</v>
      </c>
      <c r="AB38" s="29" t="str">
        <f>IF(AA38=0,"",IFERROR(AA38/AA$19,""))</f>
        <v/>
      </c>
      <c r="AD38" s="28"/>
      <c r="AE38" s="29" t="str">
        <f>IF(AD38=0,"",IFERROR(AD38/AD$19,""))</f>
        <v/>
      </c>
      <c r="AF38" s="48">
        <f t="shared" si="1"/>
        <v>0</v>
      </c>
      <c r="AG38" s="28"/>
      <c r="AH38" s="29" t="str">
        <f t="shared" si="3"/>
        <v/>
      </c>
      <c r="AI38" s="48">
        <f t="shared" si="2"/>
        <v>0</v>
      </c>
    </row>
    <row r="39" spans="1:35" x14ac:dyDescent="0.2">
      <c r="A39" s="6" t="s">
        <v>27</v>
      </c>
      <c r="B39" s="7"/>
      <c r="H39" s="10" t="s">
        <v>318</v>
      </c>
      <c r="I39" s="25" t="e">
        <f ca="1">_xll.EVPRO($B$1,$H39,"STYLE")</f>
        <v>#NAME?</v>
      </c>
      <c r="J39" s="25" t="e">
        <f ca="1">_xll.EVPRO($B$1,$H39,"CALC")</f>
        <v>#NAME?</v>
      </c>
      <c r="K39" s="24"/>
      <c r="L39" s="24" t="e">
        <f ca="1">_xll.EVPRO($B$1,H39,"JDEID")</f>
        <v>#NAME?</v>
      </c>
      <c r="M39" s="24" t="e">
        <f ca="1">IF(AND(I39="N",J39="N"),_xll.EVPRO($B$1,H39,"PSFTID"),"")</f>
        <v>#NAME?</v>
      </c>
      <c r="N39" s="23" t="e">
        <f ca="1">IF(_xll.EVDES(H39,$B$1)="#NODATA","",_xll.EVDES(H39,$B$1))</f>
        <v>#NAME?</v>
      </c>
      <c r="O39" s="145"/>
      <c r="P39" s="145"/>
      <c r="Q39" s="145"/>
      <c r="R39" s="145"/>
      <c r="S39" s="145"/>
      <c r="T39" s="145"/>
      <c r="U39" s="145"/>
      <c r="V39" s="145"/>
      <c r="W39" s="145"/>
      <c r="X39" s="145"/>
      <c r="Y39" s="145"/>
      <c r="Z39" s="145"/>
      <c r="AA39" s="145">
        <f t="shared" si="0"/>
        <v>0</v>
      </c>
      <c r="AB39" s="156" t="str">
        <f>IF(AA39=0,"",IFERROR(AA39/AA$19,""))</f>
        <v/>
      </c>
      <c r="AD39" s="145"/>
      <c r="AE39" s="156" t="str">
        <f>IF(AD39=0,"",IFERROR(AD39/AD$19,""))</f>
        <v/>
      </c>
      <c r="AF39" s="146">
        <f t="shared" si="1"/>
        <v>0</v>
      </c>
      <c r="AG39" s="145">
        <v>170.38</v>
      </c>
      <c r="AH39" s="156" t="str">
        <f t="shared" ca="1" si="3"/>
        <v/>
      </c>
      <c r="AI39" s="146">
        <f t="shared" si="2"/>
        <v>-170.38</v>
      </c>
    </row>
    <row r="40" spans="1:35" x14ac:dyDescent="0.2">
      <c r="A40" s="6" t="s">
        <v>28</v>
      </c>
      <c r="B40" s="7"/>
      <c r="H40" s="10" t="s">
        <v>763</v>
      </c>
      <c r="I40" s="25" t="e">
        <f ca="1">_xll.EVPRO($B$1,$H40,"STYLE")</f>
        <v>#NAME?</v>
      </c>
      <c r="J40" s="25" t="e">
        <f ca="1">_xll.EVPRO($B$1,$H40,"CALC")</f>
        <v>#NAME?</v>
      </c>
      <c r="K40" s="24"/>
      <c r="L40" s="24" t="e">
        <f ca="1">_xll.EVPRO($B$1,H40,"JDEID")</f>
        <v>#NAME?</v>
      </c>
      <c r="M40" s="24" t="e">
        <f ca="1">IF(AND(I40="N",J40="N"),_xll.EVPRO($B$1,H40,"PSFTID"),"")</f>
        <v>#NAME?</v>
      </c>
      <c r="N40" s="24" t="e">
        <f ca="1">IF(_xll.EVDES(H40,$B$1)="#NODATA","",_xll.EVDES(H40,$B$1))</f>
        <v>#NAME?</v>
      </c>
      <c r="O40" s="35"/>
      <c r="P40" s="35"/>
      <c r="Q40" s="35"/>
      <c r="R40" s="35"/>
      <c r="S40" s="35"/>
      <c r="T40" s="35"/>
      <c r="U40" s="35"/>
      <c r="V40" s="35"/>
      <c r="W40" s="35"/>
      <c r="X40" s="35"/>
      <c r="Y40" s="35"/>
      <c r="Z40" s="35"/>
      <c r="AA40" s="35">
        <f t="shared" si="0"/>
        <v>0</v>
      </c>
      <c r="AB40" s="36"/>
      <c r="AD40" s="35"/>
      <c r="AE40" s="36"/>
      <c r="AF40" s="118">
        <f t="shared" si="1"/>
        <v>0</v>
      </c>
      <c r="AG40" s="35"/>
      <c r="AH40" s="36"/>
      <c r="AI40" s="118">
        <f t="shared" si="2"/>
        <v>0</v>
      </c>
    </row>
    <row r="41" spans="1:35" x14ac:dyDescent="0.2">
      <c r="A41" s="6" t="s">
        <v>29</v>
      </c>
      <c r="B41" s="7"/>
      <c r="H41" s="10" t="s">
        <v>297</v>
      </c>
      <c r="I41" s="25" t="e">
        <f ca="1">_xll.EVPRO($B$1,$H41,"STYLE")</f>
        <v>#NAME?</v>
      </c>
      <c r="J41" s="25" t="e">
        <f ca="1">_xll.EVPRO($B$1,$H41,"CALC")</f>
        <v>#NAME?</v>
      </c>
      <c r="K41" s="24"/>
      <c r="L41" s="24" t="e">
        <f ca="1">_xll.EVPRO($B$1,H41,"JDEID")</f>
        <v>#NAME?</v>
      </c>
      <c r="M41" s="24" t="e">
        <f ca="1">IF(AND(I41="N",J41="N"),_xll.EVPRO($B$1,H41,"PSFTID"),"")</f>
        <v>#NAME?</v>
      </c>
      <c r="N41" s="24" t="e">
        <f ca="1">IF(_xll.EVDES(H41,$B$1)="#NODATA","",_xll.EVDES(H41,$B$1))</f>
        <v>#NAME?</v>
      </c>
      <c r="O41" s="35"/>
      <c r="P41" s="35"/>
      <c r="Q41" s="35"/>
      <c r="R41" s="35"/>
      <c r="S41" s="35"/>
      <c r="T41" s="35"/>
      <c r="U41" s="35"/>
      <c r="V41" s="35"/>
      <c r="W41" s="35"/>
      <c r="X41" s="35"/>
      <c r="Y41" s="35"/>
      <c r="Z41" s="35"/>
      <c r="AA41" s="35">
        <f t="shared" si="0"/>
        <v>0</v>
      </c>
      <c r="AB41" s="36" t="str">
        <f>IF(AA41=0,"",IFERROR(AA41/AA$87,""))</f>
        <v/>
      </c>
      <c r="AD41" s="35"/>
      <c r="AE41" s="36" t="str">
        <f>IF(AD41=0,"",IFERROR(AD41/AD$87,""))</f>
        <v/>
      </c>
      <c r="AF41" s="118">
        <f t="shared" si="1"/>
        <v>0</v>
      </c>
      <c r="AG41" s="35"/>
      <c r="AH41" s="36" t="str">
        <f>IF(AG41=0,"",IFERROR(AG41/AG$87,""))</f>
        <v/>
      </c>
      <c r="AI41" s="118">
        <f t="shared" si="2"/>
        <v>0</v>
      </c>
    </row>
    <row r="42" spans="1:35" x14ac:dyDescent="0.2">
      <c r="A42" s="6" t="s">
        <v>30</v>
      </c>
      <c r="B42" s="7" t="s">
        <v>78</v>
      </c>
      <c r="H42" s="10" t="s">
        <v>313</v>
      </c>
      <c r="I42" s="25" t="e">
        <f ca="1">_xll.EVPRO($B$1,$H42,"STYLE")</f>
        <v>#NAME?</v>
      </c>
      <c r="J42" s="25" t="e">
        <f ca="1">_xll.EVPRO($B$1,$H42,"CALC")</f>
        <v>#NAME?</v>
      </c>
      <c r="K42" s="24"/>
      <c r="L42" s="24" t="e">
        <f ca="1">_xll.EVPRO($B$1,H42,"JDEID")</f>
        <v>#NAME?</v>
      </c>
      <c r="M42" s="24" t="e">
        <f ca="1">IF(AND(I42="N",J42="N"),_xll.EVPRO($B$1,H42,"PSFTID"),"")</f>
        <v>#NAME?</v>
      </c>
      <c r="N42" s="151" t="e">
        <f ca="1">IF(_xll.EVDES(H42,$B$1)="#NODATA","",_xll.EVDES(H42,$B$1))</f>
        <v>#NAME?</v>
      </c>
      <c r="O42" s="157"/>
      <c r="P42" s="157"/>
      <c r="Q42" s="157"/>
      <c r="R42" s="157"/>
      <c r="S42" s="157"/>
      <c r="T42" s="157"/>
      <c r="U42" s="157"/>
      <c r="V42" s="157"/>
      <c r="W42" s="157"/>
      <c r="X42" s="157"/>
      <c r="Y42" s="157"/>
      <c r="Z42" s="157"/>
      <c r="AA42" s="157" t="str">
        <f>IFERROR(AA39/AA41,"")</f>
        <v/>
      </c>
      <c r="AB42" s="157"/>
      <c r="AD42" s="157"/>
      <c r="AE42" s="157"/>
      <c r="AF42" s="158" t="str">
        <f t="shared" si="1"/>
        <v/>
      </c>
      <c r="AG42" s="157"/>
      <c r="AH42" s="157"/>
      <c r="AI42" s="158" t="str">
        <f t="shared" si="2"/>
        <v/>
      </c>
    </row>
    <row r="43" spans="1:35" x14ac:dyDescent="0.2">
      <c r="A43" s="6" t="s">
        <v>31</v>
      </c>
      <c r="B43" s="7" t="s">
        <v>78</v>
      </c>
      <c r="G43" s="162">
        <f>COUNTIF(O44:AI44,FALSE)</f>
        <v>0</v>
      </c>
      <c r="H43" s="10"/>
      <c r="I43" s="25"/>
      <c r="J43" s="25"/>
      <c r="K43" s="24"/>
      <c r="L43" s="24"/>
      <c r="M43" s="24"/>
      <c r="N43" s="163" t="s">
        <v>345</v>
      </c>
      <c r="O43" s="160">
        <f t="shared" ref="O43:AA43" si="4">ROUND(IFERROR(O39/O41,0),2)</f>
        <v>0</v>
      </c>
      <c r="P43" s="165">
        <f t="shared" si="4"/>
        <v>0</v>
      </c>
      <c r="Q43" s="165">
        <f t="shared" si="4"/>
        <v>0</v>
      </c>
      <c r="R43" s="165">
        <f t="shared" si="4"/>
        <v>0</v>
      </c>
      <c r="S43" s="165">
        <f t="shared" si="4"/>
        <v>0</v>
      </c>
      <c r="T43" s="165">
        <f t="shared" si="4"/>
        <v>0</v>
      </c>
      <c r="U43" s="165">
        <f t="shared" si="4"/>
        <v>0</v>
      </c>
      <c r="V43" s="165">
        <f t="shared" si="4"/>
        <v>0</v>
      </c>
      <c r="W43" s="165">
        <f t="shared" si="4"/>
        <v>0</v>
      </c>
      <c r="X43" s="165">
        <f t="shared" si="4"/>
        <v>0</v>
      </c>
      <c r="Y43" s="165">
        <f t="shared" si="4"/>
        <v>0</v>
      </c>
      <c r="Z43" s="165">
        <f t="shared" si="4"/>
        <v>0</v>
      </c>
      <c r="AA43" s="165">
        <f t="shared" si="4"/>
        <v>0</v>
      </c>
      <c r="AB43" s="164"/>
      <c r="AD43" s="160">
        <f>ROUND(IFERROR(AD39/AD41,0),2)</f>
        <v>0</v>
      </c>
      <c r="AE43" s="165"/>
      <c r="AF43" s="161"/>
      <c r="AG43" s="160">
        <f>ROUND(IFERROR(AG39/AG41,0),2)</f>
        <v>0</v>
      </c>
      <c r="AH43" s="165"/>
      <c r="AI43" s="161"/>
    </row>
    <row r="44" spans="1:35" x14ac:dyDescent="0.2">
      <c r="A44" s="6" t="s">
        <v>32</v>
      </c>
      <c r="B44" s="7"/>
      <c r="H44" s="10"/>
      <c r="I44" s="25"/>
      <c r="J44" s="25"/>
      <c r="K44" s="24"/>
      <c r="L44" s="24"/>
      <c r="M44" s="24"/>
      <c r="N44" s="8" t="s">
        <v>314</v>
      </c>
      <c r="O44" s="292" t="b">
        <f t="shared" ref="O44:AA44" si="5">ROUND(O42,2)=ROUND(O43,2)</f>
        <v>1</v>
      </c>
      <c r="P44" s="293" t="b">
        <f t="shared" si="5"/>
        <v>1</v>
      </c>
      <c r="Q44" s="293" t="b">
        <f t="shared" si="5"/>
        <v>1</v>
      </c>
      <c r="R44" s="293" t="b">
        <f t="shared" si="5"/>
        <v>1</v>
      </c>
      <c r="S44" s="293" t="b">
        <f t="shared" si="5"/>
        <v>1</v>
      </c>
      <c r="T44" s="293" t="b">
        <f t="shared" si="5"/>
        <v>1</v>
      </c>
      <c r="U44" s="293" t="b">
        <f t="shared" si="5"/>
        <v>1</v>
      </c>
      <c r="V44" s="293" t="b">
        <f t="shared" si="5"/>
        <v>1</v>
      </c>
      <c r="W44" s="293" t="b">
        <f t="shared" si="5"/>
        <v>1</v>
      </c>
      <c r="X44" s="293" t="b">
        <f t="shared" si="5"/>
        <v>1</v>
      </c>
      <c r="Y44" s="293" t="b">
        <f t="shared" si="5"/>
        <v>1</v>
      </c>
      <c r="Z44" s="293" t="b">
        <f t="shared" si="5"/>
        <v>1</v>
      </c>
      <c r="AA44" s="293" t="e">
        <f t="shared" si="5"/>
        <v>#VALUE!</v>
      </c>
      <c r="AB44" s="294"/>
      <c r="AC44" s="206"/>
      <c r="AD44" s="292"/>
      <c r="AE44" s="293" t="b">
        <f>ROUND(AD42,2)=ROUND(AD43,2)</f>
        <v>1</v>
      </c>
      <c r="AF44" s="294"/>
      <c r="AG44" s="292"/>
      <c r="AH44" s="293" t="b">
        <f>ROUND(AG42,2)=ROUND(AG43,2)</f>
        <v>1</v>
      </c>
      <c r="AI44" s="294"/>
    </row>
    <row r="45" spans="1:35" x14ac:dyDescent="0.2">
      <c r="A45" s="6" t="s">
        <v>33</v>
      </c>
      <c r="B45" s="7"/>
      <c r="H45" s="10" t="s">
        <v>261</v>
      </c>
      <c r="I45" s="25" t="e">
        <f ca="1">_xll.EVPRO($B$1,$H45,"STYLE")</f>
        <v>#NAME?</v>
      </c>
      <c r="J45" s="25" t="e">
        <f ca="1">_xll.EVPRO($B$1,$H45,"CALC")</f>
        <v>#NAME?</v>
      </c>
      <c r="K45" s="24"/>
      <c r="L45" s="24" t="e">
        <f ca="1">_xll.EVPRO($B$1,H45,"JDEID")</f>
        <v>#NAME?</v>
      </c>
      <c r="M45" s="24" t="e">
        <f ca="1">IF(AND(I45="N",J45="N"),_xll.EVPRO($B$1,H45,"PSFTID"),"")</f>
        <v>#NAME?</v>
      </c>
      <c r="N45" s="24" t="e">
        <f ca="1">IF(_xll.EVDES(H45,$B$1)="#NODATA","",_xll.EVDES(H45,$B$1))</f>
        <v>#NAME?</v>
      </c>
      <c r="O45" s="19">
        <v>1039.5</v>
      </c>
      <c r="P45" s="19"/>
      <c r="Q45" s="19"/>
      <c r="R45" s="19"/>
      <c r="S45" s="19"/>
      <c r="T45" s="19"/>
      <c r="U45" s="19"/>
      <c r="V45" s="19"/>
      <c r="W45" s="19"/>
      <c r="X45" s="19"/>
      <c r="Y45" s="19"/>
      <c r="Z45" s="19"/>
      <c r="AA45" s="19">
        <f t="shared" ref="AA45:AA51" si="6">SUM(O45:Z45)</f>
        <v>1039.5</v>
      </c>
      <c r="AB45" s="15" t="str">
        <f ca="1">IF(AA45=0,"",IFERROR(AA45/AA$19,""))</f>
        <v/>
      </c>
      <c r="AD45" s="19"/>
      <c r="AE45" s="15" t="str">
        <f>IF(AD45=0,"",IFERROR(AD45/AD$19,""))</f>
        <v/>
      </c>
      <c r="AF45" s="47">
        <f t="shared" ref="AF45:AF52" si="7">IF(AND($AA45="",AD45=""),"",$AA45-AD45)</f>
        <v>1039.5</v>
      </c>
      <c r="AG45" s="19">
        <v>89094.2</v>
      </c>
      <c r="AH45" s="15" t="str">
        <f t="shared" ca="1" si="3"/>
        <v/>
      </c>
      <c r="AI45" s="47">
        <f t="shared" ref="AI45:AI52" si="8">IF(AND($AA45="",AG45=""),"",$AA45-AG45)</f>
        <v>-88054.7</v>
      </c>
    </row>
    <row r="46" spans="1:35" x14ac:dyDescent="0.2">
      <c r="A46" s="6" t="s">
        <v>34</v>
      </c>
      <c r="B46" s="7"/>
      <c r="H46" s="133" t="s">
        <v>301</v>
      </c>
      <c r="I46" s="25" t="e">
        <f ca="1">_xll.EVPRO($B$1,$H46,"STYLE")</f>
        <v>#NAME?</v>
      </c>
      <c r="J46" s="25" t="e">
        <f ca="1">_xll.EVPRO($B$1,$H46,"CALC")</f>
        <v>#NAME?</v>
      </c>
      <c r="K46" s="24"/>
      <c r="L46" s="24" t="e">
        <f ca="1">_xll.EVPRO($B$1,H46,"JDEID")</f>
        <v>#NAME?</v>
      </c>
      <c r="M46" s="24" t="e">
        <f ca="1">IF(AND(I46="N",J46="N"),_xll.EVPRO($B$1,H46,"PSFTID"),"")</f>
        <v>#NAME?</v>
      </c>
      <c r="N46" s="24" t="e">
        <f ca="1">IF(_xll.EVDES(H46,$B$1)="#NODATA","",_xll.EVDES(H46,$B$1))</f>
        <v>#NAME?</v>
      </c>
      <c r="O46" s="19">
        <v>1325</v>
      </c>
      <c r="P46" s="19"/>
      <c r="Q46" s="19"/>
      <c r="R46" s="19"/>
      <c r="S46" s="19"/>
      <c r="T46" s="19"/>
      <c r="U46" s="19"/>
      <c r="V46" s="19"/>
      <c r="W46" s="19"/>
      <c r="X46" s="19"/>
      <c r="Y46" s="19"/>
      <c r="Z46" s="19"/>
      <c r="AA46" s="19">
        <f t="shared" si="6"/>
        <v>1325</v>
      </c>
      <c r="AB46" s="15" t="str">
        <f ca="1">IF(AA46=0,"",IFERROR(AA46/AA$19,""))</f>
        <v/>
      </c>
      <c r="AD46" s="19"/>
      <c r="AE46" s="15" t="str">
        <f>IF(AD46=0,"",IFERROR(AD46/AD$19,""))</f>
        <v/>
      </c>
      <c r="AF46" s="47">
        <f t="shared" si="7"/>
        <v>1325</v>
      </c>
      <c r="AG46" s="19">
        <v>149176.72</v>
      </c>
      <c r="AH46" s="15" t="str">
        <f t="shared" ca="1" si="3"/>
        <v/>
      </c>
      <c r="AI46" s="47">
        <f t="shared" si="8"/>
        <v>-147851.72</v>
      </c>
    </row>
    <row r="47" spans="1:35" x14ac:dyDescent="0.2">
      <c r="A47" s="6" t="s">
        <v>35</v>
      </c>
      <c r="B47" s="7"/>
      <c r="H47" s="133" t="s">
        <v>305</v>
      </c>
      <c r="I47" s="25" t="e">
        <f ca="1">_xll.EVPRO($B$1,$H47,"STYLE")</f>
        <v>#NAME?</v>
      </c>
      <c r="J47" s="25" t="e">
        <f ca="1">_xll.EVPRO($B$1,$H47,"CALC")</f>
        <v>#NAME?</v>
      </c>
      <c r="K47" s="24"/>
      <c r="L47" s="24" t="e">
        <f ca="1">_xll.EVPRO($B$1,H47,"JDEID")</f>
        <v>#NAME?</v>
      </c>
      <c r="M47" s="24" t="e">
        <f ca="1">IF(AND(I47="N",J47="N"),_xll.EVPRO($B$1,H47,"PSFTID"),"")</f>
        <v>#NAME?</v>
      </c>
      <c r="N47" s="24" t="e">
        <f ca="1">IF(_xll.EVDES(H47,$B$1)="#NODATA","",_xll.EVDES(H47,$B$1))</f>
        <v>#NAME?</v>
      </c>
      <c r="O47" s="19">
        <v>448</v>
      </c>
      <c r="P47" s="19"/>
      <c r="Q47" s="19"/>
      <c r="R47" s="19"/>
      <c r="S47" s="19"/>
      <c r="T47" s="19"/>
      <c r="U47" s="19"/>
      <c r="V47" s="19"/>
      <c r="W47" s="19"/>
      <c r="X47" s="19"/>
      <c r="Y47" s="19"/>
      <c r="Z47" s="19"/>
      <c r="AA47" s="19">
        <f t="shared" si="6"/>
        <v>448</v>
      </c>
      <c r="AB47" s="15" t="str">
        <f ca="1">IF(AA47=0,"",IFERROR(AA47/AA$19,""))</f>
        <v/>
      </c>
      <c r="AD47" s="19"/>
      <c r="AE47" s="15" t="str">
        <f>IF(AD47=0,"",IFERROR(AD47/AD$19,""))</f>
        <v/>
      </c>
      <c r="AF47" s="47">
        <f t="shared" si="7"/>
        <v>448</v>
      </c>
      <c r="AG47" s="19">
        <v>33551.300000000003</v>
      </c>
      <c r="AH47" s="15" t="str">
        <f t="shared" ca="1" si="3"/>
        <v/>
      </c>
      <c r="AI47" s="47">
        <f t="shared" si="8"/>
        <v>-33103.300000000003</v>
      </c>
    </row>
    <row r="48" spans="1:35" x14ac:dyDescent="0.2">
      <c r="A48" s="6" t="s">
        <v>36</v>
      </c>
      <c r="B48" s="7"/>
      <c r="H48" s="133" t="s">
        <v>303</v>
      </c>
      <c r="I48" s="25" t="e">
        <f ca="1">_xll.EVPRO($B$1,$H48,"STYLE")</f>
        <v>#NAME?</v>
      </c>
      <c r="J48" s="25" t="e">
        <f ca="1">_xll.EVPRO($B$1,$H48,"CALC")</f>
        <v>#NAME?</v>
      </c>
      <c r="K48" s="24"/>
      <c r="L48" s="24" t="e">
        <f ca="1">_xll.EVPRO($B$1,H48,"JDEID")</f>
        <v>#NAME?</v>
      </c>
      <c r="M48" s="24" t="e">
        <f ca="1">IF(AND(I48="N",J48="N"),_xll.EVPRO($B$1,H48,"PSFTID"),"")</f>
        <v>#NAME?</v>
      </c>
      <c r="N48" s="24" t="e">
        <f ca="1">IF(_xll.EVDES(H48,$B$1)="#NODATA","",_xll.EVDES(H48,$B$1))</f>
        <v>#NAME?</v>
      </c>
      <c r="O48" s="28">
        <v>330</v>
      </c>
      <c r="P48" s="28"/>
      <c r="Q48" s="28"/>
      <c r="R48" s="28"/>
      <c r="S48" s="28"/>
      <c r="T48" s="28"/>
      <c r="U48" s="28"/>
      <c r="V48" s="28"/>
      <c r="W48" s="28"/>
      <c r="X48" s="28"/>
      <c r="Y48" s="28"/>
      <c r="Z48" s="28"/>
      <c r="AA48" s="28">
        <f t="shared" si="6"/>
        <v>330</v>
      </c>
      <c r="AB48" s="29" t="str">
        <f ca="1">IF(AA48=0,"",IFERROR(AA48/AA$19,""))</f>
        <v/>
      </c>
      <c r="AD48" s="28"/>
      <c r="AE48" s="29" t="str">
        <f>IF(AD48=0,"",IFERROR(AD48/AD$19,""))</f>
        <v/>
      </c>
      <c r="AF48" s="48">
        <f t="shared" si="7"/>
        <v>330</v>
      </c>
      <c r="AG48" s="28">
        <v>16665.2</v>
      </c>
      <c r="AH48" s="29" t="str">
        <f t="shared" ca="1" si="3"/>
        <v/>
      </c>
      <c r="AI48" s="48">
        <f t="shared" si="8"/>
        <v>-16335.2</v>
      </c>
    </row>
    <row r="49" spans="1:35" x14ac:dyDescent="0.2">
      <c r="A49" s="6" t="s">
        <v>37</v>
      </c>
      <c r="B49" s="7"/>
      <c r="H49" s="10" t="s">
        <v>319</v>
      </c>
      <c r="I49" s="25" t="e">
        <f ca="1">_xll.EVPRO($B$1,$H49,"STYLE")</f>
        <v>#NAME?</v>
      </c>
      <c r="J49" s="25" t="e">
        <f ca="1">_xll.EVPRO($B$1,$H49,"CALC")</f>
        <v>#NAME?</v>
      </c>
      <c r="K49" s="24"/>
      <c r="L49" s="24" t="e">
        <f ca="1">_xll.EVPRO($B$1,H49,"JDEID")</f>
        <v>#NAME?</v>
      </c>
      <c r="M49" s="24" t="e">
        <f ca="1">IF(AND(I49="N",J49="N"),_xll.EVPRO($B$1,H49,"PSFTID"),"")</f>
        <v>#NAME?</v>
      </c>
      <c r="N49" s="23" t="e">
        <f ca="1">IF(_xll.EVDES(H49,$B$1)="#NODATA","",_xll.EVDES(H49,$B$1))</f>
        <v>#NAME?</v>
      </c>
      <c r="O49" s="145">
        <v>3142.5</v>
      </c>
      <c r="P49" s="145"/>
      <c r="Q49" s="145"/>
      <c r="R49" s="145"/>
      <c r="S49" s="145"/>
      <c r="T49" s="145"/>
      <c r="U49" s="145"/>
      <c r="V49" s="145"/>
      <c r="W49" s="145"/>
      <c r="X49" s="145"/>
      <c r="Y49" s="145"/>
      <c r="Z49" s="145"/>
      <c r="AA49" s="145">
        <f t="shared" si="6"/>
        <v>3142.5</v>
      </c>
      <c r="AB49" s="156" t="str">
        <f ca="1">IF(AA49=0,"",IFERROR(AA49/AA$19,""))</f>
        <v/>
      </c>
      <c r="AD49" s="145"/>
      <c r="AE49" s="156" t="str">
        <f>IF(AD49=0,"",IFERROR(AD49/AD$19,""))</f>
        <v/>
      </c>
      <c r="AF49" s="146">
        <f t="shared" si="7"/>
        <v>3142.5</v>
      </c>
      <c r="AG49" s="145">
        <v>288487.42</v>
      </c>
      <c r="AH49" s="156" t="str">
        <f t="shared" ca="1" si="3"/>
        <v/>
      </c>
      <c r="AI49" s="146">
        <f t="shared" si="8"/>
        <v>-285344.92</v>
      </c>
    </row>
    <row r="50" spans="1:35" x14ac:dyDescent="0.2">
      <c r="A50" s="6" t="s">
        <v>38</v>
      </c>
      <c r="B50" s="7"/>
      <c r="H50" s="10" t="s">
        <v>764</v>
      </c>
      <c r="I50" s="25" t="e">
        <f ca="1">_xll.EVPRO($B$1,$H50,"STYLE")</f>
        <v>#NAME?</v>
      </c>
      <c r="J50" s="25" t="e">
        <f ca="1">_xll.EVPRO($B$1,$H50,"CALC")</f>
        <v>#NAME?</v>
      </c>
      <c r="K50" s="24"/>
      <c r="L50" s="24" t="e">
        <f ca="1">_xll.EVPRO($B$1,H50,"JDEID")</f>
        <v>#NAME?</v>
      </c>
      <c r="M50" s="24" t="e">
        <f ca="1">IF(AND(I50="N",J50="N"),_xll.EVPRO($B$1,H50,"PSFTID"),"")</f>
        <v>#NAME?</v>
      </c>
      <c r="N50" s="24" t="e">
        <f ca="1">IF(_xll.EVDES(H50,$B$1)="#NODATA","",_xll.EVDES(H50,$B$1))</f>
        <v>#NAME?</v>
      </c>
      <c r="O50" s="35">
        <v>5</v>
      </c>
      <c r="P50" s="35"/>
      <c r="Q50" s="35"/>
      <c r="R50" s="35"/>
      <c r="S50" s="35"/>
      <c r="T50" s="35"/>
      <c r="U50" s="35"/>
      <c r="V50" s="35"/>
      <c r="W50" s="35"/>
      <c r="X50" s="35"/>
      <c r="Y50" s="35"/>
      <c r="Z50" s="35"/>
      <c r="AA50" s="35">
        <f t="shared" si="6"/>
        <v>5</v>
      </c>
      <c r="AB50" s="36"/>
      <c r="AD50" s="35"/>
      <c r="AE50" s="36"/>
      <c r="AF50" s="118">
        <f t="shared" si="7"/>
        <v>5</v>
      </c>
      <c r="AG50" s="35">
        <v>303</v>
      </c>
      <c r="AH50" s="36"/>
      <c r="AI50" s="118">
        <f t="shared" si="8"/>
        <v>-298</v>
      </c>
    </row>
    <row r="51" spans="1:35" x14ac:dyDescent="0.2">
      <c r="A51" s="6" t="s">
        <v>39</v>
      </c>
      <c r="B51" s="7"/>
      <c r="H51" s="10" t="s">
        <v>298</v>
      </c>
      <c r="I51" s="25" t="e">
        <f ca="1">_xll.EVPRO($B$1,$H51,"STYLE")</f>
        <v>#NAME?</v>
      </c>
      <c r="J51" s="25" t="e">
        <f ca="1">_xll.EVPRO($B$1,$H51,"CALC")</f>
        <v>#NAME?</v>
      </c>
      <c r="K51" s="24"/>
      <c r="L51" s="24" t="e">
        <f ca="1">_xll.EVPRO($B$1,H51,"JDEID")</f>
        <v>#NAME?</v>
      </c>
      <c r="M51" s="24" t="e">
        <f ca="1">IF(AND(I51="N",J51="N"),_xll.EVPRO($B$1,H51,"PSFTID"),"")</f>
        <v>#NAME?</v>
      </c>
      <c r="N51" s="24" t="e">
        <f ca="1">IF(_xll.EVDES(H51,$B$1)="#NODATA","",_xll.EVDES(H51,$B$1))</f>
        <v>#NAME?</v>
      </c>
      <c r="O51" s="35">
        <v>80</v>
      </c>
      <c r="P51" s="35"/>
      <c r="Q51" s="35"/>
      <c r="R51" s="35"/>
      <c r="S51" s="35"/>
      <c r="T51" s="35"/>
      <c r="U51" s="35"/>
      <c r="V51" s="35"/>
      <c r="W51" s="35"/>
      <c r="X51" s="35"/>
      <c r="Y51" s="35"/>
      <c r="Z51" s="35"/>
      <c r="AA51" s="35">
        <f t="shared" si="6"/>
        <v>80</v>
      </c>
      <c r="AB51" s="36">
        <f>IF(AA51=0,"",IFERROR(AA51/AA$87,""))</f>
        <v>1</v>
      </c>
      <c r="AD51" s="35"/>
      <c r="AE51" s="36" t="str">
        <f>IF(AD51=0,"",IFERROR(AD51/AD$87,""))</f>
        <v/>
      </c>
      <c r="AF51" s="118">
        <f t="shared" si="7"/>
        <v>80</v>
      </c>
      <c r="AG51" s="35">
        <v>8676</v>
      </c>
      <c r="AH51" s="36">
        <f>IF(AG51=0,"",IFERROR(AG51/AG$87,""))</f>
        <v>0.97856981727949466</v>
      </c>
      <c r="AI51" s="118">
        <f t="shared" si="8"/>
        <v>-8596</v>
      </c>
    </row>
    <row r="52" spans="1:35" x14ac:dyDescent="0.2">
      <c r="A52" s="6" t="s">
        <v>40</v>
      </c>
      <c r="B52" s="7"/>
      <c r="H52" s="10" t="s">
        <v>315</v>
      </c>
      <c r="I52" s="25" t="e">
        <f ca="1">_xll.EVPRO($B$1,$H52,"STYLE")</f>
        <v>#NAME?</v>
      </c>
      <c r="J52" s="25" t="e">
        <f ca="1">_xll.EVPRO($B$1,$H52,"CALC")</f>
        <v>#NAME?</v>
      </c>
      <c r="K52" s="24"/>
      <c r="L52" s="24" t="e">
        <f ca="1">_xll.EVPRO($B$1,H52,"JDEID")</f>
        <v>#NAME?</v>
      </c>
      <c r="M52" s="24" t="e">
        <f ca="1">IF(AND(I52="N",J52="N"),_xll.EVPRO($B$1,H52,"PSFTID"),"")</f>
        <v>#NAME?</v>
      </c>
      <c r="N52" s="151" t="e">
        <f ca="1">IF(_xll.EVDES(H52,$B$1)="#NODATA","",_xll.EVDES(H52,$B$1))</f>
        <v>#NAME?</v>
      </c>
      <c r="O52" s="157">
        <v>39.28125</v>
      </c>
      <c r="P52" s="157"/>
      <c r="Q52" s="157"/>
      <c r="R52" s="157"/>
      <c r="S52" s="157"/>
      <c r="T52" s="157"/>
      <c r="U52" s="157"/>
      <c r="V52" s="157"/>
      <c r="W52" s="157"/>
      <c r="X52" s="157"/>
      <c r="Y52" s="157"/>
      <c r="Z52" s="157"/>
      <c r="AA52" s="157">
        <f>IFERROR(AA49/AA51,"")</f>
        <v>39.28125</v>
      </c>
      <c r="AB52" s="157"/>
      <c r="AD52" s="157"/>
      <c r="AE52" s="157"/>
      <c r="AF52" s="158">
        <f t="shared" si="7"/>
        <v>39.28125</v>
      </c>
      <c r="AG52" s="157">
        <v>33.251201014292299</v>
      </c>
      <c r="AH52" s="157"/>
      <c r="AI52" s="158">
        <f t="shared" si="8"/>
        <v>6.0300489857077011</v>
      </c>
    </row>
    <row r="53" spans="1:35" x14ac:dyDescent="0.2">
      <c r="A53" s="6" t="s">
        <v>41</v>
      </c>
      <c r="B53" s="7"/>
      <c r="G53" s="162">
        <f>COUNTIF(O54:AI54,FALSE)</f>
        <v>0</v>
      </c>
      <c r="H53" s="10"/>
      <c r="I53" s="25"/>
      <c r="J53" s="25"/>
      <c r="K53" s="24"/>
      <c r="L53" s="24"/>
      <c r="M53" s="24"/>
      <c r="N53" s="163" t="s">
        <v>345</v>
      </c>
      <c r="O53" s="160">
        <f t="shared" ref="O53:AA53" si="9">ROUND(IFERROR(O49/O51,0),2)</f>
        <v>39.28</v>
      </c>
      <c r="P53" s="165">
        <f t="shared" si="9"/>
        <v>0</v>
      </c>
      <c r="Q53" s="165">
        <f t="shared" si="9"/>
        <v>0</v>
      </c>
      <c r="R53" s="165">
        <f t="shared" si="9"/>
        <v>0</v>
      </c>
      <c r="S53" s="165">
        <f t="shared" si="9"/>
        <v>0</v>
      </c>
      <c r="T53" s="165">
        <f t="shared" si="9"/>
        <v>0</v>
      </c>
      <c r="U53" s="165">
        <f t="shared" si="9"/>
        <v>0</v>
      </c>
      <c r="V53" s="165">
        <f t="shared" si="9"/>
        <v>0</v>
      </c>
      <c r="W53" s="165">
        <f t="shared" si="9"/>
        <v>0</v>
      </c>
      <c r="X53" s="165">
        <f t="shared" si="9"/>
        <v>0</v>
      </c>
      <c r="Y53" s="165">
        <f t="shared" si="9"/>
        <v>0</v>
      </c>
      <c r="Z53" s="165">
        <f t="shared" si="9"/>
        <v>0</v>
      </c>
      <c r="AA53" s="165">
        <f t="shared" si="9"/>
        <v>39.28</v>
      </c>
      <c r="AB53" s="164"/>
      <c r="AD53" s="160">
        <f>ROUND(IFERROR(AD49/AD51,0),2)</f>
        <v>0</v>
      </c>
      <c r="AE53" s="165"/>
      <c r="AF53" s="161"/>
      <c r="AG53" s="160">
        <f>ROUND(IFERROR(AG49/AG51,0),2)</f>
        <v>33.25</v>
      </c>
      <c r="AH53" s="165"/>
      <c r="AI53" s="161"/>
    </row>
    <row r="54" spans="1:35" x14ac:dyDescent="0.2">
      <c r="A54" s="6" t="s">
        <v>42</v>
      </c>
      <c r="B54" s="7"/>
      <c r="H54" s="10"/>
      <c r="I54" s="25"/>
      <c r="J54" s="25"/>
      <c r="K54" s="24"/>
      <c r="L54" s="24"/>
      <c r="M54" s="24"/>
      <c r="N54" s="8" t="s">
        <v>316</v>
      </c>
      <c r="O54" s="292" t="b">
        <f t="shared" ref="O54:AA54" si="10">ROUND(O52,2)=ROUND(O53,2)</f>
        <v>1</v>
      </c>
      <c r="P54" s="293" t="b">
        <f t="shared" si="10"/>
        <v>1</v>
      </c>
      <c r="Q54" s="293" t="b">
        <f t="shared" si="10"/>
        <v>1</v>
      </c>
      <c r="R54" s="293" t="b">
        <f t="shared" si="10"/>
        <v>1</v>
      </c>
      <c r="S54" s="293" t="b">
        <f t="shared" si="10"/>
        <v>1</v>
      </c>
      <c r="T54" s="293" t="b">
        <f t="shared" si="10"/>
        <v>1</v>
      </c>
      <c r="U54" s="293" t="b">
        <f t="shared" si="10"/>
        <v>1</v>
      </c>
      <c r="V54" s="293" t="b">
        <f t="shared" si="10"/>
        <v>1</v>
      </c>
      <c r="W54" s="293" t="b">
        <f t="shared" si="10"/>
        <v>1</v>
      </c>
      <c r="X54" s="293" t="b">
        <f t="shared" si="10"/>
        <v>1</v>
      </c>
      <c r="Y54" s="293" t="b">
        <f t="shared" si="10"/>
        <v>1</v>
      </c>
      <c r="Z54" s="293" t="b">
        <f t="shared" si="10"/>
        <v>1</v>
      </c>
      <c r="AA54" s="293" t="b">
        <f t="shared" si="10"/>
        <v>1</v>
      </c>
      <c r="AB54" s="294"/>
      <c r="AC54" s="206"/>
      <c r="AD54" s="292"/>
      <c r="AE54" s="293" t="b">
        <f>ROUND(AD52,2)=ROUND(AD53,2)</f>
        <v>1</v>
      </c>
      <c r="AF54" s="294"/>
      <c r="AG54" s="292"/>
      <c r="AH54" s="293" t="b">
        <f>ROUND(AG52,2)=ROUND(AG53,2)</f>
        <v>1</v>
      </c>
      <c r="AI54" s="294"/>
    </row>
    <row r="55" spans="1:35" x14ac:dyDescent="0.2">
      <c r="A55" s="6" t="s">
        <v>43</v>
      </c>
      <c r="B55" s="7"/>
      <c r="H55" s="10" t="s">
        <v>262</v>
      </c>
      <c r="I55" s="25" t="e">
        <f ca="1">_xll.EVPRO($B$1,$H55,"STYLE")</f>
        <v>#NAME?</v>
      </c>
      <c r="J55" s="25" t="e">
        <f ca="1">_xll.EVPRO($B$1,$H55,"CALC")</f>
        <v>#NAME?</v>
      </c>
      <c r="K55" s="24"/>
      <c r="L55" s="24" t="e">
        <f ca="1">_xll.EVPRO($B$1,H55,"JDEID")</f>
        <v>#NAME?</v>
      </c>
      <c r="M55" s="24" t="e">
        <f ca="1">IF(AND(I55="N",J55="N"),_xll.EVPRO($B$1,H55,"PSFTID"),"")</f>
        <v>#NAME?</v>
      </c>
      <c r="N55" s="24" t="e">
        <f ca="1">IF(_xll.EVDES(H55,$B$1)="#NODATA","",_xll.EVDES(H55,$B$1))</f>
        <v>#NAME?</v>
      </c>
      <c r="O55" s="19"/>
      <c r="P55" s="19"/>
      <c r="Q55" s="19"/>
      <c r="R55" s="19"/>
      <c r="S55" s="19"/>
      <c r="T55" s="19"/>
      <c r="U55" s="19"/>
      <c r="V55" s="19"/>
      <c r="W55" s="19"/>
      <c r="X55" s="19"/>
      <c r="Y55" s="19"/>
      <c r="Z55" s="19"/>
      <c r="AA55" s="19">
        <f t="shared" ref="AA55:AA61" si="11">SUM(O55:Z55)</f>
        <v>0</v>
      </c>
      <c r="AB55" s="15" t="str">
        <f>IF(AA55=0,"",IFERROR(AA55/AA$19,""))</f>
        <v/>
      </c>
      <c r="AD55" s="19"/>
      <c r="AE55" s="15" t="str">
        <f>IF(AD55=0,"",IFERROR(AD55/AD$19,""))</f>
        <v/>
      </c>
      <c r="AF55" s="47">
        <f t="shared" ref="AF55:AF62" si="12">IF(AND($AA55="",AD55=""),"",$AA55-AD55)</f>
        <v>0</v>
      </c>
      <c r="AG55" s="19">
        <v>1780.5</v>
      </c>
      <c r="AH55" s="15" t="str">
        <f t="shared" ca="1" si="3"/>
        <v/>
      </c>
      <c r="AI55" s="47">
        <f t="shared" ref="AI55:AI62" si="13">IF(AND($AA55="",AG55=""),"",$AA55-AG55)</f>
        <v>-1780.5</v>
      </c>
    </row>
    <row r="56" spans="1:35" x14ac:dyDescent="0.2">
      <c r="A56" s="6" t="s">
        <v>44</v>
      </c>
      <c r="B56" s="7"/>
      <c r="H56" s="10" t="s">
        <v>302</v>
      </c>
      <c r="I56" s="25" t="e">
        <f ca="1">_xll.EVPRO($B$1,$H56,"STYLE")</f>
        <v>#NAME?</v>
      </c>
      <c r="J56" s="25" t="e">
        <f ca="1">_xll.EVPRO($B$1,$H56,"CALC")</f>
        <v>#NAME?</v>
      </c>
      <c r="K56" s="24"/>
      <c r="L56" s="24" t="e">
        <f ca="1">_xll.EVPRO($B$1,H56,"JDEID")</f>
        <v>#NAME?</v>
      </c>
      <c r="M56" s="24" t="e">
        <f ca="1">IF(AND(I56="N",J56="N"),_xll.EVPRO($B$1,H56,"PSFTID"),"")</f>
        <v>#NAME?</v>
      </c>
      <c r="N56" s="24" t="e">
        <f ca="1">IF(_xll.EVDES(H56,$B$1)="#NODATA","",_xll.EVDES(H56,$B$1))</f>
        <v>#NAME?</v>
      </c>
      <c r="O56" s="19"/>
      <c r="P56" s="19"/>
      <c r="Q56" s="19"/>
      <c r="R56" s="19"/>
      <c r="S56" s="19"/>
      <c r="T56" s="19"/>
      <c r="U56" s="19"/>
      <c r="V56" s="19"/>
      <c r="W56" s="19"/>
      <c r="X56" s="19"/>
      <c r="Y56" s="19"/>
      <c r="Z56" s="19"/>
      <c r="AA56" s="19">
        <f t="shared" si="11"/>
        <v>0</v>
      </c>
      <c r="AB56" s="15" t="str">
        <f>IF(AA56=0,"",IFERROR(AA56/AA$19,""))</f>
        <v/>
      </c>
      <c r="AD56" s="19"/>
      <c r="AE56" s="15" t="str">
        <f>IF(AD56=0,"",IFERROR(AD56/AD$19,""))</f>
        <v/>
      </c>
      <c r="AF56" s="47">
        <f t="shared" si="12"/>
        <v>0</v>
      </c>
      <c r="AG56" s="19">
        <v>2937</v>
      </c>
      <c r="AH56" s="15" t="str">
        <f t="shared" ca="1" si="3"/>
        <v/>
      </c>
      <c r="AI56" s="47">
        <f t="shared" si="13"/>
        <v>-2937</v>
      </c>
    </row>
    <row r="57" spans="1:35" x14ac:dyDescent="0.2">
      <c r="A57" s="6" t="s">
        <v>45</v>
      </c>
      <c r="B57" s="7"/>
      <c r="H57" s="10" t="s">
        <v>306</v>
      </c>
      <c r="I57" s="25" t="e">
        <f ca="1">_xll.EVPRO($B$1,$H57,"STYLE")</f>
        <v>#NAME?</v>
      </c>
      <c r="J57" s="25" t="e">
        <f ca="1">_xll.EVPRO($B$1,$H57,"CALC")</f>
        <v>#NAME?</v>
      </c>
      <c r="K57" s="24"/>
      <c r="L57" s="24" t="e">
        <f ca="1">_xll.EVPRO($B$1,H57,"JDEID")</f>
        <v>#NAME?</v>
      </c>
      <c r="M57" s="24" t="e">
        <f ca="1">IF(AND(I57="N",J57="N"),_xll.EVPRO($B$1,H57,"PSFTID"),"")</f>
        <v>#NAME?</v>
      </c>
      <c r="N57" s="24" t="e">
        <f ca="1">IF(_xll.EVDES(H57,$B$1)="#NODATA","",_xll.EVDES(H57,$B$1))</f>
        <v>#NAME?</v>
      </c>
      <c r="O57" s="19"/>
      <c r="P57" s="19"/>
      <c r="Q57" s="19"/>
      <c r="R57" s="19"/>
      <c r="S57" s="19"/>
      <c r="T57" s="19"/>
      <c r="U57" s="19"/>
      <c r="V57" s="19"/>
      <c r="W57" s="19"/>
      <c r="X57" s="19"/>
      <c r="Y57" s="19"/>
      <c r="Z57" s="19"/>
      <c r="AA57" s="19">
        <f t="shared" si="11"/>
        <v>0</v>
      </c>
      <c r="AB57" s="15" t="str">
        <f>IF(AA57=0,"",IFERROR(AA57/AA$19,""))</f>
        <v/>
      </c>
      <c r="AD57" s="19"/>
      <c r="AE57" s="15" t="str">
        <f>IF(AD57=0,"",IFERROR(AD57/AD$19,""))</f>
        <v/>
      </c>
      <c r="AF57" s="47">
        <f t="shared" si="12"/>
        <v>0</v>
      </c>
      <c r="AG57" s="19">
        <v>551</v>
      </c>
      <c r="AH57" s="15" t="str">
        <f t="shared" ca="1" si="3"/>
        <v/>
      </c>
      <c r="AI57" s="47">
        <f t="shared" si="13"/>
        <v>-551</v>
      </c>
    </row>
    <row r="58" spans="1:35" x14ac:dyDescent="0.2">
      <c r="A58" s="6" t="s">
        <v>46</v>
      </c>
      <c r="B58" s="7"/>
      <c r="H58" s="10" t="s">
        <v>304</v>
      </c>
      <c r="I58" s="25" t="e">
        <f ca="1">_xll.EVPRO($B$1,$H58,"STYLE")</f>
        <v>#NAME?</v>
      </c>
      <c r="J58" s="25" t="e">
        <f ca="1">_xll.EVPRO($B$1,$H58,"CALC")</f>
        <v>#NAME?</v>
      </c>
      <c r="K58" s="24"/>
      <c r="L58" s="24" t="e">
        <f ca="1">_xll.EVPRO($B$1,H58,"JDEID")</f>
        <v>#NAME?</v>
      </c>
      <c r="M58" s="24" t="e">
        <f ca="1">IF(AND(I58="N",J58="N"),_xll.EVPRO($B$1,H58,"PSFTID"),"")</f>
        <v>#NAME?</v>
      </c>
      <c r="N58" s="24" t="e">
        <f ca="1">IF(_xll.EVDES(H58,$B$1)="#NODATA","",_xll.EVDES(H58,$B$1))</f>
        <v>#NAME?</v>
      </c>
      <c r="O58" s="28"/>
      <c r="P58" s="28"/>
      <c r="Q58" s="28"/>
      <c r="R58" s="28"/>
      <c r="S58" s="28"/>
      <c r="T58" s="28"/>
      <c r="U58" s="28"/>
      <c r="V58" s="28"/>
      <c r="W58" s="28"/>
      <c r="X58" s="28"/>
      <c r="Y58" s="28"/>
      <c r="Z58" s="28"/>
      <c r="AA58" s="28">
        <f t="shared" si="11"/>
        <v>0</v>
      </c>
      <c r="AB58" s="29" t="str">
        <f>IF(AA58=0,"",IFERROR(AA58/AA$19,""))</f>
        <v/>
      </c>
      <c r="AD58" s="28"/>
      <c r="AE58" s="29" t="str">
        <f>IF(AD58=0,"",IFERROR(AD58/AD$19,""))</f>
        <v/>
      </c>
      <c r="AF58" s="48">
        <f t="shared" si="12"/>
        <v>0</v>
      </c>
      <c r="AG58" s="28">
        <v>61</v>
      </c>
      <c r="AH58" s="29" t="str">
        <f t="shared" ca="1" si="3"/>
        <v/>
      </c>
      <c r="AI58" s="48">
        <f t="shared" si="13"/>
        <v>-61</v>
      </c>
    </row>
    <row r="59" spans="1:35" x14ac:dyDescent="0.2">
      <c r="H59" s="10" t="s">
        <v>320</v>
      </c>
      <c r="I59" s="25" t="e">
        <f ca="1">_xll.EVPRO($B$1,$H59,"STYLE")</f>
        <v>#NAME?</v>
      </c>
      <c r="J59" s="25" t="e">
        <f ca="1">_xll.EVPRO($B$1,$H59,"CALC")</f>
        <v>#NAME?</v>
      </c>
      <c r="K59" s="24"/>
      <c r="L59" s="24" t="e">
        <f ca="1">_xll.EVPRO($B$1,H59,"JDEID")</f>
        <v>#NAME?</v>
      </c>
      <c r="M59" s="24" t="e">
        <f ca="1">IF(AND(I59="N",J59="N"),_xll.EVPRO($B$1,H59,"PSFTID"),"")</f>
        <v>#NAME?</v>
      </c>
      <c r="N59" s="23" t="e">
        <f ca="1">IF(_xll.EVDES(H59,$B$1)="#NODATA","",_xll.EVDES(H59,$B$1))</f>
        <v>#NAME?</v>
      </c>
      <c r="O59" s="145"/>
      <c r="P59" s="145"/>
      <c r="Q59" s="145"/>
      <c r="R59" s="145"/>
      <c r="S59" s="145"/>
      <c r="T59" s="145"/>
      <c r="U59" s="145"/>
      <c r="V59" s="145"/>
      <c r="W59" s="145"/>
      <c r="X59" s="145"/>
      <c r="Y59" s="145"/>
      <c r="Z59" s="145"/>
      <c r="AA59" s="145">
        <f t="shared" si="11"/>
        <v>0</v>
      </c>
      <c r="AB59" s="156" t="str">
        <f>IF(AA59=0,"",IFERROR(AA59/AA$19,""))</f>
        <v/>
      </c>
      <c r="AD59" s="145"/>
      <c r="AE59" s="156" t="str">
        <f>IF(AD59=0,"",IFERROR(AD59/AD$19,""))</f>
        <v/>
      </c>
      <c r="AF59" s="146">
        <f t="shared" si="12"/>
        <v>0</v>
      </c>
      <c r="AG59" s="145">
        <v>5329.5</v>
      </c>
      <c r="AH59" s="156" t="str">
        <f t="shared" ca="1" si="3"/>
        <v/>
      </c>
      <c r="AI59" s="146">
        <f t="shared" si="13"/>
        <v>-5329.5</v>
      </c>
    </row>
    <row r="60" spans="1:35" x14ac:dyDescent="0.2">
      <c r="H60" s="10" t="s">
        <v>765</v>
      </c>
      <c r="I60" s="25" t="e">
        <f ca="1">_xll.EVPRO($B$1,$H60,"STYLE")</f>
        <v>#NAME?</v>
      </c>
      <c r="J60" s="25" t="e">
        <f ca="1">_xll.EVPRO($B$1,$H60,"CALC")</f>
        <v>#NAME?</v>
      </c>
      <c r="K60" s="24"/>
      <c r="L60" s="24" t="e">
        <f ca="1">_xll.EVPRO($B$1,H60,"JDEID")</f>
        <v>#NAME?</v>
      </c>
      <c r="M60" s="24" t="e">
        <f ca="1">IF(AND(I60="N",J60="N"),_xll.EVPRO($B$1,H60,"PSFTID"),"")</f>
        <v>#NAME?</v>
      </c>
      <c r="N60" s="24" t="e">
        <f ca="1">IF(_xll.EVDES(H60,$B$1)="#NODATA","",_xll.EVDES(H60,$B$1))</f>
        <v>#NAME?</v>
      </c>
      <c r="O60" s="35"/>
      <c r="P60" s="35"/>
      <c r="Q60" s="35"/>
      <c r="R60" s="35"/>
      <c r="S60" s="35"/>
      <c r="T60" s="35"/>
      <c r="U60" s="35"/>
      <c r="V60" s="35"/>
      <c r="W60" s="35"/>
      <c r="X60" s="35"/>
      <c r="Y60" s="35"/>
      <c r="Z60" s="35"/>
      <c r="AA60" s="35">
        <f t="shared" si="11"/>
        <v>0</v>
      </c>
      <c r="AB60" s="36"/>
      <c r="AD60" s="35"/>
      <c r="AE60" s="36"/>
      <c r="AF60" s="118">
        <f t="shared" si="12"/>
        <v>0</v>
      </c>
      <c r="AG60" s="35">
        <v>16</v>
      </c>
      <c r="AH60" s="36"/>
      <c r="AI60" s="118">
        <f t="shared" si="13"/>
        <v>-16</v>
      </c>
    </row>
    <row r="61" spans="1:35" x14ac:dyDescent="0.2">
      <c r="H61" s="10" t="s">
        <v>299</v>
      </c>
      <c r="I61" s="25" t="e">
        <f ca="1">_xll.EVPRO($B$1,$H61,"STYLE")</f>
        <v>#NAME?</v>
      </c>
      <c r="J61" s="25" t="e">
        <f ca="1">_xll.EVPRO($B$1,$H61,"CALC")</f>
        <v>#NAME?</v>
      </c>
      <c r="K61" s="24"/>
      <c r="L61" s="24" t="e">
        <f ca="1">_xll.EVPRO($B$1,H61,"JDEID")</f>
        <v>#NAME?</v>
      </c>
      <c r="M61" s="24" t="e">
        <f ca="1">IF(AND(I61="N",J61="N"),_xll.EVPRO($B$1,H61,"PSFTID"),"")</f>
        <v>#NAME?</v>
      </c>
      <c r="N61" s="24" t="e">
        <f ca="1">IF(_xll.EVDES(H61,$B$1)="#NODATA","",_xll.EVDES(H61,$B$1))</f>
        <v>#NAME?</v>
      </c>
      <c r="O61" s="35"/>
      <c r="P61" s="35"/>
      <c r="Q61" s="35"/>
      <c r="R61" s="35"/>
      <c r="S61" s="35"/>
      <c r="T61" s="35"/>
      <c r="U61" s="35"/>
      <c r="V61" s="35"/>
      <c r="W61" s="35"/>
      <c r="X61" s="35"/>
      <c r="Y61" s="35"/>
      <c r="Z61" s="35"/>
      <c r="AA61" s="35">
        <f t="shared" si="11"/>
        <v>0</v>
      </c>
      <c r="AB61" s="36" t="str">
        <f>IF(AA61=0,"",IFERROR(AA61/AA$87,""))</f>
        <v/>
      </c>
      <c r="AD61" s="35"/>
      <c r="AE61" s="36" t="str">
        <f>IF(AD61=0,"",IFERROR(AD61/AD$87,""))</f>
        <v/>
      </c>
      <c r="AF61" s="118">
        <f t="shared" si="12"/>
        <v>0</v>
      </c>
      <c r="AG61" s="35">
        <v>190</v>
      </c>
      <c r="AH61" s="36">
        <f>IF(AG61=0,"",IFERROR(AG61/AG$87,""))</f>
        <v>2.14301827205053E-2</v>
      </c>
      <c r="AI61" s="118">
        <f t="shared" si="13"/>
        <v>-190</v>
      </c>
    </row>
    <row r="62" spans="1:35" x14ac:dyDescent="0.2">
      <c r="H62" s="133" t="s">
        <v>317</v>
      </c>
      <c r="I62" s="25" t="e">
        <f ca="1">_xll.EVPRO($B$1,$H62,"STYLE")</f>
        <v>#NAME?</v>
      </c>
      <c r="J62" s="25" t="e">
        <f ca="1">_xll.EVPRO($B$1,$H62,"CALC")</f>
        <v>#NAME?</v>
      </c>
      <c r="K62" s="24"/>
      <c r="L62" s="24" t="e">
        <f ca="1">_xll.EVPRO($B$1,H62,"JDEID")</f>
        <v>#NAME?</v>
      </c>
      <c r="M62" s="24" t="e">
        <f ca="1">IF(AND(I62="N",J62="N"),_xll.EVPRO($B$1,H62,"PSFTID"),"")</f>
        <v>#NAME?</v>
      </c>
      <c r="N62" s="151" t="e">
        <f ca="1">IF(_xll.EVDES(H62,$B$1)="#NODATA","",_xll.EVDES(H62,$B$1))</f>
        <v>#NAME?</v>
      </c>
      <c r="O62" s="157"/>
      <c r="P62" s="157"/>
      <c r="Q62" s="157"/>
      <c r="R62" s="157"/>
      <c r="S62" s="157"/>
      <c r="T62" s="157"/>
      <c r="U62" s="157"/>
      <c r="V62" s="157"/>
      <c r="W62" s="157"/>
      <c r="X62" s="157"/>
      <c r="Y62" s="157"/>
      <c r="Z62" s="157"/>
      <c r="AA62" s="157" t="str">
        <f>IFERROR(AA59/AA61,"")</f>
        <v/>
      </c>
      <c r="AB62" s="157"/>
      <c r="AD62" s="157"/>
      <c r="AE62" s="157"/>
      <c r="AF62" s="158" t="str">
        <f t="shared" si="12"/>
        <v/>
      </c>
      <c r="AG62" s="157">
        <v>28.05</v>
      </c>
      <c r="AH62" s="157"/>
      <c r="AI62" s="158" t="e">
        <f t="shared" si="13"/>
        <v>#VALUE!</v>
      </c>
    </row>
    <row r="63" spans="1:35" x14ac:dyDescent="0.2">
      <c r="G63" s="162">
        <f>COUNTIF(O64:AI64,FALSE)</f>
        <v>0</v>
      </c>
      <c r="H63" s="10"/>
      <c r="I63" s="25"/>
      <c r="J63" s="25"/>
      <c r="K63" s="24"/>
      <c r="L63" s="24"/>
      <c r="M63" s="24"/>
      <c r="N63" s="163" t="s">
        <v>345</v>
      </c>
      <c r="O63" s="160">
        <f t="shared" ref="O63:AA63" si="14">ROUND(IFERROR(O59/O61,0),2)</f>
        <v>0</v>
      </c>
      <c r="P63" s="165">
        <f t="shared" si="14"/>
        <v>0</v>
      </c>
      <c r="Q63" s="165">
        <f t="shared" si="14"/>
        <v>0</v>
      </c>
      <c r="R63" s="165">
        <f t="shared" si="14"/>
        <v>0</v>
      </c>
      <c r="S63" s="165">
        <f t="shared" si="14"/>
        <v>0</v>
      </c>
      <c r="T63" s="165">
        <f t="shared" si="14"/>
        <v>0</v>
      </c>
      <c r="U63" s="165">
        <f t="shared" si="14"/>
        <v>0</v>
      </c>
      <c r="V63" s="165">
        <f t="shared" si="14"/>
        <v>0</v>
      </c>
      <c r="W63" s="165">
        <f t="shared" si="14"/>
        <v>0</v>
      </c>
      <c r="X63" s="165">
        <f t="shared" si="14"/>
        <v>0</v>
      </c>
      <c r="Y63" s="165">
        <f t="shared" si="14"/>
        <v>0</v>
      </c>
      <c r="Z63" s="165">
        <f t="shared" si="14"/>
        <v>0</v>
      </c>
      <c r="AA63" s="165">
        <f t="shared" si="14"/>
        <v>0</v>
      </c>
      <c r="AB63" s="164"/>
      <c r="AD63" s="160">
        <f>ROUND(IFERROR(AD59/AD61,0),2)</f>
        <v>0</v>
      </c>
      <c r="AE63" s="165"/>
      <c r="AF63" s="161"/>
      <c r="AG63" s="160">
        <f>ROUND(IFERROR(AG59/AG61,0),2)</f>
        <v>28.05</v>
      </c>
      <c r="AH63" s="165"/>
      <c r="AI63" s="161"/>
    </row>
    <row r="64" spans="1:35" x14ac:dyDescent="0.2">
      <c r="H64" s="133"/>
      <c r="I64" s="25"/>
      <c r="J64" s="25"/>
      <c r="K64" s="24"/>
      <c r="L64" s="24"/>
      <c r="M64" s="24"/>
      <c r="N64" s="8" t="s">
        <v>307</v>
      </c>
      <c r="O64" s="292" t="b">
        <f t="shared" ref="O64:AA64" si="15">ROUND(O62,2)=ROUND(O63,2)</f>
        <v>1</v>
      </c>
      <c r="P64" s="293" t="b">
        <f t="shared" si="15"/>
        <v>1</v>
      </c>
      <c r="Q64" s="293" t="b">
        <f t="shared" si="15"/>
        <v>1</v>
      </c>
      <c r="R64" s="293" t="b">
        <f t="shared" si="15"/>
        <v>1</v>
      </c>
      <c r="S64" s="293" t="b">
        <f t="shared" si="15"/>
        <v>1</v>
      </c>
      <c r="T64" s="293" t="b">
        <f t="shared" si="15"/>
        <v>1</v>
      </c>
      <c r="U64" s="293" t="b">
        <f t="shared" si="15"/>
        <v>1</v>
      </c>
      <c r="V64" s="293" t="b">
        <f t="shared" si="15"/>
        <v>1</v>
      </c>
      <c r="W64" s="293" t="b">
        <f t="shared" si="15"/>
        <v>1</v>
      </c>
      <c r="X64" s="293" t="b">
        <f t="shared" si="15"/>
        <v>1</v>
      </c>
      <c r="Y64" s="293" t="b">
        <f t="shared" si="15"/>
        <v>1</v>
      </c>
      <c r="Z64" s="293" t="b">
        <f t="shared" si="15"/>
        <v>1</v>
      </c>
      <c r="AA64" s="293" t="e">
        <f t="shared" si="15"/>
        <v>#VALUE!</v>
      </c>
      <c r="AB64" s="294"/>
      <c r="AC64" s="206"/>
      <c r="AD64" s="292"/>
      <c r="AE64" s="293" t="b">
        <f>ROUND(AD62,2)=ROUND(AD63,2)</f>
        <v>1</v>
      </c>
      <c r="AF64" s="294"/>
      <c r="AG64" s="292"/>
      <c r="AH64" s="293" t="b">
        <f>ROUND(AG62,2)=ROUND(AG63,2)</f>
        <v>1</v>
      </c>
      <c r="AI64" s="294"/>
    </row>
    <row r="65" spans="3:35" x14ac:dyDescent="0.2">
      <c r="H65" s="133" t="s">
        <v>263</v>
      </c>
      <c r="I65" s="25" t="e">
        <f ca="1">_xll.EVPRO($B$1,$H65,"STYLE")</f>
        <v>#NAME?</v>
      </c>
      <c r="J65" s="25" t="e">
        <f ca="1">_xll.EVPRO($B$1,$H65,"CALC")</f>
        <v>#NAME?</v>
      </c>
      <c r="K65" s="24"/>
      <c r="L65" s="24" t="e">
        <f ca="1">_xll.EVPRO($B$1,H65,"JDEID")</f>
        <v>#NAME?</v>
      </c>
      <c r="M65" s="24" t="e">
        <f ca="1">IF(AND(I65="N",J65="N"),_xll.EVPRO($B$1,H65,"PSFTID"),"")</f>
        <v>#NAME?</v>
      </c>
      <c r="N65" s="24" t="e">
        <f ca="1">IF(_xll.EVDES(H65,$B$1)="#NODATA","",_xll.EVDES(H65,$B$1))</f>
        <v>#NAME?</v>
      </c>
      <c r="O65" s="19"/>
      <c r="P65" s="19"/>
      <c r="Q65" s="19"/>
      <c r="R65" s="19"/>
      <c r="S65" s="19"/>
      <c r="T65" s="19"/>
      <c r="U65" s="19"/>
      <c r="V65" s="19"/>
      <c r="W65" s="19"/>
      <c r="X65" s="19"/>
      <c r="Y65" s="19"/>
      <c r="Z65" s="19"/>
      <c r="AA65" s="19">
        <f t="shared" ref="AA65:AA71" si="16">SUM(O65:Z65)</f>
        <v>0</v>
      </c>
      <c r="AB65" s="15" t="str">
        <f>IF(AA65=0,"",IFERROR(AA65/AA$19,""))</f>
        <v/>
      </c>
      <c r="AD65" s="19"/>
      <c r="AE65" s="15" t="str">
        <f>IF(AD65=0,"",IFERROR(AD65/AD$19,""))</f>
        <v/>
      </c>
      <c r="AF65" s="47">
        <f t="shared" ref="AF65:AF72" si="17">IF(AND($AA65="",AD65=""),"",$AA65-AD65)</f>
        <v>0</v>
      </c>
      <c r="AG65" s="19"/>
      <c r="AH65" s="15" t="str">
        <f t="shared" si="3"/>
        <v/>
      </c>
      <c r="AI65" s="47">
        <f t="shared" ref="AI65:AI72" si="18">IF(AND($AA65="",AG65=""),"",$AA65-AG65)</f>
        <v>0</v>
      </c>
    </row>
    <row r="66" spans="3:35" x14ac:dyDescent="0.2">
      <c r="H66" s="133" t="s">
        <v>308</v>
      </c>
      <c r="I66" s="25" t="e">
        <f ca="1">_xll.EVPRO($B$1,$H66,"STYLE")</f>
        <v>#NAME?</v>
      </c>
      <c r="J66" s="25" t="e">
        <f ca="1">_xll.EVPRO($B$1,$H66,"CALC")</f>
        <v>#NAME?</v>
      </c>
      <c r="K66" s="24"/>
      <c r="L66" s="24" t="e">
        <f ca="1">_xll.EVPRO($B$1,H66,"JDEID")</f>
        <v>#NAME?</v>
      </c>
      <c r="M66" s="24" t="e">
        <f ca="1">IF(AND(I66="N",J66="N"),_xll.EVPRO($B$1,H66,"PSFTID"),"")</f>
        <v>#NAME?</v>
      </c>
      <c r="N66" s="24" t="e">
        <f ca="1">IF(_xll.EVDES(H66,$B$1)="#NODATA","",_xll.EVDES(H66,$B$1))</f>
        <v>#NAME?</v>
      </c>
      <c r="O66" s="19"/>
      <c r="P66" s="19"/>
      <c r="Q66" s="19"/>
      <c r="R66" s="19"/>
      <c r="S66" s="19"/>
      <c r="T66" s="19"/>
      <c r="U66" s="19"/>
      <c r="V66" s="19"/>
      <c r="W66" s="19"/>
      <c r="X66" s="19"/>
      <c r="Y66" s="19"/>
      <c r="Z66" s="19"/>
      <c r="AA66" s="19">
        <f t="shared" si="16"/>
        <v>0</v>
      </c>
      <c r="AB66" s="15" t="str">
        <f>IF(AA66=0,"",IFERROR(AA66/AA$19,""))</f>
        <v/>
      </c>
      <c r="AD66" s="19"/>
      <c r="AE66" s="15" t="str">
        <f>IF(AD66=0,"",IFERROR(AD66/AD$19,""))</f>
        <v/>
      </c>
      <c r="AF66" s="47">
        <f t="shared" si="17"/>
        <v>0</v>
      </c>
      <c r="AG66" s="19"/>
      <c r="AH66" s="15" t="str">
        <f t="shared" si="3"/>
        <v/>
      </c>
      <c r="AI66" s="47">
        <f t="shared" si="18"/>
        <v>0</v>
      </c>
    </row>
    <row r="67" spans="3:35" x14ac:dyDescent="0.2">
      <c r="H67" s="133" t="s">
        <v>310</v>
      </c>
      <c r="I67" s="25" t="e">
        <f ca="1">_xll.EVPRO($B$1,$H67,"STYLE")</f>
        <v>#NAME?</v>
      </c>
      <c r="J67" s="25" t="e">
        <f ca="1">_xll.EVPRO($B$1,$H67,"CALC")</f>
        <v>#NAME?</v>
      </c>
      <c r="K67" s="24"/>
      <c r="L67" s="24" t="e">
        <f ca="1">_xll.EVPRO($B$1,H67,"JDEID")</f>
        <v>#NAME?</v>
      </c>
      <c r="M67" s="24" t="e">
        <f ca="1">IF(AND(I67="N",J67="N"),_xll.EVPRO($B$1,H67,"PSFTID"),"")</f>
        <v>#NAME?</v>
      </c>
      <c r="N67" s="24" t="e">
        <f ca="1">IF(_xll.EVDES(H67,$B$1)="#NODATA","",_xll.EVDES(H67,$B$1))</f>
        <v>#NAME?</v>
      </c>
      <c r="O67" s="19"/>
      <c r="P67" s="19"/>
      <c r="Q67" s="19"/>
      <c r="R67" s="19"/>
      <c r="S67" s="19"/>
      <c r="T67" s="19"/>
      <c r="U67" s="19"/>
      <c r="V67" s="19"/>
      <c r="W67" s="19"/>
      <c r="X67" s="19"/>
      <c r="Y67" s="19"/>
      <c r="Z67" s="19"/>
      <c r="AA67" s="19">
        <f t="shared" si="16"/>
        <v>0</v>
      </c>
      <c r="AB67" s="15" t="str">
        <f>IF(AA67=0,"",IFERROR(AA67/AA$19,""))</f>
        <v/>
      </c>
      <c r="AD67" s="19"/>
      <c r="AE67" s="15" t="str">
        <f>IF(AD67=0,"",IFERROR(AD67/AD$19,""))</f>
        <v/>
      </c>
      <c r="AF67" s="47">
        <f t="shared" si="17"/>
        <v>0</v>
      </c>
      <c r="AG67" s="19"/>
      <c r="AH67" s="15" t="str">
        <f t="shared" si="3"/>
        <v/>
      </c>
      <c r="AI67" s="47">
        <f t="shared" si="18"/>
        <v>0</v>
      </c>
    </row>
    <row r="68" spans="3:35" x14ac:dyDescent="0.2">
      <c r="H68" s="133" t="s">
        <v>309</v>
      </c>
      <c r="I68" s="25" t="e">
        <f ca="1">_xll.EVPRO($B$1,$H68,"STYLE")</f>
        <v>#NAME?</v>
      </c>
      <c r="J68" s="25" t="e">
        <f ca="1">_xll.EVPRO($B$1,$H68,"CALC")</f>
        <v>#NAME?</v>
      </c>
      <c r="K68" s="24"/>
      <c r="L68" s="24" t="e">
        <f ca="1">_xll.EVPRO($B$1,H68,"JDEID")</f>
        <v>#NAME?</v>
      </c>
      <c r="M68" s="24" t="e">
        <f ca="1">IF(AND(I68="N",J68="N"),_xll.EVPRO($B$1,H68,"PSFTID"),"")</f>
        <v>#NAME?</v>
      </c>
      <c r="N68" s="24" t="e">
        <f ca="1">IF(_xll.EVDES(H68,$B$1)="#NODATA","",_xll.EVDES(H68,$B$1))</f>
        <v>#NAME?</v>
      </c>
      <c r="O68" s="28"/>
      <c r="P68" s="28"/>
      <c r="Q68" s="28"/>
      <c r="R68" s="28"/>
      <c r="S68" s="28"/>
      <c r="T68" s="28"/>
      <c r="U68" s="28"/>
      <c r="V68" s="28"/>
      <c r="W68" s="28"/>
      <c r="X68" s="28"/>
      <c r="Y68" s="28"/>
      <c r="Z68" s="28"/>
      <c r="AA68" s="28">
        <f t="shared" si="16"/>
        <v>0</v>
      </c>
      <c r="AB68" s="29" t="str">
        <f>IF(AA68=0,"",IFERROR(AA68/AA$19,""))</f>
        <v/>
      </c>
      <c r="AD68" s="28"/>
      <c r="AE68" s="29" t="str">
        <f>IF(AD68=0,"",IFERROR(AD68/AD$19,""))</f>
        <v/>
      </c>
      <c r="AF68" s="48">
        <f t="shared" si="17"/>
        <v>0</v>
      </c>
      <c r="AG68" s="28">
        <v>0</v>
      </c>
      <c r="AH68" s="29" t="str">
        <f t="shared" si="3"/>
        <v/>
      </c>
      <c r="AI68" s="48">
        <f t="shared" si="18"/>
        <v>0</v>
      </c>
    </row>
    <row r="69" spans="3:35" x14ac:dyDescent="0.2">
      <c r="H69" s="133" t="s">
        <v>327</v>
      </c>
      <c r="I69" s="25" t="e">
        <f ca="1">_xll.EVPRO($B$1,$H69,"STYLE")</f>
        <v>#NAME?</v>
      </c>
      <c r="J69" s="25" t="e">
        <f ca="1">_xll.EVPRO($B$1,$H69,"CALC")</f>
        <v>#NAME?</v>
      </c>
      <c r="K69" s="24"/>
      <c r="L69" s="24" t="e">
        <f ca="1">_xll.EVPRO($B$1,H69,"JDEID")</f>
        <v>#NAME?</v>
      </c>
      <c r="M69" s="24" t="e">
        <f ca="1">IF(AND(I69="N",J69="N"),_xll.EVPRO($B$1,H69,"PSFTID"),"")</f>
        <v>#NAME?</v>
      </c>
      <c r="N69" s="23" t="e">
        <f ca="1">IF(_xll.EVDES(H69,$B$1)="#NODATA","",_xll.EVDES(H69,$B$1))</f>
        <v>#NAME?</v>
      </c>
      <c r="O69" s="145"/>
      <c r="P69" s="145"/>
      <c r="Q69" s="145"/>
      <c r="R69" s="145"/>
      <c r="S69" s="145"/>
      <c r="T69" s="145"/>
      <c r="U69" s="145"/>
      <c r="V69" s="145"/>
      <c r="W69" s="145"/>
      <c r="X69" s="145"/>
      <c r="Y69" s="145"/>
      <c r="Z69" s="145"/>
      <c r="AA69" s="145">
        <f t="shared" si="16"/>
        <v>0</v>
      </c>
      <c r="AB69" s="156" t="str">
        <f>IF(AA69=0,"",IFERROR(AA69/AA$19,""))</f>
        <v/>
      </c>
      <c r="AD69" s="145"/>
      <c r="AE69" s="156" t="str">
        <f>IF(AD69=0,"",IFERROR(AD69/AD$19,""))</f>
        <v/>
      </c>
      <c r="AF69" s="146">
        <f t="shared" si="17"/>
        <v>0</v>
      </c>
      <c r="AG69" s="145">
        <v>0</v>
      </c>
      <c r="AH69" s="156" t="str">
        <f t="shared" si="3"/>
        <v/>
      </c>
      <c r="AI69" s="146">
        <f t="shared" si="18"/>
        <v>0</v>
      </c>
    </row>
    <row r="70" spans="3:35" x14ac:dyDescent="0.2">
      <c r="H70" s="133" t="s">
        <v>766</v>
      </c>
      <c r="I70" s="25" t="e">
        <f ca="1">_xll.EVPRO($B$1,$H70,"STYLE")</f>
        <v>#NAME?</v>
      </c>
      <c r="J70" s="25" t="e">
        <f ca="1">_xll.EVPRO($B$1,$H70,"CALC")</f>
        <v>#NAME?</v>
      </c>
      <c r="K70" s="24"/>
      <c r="L70" s="24" t="e">
        <f ca="1">_xll.EVPRO($B$1,H70,"JDEID")</f>
        <v>#NAME?</v>
      </c>
      <c r="M70" s="24" t="e">
        <f ca="1">IF(AND(I70="N",J70="N"),_xll.EVPRO($B$1,H70,"PSFTID"),"")</f>
        <v>#NAME?</v>
      </c>
      <c r="N70" s="24" t="e">
        <f ca="1">IF(_xll.EVDES(H70,$B$1)="#NODATA","",_xll.EVDES(H70,$B$1))</f>
        <v>#NAME?</v>
      </c>
      <c r="O70" s="35"/>
      <c r="P70" s="35"/>
      <c r="Q70" s="35"/>
      <c r="R70" s="35"/>
      <c r="S70" s="35"/>
      <c r="T70" s="35"/>
      <c r="U70" s="35"/>
      <c r="V70" s="35"/>
      <c r="W70" s="35"/>
      <c r="X70" s="35"/>
      <c r="Y70" s="35"/>
      <c r="Z70" s="35"/>
      <c r="AA70" s="35">
        <f t="shared" si="16"/>
        <v>0</v>
      </c>
      <c r="AB70" s="36"/>
      <c r="AD70" s="35"/>
      <c r="AE70" s="36"/>
      <c r="AF70" s="118">
        <f t="shared" si="17"/>
        <v>0</v>
      </c>
      <c r="AG70" s="35"/>
      <c r="AH70" s="36"/>
      <c r="AI70" s="118">
        <f t="shared" si="18"/>
        <v>0</v>
      </c>
    </row>
    <row r="71" spans="3:35" x14ac:dyDescent="0.2">
      <c r="H71" s="133" t="s">
        <v>326</v>
      </c>
      <c r="I71" s="25" t="e">
        <f ca="1">_xll.EVPRO($B$1,$H71,"STYLE")</f>
        <v>#NAME?</v>
      </c>
      <c r="J71" s="25" t="e">
        <f ca="1">_xll.EVPRO($B$1,$H71,"CALC")</f>
        <v>#NAME?</v>
      </c>
      <c r="K71" s="24"/>
      <c r="L71" s="24" t="e">
        <f ca="1">_xll.EVPRO($B$1,H71,"JDEID")</f>
        <v>#NAME?</v>
      </c>
      <c r="M71" s="24" t="e">
        <f ca="1">IF(AND(I71="N",J71="N"),_xll.EVPRO($B$1,H71,"PSFTID"),"")</f>
        <v>#NAME?</v>
      </c>
      <c r="N71" s="24" t="e">
        <f ca="1">IF(_xll.EVDES(H71,$B$1)="#NODATA","",_xll.EVDES(H71,$B$1))</f>
        <v>#NAME?</v>
      </c>
      <c r="O71" s="35"/>
      <c r="P71" s="35"/>
      <c r="Q71" s="35"/>
      <c r="R71" s="35"/>
      <c r="S71" s="35"/>
      <c r="T71" s="35"/>
      <c r="U71" s="35"/>
      <c r="V71" s="35"/>
      <c r="W71" s="35"/>
      <c r="X71" s="35"/>
      <c r="Y71" s="35"/>
      <c r="Z71" s="35"/>
      <c r="AA71" s="35">
        <f t="shared" si="16"/>
        <v>0</v>
      </c>
      <c r="AB71" s="36" t="str">
        <f>IF(AA71=0,"",IFERROR(AA71/AA$87,""))</f>
        <v/>
      </c>
      <c r="AD71" s="35"/>
      <c r="AE71" s="36" t="str">
        <f>IF(AD71=0,"",IFERROR(AD71/AD$87,""))</f>
        <v/>
      </c>
      <c r="AF71" s="118">
        <f t="shared" si="17"/>
        <v>0</v>
      </c>
      <c r="AG71" s="35"/>
      <c r="AH71" s="36" t="str">
        <f>IF(AG71=0,"",IFERROR(AG71/AG$87,""))</f>
        <v/>
      </c>
      <c r="AI71" s="118">
        <f t="shared" si="18"/>
        <v>0</v>
      </c>
    </row>
    <row r="72" spans="3:35" x14ac:dyDescent="0.2">
      <c r="H72" s="133" t="s">
        <v>328</v>
      </c>
      <c r="I72" s="25" t="e">
        <f ca="1">_xll.EVPRO($B$1,$H72,"STYLE")</f>
        <v>#NAME?</v>
      </c>
      <c r="J72" s="25" t="e">
        <f ca="1">_xll.EVPRO($B$1,$H72,"CALC")</f>
        <v>#NAME?</v>
      </c>
      <c r="K72" s="24"/>
      <c r="L72" s="24" t="e">
        <f ca="1">_xll.EVPRO($B$1,H72,"JDEID")</f>
        <v>#NAME?</v>
      </c>
      <c r="M72" s="24" t="e">
        <f ca="1">IF(AND(I72="N",J72="N"),_xll.EVPRO($B$1,H72,"PSFTID"),"")</f>
        <v>#NAME?</v>
      </c>
      <c r="N72" s="151" t="e">
        <f ca="1">IF(_xll.EVDES(H72,$B$1)="#NODATA","",_xll.EVDES(H72,$B$1))</f>
        <v>#NAME?</v>
      </c>
      <c r="O72" s="157"/>
      <c r="P72" s="157"/>
      <c r="Q72" s="157"/>
      <c r="R72" s="157"/>
      <c r="S72" s="157"/>
      <c r="T72" s="157"/>
      <c r="U72" s="157"/>
      <c r="V72" s="157"/>
      <c r="W72" s="157"/>
      <c r="X72" s="157"/>
      <c r="Y72" s="157"/>
      <c r="Z72" s="157"/>
      <c r="AA72" s="157" t="str">
        <f>IFERROR(AA69/AA71,"")</f>
        <v/>
      </c>
      <c r="AB72" s="157"/>
      <c r="AD72" s="157"/>
      <c r="AE72" s="157"/>
      <c r="AF72" s="158" t="str">
        <f t="shared" si="17"/>
        <v/>
      </c>
      <c r="AG72" s="157"/>
      <c r="AH72" s="157"/>
      <c r="AI72" s="158" t="str">
        <f t="shared" si="18"/>
        <v/>
      </c>
    </row>
    <row r="73" spans="3:35" x14ac:dyDescent="0.2">
      <c r="G73" s="162">
        <f>COUNTIF(O74:AI74,FALSE)</f>
        <v>0</v>
      </c>
      <c r="H73" s="10"/>
      <c r="I73" s="25"/>
      <c r="J73" s="25"/>
      <c r="K73" s="24"/>
      <c r="L73" s="24"/>
      <c r="M73" s="24"/>
      <c r="N73" s="163" t="s">
        <v>345</v>
      </c>
      <c r="O73" s="160">
        <f t="shared" ref="O73:AA73" si="19">ROUND(IFERROR(O69/O71,0),2)</f>
        <v>0</v>
      </c>
      <c r="P73" s="165">
        <f t="shared" si="19"/>
        <v>0</v>
      </c>
      <c r="Q73" s="165">
        <f t="shared" si="19"/>
        <v>0</v>
      </c>
      <c r="R73" s="165">
        <f t="shared" si="19"/>
        <v>0</v>
      </c>
      <c r="S73" s="165">
        <f t="shared" si="19"/>
        <v>0</v>
      </c>
      <c r="T73" s="165">
        <f t="shared" si="19"/>
        <v>0</v>
      </c>
      <c r="U73" s="165">
        <f t="shared" si="19"/>
        <v>0</v>
      </c>
      <c r="V73" s="165">
        <f t="shared" si="19"/>
        <v>0</v>
      </c>
      <c r="W73" s="165">
        <f t="shared" si="19"/>
        <v>0</v>
      </c>
      <c r="X73" s="165">
        <f t="shared" si="19"/>
        <v>0</v>
      </c>
      <c r="Y73" s="165">
        <f t="shared" si="19"/>
        <v>0</v>
      </c>
      <c r="Z73" s="165">
        <f t="shared" si="19"/>
        <v>0</v>
      </c>
      <c r="AA73" s="165">
        <f t="shared" si="19"/>
        <v>0</v>
      </c>
      <c r="AB73" s="164"/>
      <c r="AD73" s="160">
        <f>ROUND(IFERROR(AD69/AD71,0),2)</f>
        <v>0</v>
      </c>
      <c r="AE73" s="165"/>
      <c r="AF73" s="161"/>
      <c r="AG73" s="160">
        <f>ROUND(IFERROR(AG69/AG71,0),2)</f>
        <v>0</v>
      </c>
      <c r="AH73" s="165"/>
      <c r="AI73" s="161"/>
    </row>
    <row r="74" spans="3:35" x14ac:dyDescent="0.2">
      <c r="H74" s="133"/>
      <c r="I74" s="25"/>
      <c r="J74" s="25"/>
      <c r="K74" s="24"/>
      <c r="L74" s="24"/>
      <c r="M74" s="24"/>
      <c r="N74" s="8" t="s">
        <v>324</v>
      </c>
      <c r="O74" s="292" t="b">
        <f t="shared" ref="O74:AA74" si="20">ROUND(O72,2)=ROUND(O73,2)</f>
        <v>1</v>
      </c>
      <c r="P74" s="293" t="b">
        <f t="shared" si="20"/>
        <v>1</v>
      </c>
      <c r="Q74" s="293" t="b">
        <f t="shared" si="20"/>
        <v>1</v>
      </c>
      <c r="R74" s="293" t="b">
        <f t="shared" si="20"/>
        <v>1</v>
      </c>
      <c r="S74" s="293" t="b">
        <f t="shared" si="20"/>
        <v>1</v>
      </c>
      <c r="T74" s="293" t="b">
        <f t="shared" si="20"/>
        <v>1</v>
      </c>
      <c r="U74" s="293" t="b">
        <f t="shared" si="20"/>
        <v>1</v>
      </c>
      <c r="V74" s="293" t="b">
        <f t="shared" si="20"/>
        <v>1</v>
      </c>
      <c r="W74" s="293" t="b">
        <f t="shared" si="20"/>
        <v>1</v>
      </c>
      <c r="X74" s="293" t="b">
        <f t="shared" si="20"/>
        <v>1</v>
      </c>
      <c r="Y74" s="293" t="b">
        <f t="shared" si="20"/>
        <v>1</v>
      </c>
      <c r="Z74" s="293" t="b">
        <f t="shared" si="20"/>
        <v>1</v>
      </c>
      <c r="AA74" s="293" t="e">
        <f t="shared" si="20"/>
        <v>#VALUE!</v>
      </c>
      <c r="AB74" s="294"/>
      <c r="AC74" s="206"/>
      <c r="AD74" s="292"/>
      <c r="AE74" s="293" t="b">
        <f>ROUND(AD72,2)=ROUND(AD73,2)</f>
        <v>1</v>
      </c>
      <c r="AF74" s="294"/>
      <c r="AG74" s="292"/>
      <c r="AH74" s="293" t="b">
        <f>ROUND(AG72,2)=ROUND(AG73,2)</f>
        <v>1</v>
      </c>
      <c r="AI74" s="294"/>
    </row>
    <row r="75" spans="3:35" x14ac:dyDescent="0.2">
      <c r="H75" s="133" t="s">
        <v>264</v>
      </c>
      <c r="I75" s="25" t="e">
        <f ca="1">_xll.EVPRO($B$1,$H75,"STYLE")</f>
        <v>#NAME?</v>
      </c>
      <c r="J75" s="25" t="e">
        <f ca="1">_xll.EVPRO($B$1,$H75,"CALC")</f>
        <v>#NAME?</v>
      </c>
      <c r="K75" s="24"/>
      <c r="L75" s="24" t="e">
        <f ca="1">_xll.EVPRO($B$1,H75,"JDEID")</f>
        <v>#NAME?</v>
      </c>
      <c r="M75" s="24" t="e">
        <f ca="1">IF(AND(I75="N",J75="N"),_xll.EVPRO($B$1,H75,"PSFTID"),"")</f>
        <v>#NAME?</v>
      </c>
      <c r="N75" s="24" t="e">
        <f ca="1">IF(_xll.EVDES(H75,$B$1)="#NODATA","",_xll.EVDES(H75,$B$1))</f>
        <v>#NAME?</v>
      </c>
      <c r="O75" s="19"/>
      <c r="P75" s="19"/>
      <c r="Q75" s="19"/>
      <c r="R75" s="19"/>
      <c r="S75" s="19"/>
      <c r="T75" s="19"/>
      <c r="U75" s="19"/>
      <c r="V75" s="19"/>
      <c r="W75" s="19"/>
      <c r="X75" s="19"/>
      <c r="Y75" s="19"/>
      <c r="Z75" s="19"/>
      <c r="AA75" s="19">
        <f t="shared" ref="AA75:AA80" si="21">SUM(O75:Z75)</f>
        <v>0</v>
      </c>
      <c r="AB75" s="15" t="str">
        <f>IF(AA75=0,"",IFERROR(AA75/AA$19,""))</f>
        <v/>
      </c>
      <c r="AD75" s="19"/>
      <c r="AE75" s="15" t="str">
        <f>IF(AD75=0,"",IFERROR(AD75/AD$19,""))</f>
        <v/>
      </c>
      <c r="AF75" s="47">
        <f t="shared" ref="AF75:AF81" si="22">IF(AND($AA75="",AD75=""),"",$AA75-AD75)</f>
        <v>0</v>
      </c>
      <c r="AG75" s="19"/>
      <c r="AH75" s="15" t="str">
        <f t="shared" si="3"/>
        <v/>
      </c>
      <c r="AI75" s="47">
        <f t="shared" ref="AI75:AI81" si="23">IF(AND($AA75="",AG75=""),"",$AA75-AG75)</f>
        <v>0</v>
      </c>
    </row>
    <row r="76" spans="3:35" x14ac:dyDescent="0.2">
      <c r="H76" s="133" t="s">
        <v>321</v>
      </c>
      <c r="I76" s="25" t="e">
        <f ca="1">_xll.EVPRO($B$1,$H76,"STYLE")</f>
        <v>#NAME?</v>
      </c>
      <c r="J76" s="25" t="e">
        <f ca="1">_xll.EVPRO($B$1,$H76,"CALC")</f>
        <v>#NAME?</v>
      </c>
      <c r="K76" s="24"/>
      <c r="L76" s="24" t="e">
        <f ca="1">_xll.EVPRO($B$1,H76,"JDEID")</f>
        <v>#NAME?</v>
      </c>
      <c r="M76" s="24" t="e">
        <f ca="1">IF(AND(I76="N",J76="N"),_xll.EVPRO($B$1,H76,"PSFTID"),"")</f>
        <v>#NAME?</v>
      </c>
      <c r="N76" s="24" t="e">
        <f ca="1">IF(_xll.EVDES(H76,$B$1)="#NODATA","",_xll.EVDES(H76,$B$1))</f>
        <v>#NAME?</v>
      </c>
      <c r="O76" s="19"/>
      <c r="P76" s="19"/>
      <c r="Q76" s="19"/>
      <c r="R76" s="19"/>
      <c r="S76" s="19"/>
      <c r="T76" s="19"/>
      <c r="U76" s="19"/>
      <c r="V76" s="19"/>
      <c r="W76" s="19"/>
      <c r="X76" s="19"/>
      <c r="Y76" s="19"/>
      <c r="Z76" s="19"/>
      <c r="AA76" s="19">
        <f t="shared" si="21"/>
        <v>0</v>
      </c>
      <c r="AB76" s="15" t="str">
        <f>IF(AA76=0,"",IFERROR(AA76/AA$19,""))</f>
        <v/>
      </c>
      <c r="AD76" s="19"/>
      <c r="AE76" s="15" t="str">
        <f>IF(AD76=0,"",IFERROR(AD76/AD$19,""))</f>
        <v/>
      </c>
      <c r="AF76" s="47">
        <f t="shared" si="22"/>
        <v>0</v>
      </c>
      <c r="AG76" s="19"/>
      <c r="AH76" s="15" t="str">
        <f t="shared" si="3"/>
        <v/>
      </c>
      <c r="AI76" s="47">
        <f t="shared" si="23"/>
        <v>0</v>
      </c>
    </row>
    <row r="77" spans="3:35" x14ac:dyDescent="0.2">
      <c r="H77" s="133" t="s">
        <v>323</v>
      </c>
      <c r="I77" s="25" t="e">
        <f ca="1">_xll.EVPRO($B$1,$H77,"STYLE")</f>
        <v>#NAME?</v>
      </c>
      <c r="J77" s="25" t="e">
        <f ca="1">_xll.EVPRO($B$1,$H77,"CALC")</f>
        <v>#NAME?</v>
      </c>
      <c r="K77" s="24"/>
      <c r="L77" s="24" t="e">
        <f ca="1">_xll.EVPRO($B$1,H77,"JDEID")</f>
        <v>#NAME?</v>
      </c>
      <c r="M77" s="24" t="e">
        <f ca="1">IF(AND(I77="N",J77="N"),_xll.EVPRO($B$1,H77,"PSFTID"),"")</f>
        <v>#NAME?</v>
      </c>
      <c r="N77" s="24" t="e">
        <f ca="1">IF(_xll.EVDES(H77,$B$1)="#NODATA","",_xll.EVDES(H77,$B$1))</f>
        <v>#NAME?</v>
      </c>
      <c r="O77" s="19"/>
      <c r="P77" s="19"/>
      <c r="Q77" s="19"/>
      <c r="R77" s="19"/>
      <c r="S77" s="19"/>
      <c r="T77" s="19"/>
      <c r="U77" s="19"/>
      <c r="V77" s="19"/>
      <c r="W77" s="19"/>
      <c r="X77" s="19"/>
      <c r="Y77" s="19"/>
      <c r="Z77" s="19"/>
      <c r="AA77" s="19">
        <f t="shared" si="21"/>
        <v>0</v>
      </c>
      <c r="AB77" s="15" t="str">
        <f>IF(AA77=0,"",IFERROR(AA77/AA$19,""))</f>
        <v/>
      </c>
      <c r="AD77" s="19"/>
      <c r="AE77" s="15" t="str">
        <f>IF(AD77=0,"",IFERROR(AD77/AD$19,""))</f>
        <v/>
      </c>
      <c r="AF77" s="47">
        <f t="shared" si="22"/>
        <v>0</v>
      </c>
      <c r="AG77" s="19"/>
      <c r="AH77" s="15" t="str">
        <f t="shared" si="3"/>
        <v/>
      </c>
      <c r="AI77" s="47">
        <f t="shared" si="23"/>
        <v>0</v>
      </c>
    </row>
    <row r="78" spans="3:35" x14ac:dyDescent="0.2">
      <c r="C78" s="23"/>
      <c r="H78" s="133" t="s">
        <v>322</v>
      </c>
      <c r="I78" s="25" t="e">
        <f ca="1">_xll.EVPRO($B$1,$H78,"STYLE")</f>
        <v>#NAME?</v>
      </c>
      <c r="J78" s="25" t="e">
        <f ca="1">_xll.EVPRO($B$1,$H78,"CALC")</f>
        <v>#NAME?</v>
      </c>
      <c r="K78" s="24"/>
      <c r="L78" s="24" t="e">
        <f ca="1">_xll.EVPRO($B$1,H78,"JDEID")</f>
        <v>#NAME?</v>
      </c>
      <c r="M78" s="24" t="e">
        <f ca="1">IF(AND(I78="N",J78="N"),_xll.EVPRO($B$1,H78,"PSFTID"),"")</f>
        <v>#NAME?</v>
      </c>
      <c r="N78" s="24" t="e">
        <f ca="1">IF(_xll.EVDES(H78,$B$1)="#NODATA","",_xll.EVDES(H78,$B$1))</f>
        <v>#NAME?</v>
      </c>
      <c r="O78" s="28"/>
      <c r="P78" s="28"/>
      <c r="Q78" s="28"/>
      <c r="R78" s="28"/>
      <c r="S78" s="28"/>
      <c r="T78" s="28"/>
      <c r="U78" s="28"/>
      <c r="V78" s="28"/>
      <c r="W78" s="28"/>
      <c r="X78" s="28"/>
      <c r="Y78" s="28"/>
      <c r="Z78" s="28"/>
      <c r="AA78" s="28">
        <f t="shared" si="21"/>
        <v>0</v>
      </c>
      <c r="AB78" s="29" t="str">
        <f>IF(AA78=0,"",IFERROR(AA78/AA$19,""))</f>
        <v/>
      </c>
      <c r="AD78" s="28"/>
      <c r="AE78" s="29" t="str">
        <f>IF(AD78=0,"",IFERROR(AD78/AD$19,""))</f>
        <v/>
      </c>
      <c r="AF78" s="48">
        <f t="shared" si="22"/>
        <v>0</v>
      </c>
      <c r="AG78" s="28"/>
      <c r="AH78" s="29" t="str">
        <f t="shared" si="3"/>
        <v/>
      </c>
      <c r="AI78" s="48">
        <f t="shared" si="23"/>
        <v>0</v>
      </c>
    </row>
    <row r="79" spans="3:35" x14ac:dyDescent="0.2">
      <c r="C79" s="23"/>
      <c r="H79" s="133" t="s">
        <v>329</v>
      </c>
      <c r="I79" s="25" t="e">
        <f ca="1">_xll.EVPRO($B$1,$H79,"STYLE")</f>
        <v>#NAME?</v>
      </c>
      <c r="J79" s="25" t="e">
        <f ca="1">_xll.EVPRO($B$1,$H79,"CALC")</f>
        <v>#NAME?</v>
      </c>
      <c r="K79" s="24"/>
      <c r="L79" s="24" t="e">
        <f ca="1">_xll.EVPRO($B$1,H79,"JDEID")</f>
        <v>#NAME?</v>
      </c>
      <c r="M79" s="24" t="e">
        <f ca="1">IF(AND(I79="N",J79="N"),_xll.EVPRO($B$1,H79,"PSFTID"),"")</f>
        <v>#NAME?</v>
      </c>
      <c r="N79" s="23" t="e">
        <f ca="1">IF(_xll.EVDES(H79,$B$1)="#NODATA","",_xll.EVDES(H79,$B$1))</f>
        <v>#NAME?</v>
      </c>
      <c r="O79" s="145"/>
      <c r="P79" s="145"/>
      <c r="Q79" s="145"/>
      <c r="R79" s="145"/>
      <c r="S79" s="145"/>
      <c r="T79" s="145"/>
      <c r="U79" s="145"/>
      <c r="V79" s="145"/>
      <c r="W79" s="145"/>
      <c r="X79" s="145"/>
      <c r="Y79" s="145"/>
      <c r="Z79" s="145"/>
      <c r="AA79" s="145">
        <f t="shared" si="21"/>
        <v>0</v>
      </c>
      <c r="AB79" s="156" t="str">
        <f>IF(AA79=0,"",IFERROR(AA79/AA$19,""))</f>
        <v/>
      </c>
      <c r="AD79" s="145"/>
      <c r="AE79" s="156" t="str">
        <f>IF(AD79=0,"",IFERROR(AD79/AD$19,""))</f>
        <v/>
      </c>
      <c r="AF79" s="146">
        <f t="shared" si="22"/>
        <v>0</v>
      </c>
      <c r="AG79" s="145"/>
      <c r="AH79" s="156" t="str">
        <f t="shared" si="3"/>
        <v/>
      </c>
      <c r="AI79" s="146">
        <f t="shared" si="23"/>
        <v>0</v>
      </c>
    </row>
    <row r="80" spans="3:35" x14ac:dyDescent="0.2">
      <c r="C80" s="23"/>
      <c r="H80" s="133" t="s">
        <v>300</v>
      </c>
      <c r="I80" s="25" t="e">
        <f ca="1">_xll.EVPRO($B$1,$H80,"STYLE")</f>
        <v>#NAME?</v>
      </c>
      <c r="J80" s="25" t="e">
        <f ca="1">_xll.EVPRO($B$1,$H80,"CALC")</f>
        <v>#NAME?</v>
      </c>
      <c r="K80" s="24"/>
      <c r="L80" s="24" t="e">
        <f ca="1">_xll.EVPRO($B$1,H80,"JDEID")</f>
        <v>#NAME?</v>
      </c>
      <c r="M80" s="24" t="e">
        <f ca="1">IF(AND(I80="N",J80="N"),_xll.EVPRO($B$1,H80,"PSFTID"),"")</f>
        <v>#NAME?</v>
      </c>
      <c r="N80" s="24" t="e">
        <f ca="1">IF(_xll.EVDES(H80,$B$1)="#NODATA","",_xll.EVDES(H80,$B$1))</f>
        <v>#NAME?</v>
      </c>
      <c r="O80" s="35"/>
      <c r="P80" s="35"/>
      <c r="Q80" s="35"/>
      <c r="R80" s="35"/>
      <c r="S80" s="35"/>
      <c r="T80" s="35"/>
      <c r="U80" s="35"/>
      <c r="V80" s="35"/>
      <c r="W80" s="35"/>
      <c r="X80" s="35"/>
      <c r="Y80" s="35"/>
      <c r="Z80" s="35"/>
      <c r="AA80" s="35">
        <f t="shared" si="21"/>
        <v>0</v>
      </c>
      <c r="AB80" s="36" t="str">
        <f>IF(AA80=0,"",IFERROR(AA80/AA$87,""))</f>
        <v/>
      </c>
      <c r="AD80" s="35"/>
      <c r="AE80" s="36" t="str">
        <f>IF(AD80=0,"",IFERROR(AD80/AD$87,""))</f>
        <v/>
      </c>
      <c r="AF80" s="118">
        <f t="shared" si="22"/>
        <v>0</v>
      </c>
      <c r="AG80" s="35"/>
      <c r="AH80" s="36" t="str">
        <f>IF(AG80=0,"",IFERROR(AG80/AG$87,""))</f>
        <v/>
      </c>
      <c r="AI80" s="118">
        <f t="shared" si="23"/>
        <v>0</v>
      </c>
    </row>
    <row r="81" spans="3:35" x14ac:dyDescent="0.2">
      <c r="C81" s="23"/>
      <c r="H81" s="133" t="s">
        <v>325</v>
      </c>
      <c r="I81" s="25" t="e">
        <f ca="1">_xll.EVPRO($B$1,$H81,"STYLE")</f>
        <v>#NAME?</v>
      </c>
      <c r="J81" s="25" t="e">
        <f ca="1">_xll.EVPRO($B$1,$H81,"CALC")</f>
        <v>#NAME?</v>
      </c>
      <c r="K81" s="24"/>
      <c r="L81" s="24" t="e">
        <f ca="1">_xll.EVPRO($B$1,H81,"JDEID")</f>
        <v>#NAME?</v>
      </c>
      <c r="M81" s="24" t="e">
        <f ca="1">IF(AND(I81="N",J81="N"),_xll.EVPRO($B$1,H81,"PSFTID"),"")</f>
        <v>#NAME?</v>
      </c>
      <c r="N81" s="151" t="e">
        <f ca="1">IF(_xll.EVDES(H81,$B$1)="#NODATA","",_xll.EVDES(H81,$B$1))</f>
        <v>#NAME?</v>
      </c>
      <c r="O81" s="157"/>
      <c r="P81" s="157"/>
      <c r="Q81" s="157"/>
      <c r="R81" s="157"/>
      <c r="S81" s="157"/>
      <c r="T81" s="157"/>
      <c r="U81" s="157"/>
      <c r="V81" s="157"/>
      <c r="W81" s="157"/>
      <c r="X81" s="157"/>
      <c r="Y81" s="157"/>
      <c r="Z81" s="157"/>
      <c r="AA81" s="157" t="str">
        <f>IFERROR(AA79/AA80,"")</f>
        <v/>
      </c>
      <c r="AB81" s="157"/>
      <c r="AD81" s="157"/>
      <c r="AE81" s="157"/>
      <c r="AF81" s="158" t="str">
        <f t="shared" si="22"/>
        <v/>
      </c>
      <c r="AG81" s="157"/>
      <c r="AH81" s="157"/>
      <c r="AI81" s="158" t="str">
        <f t="shared" si="23"/>
        <v/>
      </c>
    </row>
    <row r="82" spans="3:35" x14ac:dyDescent="0.2">
      <c r="C82" s="23"/>
      <c r="G82" s="162">
        <f>COUNTIF(O84:AI84,FALSE)</f>
        <v>0</v>
      </c>
      <c r="H82" s="10"/>
      <c r="I82" s="25"/>
      <c r="J82" s="25"/>
      <c r="K82" s="24"/>
      <c r="L82" s="24"/>
      <c r="M82" s="24"/>
      <c r="N82" s="163" t="s">
        <v>345</v>
      </c>
      <c r="O82" s="160">
        <f t="shared" ref="O82:AA82" si="24">ROUND(IFERROR(O79/O80,0),2)</f>
        <v>0</v>
      </c>
      <c r="P82" s="165">
        <f t="shared" si="24"/>
        <v>0</v>
      </c>
      <c r="Q82" s="165">
        <f t="shared" si="24"/>
        <v>0</v>
      </c>
      <c r="R82" s="165">
        <f t="shared" si="24"/>
        <v>0</v>
      </c>
      <c r="S82" s="165">
        <f t="shared" si="24"/>
        <v>0</v>
      </c>
      <c r="T82" s="165">
        <f t="shared" si="24"/>
        <v>0</v>
      </c>
      <c r="U82" s="165">
        <f t="shared" si="24"/>
        <v>0</v>
      </c>
      <c r="V82" s="165">
        <f t="shared" si="24"/>
        <v>0</v>
      </c>
      <c r="W82" s="165">
        <f t="shared" si="24"/>
        <v>0</v>
      </c>
      <c r="X82" s="165">
        <f t="shared" si="24"/>
        <v>0</v>
      </c>
      <c r="Y82" s="165">
        <f t="shared" si="24"/>
        <v>0</v>
      </c>
      <c r="Z82" s="165">
        <f t="shared" si="24"/>
        <v>0</v>
      </c>
      <c r="AA82" s="165">
        <f t="shared" si="24"/>
        <v>0</v>
      </c>
      <c r="AB82" s="164"/>
      <c r="AD82" s="160">
        <f>ROUND(IFERROR(AD79/AD80,0),2)</f>
        <v>0</v>
      </c>
      <c r="AE82" s="165"/>
      <c r="AF82" s="161"/>
      <c r="AG82" s="160">
        <f>ROUND(IFERROR(AG79/AG80,0),2)</f>
        <v>0</v>
      </c>
      <c r="AH82" s="165"/>
      <c r="AI82" s="161"/>
    </row>
    <row r="83" spans="3:35" x14ac:dyDescent="0.2">
      <c r="C83" s="23"/>
      <c r="H83" s="10" t="s">
        <v>486</v>
      </c>
      <c r="I83" s="25" t="e">
        <f ca="1">_xll.EVPRO($B$1,$H83,"STYLE")</f>
        <v>#NAME?</v>
      </c>
      <c r="J83" s="25" t="e">
        <f ca="1">_xll.EVPRO($B$1,$H83,"CALC")</f>
        <v>#NAME?</v>
      </c>
      <c r="K83" s="24"/>
      <c r="L83" s="24" t="e">
        <f ca="1">_xll.EVPRO($B$1,H83,"JDEID")</f>
        <v>#NAME?</v>
      </c>
      <c r="M83" s="24" t="e">
        <f ca="1">IF(AND(I83="N",J83="N"),_xll.EVPRO($B$1,H83,"PSFTID"),"")</f>
        <v>#NAME?</v>
      </c>
      <c r="N83" s="24" t="e">
        <f ca="1">IF(_xll.EVDES(H83,$B$1)="#NODATA","",_xll.EVDES(H83,$B$1))</f>
        <v>#NAME?</v>
      </c>
      <c r="O83" s="19"/>
      <c r="P83" s="19"/>
      <c r="Q83" s="19">
        <v>-43.18</v>
      </c>
      <c r="R83" s="19"/>
      <c r="S83" s="19"/>
      <c r="T83" s="19"/>
      <c r="U83" s="19"/>
      <c r="V83" s="19"/>
      <c r="W83" s="19"/>
      <c r="X83" s="19"/>
      <c r="Y83" s="19"/>
      <c r="Z83" s="19"/>
      <c r="AA83" s="19">
        <f>SUM(O83:Z83)</f>
        <v>-43.18</v>
      </c>
      <c r="AB83" s="15" t="str">
        <f ca="1">IF(AA83=0,"",IFERROR(AA83/AA$19,""))</f>
        <v/>
      </c>
      <c r="AD83" s="19"/>
      <c r="AE83" s="15" t="str">
        <f>IF(AD83=0,"",IFERROR(AD83/AD$19,""))</f>
        <v/>
      </c>
      <c r="AF83" s="47">
        <f>IF(AND($AA83="",AD83=""),"",$AA83-AD83)</f>
        <v>-43.18</v>
      </c>
      <c r="AG83" s="19">
        <v>-884.53</v>
      </c>
      <c r="AH83" s="15" t="str">
        <f ca="1">IF(AG83=0,"",IFERROR(AG83/AG$19,""))</f>
        <v/>
      </c>
      <c r="AI83" s="47">
        <f>IF(AND($AA83="",AG83=""),"",$AA83-AG83)</f>
        <v>841.35</v>
      </c>
    </row>
    <row r="84" spans="3:35" x14ac:dyDescent="0.2">
      <c r="C84" s="23"/>
      <c r="H84" s="10"/>
      <c r="I84" s="25"/>
      <c r="J84" s="25"/>
      <c r="K84" s="24"/>
      <c r="L84" s="24"/>
      <c r="M84" s="24"/>
      <c r="N84" s="8" t="s">
        <v>348</v>
      </c>
      <c r="O84" s="292" t="b">
        <f t="shared" ref="O84:AA84" si="25">ROUND(O81,2)=ROUND(O82,2)</f>
        <v>1</v>
      </c>
      <c r="P84" s="293" t="b">
        <f t="shared" si="25"/>
        <v>1</v>
      </c>
      <c r="Q84" s="293" t="b">
        <f t="shared" si="25"/>
        <v>1</v>
      </c>
      <c r="R84" s="293" t="b">
        <f t="shared" si="25"/>
        <v>1</v>
      </c>
      <c r="S84" s="293" t="b">
        <f t="shared" si="25"/>
        <v>1</v>
      </c>
      <c r="T84" s="293" t="b">
        <f t="shared" si="25"/>
        <v>1</v>
      </c>
      <c r="U84" s="293" t="b">
        <f t="shared" si="25"/>
        <v>1</v>
      </c>
      <c r="V84" s="293" t="b">
        <f t="shared" si="25"/>
        <v>1</v>
      </c>
      <c r="W84" s="293" t="b">
        <f t="shared" si="25"/>
        <v>1</v>
      </c>
      <c r="X84" s="293" t="b">
        <f t="shared" si="25"/>
        <v>1</v>
      </c>
      <c r="Y84" s="293" t="b">
        <f t="shared" si="25"/>
        <v>1</v>
      </c>
      <c r="Z84" s="293" t="b">
        <f t="shared" si="25"/>
        <v>1</v>
      </c>
      <c r="AA84" s="293" t="e">
        <f t="shared" si="25"/>
        <v>#VALUE!</v>
      </c>
      <c r="AB84" s="294"/>
      <c r="AC84" s="206"/>
      <c r="AD84" s="292"/>
      <c r="AE84" s="293" t="b">
        <f>ROUND(AD81,2)=ROUND(AD82,2)</f>
        <v>1</v>
      </c>
      <c r="AF84" s="294"/>
      <c r="AG84" s="292"/>
      <c r="AH84" s="293" t="b">
        <f>ROUND(AG81,2)=ROUND(AG82,2)</f>
        <v>1</v>
      </c>
      <c r="AI84" s="294"/>
    </row>
    <row r="85" spans="3:35" x14ac:dyDescent="0.2">
      <c r="C85" s="23"/>
      <c r="H85" s="133" t="s">
        <v>273</v>
      </c>
      <c r="I85" s="25" t="e">
        <f ca="1">_xll.EVPRO($B$1,$H85,"STYLE")</f>
        <v>#NAME?</v>
      </c>
      <c r="J85" s="25" t="e">
        <f ca="1">_xll.EVPRO($B$1,$H85,"CALC")</f>
        <v>#NAME?</v>
      </c>
      <c r="L85" s="24" t="e">
        <f ca="1">_xll.EVPRO($B$1,H85,"JDEID")</f>
        <v>#NAME?</v>
      </c>
      <c r="M85" s="24" t="e">
        <f ca="1">IF(AND(I85="N",J85="N"),_xll.EVPRO($B$1,H85,"PSFTID"),"")</f>
        <v>#NAME?</v>
      </c>
      <c r="N85" s="24" t="e">
        <f ca="1">IF(_xll.EVDES(H85,$B$1)="#NODATA","",_xll.EVDES(H85,$B$1))</f>
        <v>#NAME?</v>
      </c>
      <c r="O85" s="152">
        <v>3142.5</v>
      </c>
      <c r="P85" s="152"/>
      <c r="Q85" s="152">
        <v>-43.18</v>
      </c>
      <c r="R85" s="152"/>
      <c r="S85" s="152"/>
      <c r="T85" s="152"/>
      <c r="U85" s="152"/>
      <c r="V85" s="152"/>
      <c r="W85" s="152"/>
      <c r="X85" s="152"/>
      <c r="Y85" s="152"/>
      <c r="Z85" s="152"/>
      <c r="AA85" s="152">
        <f>SUM(O85:Z85)</f>
        <v>3099.32</v>
      </c>
      <c r="AB85" s="153" t="str">
        <f ca="1">IF(AA85=0,"",IFERROR(AA85/AA$19,""))</f>
        <v/>
      </c>
      <c r="AD85" s="152"/>
      <c r="AE85" s="153" t="str">
        <f>IF(AD85=0,"",IFERROR(AD85/AD$19,""))</f>
        <v/>
      </c>
      <c r="AF85" s="154">
        <f>IF(AND($AA85="",AD85=""),"",$AA85-AD85)</f>
        <v>3099.32</v>
      </c>
      <c r="AG85" s="152">
        <v>293102.77</v>
      </c>
      <c r="AH85" s="153" t="str">
        <f ca="1">IF(AG85=0,"",IFERROR(AG85/AG$19,""))</f>
        <v/>
      </c>
      <c r="AI85" s="154">
        <f>IF(AND($AA85="",AG85=""),"",$AA85-AG85)</f>
        <v>-290003.45</v>
      </c>
    </row>
    <row r="86" spans="3:35" x14ac:dyDescent="0.2">
      <c r="C86" s="23"/>
      <c r="H86" s="133" t="s">
        <v>767</v>
      </c>
      <c r="I86" s="25" t="e">
        <f ca="1">_xll.EVPRO($B$1,$H86,"STYLE")</f>
        <v>#NAME?</v>
      </c>
      <c r="J86" s="25" t="e">
        <f ca="1">_xll.EVPRO($B$1,$H86,"CALC")</f>
        <v>#NAME?</v>
      </c>
      <c r="L86" s="24" t="e">
        <f ca="1">_xll.EVPRO($B$1,H86,"JDEID")</f>
        <v>#NAME?</v>
      </c>
      <c r="M86" s="24" t="e">
        <f ca="1">IF(AND(I86="N",J86="N"),_xll.EVPRO($B$1,H86,"PSFTID"),"")</f>
        <v>#NAME?</v>
      </c>
      <c r="N86" s="24" t="e">
        <f ca="1">IF(_xll.EVDES(H86,$B$1)="#NODATA","",_xll.EVDES(H86,$B$1))</f>
        <v>#NAME?</v>
      </c>
      <c r="O86" s="152"/>
      <c r="P86" s="152"/>
      <c r="Q86" s="152"/>
      <c r="R86" s="152"/>
      <c r="S86" s="152"/>
      <c r="T86" s="152"/>
      <c r="U86" s="152"/>
      <c r="V86" s="152"/>
      <c r="W86" s="152"/>
      <c r="X86" s="152"/>
      <c r="Y86" s="152"/>
      <c r="Z86" s="152"/>
      <c r="AA86" s="152">
        <f>SUM(O86:Z86)</f>
        <v>0</v>
      </c>
      <c r="AB86" s="153"/>
      <c r="AD86" s="152"/>
      <c r="AE86" s="153"/>
      <c r="AF86" s="154">
        <f>IF(AND($AA86="",AD86=""),"",$AA86-AD86)</f>
        <v>0</v>
      </c>
      <c r="AG86" s="152"/>
      <c r="AH86" s="153"/>
      <c r="AI86" s="154">
        <f>IF(AND($AA86="",AG86=""),"",$AA86-AG86)</f>
        <v>0</v>
      </c>
    </row>
    <row r="87" spans="3:35" x14ac:dyDescent="0.2">
      <c r="C87" s="23"/>
      <c r="H87" s="133" t="s">
        <v>331</v>
      </c>
      <c r="I87" s="25" t="e">
        <f ca="1">_xll.EVPRO($B$1,$H87,"STYLE")</f>
        <v>#NAME?</v>
      </c>
      <c r="J87" s="25" t="e">
        <f ca="1">_xll.EVPRO($B$1,$H87,"CALC")</f>
        <v>#NAME?</v>
      </c>
      <c r="L87" s="24" t="e">
        <f ca="1">_xll.EVPRO($B$1,H87,"JDEID")</f>
        <v>#NAME?</v>
      </c>
      <c r="M87" s="24" t="e">
        <f ca="1">IF(AND(I87="N",J87="N"),_xll.EVPRO($B$1,H87,"PSFTID"),"")</f>
        <v>#NAME?</v>
      </c>
      <c r="N87" s="24" t="e">
        <f ca="1">IF(_xll.EVDES(H87,$B$1)="#NODATA","",_xll.EVDES(H87,$B$1))</f>
        <v>#NAME?</v>
      </c>
      <c r="O87" s="152">
        <v>80</v>
      </c>
      <c r="P87" s="152"/>
      <c r="Q87" s="152"/>
      <c r="R87" s="152"/>
      <c r="S87" s="152"/>
      <c r="T87" s="152"/>
      <c r="U87" s="152"/>
      <c r="V87" s="152"/>
      <c r="W87" s="152"/>
      <c r="X87" s="152"/>
      <c r="Y87" s="152"/>
      <c r="Z87" s="152"/>
      <c r="AA87" s="152">
        <f>SUM(O87:Z87)</f>
        <v>80</v>
      </c>
      <c r="AB87" s="153" t="str">
        <f ca="1">IF(AA87=0,"",IFERROR(AA87/AA$20,""))</f>
        <v/>
      </c>
      <c r="AD87" s="152"/>
      <c r="AE87" s="153" t="str">
        <f>IF(AD87=0,"",IFERROR(AD87/AD$20,""))</f>
        <v/>
      </c>
      <c r="AF87" s="154">
        <f>IF(AND($AA87="",AD87=""),"",$AA87-AD87)</f>
        <v>80</v>
      </c>
      <c r="AG87" s="152">
        <v>8866</v>
      </c>
      <c r="AH87" s="153" t="str">
        <f ca="1">IF(AG87=0,"",IFERROR(AG87/AG$20,""))</f>
        <v/>
      </c>
      <c r="AI87" s="154">
        <f>IF(AND($AA87="",AG87=""),"",$AA87-AG87)</f>
        <v>-8786</v>
      </c>
    </row>
    <row r="88" spans="3:35" x14ac:dyDescent="0.2">
      <c r="C88" s="23"/>
      <c r="H88" s="133" t="s">
        <v>311</v>
      </c>
      <c r="I88" s="25" t="e">
        <f ca="1">_xll.EVPRO($B$1,$H88,"STYLE")</f>
        <v>#NAME?</v>
      </c>
      <c r="J88" s="25" t="e">
        <f ca="1">_xll.EVPRO($B$1,$H88,"CALC")</f>
        <v>#NAME?</v>
      </c>
      <c r="L88" s="24"/>
      <c r="M88" s="24"/>
      <c r="N88" s="24" t="e">
        <f ca="1">IF(_xll.EVDES(H88,$B$1)="#NODATA","",_xll.EVDES(H88,$B$1))</f>
        <v>#NAME?</v>
      </c>
      <c r="O88" s="157">
        <v>39.28125</v>
      </c>
      <c r="P88" s="157"/>
      <c r="Q88" s="157"/>
      <c r="R88" s="157"/>
      <c r="S88" s="157"/>
      <c r="T88" s="157"/>
      <c r="U88" s="157"/>
      <c r="V88" s="157"/>
      <c r="W88" s="157"/>
      <c r="X88" s="157"/>
      <c r="Y88" s="157"/>
      <c r="Z88" s="157"/>
      <c r="AA88" s="157">
        <f>IFERROR(AA85/AA87,"")</f>
        <v>38.741500000000002</v>
      </c>
      <c r="AB88" s="157"/>
      <c r="AD88" s="157"/>
      <c r="AE88" s="157"/>
      <c r="AF88" s="158">
        <f>IF(AND($AA88="",AD88=""),"",$AA88-AD88)</f>
        <v>38.741500000000002</v>
      </c>
      <c r="AG88" s="157">
        <v>33.059189036769702</v>
      </c>
      <c r="AH88" s="157"/>
      <c r="AI88" s="158">
        <f>IF(AND($AA88="",AG88=""),"",$AA88-AG88)</f>
        <v>5.6823109632303002</v>
      </c>
    </row>
    <row r="89" spans="3:35" x14ac:dyDescent="0.2">
      <c r="C89" s="23"/>
      <c r="H89" s="133"/>
      <c r="I89" s="25"/>
      <c r="J89" s="25"/>
      <c r="L89" s="24"/>
      <c r="M89" s="24"/>
      <c r="N89" s="24"/>
      <c r="O89" s="38"/>
      <c r="P89" s="42"/>
      <c r="Q89" s="42"/>
      <c r="R89" s="42"/>
      <c r="S89" s="42"/>
      <c r="T89" s="42"/>
      <c r="U89" s="42"/>
      <c r="V89" s="42"/>
      <c r="W89" s="42"/>
      <c r="X89" s="42"/>
      <c r="Y89" s="42"/>
      <c r="Z89" s="42"/>
      <c r="AA89" s="42"/>
      <c r="AB89" s="39"/>
      <c r="AD89" s="38"/>
      <c r="AE89" s="42"/>
      <c r="AF89" s="39"/>
      <c r="AG89" s="38"/>
      <c r="AH89" s="42"/>
      <c r="AI89" s="39"/>
    </row>
    <row r="90" spans="3:35" x14ac:dyDescent="0.2">
      <c r="C90" s="23"/>
      <c r="H90" s="133"/>
      <c r="I90" s="25"/>
      <c r="J90" s="25"/>
      <c r="L90" s="24"/>
      <c r="M90" s="24"/>
      <c r="N90" s="8" t="s">
        <v>334</v>
      </c>
      <c r="O90" s="40"/>
      <c r="P90" s="43"/>
      <c r="Q90" s="43"/>
      <c r="R90" s="43"/>
      <c r="S90" s="43"/>
      <c r="T90" s="43"/>
      <c r="U90" s="43"/>
      <c r="V90" s="43"/>
      <c r="W90" s="43"/>
      <c r="X90" s="43"/>
      <c r="Y90" s="43"/>
      <c r="Z90" s="43"/>
      <c r="AA90" s="43"/>
      <c r="AB90" s="41"/>
      <c r="AD90" s="40"/>
      <c r="AE90" s="43"/>
      <c r="AF90" s="41"/>
      <c r="AG90" s="40"/>
      <c r="AH90" s="43"/>
      <c r="AI90" s="41"/>
    </row>
    <row r="91" spans="3:35" hidden="1" outlineLevel="1" x14ac:dyDescent="0.2">
      <c r="C91" s="23"/>
      <c r="H91" s="133" t="s">
        <v>332</v>
      </c>
      <c r="I91" s="25" t="e">
        <f ca="1">_xll.EVPRO($B$1,$H91,"STYLE")</f>
        <v>#NAME?</v>
      </c>
      <c r="J91" s="25" t="e">
        <f ca="1">_xll.EVPRO($B$1,$H91,"CALC")</f>
        <v>#NAME?</v>
      </c>
      <c r="L91" s="24"/>
      <c r="M91" s="24"/>
      <c r="N91" s="24" t="e">
        <f ca="1">IF(_xll.EVDES(H91,$B$1)="#NODATA","",_xll.EVDES(H91,$B$1))</f>
        <v>#NAME?</v>
      </c>
      <c r="O91" s="19"/>
      <c r="P91" s="19"/>
      <c r="Q91" s="19"/>
      <c r="R91" s="19"/>
      <c r="S91" s="19"/>
      <c r="T91" s="19"/>
      <c r="U91" s="19"/>
      <c r="V91" s="19"/>
      <c r="W91" s="19"/>
      <c r="X91" s="19"/>
      <c r="Y91" s="19"/>
      <c r="Z91" s="19"/>
      <c r="AA91" s="19">
        <f>SUM(O91:Z91)</f>
        <v>0</v>
      </c>
      <c r="AB91" s="15"/>
      <c r="AD91" s="19"/>
      <c r="AE91" s="15"/>
      <c r="AF91" s="47">
        <f>IF(AND($AA91="",AD91=""),"",$AA91-AD91)</f>
        <v>0</v>
      </c>
      <c r="AG91" s="19"/>
      <c r="AH91" s="15"/>
      <c r="AI91" s="47">
        <f>IF(AND($AA91="",AG91=""),"",$AA91-AG91)</f>
        <v>0</v>
      </c>
    </row>
    <row r="92" spans="3:35" hidden="1" outlineLevel="1" x14ac:dyDescent="0.2">
      <c r="C92" s="23"/>
      <c r="H92" s="133" t="s">
        <v>333</v>
      </c>
      <c r="I92" s="25" t="e">
        <f ca="1">_xll.EVPRO($B$1,$H92,"STYLE")</f>
        <v>#NAME?</v>
      </c>
      <c r="J92" s="25" t="e">
        <f ca="1">_xll.EVPRO($B$1,$H92,"CALC")</f>
        <v>#NAME?</v>
      </c>
      <c r="L92" s="24"/>
      <c r="M92" s="24"/>
      <c r="N92" s="24" t="e">
        <f ca="1">IF(_xll.EVDES(H92,$B$1)="#NODATA","",_xll.EVDES(H92,$B$1))</f>
        <v>#NAME?</v>
      </c>
      <c r="O92" s="19"/>
      <c r="P92" s="19"/>
      <c r="Q92" s="19"/>
      <c r="R92" s="19"/>
      <c r="S92" s="19"/>
      <c r="T92" s="19"/>
      <c r="U92" s="19"/>
      <c r="V92" s="19"/>
      <c r="W92" s="19"/>
      <c r="X92" s="19"/>
      <c r="Y92" s="19"/>
      <c r="Z92" s="19"/>
      <c r="AA92" s="19">
        <f>SUM(O92:Z92)</f>
        <v>0</v>
      </c>
      <c r="AB92" s="15"/>
      <c r="AD92" s="19"/>
      <c r="AE92" s="15"/>
      <c r="AF92" s="47">
        <f>IF(AND($AA92="",AD92=""),"",$AA92-AD92)</f>
        <v>0</v>
      </c>
      <c r="AG92" s="19"/>
      <c r="AH92" s="15"/>
      <c r="AI92" s="47">
        <f>IF(AND($AA92="",AG92=""),"",$AA92-AG92)</f>
        <v>0</v>
      </c>
    </row>
    <row r="93" spans="3:35" collapsed="1" x14ac:dyDescent="0.2">
      <c r="C93" s="23"/>
      <c r="H93" s="133"/>
      <c r="I93" s="25"/>
      <c r="J93" s="25"/>
      <c r="L93" s="24"/>
      <c r="M93" s="24"/>
      <c r="N93" s="24" t="s">
        <v>335</v>
      </c>
      <c r="O93" s="159" t="str">
        <f t="shared" ref="O93:AA93" si="26">IFERROR(O$87/O91,"")</f>
        <v/>
      </c>
      <c r="P93" s="159" t="str">
        <f t="shared" si="26"/>
        <v/>
      </c>
      <c r="Q93" s="159" t="str">
        <f t="shared" si="26"/>
        <v/>
      </c>
      <c r="R93" s="159" t="str">
        <f t="shared" si="26"/>
        <v/>
      </c>
      <c r="S93" s="159" t="str">
        <f t="shared" si="26"/>
        <v/>
      </c>
      <c r="T93" s="159" t="str">
        <f t="shared" si="26"/>
        <v/>
      </c>
      <c r="U93" s="159" t="str">
        <f t="shared" si="26"/>
        <v/>
      </c>
      <c r="V93" s="159" t="str">
        <f t="shared" si="26"/>
        <v/>
      </c>
      <c r="W93" s="159" t="str">
        <f t="shared" si="26"/>
        <v/>
      </c>
      <c r="X93" s="159" t="str">
        <f t="shared" si="26"/>
        <v/>
      </c>
      <c r="Y93" s="159" t="str">
        <f t="shared" si="26"/>
        <v/>
      </c>
      <c r="Z93" s="159" t="str">
        <f t="shared" si="26"/>
        <v/>
      </c>
      <c r="AA93" s="159" t="str">
        <f t="shared" si="26"/>
        <v/>
      </c>
      <c r="AB93" s="124"/>
      <c r="AD93" s="159" t="str">
        <f>IFERROR(AD$87/AD91,"")</f>
        <v/>
      </c>
      <c r="AE93" s="124"/>
      <c r="AF93" s="125" t="str">
        <f>IF(AND($AA93="",AD93=""),"",$AA93-AD93)</f>
        <v/>
      </c>
      <c r="AG93" s="159" t="str">
        <f>IFERROR(AG$87/AG91,"")</f>
        <v/>
      </c>
      <c r="AH93" s="124"/>
      <c r="AI93" s="125" t="str">
        <f>IF(AND($AA93="",AG93=""),"",$AA93-AG93)</f>
        <v/>
      </c>
    </row>
    <row r="94" spans="3:35" x14ac:dyDescent="0.2">
      <c r="C94" s="23"/>
      <c r="H94" s="133"/>
      <c r="I94" s="25"/>
      <c r="J94" s="25"/>
      <c r="L94" s="24"/>
      <c r="M94" s="24"/>
      <c r="N94" s="24" t="s">
        <v>336</v>
      </c>
      <c r="O94" s="159" t="str">
        <f t="shared" ref="O94:AA94" si="27">IFERROR(O$87/O92,"")</f>
        <v/>
      </c>
      <c r="P94" s="159" t="str">
        <f t="shared" si="27"/>
        <v/>
      </c>
      <c r="Q94" s="159" t="str">
        <f t="shared" si="27"/>
        <v/>
      </c>
      <c r="R94" s="159" t="str">
        <f t="shared" si="27"/>
        <v/>
      </c>
      <c r="S94" s="159" t="str">
        <f t="shared" si="27"/>
        <v/>
      </c>
      <c r="T94" s="159" t="str">
        <f t="shared" si="27"/>
        <v/>
      </c>
      <c r="U94" s="159" t="str">
        <f t="shared" si="27"/>
        <v/>
      </c>
      <c r="V94" s="159" t="str">
        <f t="shared" si="27"/>
        <v/>
      </c>
      <c r="W94" s="159" t="str">
        <f t="shared" si="27"/>
        <v/>
      </c>
      <c r="X94" s="159" t="str">
        <f t="shared" si="27"/>
        <v/>
      </c>
      <c r="Y94" s="159" t="str">
        <f t="shared" si="27"/>
        <v/>
      </c>
      <c r="Z94" s="159" t="str">
        <f t="shared" si="27"/>
        <v/>
      </c>
      <c r="AA94" s="159" t="str">
        <f t="shared" si="27"/>
        <v/>
      </c>
      <c r="AB94" s="124"/>
      <c r="AD94" s="159" t="str">
        <f>IFERROR(AD$87/AD92,"")</f>
        <v/>
      </c>
      <c r="AE94" s="124"/>
      <c r="AF94" s="125" t="str">
        <f>IF(AND($AA94="",AD94=""),"",$AA94-AD94)</f>
        <v/>
      </c>
      <c r="AG94" s="159" t="str">
        <f>IFERROR(AG$87/AG92,"")</f>
        <v/>
      </c>
      <c r="AH94" s="124"/>
      <c r="AI94" s="125" t="str">
        <f>IF(AND($AA94="",AG94=""),"",$AA94-AG94)</f>
        <v/>
      </c>
    </row>
    <row r="95" spans="3:35" x14ac:dyDescent="0.2">
      <c r="C95" s="23"/>
      <c r="H95" s="133"/>
      <c r="I95" s="25"/>
      <c r="J95" s="25"/>
      <c r="L95" s="24"/>
      <c r="M95" s="24"/>
      <c r="N95" s="24"/>
      <c r="O95" s="144"/>
      <c r="P95" s="147"/>
      <c r="Q95" s="147"/>
      <c r="R95" s="147"/>
      <c r="S95" s="147"/>
      <c r="T95" s="147"/>
      <c r="U95" s="147"/>
      <c r="V95" s="147"/>
      <c r="W95" s="147"/>
      <c r="X95" s="147"/>
      <c r="Y95" s="147"/>
      <c r="Z95" s="147"/>
      <c r="AA95" s="147"/>
      <c r="AB95" s="51"/>
      <c r="AD95" s="50"/>
      <c r="AF95" s="51"/>
      <c r="AI95" s="51"/>
    </row>
    <row r="96" spans="3:35" x14ac:dyDescent="0.2">
      <c r="C96" s="23"/>
      <c r="H96" s="133"/>
      <c r="I96" s="25"/>
      <c r="J96" s="25"/>
      <c r="L96" s="24"/>
      <c r="M96" s="24"/>
      <c r="N96" s="8" t="s">
        <v>343</v>
      </c>
      <c r="O96" s="50"/>
      <c r="AB96" s="149"/>
      <c r="AD96" s="148"/>
      <c r="AE96" s="150"/>
      <c r="AF96" s="51"/>
      <c r="AH96" s="150"/>
      <c r="AI96" s="51"/>
    </row>
    <row r="97" spans="3:35" x14ac:dyDescent="0.2">
      <c r="C97" s="23"/>
      <c r="H97" s="133"/>
      <c r="I97" s="25"/>
      <c r="J97" s="25"/>
      <c r="L97" s="24"/>
      <c r="M97" s="24"/>
      <c r="N97" s="8" t="s">
        <v>337</v>
      </c>
      <c r="O97" s="40"/>
      <c r="P97" s="43"/>
      <c r="Q97" s="43"/>
      <c r="R97" s="43"/>
      <c r="S97" s="43"/>
      <c r="T97" s="43"/>
      <c r="U97" s="43"/>
      <c r="V97" s="43"/>
      <c r="W97" s="43"/>
      <c r="X97" s="43"/>
      <c r="Y97" s="43"/>
      <c r="Z97" s="43"/>
      <c r="AA97" s="43"/>
      <c r="AB97" s="41"/>
      <c r="AD97" s="40"/>
      <c r="AE97" s="43"/>
      <c r="AF97" s="41"/>
      <c r="AG97" s="43"/>
      <c r="AH97" s="43"/>
      <c r="AI97" s="41"/>
    </row>
    <row r="98" spans="3:35" x14ac:dyDescent="0.2">
      <c r="C98" s="23"/>
      <c r="H98" s="133" t="s">
        <v>294</v>
      </c>
      <c r="I98" s="25"/>
      <c r="J98" s="25"/>
      <c r="L98" s="24" t="e">
        <f ca="1">_xll.EVPRO($B$1,H98,"JDEID")</f>
        <v>#NAME?</v>
      </c>
      <c r="M98" s="24" t="str">
        <f>IF(AND(I98="N",J98="N"),_xll.EVPRO($B$1,H98,"PSFTID"),"")</f>
        <v/>
      </c>
      <c r="N98" s="24" t="e">
        <f ca="1">IF(_xll.EVDES(H98,$B$1)="#NODATA","",_xll.EVDES(H98,$B$1))</f>
        <v>#NAME?</v>
      </c>
      <c r="O98" s="19"/>
      <c r="P98" s="19"/>
      <c r="Q98" s="19"/>
      <c r="R98" s="19"/>
      <c r="S98" s="19"/>
      <c r="T98" s="19"/>
      <c r="U98" s="19"/>
      <c r="V98" s="19"/>
      <c r="W98" s="19"/>
      <c r="X98" s="19"/>
      <c r="Y98" s="19"/>
      <c r="Z98" s="19"/>
      <c r="AA98" s="19">
        <f t="shared" ref="AA98:AA103" si="28">SUM(O98:Z98)</f>
        <v>0</v>
      </c>
      <c r="AB98" s="15" t="str">
        <f t="shared" ref="AB98:AB103" si="29">IF(AA98=0,"",IFERROR(AA98/AA$19,""))</f>
        <v/>
      </c>
      <c r="AD98" s="19"/>
      <c r="AE98" s="15" t="str">
        <f t="shared" ref="AE98:AE103" si="30">IF(AD98=0,"",IFERROR(AD98/AD$19,""))</f>
        <v/>
      </c>
      <c r="AF98" s="47">
        <f t="shared" ref="AF98:AF103" si="31">IF(AND($AA98="",AD98=""),"",$AA98-AD98)</f>
        <v>0</v>
      </c>
      <c r="AG98" s="19">
        <v>116</v>
      </c>
      <c r="AH98" s="15" t="str">
        <f t="shared" ref="AH98:AH103" ca="1" si="32">IF(AG98=0,"",IFERROR(AG98/AG$19,""))</f>
        <v/>
      </c>
      <c r="AI98" s="47">
        <f t="shared" ref="AI98:AI103" si="33">IF(AND($AA98="",AG98=""),"",$AA98-AG98)</f>
        <v>-116</v>
      </c>
    </row>
    <row r="99" spans="3:35" x14ac:dyDescent="0.2">
      <c r="C99" s="23"/>
      <c r="H99" s="133" t="s">
        <v>301</v>
      </c>
      <c r="I99" s="25"/>
      <c r="J99" s="25"/>
      <c r="L99" s="24" t="e">
        <f ca="1">_xll.EVPRO($B$1,H99,"JDEID")</f>
        <v>#NAME?</v>
      </c>
      <c r="M99" s="24" t="str">
        <f>IF(AND(I99="N",J99="N"),_xll.EVPRO($B$1,H99,"PSFTID"),"")</f>
        <v/>
      </c>
      <c r="N99" s="24" t="e">
        <f ca="1">IF(_xll.EVDES(H99,$B$1)="#NODATA","",_xll.EVDES(H99,$B$1))</f>
        <v>#NAME?</v>
      </c>
      <c r="O99" s="19">
        <v>1325</v>
      </c>
      <c r="P99" s="19"/>
      <c r="Q99" s="19"/>
      <c r="R99" s="19"/>
      <c r="S99" s="19"/>
      <c r="T99" s="19"/>
      <c r="U99" s="19"/>
      <c r="V99" s="19"/>
      <c r="W99" s="19"/>
      <c r="X99" s="19"/>
      <c r="Y99" s="19"/>
      <c r="Z99" s="19"/>
      <c r="AA99" s="19">
        <f t="shared" si="28"/>
        <v>1325</v>
      </c>
      <c r="AB99" s="15" t="str">
        <f t="shared" ca="1" si="29"/>
        <v/>
      </c>
      <c r="AD99" s="19"/>
      <c r="AE99" s="15" t="str">
        <f t="shared" si="30"/>
        <v/>
      </c>
      <c r="AF99" s="47">
        <f t="shared" si="31"/>
        <v>1325</v>
      </c>
      <c r="AG99" s="19">
        <v>149176.72</v>
      </c>
      <c r="AH99" s="15" t="str">
        <f t="shared" ca="1" si="32"/>
        <v/>
      </c>
      <c r="AI99" s="47">
        <f t="shared" si="33"/>
        <v>-147851.72</v>
      </c>
    </row>
    <row r="100" spans="3:35" x14ac:dyDescent="0.2">
      <c r="C100" s="23"/>
      <c r="H100" s="133" t="s">
        <v>302</v>
      </c>
      <c r="I100" s="25"/>
      <c r="J100" s="25"/>
      <c r="L100" s="24" t="e">
        <f ca="1">_xll.EVPRO($B$1,H100,"JDEID")</f>
        <v>#NAME?</v>
      </c>
      <c r="M100" s="24" t="str">
        <f>IF(AND(I100="N",J100="N"),_xll.EVPRO($B$1,H100,"PSFTID"),"")</f>
        <v/>
      </c>
      <c r="N100" s="24" t="e">
        <f ca="1">IF(_xll.EVDES(H100,$B$1)="#NODATA","",_xll.EVDES(H100,$B$1))</f>
        <v>#NAME?</v>
      </c>
      <c r="O100" s="19"/>
      <c r="P100" s="19"/>
      <c r="Q100" s="19"/>
      <c r="R100" s="19"/>
      <c r="S100" s="19"/>
      <c r="T100" s="19"/>
      <c r="U100" s="19"/>
      <c r="V100" s="19"/>
      <c r="W100" s="19"/>
      <c r="X100" s="19"/>
      <c r="Y100" s="19"/>
      <c r="Z100" s="19"/>
      <c r="AA100" s="19">
        <f t="shared" si="28"/>
        <v>0</v>
      </c>
      <c r="AB100" s="15" t="str">
        <f t="shared" si="29"/>
        <v/>
      </c>
      <c r="AD100" s="19"/>
      <c r="AE100" s="15" t="str">
        <f t="shared" si="30"/>
        <v/>
      </c>
      <c r="AF100" s="47">
        <f t="shared" si="31"/>
        <v>0</v>
      </c>
      <c r="AG100" s="19">
        <v>2937</v>
      </c>
      <c r="AH100" s="15" t="str">
        <f t="shared" ca="1" si="32"/>
        <v/>
      </c>
      <c r="AI100" s="47">
        <f t="shared" si="33"/>
        <v>-2937</v>
      </c>
    </row>
    <row r="101" spans="3:35" x14ac:dyDescent="0.2">
      <c r="C101" s="23"/>
      <c r="H101" s="133" t="s">
        <v>308</v>
      </c>
      <c r="I101" s="25"/>
      <c r="J101" s="25"/>
      <c r="L101" s="24" t="e">
        <f ca="1">_xll.EVPRO($B$1,H101,"JDEID")</f>
        <v>#NAME?</v>
      </c>
      <c r="M101" s="24" t="str">
        <f>IF(AND(I101="N",J101="N"),_xll.EVPRO($B$1,H101,"PSFTID"),"")</f>
        <v/>
      </c>
      <c r="N101" s="24" t="e">
        <f ca="1">IF(_xll.EVDES(H101,$B$1)="#NODATA","",_xll.EVDES(H101,$B$1))</f>
        <v>#NAME?</v>
      </c>
      <c r="O101" s="19"/>
      <c r="P101" s="19"/>
      <c r="Q101" s="19"/>
      <c r="R101" s="19"/>
      <c r="S101" s="19"/>
      <c r="T101" s="19"/>
      <c r="U101" s="19"/>
      <c r="V101" s="19"/>
      <c r="W101" s="19"/>
      <c r="X101" s="19"/>
      <c r="Y101" s="19"/>
      <c r="Z101" s="19"/>
      <c r="AA101" s="19">
        <f t="shared" si="28"/>
        <v>0</v>
      </c>
      <c r="AB101" s="15" t="str">
        <f t="shared" si="29"/>
        <v/>
      </c>
      <c r="AD101" s="19"/>
      <c r="AE101" s="15" t="str">
        <f t="shared" si="30"/>
        <v/>
      </c>
      <c r="AF101" s="47">
        <f t="shared" si="31"/>
        <v>0</v>
      </c>
      <c r="AG101" s="19"/>
      <c r="AH101" s="15" t="str">
        <f t="shared" si="32"/>
        <v/>
      </c>
      <c r="AI101" s="47">
        <f t="shared" si="33"/>
        <v>0</v>
      </c>
    </row>
    <row r="102" spans="3:35" x14ac:dyDescent="0.2">
      <c r="C102" s="23"/>
      <c r="H102" s="133" t="s">
        <v>321</v>
      </c>
      <c r="I102" s="25"/>
      <c r="J102" s="25"/>
      <c r="L102" s="24" t="e">
        <f ca="1">_xll.EVPRO($B$1,H102,"JDEID")</f>
        <v>#NAME?</v>
      </c>
      <c r="M102" s="24" t="str">
        <f>IF(AND(I102="N",J102="N"),_xll.EVPRO($B$1,H102,"PSFTID"),"")</f>
        <v/>
      </c>
      <c r="N102" s="24" t="e">
        <f ca="1">IF(_xll.EVDES(H102,$B$1)="#NODATA","",_xll.EVDES(H102,$B$1))</f>
        <v>#NAME?</v>
      </c>
      <c r="O102" s="19"/>
      <c r="P102" s="19"/>
      <c r="Q102" s="19"/>
      <c r="R102" s="19"/>
      <c r="S102" s="19"/>
      <c r="T102" s="19"/>
      <c r="U102" s="19"/>
      <c r="V102" s="19"/>
      <c r="W102" s="19"/>
      <c r="X102" s="19"/>
      <c r="Y102" s="19"/>
      <c r="Z102" s="19"/>
      <c r="AA102" s="19">
        <f t="shared" si="28"/>
        <v>0</v>
      </c>
      <c r="AB102" s="15" t="str">
        <f t="shared" si="29"/>
        <v/>
      </c>
      <c r="AD102" s="19"/>
      <c r="AE102" s="15" t="str">
        <f t="shared" si="30"/>
        <v/>
      </c>
      <c r="AF102" s="47">
        <f t="shared" si="31"/>
        <v>0</v>
      </c>
      <c r="AG102" s="19"/>
      <c r="AH102" s="15" t="str">
        <f t="shared" si="32"/>
        <v/>
      </c>
      <c r="AI102" s="47">
        <f t="shared" si="33"/>
        <v>0</v>
      </c>
    </row>
    <row r="103" spans="3:35" x14ac:dyDescent="0.2">
      <c r="C103" s="23"/>
      <c r="H103" s="133" t="s">
        <v>340</v>
      </c>
      <c r="I103" s="25"/>
      <c r="J103" s="25"/>
      <c r="L103" s="24" t="e">
        <f ca="1">_xll.EVPRO($B$1,H103,"JDEID")</f>
        <v>#NAME?</v>
      </c>
      <c r="M103" s="24" t="str">
        <f>IF(AND(I103="N",J103="N"),_xll.EVPRO($B$1,H103,"PSFTID"),"")</f>
        <v/>
      </c>
      <c r="N103" s="23" t="e">
        <f ca="1">IF(_xll.EVDES(H103,$B$1)="#NODATA","",_xll.EVDES(H103,$B$1))</f>
        <v>#NAME?</v>
      </c>
      <c r="O103" s="145">
        <v>1325</v>
      </c>
      <c r="P103" s="145"/>
      <c r="Q103" s="145"/>
      <c r="R103" s="145"/>
      <c r="S103" s="145"/>
      <c r="T103" s="145"/>
      <c r="U103" s="145"/>
      <c r="V103" s="145"/>
      <c r="W103" s="145"/>
      <c r="X103" s="145"/>
      <c r="Y103" s="145"/>
      <c r="Z103" s="145"/>
      <c r="AA103" s="145">
        <f t="shared" si="28"/>
        <v>1325</v>
      </c>
      <c r="AB103" s="156" t="str">
        <f t="shared" ca="1" si="29"/>
        <v/>
      </c>
      <c r="AD103" s="145"/>
      <c r="AE103" s="156" t="str">
        <f t="shared" si="30"/>
        <v/>
      </c>
      <c r="AF103" s="146">
        <f t="shared" si="31"/>
        <v>1325</v>
      </c>
      <c r="AG103" s="145">
        <v>152229.72</v>
      </c>
      <c r="AH103" s="156" t="str">
        <f t="shared" ca="1" si="32"/>
        <v/>
      </c>
      <c r="AI103" s="146">
        <f t="shared" si="33"/>
        <v>-150904.72</v>
      </c>
    </row>
    <row r="104" spans="3:35" x14ac:dyDescent="0.2">
      <c r="C104" s="23"/>
      <c r="H104" s="133"/>
      <c r="I104" s="25"/>
      <c r="J104" s="25"/>
      <c r="L104" s="24"/>
      <c r="M104" s="24"/>
      <c r="N104" s="8"/>
      <c r="O104" s="38"/>
      <c r="P104" s="42"/>
      <c r="Q104" s="42"/>
      <c r="R104" s="42"/>
      <c r="S104" s="42"/>
      <c r="T104" s="42"/>
      <c r="U104" s="42"/>
      <c r="V104" s="42"/>
      <c r="W104" s="42"/>
      <c r="X104" s="42"/>
      <c r="Y104" s="42"/>
      <c r="Z104" s="42"/>
      <c r="AA104" s="42"/>
      <c r="AB104" s="39"/>
      <c r="AD104" s="38"/>
      <c r="AE104" s="42"/>
      <c r="AF104" s="39"/>
      <c r="AG104" s="38"/>
      <c r="AH104" s="42"/>
      <c r="AI104" s="39"/>
    </row>
    <row r="105" spans="3:35" x14ac:dyDescent="0.2">
      <c r="C105" s="23"/>
      <c r="H105" s="133"/>
      <c r="I105" s="25"/>
      <c r="J105" s="25"/>
      <c r="L105" s="24"/>
      <c r="M105" s="24"/>
      <c r="N105" s="8" t="s">
        <v>339</v>
      </c>
      <c r="O105" s="40"/>
      <c r="P105" s="43"/>
      <c r="Q105" s="43"/>
      <c r="R105" s="43"/>
      <c r="S105" s="43"/>
      <c r="T105" s="43"/>
      <c r="U105" s="43"/>
      <c r="V105" s="43"/>
      <c r="W105" s="43"/>
      <c r="X105" s="43"/>
      <c r="Y105" s="43"/>
      <c r="Z105" s="43"/>
      <c r="AA105" s="43"/>
      <c r="AB105" s="41"/>
      <c r="AD105" s="40"/>
      <c r="AE105" s="43"/>
      <c r="AF105" s="41"/>
      <c r="AG105" s="40"/>
      <c r="AH105" s="43"/>
      <c r="AI105" s="41"/>
    </row>
    <row r="106" spans="3:35" x14ac:dyDescent="0.2">
      <c r="C106" s="23"/>
      <c r="H106" s="133" t="s">
        <v>295</v>
      </c>
      <c r="I106" s="25"/>
      <c r="J106" s="25"/>
      <c r="L106" s="24" t="e">
        <f ca="1">_xll.EVPRO($B$1,H106,"JDEID")</f>
        <v>#NAME?</v>
      </c>
      <c r="M106" s="24" t="str">
        <f>IF(AND(I106="N",J106="N"),_xll.EVPRO($B$1,H106,"PSFTID"),"")</f>
        <v/>
      </c>
      <c r="N106" s="24" t="e">
        <f ca="1">IF(_xll.EVDES(H106,$B$1)="#NODATA","",_xll.EVDES(H106,$B$1))</f>
        <v>#NAME?</v>
      </c>
      <c r="O106" s="19"/>
      <c r="P106" s="19"/>
      <c r="Q106" s="19"/>
      <c r="R106" s="19"/>
      <c r="S106" s="19"/>
      <c r="T106" s="19"/>
      <c r="U106" s="19"/>
      <c r="V106" s="19"/>
      <c r="W106" s="19"/>
      <c r="X106" s="19"/>
      <c r="Y106" s="19"/>
      <c r="Z106" s="19"/>
      <c r="AA106" s="19">
        <f t="shared" ref="AA106:AA111" si="34">SUM(O106:Z106)</f>
        <v>0</v>
      </c>
      <c r="AB106" s="15" t="str">
        <f t="shared" ref="AB106:AB111" si="35">IF(AA106=0,"",IFERROR(AA106/AA$19,""))</f>
        <v/>
      </c>
      <c r="AD106" s="19"/>
      <c r="AE106" s="15" t="str">
        <f t="shared" ref="AE106:AE111" si="36">IF(AD106=0,"",IFERROR(AD106/AD$19,""))</f>
        <v/>
      </c>
      <c r="AF106" s="47">
        <f t="shared" ref="AF106:AF111" si="37">IF(AND($AA106="",AD106=""),"",$AA106-AD106)</f>
        <v>0</v>
      </c>
      <c r="AG106" s="19"/>
      <c r="AH106" s="15" t="str">
        <f t="shared" ref="AH106:AH111" si="38">IF(AG106=0,"",IFERROR(AG106/AG$19,""))</f>
        <v/>
      </c>
      <c r="AI106" s="47">
        <f t="shared" ref="AI106:AI111" si="39">IF(AND($AA106="",AG106=""),"",$AA106-AG106)</f>
        <v>0</v>
      </c>
    </row>
    <row r="107" spans="3:35" x14ac:dyDescent="0.2">
      <c r="C107" s="23"/>
      <c r="H107" s="133" t="s">
        <v>305</v>
      </c>
      <c r="I107" s="25"/>
      <c r="J107" s="25"/>
      <c r="L107" s="24" t="e">
        <f ca="1">_xll.EVPRO($B$1,H107,"JDEID")</f>
        <v>#NAME?</v>
      </c>
      <c r="M107" s="24" t="str">
        <f>IF(AND(I107="N",J107="N"),_xll.EVPRO($B$1,H107,"PSFTID"),"")</f>
        <v/>
      </c>
      <c r="N107" s="24" t="e">
        <f ca="1">IF(_xll.EVDES(H107,$B$1)="#NODATA","",_xll.EVDES(H107,$B$1))</f>
        <v>#NAME?</v>
      </c>
      <c r="O107" s="19">
        <v>448</v>
      </c>
      <c r="P107" s="19"/>
      <c r="Q107" s="19"/>
      <c r="R107" s="19"/>
      <c r="S107" s="19"/>
      <c r="T107" s="19"/>
      <c r="U107" s="19"/>
      <c r="V107" s="19"/>
      <c r="W107" s="19"/>
      <c r="X107" s="19"/>
      <c r="Y107" s="19"/>
      <c r="Z107" s="19"/>
      <c r="AA107" s="19">
        <f t="shared" si="34"/>
        <v>448</v>
      </c>
      <c r="AB107" s="15" t="str">
        <f t="shared" ca="1" si="35"/>
        <v/>
      </c>
      <c r="AD107" s="19"/>
      <c r="AE107" s="15" t="str">
        <f t="shared" si="36"/>
        <v/>
      </c>
      <c r="AF107" s="47">
        <f t="shared" si="37"/>
        <v>448</v>
      </c>
      <c r="AG107" s="19">
        <v>33551.300000000003</v>
      </c>
      <c r="AH107" s="15" t="str">
        <f t="shared" ca="1" si="38"/>
        <v/>
      </c>
      <c r="AI107" s="47">
        <f t="shared" si="39"/>
        <v>-33103.300000000003</v>
      </c>
    </row>
    <row r="108" spans="3:35" x14ac:dyDescent="0.2">
      <c r="C108" s="23"/>
      <c r="H108" s="133" t="s">
        <v>306</v>
      </c>
      <c r="I108" s="25"/>
      <c r="J108" s="25"/>
      <c r="L108" s="24" t="e">
        <f ca="1">_xll.EVPRO($B$1,H108,"JDEID")</f>
        <v>#NAME?</v>
      </c>
      <c r="M108" s="24" t="str">
        <f>IF(AND(I108="N",J108="N"),_xll.EVPRO($B$1,H108,"PSFTID"),"")</f>
        <v/>
      </c>
      <c r="N108" s="24" t="e">
        <f ca="1">IF(_xll.EVDES(H108,$B$1)="#NODATA","",_xll.EVDES(H108,$B$1))</f>
        <v>#NAME?</v>
      </c>
      <c r="O108" s="19"/>
      <c r="P108" s="19"/>
      <c r="Q108" s="19"/>
      <c r="R108" s="19"/>
      <c r="S108" s="19"/>
      <c r="T108" s="19"/>
      <c r="U108" s="19"/>
      <c r="V108" s="19"/>
      <c r="W108" s="19"/>
      <c r="X108" s="19"/>
      <c r="Y108" s="19"/>
      <c r="Z108" s="19"/>
      <c r="AA108" s="19">
        <f t="shared" si="34"/>
        <v>0</v>
      </c>
      <c r="AB108" s="15" t="str">
        <f t="shared" si="35"/>
        <v/>
      </c>
      <c r="AD108" s="19"/>
      <c r="AE108" s="15" t="str">
        <f t="shared" si="36"/>
        <v/>
      </c>
      <c r="AF108" s="47">
        <f t="shared" si="37"/>
        <v>0</v>
      </c>
      <c r="AG108" s="19">
        <v>551</v>
      </c>
      <c r="AH108" s="15" t="str">
        <f t="shared" ca="1" si="38"/>
        <v/>
      </c>
      <c r="AI108" s="47">
        <f t="shared" si="39"/>
        <v>-551</v>
      </c>
    </row>
    <row r="109" spans="3:35" x14ac:dyDescent="0.2">
      <c r="C109" s="23"/>
      <c r="H109" s="133" t="s">
        <v>310</v>
      </c>
      <c r="I109" s="25"/>
      <c r="J109" s="25"/>
      <c r="L109" s="24" t="e">
        <f ca="1">_xll.EVPRO($B$1,H109,"JDEID")</f>
        <v>#NAME?</v>
      </c>
      <c r="M109" s="24" t="str">
        <f>IF(AND(I109="N",J109="N"),_xll.EVPRO($B$1,H109,"PSFTID"),"")</f>
        <v/>
      </c>
      <c r="N109" s="24" t="e">
        <f ca="1">IF(_xll.EVDES(H109,$B$1)="#NODATA","",_xll.EVDES(H109,$B$1))</f>
        <v>#NAME?</v>
      </c>
      <c r="O109" s="19"/>
      <c r="P109" s="19"/>
      <c r="Q109" s="19"/>
      <c r="R109" s="19"/>
      <c r="S109" s="19"/>
      <c r="T109" s="19"/>
      <c r="U109" s="19"/>
      <c r="V109" s="19"/>
      <c r="W109" s="19"/>
      <c r="X109" s="19"/>
      <c r="Y109" s="19"/>
      <c r="Z109" s="19"/>
      <c r="AA109" s="19">
        <f t="shared" si="34"/>
        <v>0</v>
      </c>
      <c r="AB109" s="15" t="str">
        <f t="shared" si="35"/>
        <v/>
      </c>
      <c r="AD109" s="19"/>
      <c r="AE109" s="15" t="str">
        <f t="shared" si="36"/>
        <v/>
      </c>
      <c r="AF109" s="47">
        <f t="shared" si="37"/>
        <v>0</v>
      </c>
      <c r="AG109" s="19"/>
      <c r="AH109" s="15" t="str">
        <f t="shared" si="38"/>
        <v/>
      </c>
      <c r="AI109" s="47">
        <f t="shared" si="39"/>
        <v>0</v>
      </c>
    </row>
    <row r="110" spans="3:35" x14ac:dyDescent="0.2">
      <c r="C110" s="23"/>
      <c r="H110" s="133" t="s">
        <v>323</v>
      </c>
      <c r="I110" s="25"/>
      <c r="J110" s="25"/>
      <c r="L110" s="24" t="e">
        <f ca="1">_xll.EVPRO($B$1,H110,"JDEID")</f>
        <v>#NAME?</v>
      </c>
      <c r="M110" s="24" t="str">
        <f>IF(AND(I110="N",J110="N"),_xll.EVPRO($B$1,H110,"PSFTID"),"")</f>
        <v/>
      </c>
      <c r="N110" s="24" t="e">
        <f ca="1">IF(_xll.EVDES(H110,$B$1)="#NODATA","",_xll.EVDES(H110,$B$1))</f>
        <v>#NAME?</v>
      </c>
      <c r="O110" s="19"/>
      <c r="P110" s="19"/>
      <c r="Q110" s="19"/>
      <c r="R110" s="19"/>
      <c r="S110" s="19"/>
      <c r="T110" s="19"/>
      <c r="U110" s="19"/>
      <c r="V110" s="19"/>
      <c r="W110" s="19"/>
      <c r="X110" s="19"/>
      <c r="Y110" s="19"/>
      <c r="Z110" s="19"/>
      <c r="AA110" s="19">
        <f t="shared" si="34"/>
        <v>0</v>
      </c>
      <c r="AB110" s="15" t="str">
        <f t="shared" si="35"/>
        <v/>
      </c>
      <c r="AD110" s="19"/>
      <c r="AE110" s="15" t="str">
        <f t="shared" si="36"/>
        <v/>
      </c>
      <c r="AF110" s="47">
        <f t="shared" si="37"/>
        <v>0</v>
      </c>
      <c r="AG110" s="19"/>
      <c r="AH110" s="15" t="str">
        <f t="shared" si="38"/>
        <v/>
      </c>
      <c r="AI110" s="47">
        <f t="shared" si="39"/>
        <v>0</v>
      </c>
    </row>
    <row r="111" spans="3:35" x14ac:dyDescent="0.2">
      <c r="C111" s="23"/>
      <c r="H111" s="133" t="s">
        <v>342</v>
      </c>
      <c r="I111" s="25"/>
      <c r="J111" s="25"/>
      <c r="L111" s="24" t="e">
        <f ca="1">_xll.EVPRO($B$1,H111,"JDEID")</f>
        <v>#NAME?</v>
      </c>
      <c r="M111" s="24" t="str">
        <f>IF(AND(I111="N",J111="N"),_xll.EVPRO($B$1,H111,"PSFTID"),"")</f>
        <v/>
      </c>
      <c r="N111" s="23" t="e">
        <f ca="1">IF(_xll.EVDES(H111,$B$1)="#NODATA","",_xll.EVDES(H111,$B$1))</f>
        <v>#NAME?</v>
      </c>
      <c r="O111" s="145">
        <v>448</v>
      </c>
      <c r="P111" s="145"/>
      <c r="Q111" s="145"/>
      <c r="R111" s="145"/>
      <c r="S111" s="145"/>
      <c r="T111" s="145"/>
      <c r="U111" s="145"/>
      <c r="V111" s="145"/>
      <c r="W111" s="145"/>
      <c r="X111" s="145"/>
      <c r="Y111" s="145"/>
      <c r="Z111" s="145"/>
      <c r="AA111" s="145">
        <f t="shared" si="34"/>
        <v>448</v>
      </c>
      <c r="AB111" s="156" t="str">
        <f t="shared" ca="1" si="35"/>
        <v/>
      </c>
      <c r="AD111" s="145"/>
      <c r="AE111" s="156" t="str">
        <f t="shared" si="36"/>
        <v/>
      </c>
      <c r="AF111" s="146">
        <f t="shared" si="37"/>
        <v>448</v>
      </c>
      <c r="AG111" s="145">
        <v>34102.300000000003</v>
      </c>
      <c r="AH111" s="156" t="str">
        <f t="shared" ca="1" si="38"/>
        <v/>
      </c>
      <c r="AI111" s="146">
        <f t="shared" si="39"/>
        <v>-33654.300000000003</v>
      </c>
    </row>
    <row r="112" spans="3:35" x14ac:dyDescent="0.2">
      <c r="C112" s="23"/>
      <c r="H112" s="133"/>
      <c r="I112" s="25"/>
      <c r="J112" s="25"/>
      <c r="L112" s="24"/>
      <c r="M112" s="24"/>
      <c r="N112" s="8"/>
      <c r="O112" s="38"/>
      <c r="P112" s="42"/>
      <c r="Q112" s="42"/>
      <c r="R112" s="42"/>
      <c r="S112" s="42"/>
      <c r="T112" s="42"/>
      <c r="U112" s="42"/>
      <c r="V112" s="42"/>
      <c r="W112" s="42"/>
      <c r="X112" s="42"/>
      <c r="Y112" s="42"/>
      <c r="Z112" s="42"/>
      <c r="AA112" s="42"/>
      <c r="AB112" s="39"/>
      <c r="AD112" s="38"/>
      <c r="AE112" s="42"/>
      <c r="AF112" s="39"/>
      <c r="AG112" s="38"/>
      <c r="AH112" s="42"/>
      <c r="AI112" s="39"/>
    </row>
    <row r="113" spans="3:35" x14ac:dyDescent="0.2">
      <c r="C113" s="23"/>
      <c r="H113" s="133"/>
      <c r="I113" s="25"/>
      <c r="J113" s="25"/>
      <c r="L113" s="24"/>
      <c r="M113" s="24"/>
      <c r="N113" s="8" t="s">
        <v>338</v>
      </c>
      <c r="O113" s="40"/>
      <c r="P113" s="43"/>
      <c r="Q113" s="43"/>
      <c r="R113" s="43"/>
      <c r="S113" s="43"/>
      <c r="T113" s="43"/>
      <c r="U113" s="43"/>
      <c r="V113" s="43"/>
      <c r="W113" s="43"/>
      <c r="X113" s="43"/>
      <c r="Y113" s="43"/>
      <c r="Z113" s="43"/>
      <c r="AA113" s="43"/>
      <c r="AB113" s="41"/>
      <c r="AD113" s="40"/>
      <c r="AE113" s="43"/>
      <c r="AF113" s="41"/>
      <c r="AG113" s="40"/>
      <c r="AH113" s="43"/>
      <c r="AI113" s="41"/>
    </row>
    <row r="114" spans="3:35" x14ac:dyDescent="0.2">
      <c r="C114" s="23"/>
      <c r="H114" s="133" t="s">
        <v>296</v>
      </c>
      <c r="I114" s="25"/>
      <c r="J114" s="25"/>
      <c r="L114" s="24" t="e">
        <f ca="1">_xll.EVPRO($B$1,H114,"JDEID")</f>
        <v>#NAME?</v>
      </c>
      <c r="M114" s="24" t="str">
        <f>IF(AND(I114="N",J114="N"),_xll.EVPRO($B$1,H114,"PSFTID"),"")</f>
        <v/>
      </c>
      <c r="N114" s="24" t="e">
        <f ca="1">IF(_xll.EVDES(H114,$B$1)="#NODATA","",_xll.EVDES(H114,$B$1))</f>
        <v>#NAME?</v>
      </c>
      <c r="O114" s="19"/>
      <c r="P114" s="19"/>
      <c r="Q114" s="19"/>
      <c r="R114" s="19"/>
      <c r="S114" s="19"/>
      <c r="T114" s="19"/>
      <c r="U114" s="19"/>
      <c r="V114" s="19"/>
      <c r="W114" s="19"/>
      <c r="X114" s="19"/>
      <c r="Y114" s="19"/>
      <c r="Z114" s="19"/>
      <c r="AA114" s="19">
        <f t="shared" ref="AA114:AA119" si="40">SUM(O114:Z114)</f>
        <v>0</v>
      </c>
      <c r="AB114" s="15" t="str">
        <f t="shared" ref="AB114:AB119" si="41">IF(AA114=0,"",IFERROR(AA114/AA$19,""))</f>
        <v/>
      </c>
      <c r="AD114" s="19"/>
      <c r="AE114" s="15" t="str">
        <f t="shared" ref="AE114:AE119" si="42">IF(AD114=0,"",IFERROR(AD114/AD$19,""))</f>
        <v/>
      </c>
      <c r="AF114" s="47">
        <f t="shared" ref="AF114:AF119" si="43">IF(AND($AA114="",AD114=""),"",$AA114-AD114)</f>
        <v>0</v>
      </c>
      <c r="AG114" s="19"/>
      <c r="AH114" s="15" t="str">
        <f t="shared" ref="AH114:AH119" si="44">IF(AG114=0,"",IFERROR(AG114/AG$19,""))</f>
        <v/>
      </c>
      <c r="AI114" s="47">
        <f t="shared" ref="AI114:AI119" si="45">IF(AND($AA114="",AG114=""),"",$AA114-AG114)</f>
        <v>0</v>
      </c>
    </row>
    <row r="115" spans="3:35" x14ac:dyDescent="0.2">
      <c r="C115" s="23"/>
      <c r="H115" s="133" t="s">
        <v>303</v>
      </c>
      <c r="I115" s="25"/>
      <c r="J115" s="25"/>
      <c r="L115" s="24" t="e">
        <f ca="1">_xll.EVPRO($B$1,H115,"JDEID")</f>
        <v>#NAME?</v>
      </c>
      <c r="M115" s="24" t="str">
        <f>IF(AND(I115="N",J115="N"),_xll.EVPRO($B$1,H115,"PSFTID"),"")</f>
        <v/>
      </c>
      <c r="N115" s="24" t="e">
        <f ca="1">IF(_xll.EVDES(H115,$B$1)="#NODATA","",_xll.EVDES(H115,$B$1))</f>
        <v>#NAME?</v>
      </c>
      <c r="O115" s="19">
        <v>330</v>
      </c>
      <c r="P115" s="19"/>
      <c r="Q115" s="19"/>
      <c r="R115" s="19"/>
      <c r="S115" s="19"/>
      <c r="T115" s="19"/>
      <c r="U115" s="19"/>
      <c r="V115" s="19"/>
      <c r="W115" s="19"/>
      <c r="X115" s="19"/>
      <c r="Y115" s="19"/>
      <c r="Z115" s="19"/>
      <c r="AA115" s="19">
        <f t="shared" si="40"/>
        <v>330</v>
      </c>
      <c r="AB115" s="15" t="str">
        <f t="shared" ca="1" si="41"/>
        <v/>
      </c>
      <c r="AD115" s="19"/>
      <c r="AE115" s="15" t="str">
        <f t="shared" si="42"/>
        <v/>
      </c>
      <c r="AF115" s="47">
        <f t="shared" si="43"/>
        <v>330</v>
      </c>
      <c r="AG115" s="19">
        <v>16665.2</v>
      </c>
      <c r="AH115" s="15" t="str">
        <f t="shared" ca="1" si="44"/>
        <v/>
      </c>
      <c r="AI115" s="47">
        <f t="shared" si="45"/>
        <v>-16335.2</v>
      </c>
    </row>
    <row r="116" spans="3:35" x14ac:dyDescent="0.2">
      <c r="C116" s="23"/>
      <c r="H116" s="133" t="s">
        <v>304</v>
      </c>
      <c r="I116" s="25"/>
      <c r="J116" s="25"/>
      <c r="L116" s="24" t="e">
        <f ca="1">_xll.EVPRO($B$1,H116,"JDEID")</f>
        <v>#NAME?</v>
      </c>
      <c r="M116" s="24" t="str">
        <f>IF(AND(I116="N",J116="N"),_xll.EVPRO($B$1,H116,"PSFTID"),"")</f>
        <v/>
      </c>
      <c r="N116" s="24" t="e">
        <f ca="1">IF(_xll.EVDES(H116,$B$1)="#NODATA","",_xll.EVDES(H116,$B$1))</f>
        <v>#NAME?</v>
      </c>
      <c r="O116" s="19"/>
      <c r="P116" s="19"/>
      <c r="Q116" s="19"/>
      <c r="R116" s="19"/>
      <c r="S116" s="19"/>
      <c r="T116" s="19"/>
      <c r="U116" s="19"/>
      <c r="V116" s="19"/>
      <c r="W116" s="19"/>
      <c r="X116" s="19"/>
      <c r="Y116" s="19"/>
      <c r="Z116" s="19"/>
      <c r="AA116" s="19">
        <f t="shared" si="40"/>
        <v>0</v>
      </c>
      <c r="AB116" s="15" t="str">
        <f t="shared" si="41"/>
        <v/>
      </c>
      <c r="AD116" s="19"/>
      <c r="AE116" s="15" t="str">
        <f t="shared" si="42"/>
        <v/>
      </c>
      <c r="AF116" s="47">
        <f t="shared" si="43"/>
        <v>0</v>
      </c>
      <c r="AG116" s="19">
        <v>61</v>
      </c>
      <c r="AH116" s="15" t="str">
        <f t="shared" ca="1" si="44"/>
        <v/>
      </c>
      <c r="AI116" s="47">
        <f t="shared" si="45"/>
        <v>-61</v>
      </c>
    </row>
    <row r="117" spans="3:35" x14ac:dyDescent="0.2">
      <c r="C117" s="23"/>
      <c r="H117" s="133" t="s">
        <v>309</v>
      </c>
      <c r="I117" s="25"/>
      <c r="J117" s="25"/>
      <c r="L117" s="24" t="e">
        <f ca="1">_xll.EVPRO($B$1,H117,"JDEID")</f>
        <v>#NAME?</v>
      </c>
      <c r="M117" s="24" t="str">
        <f>IF(AND(I117="N",J117="N"),_xll.EVPRO($B$1,H117,"PSFTID"),"")</f>
        <v/>
      </c>
      <c r="N117" s="24" t="e">
        <f ca="1">IF(_xll.EVDES(H117,$B$1)="#NODATA","",_xll.EVDES(H117,$B$1))</f>
        <v>#NAME?</v>
      </c>
      <c r="O117" s="19"/>
      <c r="P117" s="19"/>
      <c r="Q117" s="19"/>
      <c r="R117" s="19"/>
      <c r="S117" s="19"/>
      <c r="T117" s="19"/>
      <c r="U117" s="19"/>
      <c r="V117" s="19"/>
      <c r="W117" s="19"/>
      <c r="X117" s="19"/>
      <c r="Y117" s="19"/>
      <c r="Z117" s="19"/>
      <c r="AA117" s="19">
        <f t="shared" si="40"/>
        <v>0</v>
      </c>
      <c r="AB117" s="15" t="str">
        <f t="shared" si="41"/>
        <v/>
      </c>
      <c r="AD117" s="19"/>
      <c r="AE117" s="15" t="str">
        <f t="shared" si="42"/>
        <v/>
      </c>
      <c r="AF117" s="47">
        <f t="shared" si="43"/>
        <v>0</v>
      </c>
      <c r="AG117" s="19">
        <v>0</v>
      </c>
      <c r="AH117" s="15" t="str">
        <f t="shared" si="44"/>
        <v/>
      </c>
      <c r="AI117" s="47">
        <f t="shared" si="45"/>
        <v>0</v>
      </c>
    </row>
    <row r="118" spans="3:35" x14ac:dyDescent="0.2">
      <c r="C118" s="23"/>
      <c r="H118" s="133" t="s">
        <v>322</v>
      </c>
      <c r="I118" s="25"/>
      <c r="J118" s="25"/>
      <c r="L118" s="24" t="e">
        <f ca="1">_xll.EVPRO($B$1,H118,"JDEID")</f>
        <v>#NAME?</v>
      </c>
      <c r="M118" s="24" t="str">
        <f>IF(AND(I118="N",J118="N"),_xll.EVPRO($B$1,H118,"PSFTID"),"")</f>
        <v/>
      </c>
      <c r="N118" s="24" t="e">
        <f ca="1">IF(_xll.EVDES(H118,$B$1)="#NODATA","",_xll.EVDES(H118,$B$1))</f>
        <v>#NAME?</v>
      </c>
      <c r="O118" s="19"/>
      <c r="P118" s="19"/>
      <c r="Q118" s="19"/>
      <c r="R118" s="19"/>
      <c r="S118" s="19"/>
      <c r="T118" s="19"/>
      <c r="U118" s="19"/>
      <c r="V118" s="19"/>
      <c r="W118" s="19"/>
      <c r="X118" s="19"/>
      <c r="Y118" s="19"/>
      <c r="Z118" s="19"/>
      <c r="AA118" s="19">
        <f t="shared" si="40"/>
        <v>0</v>
      </c>
      <c r="AB118" s="15" t="str">
        <f t="shared" si="41"/>
        <v/>
      </c>
      <c r="AD118" s="19"/>
      <c r="AE118" s="15" t="str">
        <f t="shared" si="42"/>
        <v/>
      </c>
      <c r="AF118" s="47">
        <f t="shared" si="43"/>
        <v>0</v>
      </c>
      <c r="AG118" s="19"/>
      <c r="AH118" s="15" t="str">
        <f t="shared" si="44"/>
        <v/>
      </c>
      <c r="AI118" s="47">
        <f t="shared" si="45"/>
        <v>0</v>
      </c>
    </row>
    <row r="119" spans="3:35" x14ac:dyDescent="0.2">
      <c r="C119" s="23"/>
      <c r="H119" s="133" t="s">
        <v>341</v>
      </c>
      <c r="I119" s="25"/>
      <c r="J119" s="25"/>
      <c r="L119" s="24" t="e">
        <f ca="1">_xll.EVPRO($B$1,H119,"JDEID")</f>
        <v>#NAME?</v>
      </c>
      <c r="M119" s="24" t="str">
        <f>IF(AND(I119="N",J119="N"),_xll.EVPRO($B$1,H119,"PSFTID"),"")</f>
        <v/>
      </c>
      <c r="N119" s="23" t="e">
        <f ca="1">IF(_xll.EVDES(H119,$B$1)="#NODATA","",_xll.EVDES(H119,$B$1))</f>
        <v>#NAME?</v>
      </c>
      <c r="O119" s="145">
        <v>330</v>
      </c>
      <c r="P119" s="145"/>
      <c r="Q119" s="145"/>
      <c r="R119" s="145"/>
      <c r="S119" s="145"/>
      <c r="T119" s="145"/>
      <c r="U119" s="145"/>
      <c r="V119" s="145"/>
      <c r="W119" s="145"/>
      <c r="X119" s="145"/>
      <c r="Y119" s="145"/>
      <c r="Z119" s="145"/>
      <c r="AA119" s="145">
        <f t="shared" si="40"/>
        <v>330</v>
      </c>
      <c r="AB119" s="156" t="str">
        <f t="shared" ca="1" si="41"/>
        <v/>
      </c>
      <c r="AD119" s="145"/>
      <c r="AE119" s="156" t="str">
        <f t="shared" si="42"/>
        <v/>
      </c>
      <c r="AF119" s="146">
        <f t="shared" si="43"/>
        <v>330</v>
      </c>
      <c r="AG119" s="145">
        <v>16726.2</v>
      </c>
      <c r="AH119" s="156" t="str">
        <f t="shared" ca="1" si="44"/>
        <v/>
      </c>
      <c r="AI119" s="146">
        <f t="shared" si="45"/>
        <v>-16396.2</v>
      </c>
    </row>
    <row r="120" spans="3:35" x14ac:dyDescent="0.2">
      <c r="C120" s="23"/>
      <c r="H120" s="133"/>
      <c r="I120" s="25"/>
      <c r="J120" s="25"/>
      <c r="L120" s="24"/>
      <c r="M120" s="24"/>
      <c r="O120" s="38"/>
      <c r="P120" s="42"/>
      <c r="Q120" s="42"/>
      <c r="R120" s="42"/>
      <c r="S120" s="42"/>
      <c r="T120" s="42"/>
      <c r="U120" s="42"/>
      <c r="V120" s="42"/>
      <c r="W120" s="42"/>
      <c r="X120" s="42"/>
      <c r="Y120" s="42"/>
      <c r="Z120" s="42"/>
      <c r="AA120" s="42"/>
      <c r="AB120" s="39"/>
      <c r="AD120" s="38"/>
      <c r="AE120" s="42"/>
      <c r="AF120" s="39"/>
      <c r="AG120" s="38"/>
      <c r="AH120" s="42"/>
      <c r="AI120" s="39"/>
    </row>
    <row r="121" spans="3:35" x14ac:dyDescent="0.2">
      <c r="C121" s="23"/>
      <c r="H121" s="10" t="s">
        <v>267</v>
      </c>
      <c r="I121" s="25"/>
      <c r="J121" s="25"/>
      <c r="L121" s="24" t="e">
        <f ca="1">_xll.EVPRO($B$1,H121,"JDEID")</f>
        <v>#NAME?</v>
      </c>
      <c r="M121" s="24" t="str">
        <f>IF(AND(I121="N",J121="N"),_xll.EVPRO($B$1,H121,"PSFTID"),"")</f>
        <v/>
      </c>
      <c r="N121" s="24" t="e">
        <f ca="1">IF(_xll.EVDES(H121,$B$1)="#NODATA","",_xll.EVDES(H121,$B$1))</f>
        <v>#NAME?</v>
      </c>
      <c r="O121" s="19">
        <f t="shared" ref="O121:Z121" si="46">O98+O106+O114</f>
        <v>0</v>
      </c>
      <c r="P121" s="19">
        <f t="shared" si="46"/>
        <v>0</v>
      </c>
      <c r="Q121" s="19">
        <f t="shared" si="46"/>
        <v>0</v>
      </c>
      <c r="R121" s="19">
        <f t="shared" si="46"/>
        <v>0</v>
      </c>
      <c r="S121" s="19">
        <f t="shared" si="46"/>
        <v>0</v>
      </c>
      <c r="T121" s="19">
        <f t="shared" si="46"/>
        <v>0</v>
      </c>
      <c r="U121" s="19">
        <f t="shared" si="46"/>
        <v>0</v>
      </c>
      <c r="V121" s="19">
        <f t="shared" si="46"/>
        <v>0</v>
      </c>
      <c r="W121" s="19">
        <f t="shared" si="46"/>
        <v>0</v>
      </c>
      <c r="X121" s="19">
        <f t="shared" si="46"/>
        <v>0</v>
      </c>
      <c r="Y121" s="19">
        <f t="shared" si="46"/>
        <v>0</v>
      </c>
      <c r="Z121" s="19">
        <f t="shared" si="46"/>
        <v>0</v>
      </c>
      <c r="AA121" s="19">
        <f t="shared" ref="AA121:AA126" si="47">SUM(O121:Z121)</f>
        <v>0</v>
      </c>
      <c r="AB121" s="15" t="str">
        <f t="shared" ref="AB121:AB126" si="48">IF(AA121=0,"",IFERROR(AA121/AA$19,""))</f>
        <v/>
      </c>
      <c r="AD121" s="19">
        <f>AD98+AD106+AD114</f>
        <v>0</v>
      </c>
      <c r="AE121" s="15" t="str">
        <f t="shared" ref="AE121:AE126" si="49">IF(AD121=0,"",IFERROR(AD121/AD$19,""))</f>
        <v/>
      </c>
      <c r="AF121" s="47">
        <f t="shared" ref="AF121:AF126" si="50">IF(AND($AA121="",AD121=""),"",$AA121-AD121)</f>
        <v>0</v>
      </c>
      <c r="AG121" s="19">
        <f>AG98+AG106+AG114</f>
        <v>116</v>
      </c>
      <c r="AH121" s="15" t="str">
        <f t="shared" ref="AH121:AH126" ca="1" si="51">IF(AG121=0,"",IFERROR(AG121/AG$19,""))</f>
        <v/>
      </c>
      <c r="AI121" s="47">
        <f t="shared" ref="AI121:AI126" si="52">IF(AND($AA121="",AG121=""),"",$AA121-AG121)</f>
        <v>-116</v>
      </c>
    </row>
    <row r="122" spans="3:35" x14ac:dyDescent="0.2">
      <c r="C122" s="23"/>
      <c r="H122" s="10" t="s">
        <v>268</v>
      </c>
      <c r="I122" s="25"/>
      <c r="J122" s="25"/>
      <c r="L122" s="24" t="e">
        <f ca="1">_xll.EVPRO($B$1,H122,"JDEID")</f>
        <v>#NAME?</v>
      </c>
      <c r="M122" s="24" t="str">
        <f>IF(AND(I122="N",J122="N"),_xll.EVPRO($B$1,H122,"PSFTID"),"")</f>
        <v/>
      </c>
      <c r="N122" s="24" t="e">
        <f ca="1">IF(_xll.EVDES(H122,$B$1)="#NODATA","",_xll.EVDES(H122,$B$1))</f>
        <v>#NAME?</v>
      </c>
      <c r="O122" s="19">
        <f t="shared" ref="O122:Z122" si="53">O99+O107+O115</f>
        <v>2103</v>
      </c>
      <c r="P122" s="19">
        <f t="shared" si="53"/>
        <v>0</v>
      </c>
      <c r="Q122" s="19">
        <f t="shared" si="53"/>
        <v>0</v>
      </c>
      <c r="R122" s="19">
        <f t="shared" si="53"/>
        <v>0</v>
      </c>
      <c r="S122" s="19">
        <f t="shared" si="53"/>
        <v>0</v>
      </c>
      <c r="T122" s="19">
        <f t="shared" si="53"/>
        <v>0</v>
      </c>
      <c r="U122" s="19">
        <f t="shared" si="53"/>
        <v>0</v>
      </c>
      <c r="V122" s="19">
        <f t="shared" si="53"/>
        <v>0</v>
      </c>
      <c r="W122" s="19">
        <f t="shared" si="53"/>
        <v>0</v>
      </c>
      <c r="X122" s="19">
        <f t="shared" si="53"/>
        <v>0</v>
      </c>
      <c r="Y122" s="19">
        <f t="shared" si="53"/>
        <v>0</v>
      </c>
      <c r="Z122" s="19">
        <f t="shared" si="53"/>
        <v>0</v>
      </c>
      <c r="AA122" s="19">
        <f t="shared" si="47"/>
        <v>2103</v>
      </c>
      <c r="AB122" s="15" t="str">
        <f t="shared" ca="1" si="48"/>
        <v/>
      </c>
      <c r="AD122" s="19">
        <f>AD99+AD107+AD115</f>
        <v>0</v>
      </c>
      <c r="AE122" s="15" t="str">
        <f t="shared" si="49"/>
        <v/>
      </c>
      <c r="AF122" s="47">
        <f t="shared" si="50"/>
        <v>2103</v>
      </c>
      <c r="AG122" s="19">
        <f>AG99+AG107+AG115</f>
        <v>199393.22000000003</v>
      </c>
      <c r="AH122" s="15" t="str">
        <f t="shared" ca="1" si="51"/>
        <v/>
      </c>
      <c r="AI122" s="47">
        <f t="shared" si="52"/>
        <v>-197290.22000000003</v>
      </c>
    </row>
    <row r="123" spans="3:35" x14ac:dyDescent="0.2">
      <c r="C123" s="23"/>
      <c r="H123" s="133" t="s">
        <v>269</v>
      </c>
      <c r="I123" s="25"/>
      <c r="J123" s="25"/>
      <c r="L123" s="24" t="e">
        <f ca="1">_xll.EVPRO($B$1,H123,"JDEID")</f>
        <v>#NAME?</v>
      </c>
      <c r="M123" s="24" t="str">
        <f>IF(AND(I123="N",J123="N"),_xll.EVPRO($B$1,H123,"PSFTID"),"")</f>
        <v/>
      </c>
      <c r="N123" s="24" t="e">
        <f ca="1">IF(_xll.EVDES(H123,$B$1)="#NODATA","",_xll.EVDES(H123,$B$1))</f>
        <v>#NAME?</v>
      </c>
      <c r="O123" s="19">
        <f t="shared" ref="O123:Z123" si="54">O100+O108+O116</f>
        <v>0</v>
      </c>
      <c r="P123" s="19">
        <f t="shared" si="54"/>
        <v>0</v>
      </c>
      <c r="Q123" s="19">
        <f t="shared" si="54"/>
        <v>0</v>
      </c>
      <c r="R123" s="19">
        <f t="shared" si="54"/>
        <v>0</v>
      </c>
      <c r="S123" s="19">
        <f t="shared" si="54"/>
        <v>0</v>
      </c>
      <c r="T123" s="19">
        <f t="shared" si="54"/>
        <v>0</v>
      </c>
      <c r="U123" s="19">
        <f t="shared" si="54"/>
        <v>0</v>
      </c>
      <c r="V123" s="19">
        <f t="shared" si="54"/>
        <v>0</v>
      </c>
      <c r="W123" s="19">
        <f t="shared" si="54"/>
        <v>0</v>
      </c>
      <c r="X123" s="19">
        <f t="shared" si="54"/>
        <v>0</v>
      </c>
      <c r="Y123" s="19">
        <f t="shared" si="54"/>
        <v>0</v>
      </c>
      <c r="Z123" s="19">
        <f t="shared" si="54"/>
        <v>0</v>
      </c>
      <c r="AA123" s="19">
        <f t="shared" si="47"/>
        <v>0</v>
      </c>
      <c r="AB123" s="15" t="str">
        <f t="shared" si="48"/>
        <v/>
      </c>
      <c r="AD123" s="19">
        <f>AD100+AD108+AD116</f>
        <v>0</v>
      </c>
      <c r="AE123" s="15" t="str">
        <f t="shared" si="49"/>
        <v/>
      </c>
      <c r="AF123" s="47">
        <f t="shared" si="50"/>
        <v>0</v>
      </c>
      <c r="AG123" s="19">
        <f>AG100+AG108+AG116</f>
        <v>3549</v>
      </c>
      <c r="AH123" s="15" t="str">
        <f t="shared" ca="1" si="51"/>
        <v/>
      </c>
      <c r="AI123" s="47">
        <f t="shared" si="52"/>
        <v>-3549</v>
      </c>
    </row>
    <row r="124" spans="3:35" x14ac:dyDescent="0.2">
      <c r="C124" s="23"/>
      <c r="H124" s="133" t="s">
        <v>270</v>
      </c>
      <c r="I124" s="25"/>
      <c r="J124" s="25"/>
      <c r="L124" s="24" t="e">
        <f ca="1">_xll.EVPRO($B$1,H124,"JDEID")</f>
        <v>#NAME?</v>
      </c>
      <c r="M124" s="24" t="str">
        <f>IF(AND(I124="N",J124="N"),_xll.EVPRO($B$1,H124,"PSFTID"),"")</f>
        <v/>
      </c>
      <c r="N124" s="24" t="e">
        <f ca="1">IF(_xll.EVDES(H124,$B$1)="#NODATA","",_xll.EVDES(H124,$B$1))</f>
        <v>#NAME?</v>
      </c>
      <c r="O124" s="19">
        <f t="shared" ref="O124:Z124" si="55">O101+O109+O117</f>
        <v>0</v>
      </c>
      <c r="P124" s="19">
        <f t="shared" si="55"/>
        <v>0</v>
      </c>
      <c r="Q124" s="19">
        <f t="shared" si="55"/>
        <v>0</v>
      </c>
      <c r="R124" s="19">
        <f t="shared" si="55"/>
        <v>0</v>
      </c>
      <c r="S124" s="19">
        <f t="shared" si="55"/>
        <v>0</v>
      </c>
      <c r="T124" s="19">
        <f t="shared" si="55"/>
        <v>0</v>
      </c>
      <c r="U124" s="19">
        <f t="shared" si="55"/>
        <v>0</v>
      </c>
      <c r="V124" s="19">
        <f t="shared" si="55"/>
        <v>0</v>
      </c>
      <c r="W124" s="19">
        <f t="shared" si="55"/>
        <v>0</v>
      </c>
      <c r="X124" s="19">
        <f t="shared" si="55"/>
        <v>0</v>
      </c>
      <c r="Y124" s="19">
        <f t="shared" si="55"/>
        <v>0</v>
      </c>
      <c r="Z124" s="19">
        <f t="shared" si="55"/>
        <v>0</v>
      </c>
      <c r="AA124" s="19">
        <f t="shared" si="47"/>
        <v>0</v>
      </c>
      <c r="AB124" s="15" t="str">
        <f t="shared" si="48"/>
        <v/>
      </c>
      <c r="AD124" s="19">
        <f>AD101+AD109+AD117</f>
        <v>0</v>
      </c>
      <c r="AE124" s="15" t="str">
        <f t="shared" si="49"/>
        <v/>
      </c>
      <c r="AF124" s="47">
        <f t="shared" si="50"/>
        <v>0</v>
      </c>
      <c r="AG124" s="19">
        <f>AG101+AG109+AG117</f>
        <v>0</v>
      </c>
      <c r="AH124" s="15" t="str">
        <f t="shared" si="51"/>
        <v/>
      </c>
      <c r="AI124" s="47">
        <f t="shared" si="52"/>
        <v>0</v>
      </c>
    </row>
    <row r="125" spans="3:35" x14ac:dyDescent="0.2">
      <c r="C125" s="23"/>
      <c r="H125" s="133" t="s">
        <v>271</v>
      </c>
      <c r="I125" s="25"/>
      <c r="J125" s="25"/>
      <c r="L125" s="24" t="e">
        <f ca="1">_xll.EVPRO($B$1,H125,"JDEID")</f>
        <v>#NAME?</v>
      </c>
      <c r="M125" s="24" t="str">
        <f>IF(AND(I125="N",J125="N"),_xll.EVPRO($B$1,H125,"PSFTID"),"")</f>
        <v/>
      </c>
      <c r="N125" s="24" t="e">
        <f ca="1">IF(_xll.EVDES(H125,$B$1)="#NODATA","",_xll.EVDES(H125,$B$1))</f>
        <v>#NAME?</v>
      </c>
      <c r="O125" s="19">
        <f t="shared" ref="O125:Z125" si="56">O102+O110+O118</f>
        <v>0</v>
      </c>
      <c r="P125" s="19">
        <f t="shared" si="56"/>
        <v>0</v>
      </c>
      <c r="Q125" s="19">
        <f t="shared" si="56"/>
        <v>0</v>
      </c>
      <c r="R125" s="19">
        <f t="shared" si="56"/>
        <v>0</v>
      </c>
      <c r="S125" s="19">
        <f t="shared" si="56"/>
        <v>0</v>
      </c>
      <c r="T125" s="19">
        <f t="shared" si="56"/>
        <v>0</v>
      </c>
      <c r="U125" s="19">
        <f t="shared" si="56"/>
        <v>0</v>
      </c>
      <c r="V125" s="19">
        <f t="shared" si="56"/>
        <v>0</v>
      </c>
      <c r="W125" s="19">
        <f t="shared" si="56"/>
        <v>0</v>
      </c>
      <c r="X125" s="19">
        <f t="shared" si="56"/>
        <v>0</v>
      </c>
      <c r="Y125" s="19">
        <f t="shared" si="56"/>
        <v>0</v>
      </c>
      <c r="Z125" s="19">
        <f t="shared" si="56"/>
        <v>0</v>
      </c>
      <c r="AA125" s="19">
        <f t="shared" si="47"/>
        <v>0</v>
      </c>
      <c r="AB125" s="15" t="str">
        <f t="shared" si="48"/>
        <v/>
      </c>
      <c r="AD125" s="19">
        <f>AD102+AD110+AD118</f>
        <v>0</v>
      </c>
      <c r="AE125" s="15" t="str">
        <f t="shared" si="49"/>
        <v/>
      </c>
      <c r="AF125" s="47">
        <f t="shared" si="50"/>
        <v>0</v>
      </c>
      <c r="AG125" s="19">
        <f>AG102+AG110+AG118</f>
        <v>0</v>
      </c>
      <c r="AH125" s="15" t="str">
        <f t="shared" si="51"/>
        <v/>
      </c>
      <c r="AI125" s="47">
        <f t="shared" si="52"/>
        <v>0</v>
      </c>
    </row>
    <row r="126" spans="3:35" x14ac:dyDescent="0.2">
      <c r="C126" s="23"/>
      <c r="H126" s="10" t="s">
        <v>272</v>
      </c>
      <c r="I126" s="25"/>
      <c r="J126" s="25"/>
      <c r="L126" s="24" t="e">
        <f ca="1">_xll.EVPRO($B$1,H126,"JDEID")</f>
        <v>#NAME?</v>
      </c>
      <c r="M126" s="24" t="str">
        <f>IF(AND(I126="N",J126="N"),_xll.EVPRO($B$1,H126,"PSFTID"),"")</f>
        <v/>
      </c>
      <c r="N126" s="23" t="e">
        <f ca="1">IF(_xll.EVDES(H126,$B$1)="#NODATA","",_xll.EVDES(H126,$B$1))</f>
        <v>#NAME?</v>
      </c>
      <c r="O126" s="145">
        <f t="shared" ref="O126:Z126" si="57">SUM(O121:O125)</f>
        <v>2103</v>
      </c>
      <c r="P126" s="145">
        <f t="shared" si="57"/>
        <v>0</v>
      </c>
      <c r="Q126" s="145">
        <f t="shared" si="57"/>
        <v>0</v>
      </c>
      <c r="R126" s="145">
        <f t="shared" si="57"/>
        <v>0</v>
      </c>
      <c r="S126" s="145">
        <f t="shared" si="57"/>
        <v>0</v>
      </c>
      <c r="T126" s="145">
        <f t="shared" si="57"/>
        <v>0</v>
      </c>
      <c r="U126" s="145">
        <f t="shared" si="57"/>
        <v>0</v>
      </c>
      <c r="V126" s="145">
        <f t="shared" si="57"/>
        <v>0</v>
      </c>
      <c r="W126" s="145">
        <f t="shared" si="57"/>
        <v>0</v>
      </c>
      <c r="X126" s="145">
        <f t="shared" si="57"/>
        <v>0</v>
      </c>
      <c r="Y126" s="145">
        <f t="shared" si="57"/>
        <v>0</v>
      </c>
      <c r="Z126" s="145">
        <f t="shared" si="57"/>
        <v>0</v>
      </c>
      <c r="AA126" s="145">
        <f t="shared" si="47"/>
        <v>2103</v>
      </c>
      <c r="AB126" s="156" t="str">
        <f t="shared" ca="1" si="48"/>
        <v/>
      </c>
      <c r="AD126" s="145">
        <f>SUM(AD121:AD125)</f>
        <v>0</v>
      </c>
      <c r="AE126" s="156" t="str">
        <f t="shared" si="49"/>
        <v/>
      </c>
      <c r="AF126" s="146">
        <f t="shared" si="50"/>
        <v>2103</v>
      </c>
      <c r="AG126" s="145">
        <f>SUM(AG121:AG125)</f>
        <v>203058.22000000003</v>
      </c>
      <c r="AH126" s="156" t="str">
        <f t="shared" ca="1" si="51"/>
        <v/>
      </c>
      <c r="AI126" s="146">
        <f t="shared" si="52"/>
        <v>-200955.22000000003</v>
      </c>
    </row>
    <row r="127" spans="3:35" x14ac:dyDescent="0.2">
      <c r="C127" s="23"/>
      <c r="H127" s="133"/>
      <c r="I127" s="25"/>
      <c r="J127" s="25"/>
      <c r="O127" s="124">
        <f t="shared" ref="O127:AA127" si="58">O103+O111+O119-O126</f>
        <v>0</v>
      </c>
      <c r="P127" s="124">
        <f t="shared" si="58"/>
        <v>0</v>
      </c>
      <c r="Q127" s="124">
        <f t="shared" si="58"/>
        <v>0</v>
      </c>
      <c r="R127" s="124">
        <f t="shared" si="58"/>
        <v>0</v>
      </c>
      <c r="S127" s="124">
        <f t="shared" si="58"/>
        <v>0</v>
      </c>
      <c r="T127" s="124">
        <f t="shared" si="58"/>
        <v>0</v>
      </c>
      <c r="U127" s="124">
        <f t="shared" si="58"/>
        <v>0</v>
      </c>
      <c r="V127" s="124">
        <f t="shared" si="58"/>
        <v>0</v>
      </c>
      <c r="W127" s="124">
        <f t="shared" si="58"/>
        <v>0</v>
      </c>
      <c r="X127" s="124">
        <f t="shared" si="58"/>
        <v>0</v>
      </c>
      <c r="Y127" s="124">
        <f t="shared" si="58"/>
        <v>0</v>
      </c>
      <c r="Z127" s="124">
        <f t="shared" si="58"/>
        <v>0</v>
      </c>
      <c r="AA127" s="124">
        <f t="shared" si="58"/>
        <v>0</v>
      </c>
      <c r="AB127" s="15"/>
      <c r="AD127" s="124">
        <f>AD103+AD111+AD119-AD126</f>
        <v>0</v>
      </c>
      <c r="AE127" s="15"/>
      <c r="AF127" s="19"/>
      <c r="AG127" s="124">
        <f>AG103+AG111+AG119-AG126</f>
        <v>0</v>
      </c>
      <c r="AH127" s="15"/>
      <c r="AI127" s="19"/>
    </row>
    <row r="128" spans="3:35" x14ac:dyDescent="0.2">
      <c r="C128" s="23"/>
      <c r="H128" s="133"/>
      <c r="I128" s="25"/>
      <c r="J128" s="25"/>
      <c r="O128" s="38"/>
      <c r="P128" s="42"/>
      <c r="Q128" s="42"/>
      <c r="R128" s="42"/>
      <c r="S128" s="42"/>
      <c r="T128" s="42"/>
      <c r="U128" s="42"/>
      <c r="V128" s="42"/>
      <c r="W128" s="42"/>
      <c r="X128" s="42"/>
      <c r="Y128" s="42"/>
      <c r="Z128" s="42"/>
      <c r="AA128" s="42"/>
      <c r="AB128" s="39"/>
      <c r="AD128" s="38"/>
      <c r="AE128" s="42"/>
      <c r="AF128" s="39"/>
      <c r="AG128" s="38"/>
      <c r="AH128" s="42"/>
      <c r="AI128" s="39"/>
    </row>
    <row r="129" spans="3:35" ht="16" x14ac:dyDescent="0.2">
      <c r="C129" s="23"/>
      <c r="H129" s="133" t="s">
        <v>281</v>
      </c>
      <c r="I129" s="25"/>
      <c r="J129" s="25"/>
      <c r="N129" s="155" t="e">
        <f ca="1">IF(_xll.EVDES(H129,$B$1)="#NODATA","",_xll.EVDES(H129,$B$1))</f>
        <v>#NAME?</v>
      </c>
      <c r="O129" s="436"/>
      <c r="P129" s="438"/>
      <c r="Q129" s="438"/>
      <c r="R129" s="438"/>
      <c r="S129" s="438"/>
      <c r="T129" s="438"/>
      <c r="U129" s="438"/>
      <c r="V129" s="438"/>
      <c r="W129" s="438"/>
      <c r="X129" s="438"/>
      <c r="Y129" s="438"/>
      <c r="Z129" s="438"/>
      <c r="AA129" s="438"/>
      <c r="AB129" s="437"/>
      <c r="AD129" s="436"/>
      <c r="AE129" s="438"/>
      <c r="AF129" s="438"/>
      <c r="AG129" s="438"/>
      <c r="AH129" s="438"/>
      <c r="AI129" s="437"/>
    </row>
    <row r="130" spans="3:35" x14ac:dyDescent="0.2">
      <c r="C130" s="23"/>
      <c r="H130" s="133">
        <v>561100</v>
      </c>
      <c r="I130" s="25"/>
      <c r="J130" s="25"/>
      <c r="L130" s="24" t="e">
        <f ca="1">_xll.EVPRO($B$1,H130,"JDEID")</f>
        <v>#NAME?</v>
      </c>
      <c r="M130" s="24" t="str">
        <f>IF(AND(I130="N",J130="N"),_xll.EVPRO($B$1,H130,"PSFTID"),"")</f>
        <v/>
      </c>
      <c r="N130" s="24" t="e">
        <f ca="1">IF(_xll.EVDES(H130,$B$1)="#NODATA","",_xll.EVDES(H130,$B$1))</f>
        <v>#NAME?</v>
      </c>
      <c r="O130" s="19">
        <v>260</v>
      </c>
      <c r="P130" s="19"/>
      <c r="Q130" s="19"/>
      <c r="R130" s="19"/>
      <c r="S130" s="19"/>
      <c r="T130" s="19"/>
      <c r="U130" s="19"/>
      <c r="V130" s="19"/>
      <c r="W130" s="19"/>
      <c r="X130" s="19"/>
      <c r="Y130" s="19"/>
      <c r="Z130" s="19"/>
      <c r="AA130" s="19">
        <f>SUM(O130:Z130)</f>
        <v>260</v>
      </c>
      <c r="AB130" s="284" t="str">
        <f ca="1">IF(AA130=0,"",IFERROR(AA130/_xll.EVGTS($B$1,1,_xll.EVPRO($B$1,$H130,"COSBASIS"),$B$3,$B$5,$B$6,$B$7,$B$9,AA$16,AA$17,AA$11),""))</f>
        <v/>
      </c>
      <c r="AD130" s="19"/>
      <c r="AE130" s="284" t="str">
        <f>IF(AD130=0,"",IFERROR(AD130/_xll.EVGTS($B$1,1,_xll.EVPRO($B$1,$H130,"COSBASIS"),$B$3,$B$5,$B$6,$B$7,$B$9,AD$16,AD$17,AD$18),""))</f>
        <v/>
      </c>
      <c r="AF130" s="47">
        <f t="shared" ref="AF130:AF140" si="59">IF(AND($AA130="",AD130=""),"",$AA130-AD130)</f>
        <v>260</v>
      </c>
      <c r="AG130" s="19">
        <v>22224.19</v>
      </c>
      <c r="AH130" s="284" t="str">
        <f ca="1">IF(AG130=0,"",IFERROR(AG130/_xll.EVGTS($B$1,1,_xll.EVPRO($B$1,$H130,"COSBASIS"),$B$3,$B$5,$B$6,$B$7,$B$9,AG$16,AG$17,AG$18),""))</f>
        <v/>
      </c>
      <c r="AI130" s="47">
        <f t="shared" ref="AI130:AI141" si="60">IF(AND($AA130="",AG130=""),"",$AA130-AG130)</f>
        <v>-21964.19</v>
      </c>
    </row>
    <row r="131" spans="3:35" x14ac:dyDescent="0.2">
      <c r="C131" s="23"/>
      <c r="H131" s="133" t="s">
        <v>756</v>
      </c>
      <c r="I131" s="25"/>
      <c r="J131" s="25"/>
      <c r="L131" s="24" t="e">
        <f ca="1">_xll.EVPRO($B$1,H131,"JDEID")</f>
        <v>#NAME?</v>
      </c>
      <c r="M131" s="24" t="str">
        <f>IF(AND(I131="N",J131="N"),_xll.EVPRO($B$1,H131,"PSFTID"),"")</f>
        <v/>
      </c>
      <c r="N131" s="439" t="e">
        <f ca="1">IF(_xll.EVDES(H131,$B$1)="#NODATA","",_xll.EVDES(H131,$B$1))</f>
        <v>#NAME?</v>
      </c>
      <c r="O131" s="153">
        <v>0.25012025012025002</v>
      </c>
      <c r="P131" s="153"/>
      <c r="Q131" s="153"/>
      <c r="R131" s="153"/>
      <c r="S131" s="153"/>
      <c r="T131" s="153"/>
      <c r="U131" s="153"/>
      <c r="V131" s="153"/>
      <c r="W131" s="153"/>
      <c r="X131" s="153"/>
      <c r="Y131" s="153"/>
      <c r="Z131" s="153"/>
      <c r="AA131" s="153">
        <v>0.25012025012025002</v>
      </c>
      <c r="AB131" s="284"/>
      <c r="AD131" s="153"/>
      <c r="AE131" s="284"/>
      <c r="AF131" s="440">
        <f t="shared" si="59"/>
        <v>0.25012025012025002</v>
      </c>
      <c r="AG131" s="153">
        <v>0.24441234861278699</v>
      </c>
      <c r="AH131" s="284"/>
      <c r="AI131" s="440">
        <f t="shared" si="60"/>
        <v>5.7079015074630313E-3</v>
      </c>
    </row>
    <row r="132" spans="3:35" x14ac:dyDescent="0.2">
      <c r="C132" s="23"/>
      <c r="H132" s="133" t="s">
        <v>636</v>
      </c>
      <c r="I132" s="25"/>
      <c r="J132" s="25"/>
      <c r="L132" s="24" t="e">
        <f ca="1">_xll.EVPRO($B$1,H132,"JDEID")</f>
        <v>#NAME?</v>
      </c>
      <c r="M132" s="24" t="str">
        <f>IF(AND(I132="N",J132="N"),_xll.EVPRO($B$1,H132,"PSFTID"),"")</f>
        <v/>
      </c>
      <c r="N132" s="24" t="e">
        <f ca="1">IF(_xll.EVDES(H132,$B$1)="#NODATA","",_xll.EVDES(H132,$B$1))</f>
        <v>#NAME?</v>
      </c>
      <c r="O132" s="19">
        <v>404.37</v>
      </c>
      <c r="P132" s="19"/>
      <c r="Q132" s="19"/>
      <c r="R132" s="19"/>
      <c r="S132" s="19"/>
      <c r="T132" s="19"/>
      <c r="U132" s="19"/>
      <c r="V132" s="19"/>
      <c r="W132" s="19"/>
      <c r="X132" s="19"/>
      <c r="Y132" s="19"/>
      <c r="Z132" s="19"/>
      <c r="AA132" s="19">
        <f>SUM(O132:Z132)</f>
        <v>404.37</v>
      </c>
      <c r="AB132" s="284" t="str">
        <f ca="1">IF(AA132=0,"",IFERROR(AA132/_xll.EVGTS($B$1,1,_xll.EVPRO($B$1,$H132,"COSBASIS"),$B$3,$B$5,$B$6,$B$7,$B$9,AA$16,AA$17,AA$11),""))</f>
        <v/>
      </c>
      <c r="AD132" s="19"/>
      <c r="AE132" s="284" t="str">
        <f>IF(AD132=0,"",IFERROR(AD132/_xll.EVGTS($B$1,1,_xll.EVPRO($B$1,$H132,"COSBASIS"),$B$3,$B$5,$B$6,$B$7,$B$9,AD$16,AD$17,AD$18),""))</f>
        <v/>
      </c>
      <c r="AF132" s="47">
        <f t="shared" si="59"/>
        <v>404.37</v>
      </c>
      <c r="AG132" s="19">
        <v>39772.720000000001</v>
      </c>
      <c r="AH132" s="284" t="str">
        <f ca="1">IF(AG132=0,"",IFERROR(AG132/_xll.EVGTS($B$1,1,_xll.EVPRO($B$1,$H132,"COSBASIS"),$B$3,$B$5,$B$6,$B$7,$B$9,AG$16,AG$17,AG$18),""))</f>
        <v/>
      </c>
      <c r="AI132" s="47">
        <f t="shared" si="60"/>
        <v>-39368.35</v>
      </c>
    </row>
    <row r="133" spans="3:35" x14ac:dyDescent="0.2">
      <c r="C133" s="23"/>
      <c r="H133" s="133" t="s">
        <v>757</v>
      </c>
      <c r="I133" s="25"/>
      <c r="J133" s="25"/>
      <c r="L133" s="24" t="e">
        <f ca="1">_xll.EVPRO($B$1,H133,"JDEID")</f>
        <v>#NAME?</v>
      </c>
      <c r="M133" s="24" t="str">
        <f>IF(AND(I133="N",J133="N"),_xll.EVPRO($B$1,H133,"PSFTID"),"")</f>
        <v/>
      </c>
      <c r="N133" s="439" t="e">
        <f ca="1">IF(_xll.EVDES(H133,$B$1)="#NODATA","",_xll.EVDES(H133,$B$1))</f>
        <v>#NAME?</v>
      </c>
      <c r="O133" s="153">
        <v>0.19228245363766</v>
      </c>
      <c r="P133" s="153"/>
      <c r="Q133" s="153"/>
      <c r="R133" s="153"/>
      <c r="S133" s="153"/>
      <c r="T133" s="153"/>
      <c r="U133" s="153"/>
      <c r="V133" s="153"/>
      <c r="W133" s="153"/>
      <c r="X133" s="153"/>
      <c r="Y133" s="153"/>
      <c r="Z133" s="153"/>
      <c r="AA133" s="153">
        <v>0.19228245363766</v>
      </c>
      <c r="AB133" s="284"/>
      <c r="AD133" s="153"/>
      <c r="AE133" s="284"/>
      <c r="AF133" s="440">
        <f t="shared" si="59"/>
        <v>0.19228245363766</v>
      </c>
      <c r="AG133" s="153">
        <v>0.19586855434860001</v>
      </c>
      <c r="AH133" s="284"/>
      <c r="AI133" s="440">
        <f t="shared" si="60"/>
        <v>-3.58610071094001E-3</v>
      </c>
    </row>
    <row r="134" spans="3:35" x14ac:dyDescent="0.2">
      <c r="C134" s="23"/>
      <c r="H134" s="133" t="s">
        <v>755</v>
      </c>
      <c r="I134" s="25"/>
      <c r="J134" s="25"/>
      <c r="L134" s="24" t="e">
        <f ca="1">_xll.EVPRO($B$1,H134,"JDEID")</f>
        <v>#NAME?</v>
      </c>
      <c r="M134" s="24" t="str">
        <f>IF(AND(I134="N",J134="N"),_xll.EVPRO($B$1,H134,"PSFTID"),"")</f>
        <v/>
      </c>
      <c r="N134" s="24" t="e">
        <f ca="1">IF(_xll.EVDES(H134,$B$1)="#NODATA","",_xll.EVDES(H134,$B$1))</f>
        <v>#NAME?</v>
      </c>
      <c r="O134" s="19">
        <v>261.02999999999997</v>
      </c>
      <c r="P134" s="19"/>
      <c r="Q134" s="19"/>
      <c r="R134" s="19"/>
      <c r="S134" s="19"/>
      <c r="T134" s="19"/>
      <c r="U134" s="19"/>
      <c r="V134" s="19"/>
      <c r="W134" s="19"/>
      <c r="X134" s="19"/>
      <c r="Y134" s="19"/>
      <c r="Z134" s="19"/>
      <c r="AA134" s="19">
        <f>SUM(O134:Z134)</f>
        <v>261.02999999999997</v>
      </c>
      <c r="AB134" s="284" t="str">
        <f ca="1">IF(AA134=0,"",IFERROR(AA134/_xll.EVGTS($B$1,1,_xll.EVPRO($B$1,$H134,"COSBASIS"),$B$3,$B$5,$B$6,$B$7,$B$9,AA$16,AA$17,AA$11),""))</f>
        <v/>
      </c>
      <c r="AD134" s="19"/>
      <c r="AE134" s="284" t="str">
        <f>IF(AD134=0,"",IFERROR(AD134/_xll.EVGTS($B$1,1,_xll.EVPRO($B$1,$H134,"COSBASIS"),$B$3,$B$5,$B$6,$B$7,$B$9,AD$16,AD$17,AD$18),""))</f>
        <v/>
      </c>
      <c r="AF134" s="47">
        <f t="shared" si="59"/>
        <v>261.02999999999997</v>
      </c>
      <c r="AG134" s="19">
        <v>29988.31</v>
      </c>
      <c r="AH134" s="284" t="str">
        <f ca="1">IF(AG134=0,"",IFERROR(AG134/_xll.EVGTS($B$1,1,_xll.EVPRO($B$1,$H134,"COSBASIS"),$B$3,$B$5,$B$6,$B$7,$B$9,AG$16,AG$17,AG$18),""))</f>
        <v/>
      </c>
      <c r="AI134" s="47">
        <f t="shared" si="60"/>
        <v>-29727.280000000002</v>
      </c>
    </row>
    <row r="135" spans="3:35" x14ac:dyDescent="0.2">
      <c r="C135" s="23"/>
      <c r="H135" s="133" t="s">
        <v>758</v>
      </c>
      <c r="I135" s="25"/>
      <c r="J135" s="25"/>
      <c r="L135" s="24" t="e">
        <f ca="1">_xll.EVPRO($B$1,H135,"JDEID")</f>
        <v>#NAME?</v>
      </c>
      <c r="M135" s="24" t="str">
        <f>IF(AND(I135="N",J135="N"),_xll.EVPRO($B$1,H135,"PSFTID"),"")</f>
        <v/>
      </c>
      <c r="N135" s="439" t="e">
        <f ca="1">IF(_xll.EVDES(H135,$B$1)="#NODATA","",_xll.EVDES(H135,$B$1))</f>
        <v>#NAME?</v>
      </c>
      <c r="O135" s="153">
        <v>0.19700377358490601</v>
      </c>
      <c r="P135" s="153"/>
      <c r="Q135" s="153"/>
      <c r="R135" s="153"/>
      <c r="S135" s="153"/>
      <c r="T135" s="153"/>
      <c r="U135" s="153"/>
      <c r="V135" s="153"/>
      <c r="W135" s="153"/>
      <c r="X135" s="153"/>
      <c r="Y135" s="153"/>
      <c r="Z135" s="153"/>
      <c r="AA135" s="153">
        <v>0.19700377358490601</v>
      </c>
      <c r="AB135" s="284"/>
      <c r="AD135" s="153"/>
      <c r="AE135" s="284"/>
      <c r="AF135" s="440">
        <f t="shared" si="59"/>
        <v>0.19700377358490601</v>
      </c>
      <c r="AG135" s="153">
        <v>0.19699379332761</v>
      </c>
      <c r="AH135" s="284"/>
      <c r="AI135" s="440">
        <f t="shared" si="60"/>
        <v>9.9802572960105973E-6</v>
      </c>
    </row>
    <row r="136" spans="3:35" x14ac:dyDescent="0.2">
      <c r="C136" s="23"/>
      <c r="H136" s="133">
        <v>561400</v>
      </c>
      <c r="I136" s="25"/>
      <c r="J136" s="25"/>
      <c r="L136" s="24" t="e">
        <f ca="1">_xll.EVPRO($B$1,H136,"JDEID")</f>
        <v>#NAME?</v>
      </c>
      <c r="M136" s="24" t="str">
        <f>IF(AND(I136="N",J136="N"),_xll.EVPRO($B$1,H136,"PSFTID"),"")</f>
        <v/>
      </c>
      <c r="N136" s="24" t="e">
        <f ca="1">IF(_xll.EVDES(H136,$B$1)="#NODATA","",_xll.EVDES(H136,$B$1))</f>
        <v>#NAME?</v>
      </c>
      <c r="O136" s="19">
        <v>80.64</v>
      </c>
      <c r="P136" s="19"/>
      <c r="Q136" s="19"/>
      <c r="R136" s="19"/>
      <c r="S136" s="19"/>
      <c r="T136" s="19"/>
      <c r="U136" s="19"/>
      <c r="V136" s="19"/>
      <c r="W136" s="19"/>
      <c r="X136" s="19"/>
      <c r="Y136" s="19"/>
      <c r="Z136" s="19"/>
      <c r="AA136" s="19">
        <f>SUM(O136:Z136)</f>
        <v>80.64</v>
      </c>
      <c r="AB136" s="284" t="str">
        <f ca="1">IF(AA136=0,"",IFERROR(AA136/_xll.EVGTS($B$1,1,_xll.EVPRO($B$1,$H136,"COSBASIS"),$B$3,$B$5,$B$6,$B$7,$B$9,AA$16,AA$17,AA$11),""))</f>
        <v/>
      </c>
      <c r="AD136" s="19"/>
      <c r="AE136" s="284" t="str">
        <f>IF(AD136=0,"",IFERROR(AD136/_xll.EVGTS($B$1,1,_xll.EVPRO($B$1,$H136,"COSBASIS"),$B$3,$B$5,$B$6,$B$7,$B$9,AD$16,AD$17,AD$18),""))</f>
        <v/>
      </c>
      <c r="AF136" s="47">
        <f t="shared" si="59"/>
        <v>80.64</v>
      </c>
      <c r="AG136" s="19">
        <v>6397.75</v>
      </c>
      <c r="AH136" s="284" t="str">
        <f ca="1">IF(AG136=0,"",IFERROR(AG136/_xll.EVGTS($B$1,1,_xll.EVPRO($B$1,$H136,"COSBASIS"),$B$3,$B$5,$B$6,$B$7,$B$9,AG$16,AG$17,AG$18),""))</f>
        <v/>
      </c>
      <c r="AI136" s="47">
        <f t="shared" si="60"/>
        <v>-6317.11</v>
      </c>
    </row>
    <row r="137" spans="3:35" x14ac:dyDescent="0.2">
      <c r="C137" s="23"/>
      <c r="H137" s="133" t="s">
        <v>759</v>
      </c>
      <c r="I137" s="25"/>
      <c r="J137" s="25"/>
      <c r="L137" s="24" t="e">
        <f ca="1">_xll.EVPRO($B$1,H137,"JDEID")</f>
        <v>#NAME?</v>
      </c>
      <c r="M137" s="24" t="str">
        <f>IF(AND(I137="N",J137="N"),_xll.EVPRO($B$1,H137,"PSFTID"),"")</f>
        <v/>
      </c>
      <c r="N137" s="439" t="e">
        <f ca="1">IF(_xll.EVDES(H137,$B$1)="#NODATA","",_xll.EVDES(H137,$B$1))</f>
        <v>#NAME?</v>
      </c>
      <c r="O137" s="153">
        <v>0.18</v>
      </c>
      <c r="P137" s="153"/>
      <c r="Q137" s="153"/>
      <c r="R137" s="153"/>
      <c r="S137" s="153"/>
      <c r="T137" s="153"/>
      <c r="U137" s="153"/>
      <c r="V137" s="153"/>
      <c r="W137" s="153"/>
      <c r="X137" s="153"/>
      <c r="Y137" s="153"/>
      <c r="Z137" s="153"/>
      <c r="AA137" s="153">
        <v>0.18</v>
      </c>
      <c r="AB137" s="284"/>
      <c r="AD137" s="153"/>
      <c r="AE137" s="284"/>
      <c r="AF137" s="440">
        <f t="shared" si="59"/>
        <v>0.18</v>
      </c>
      <c r="AG137" s="153">
        <v>0.187604648366826</v>
      </c>
      <c r="AH137" s="284"/>
      <c r="AI137" s="440">
        <f t="shared" si="60"/>
        <v>-7.6046483668260056E-3</v>
      </c>
    </row>
    <row r="138" spans="3:35" x14ac:dyDescent="0.2">
      <c r="H138" s="133">
        <v>561500</v>
      </c>
      <c r="I138" s="25"/>
      <c r="J138" s="25"/>
      <c r="L138" s="24" t="e">
        <f ca="1">_xll.EVPRO($B$1,H138,"JDEID")</f>
        <v>#NAME?</v>
      </c>
      <c r="M138" s="24" t="str">
        <f>IF(AND(I138="N",J138="N"),_xll.EVPRO($B$1,H138,"PSFTID"),"")</f>
        <v/>
      </c>
      <c r="N138" s="24" t="e">
        <f ca="1">IF(_xll.EVDES(H138,$B$1)="#NODATA","",_xll.EVDES(H138,$B$1))</f>
        <v>#NAME?</v>
      </c>
      <c r="O138" s="19">
        <v>62.7</v>
      </c>
      <c r="P138" s="19"/>
      <c r="Q138" s="19"/>
      <c r="R138" s="19"/>
      <c r="S138" s="19"/>
      <c r="T138" s="19"/>
      <c r="U138" s="19"/>
      <c r="V138" s="19"/>
      <c r="W138" s="19"/>
      <c r="X138" s="19"/>
      <c r="Y138" s="19"/>
      <c r="Z138" s="19"/>
      <c r="AA138" s="19">
        <f>SUM(O138:Z138)</f>
        <v>62.7</v>
      </c>
      <c r="AB138" s="284" t="str">
        <f ca="1">IF(AA138=0,"",IFERROR(AA138/_xll.EVGTS($B$1,1,_xll.EVPRO($B$1,$H138,"COSBASIS"),$B$3,$B$5,$B$6,$B$7,$B$9,AA$16,AA$17,AA$11),""))</f>
        <v/>
      </c>
      <c r="AD138" s="19"/>
      <c r="AE138" s="284" t="str">
        <f>IF(AD138=0,"",IFERROR(AD138/_xll.EVGTS($B$1,1,_xll.EVPRO($B$1,$H138,"COSBASIS"),$B$3,$B$5,$B$6,$B$7,$B$9,AD$16,AD$17,AD$18),""))</f>
        <v/>
      </c>
      <c r="AF138" s="47">
        <f t="shared" si="59"/>
        <v>62.7</v>
      </c>
      <c r="AG138" s="19">
        <v>3386.66</v>
      </c>
      <c r="AH138" s="284" t="str">
        <f ca="1">IF(AG138=0,"",IFERROR(AG138/_xll.EVGTS($B$1,1,_xll.EVPRO($B$1,$H138,"COSBASIS"),$B$3,$B$5,$B$6,$B$7,$B$9,AG$16,AG$17,AG$18),""))</f>
        <v/>
      </c>
      <c r="AI138" s="47">
        <f t="shared" si="60"/>
        <v>-3323.96</v>
      </c>
    </row>
    <row r="139" spans="3:35" x14ac:dyDescent="0.2">
      <c r="C139" s="23"/>
      <c r="H139" s="133" t="s">
        <v>760</v>
      </c>
      <c r="I139" s="25"/>
      <c r="J139" s="25"/>
      <c r="L139" s="24" t="e">
        <f ca="1">_xll.EVPRO($B$1,H139,"JDEID")</f>
        <v>#NAME?</v>
      </c>
      <c r="M139" s="24" t="str">
        <f>IF(AND(I139="N",J139="N"),_xll.EVPRO($B$1,H139,"PSFTID"),"")</f>
        <v/>
      </c>
      <c r="N139" s="439" t="e">
        <f ca="1">IF(_xll.EVDES(H139,$B$1)="#NODATA","",_xll.EVDES(H139,$B$1))</f>
        <v>#NAME?</v>
      </c>
      <c r="O139" s="153">
        <v>0.19</v>
      </c>
      <c r="P139" s="153"/>
      <c r="Q139" s="153"/>
      <c r="R139" s="153"/>
      <c r="S139" s="153"/>
      <c r="T139" s="153"/>
      <c r="U139" s="153"/>
      <c r="V139" s="153"/>
      <c r="W139" s="153"/>
      <c r="X139" s="153"/>
      <c r="Y139" s="153"/>
      <c r="Z139" s="153"/>
      <c r="AA139" s="153">
        <v>0.19</v>
      </c>
      <c r="AB139" s="284"/>
      <c r="AD139" s="153"/>
      <c r="AE139" s="284"/>
      <c r="AF139" s="440">
        <f t="shared" si="59"/>
        <v>0.19</v>
      </c>
      <c r="AG139" s="153">
        <v>0.20247635446186199</v>
      </c>
      <c r="AH139" s="284"/>
      <c r="AI139" s="440">
        <f t="shared" si="60"/>
        <v>-1.2476354461861988E-2</v>
      </c>
    </row>
    <row r="140" spans="3:35" x14ac:dyDescent="0.2">
      <c r="C140" s="23"/>
      <c r="H140" s="133" t="s">
        <v>286</v>
      </c>
      <c r="I140" s="25"/>
      <c r="J140" s="25"/>
      <c r="L140" s="24" t="e">
        <f ca="1">_xll.EVPRO($B$1,H140,"JDEID")</f>
        <v>#NAME?</v>
      </c>
      <c r="M140" s="24" t="str">
        <f>IF(AND(I140="N",J140="N"),_xll.EVPRO($B$1,H140,"PSFTID"),"")</f>
        <v/>
      </c>
      <c r="N140" s="24" t="e">
        <f ca="1">IF(_xll.EVDES(H140,$B$1)="#NODATA","",_xll.EVDES(H140,$B$1))</f>
        <v>#NAME?</v>
      </c>
      <c r="O140" s="19">
        <v>664.37</v>
      </c>
      <c r="P140" s="19"/>
      <c r="Q140" s="19"/>
      <c r="R140" s="19"/>
      <c r="S140" s="19"/>
      <c r="T140" s="19"/>
      <c r="U140" s="19"/>
      <c r="V140" s="19"/>
      <c r="W140" s="19"/>
      <c r="X140" s="19"/>
      <c r="Y140" s="19"/>
      <c r="Z140" s="19"/>
      <c r="AA140" s="19">
        <f>SUM(O140:Z140)</f>
        <v>664.37</v>
      </c>
      <c r="AB140" s="284" t="str">
        <f ca="1">IF(AA140=0,"",IFERROR(AA140/_xll.EVGTS($B$1,1,_xll.EVPRO($B$1,$H140,"COSBASIS"),$B$3,$B$5,$B$6,$B$7,$B$9,AA$16,AA$17,AA$11),""))</f>
        <v/>
      </c>
      <c r="AD140" s="19"/>
      <c r="AE140" s="284" t="str">
        <f>IF(AD140=0,"",IFERROR(AD140/_xll.EVGTS($B$1,1,_xll.EVPRO($B$1,$H140,"COSBASIS"),$B$3,$B$5,$B$6,$B$7,$B$9,AD$16,AD$17,AD$18),""))</f>
        <v/>
      </c>
      <c r="AF140" s="47">
        <f t="shared" si="59"/>
        <v>664.37</v>
      </c>
      <c r="AG140" s="19">
        <v>61996.91</v>
      </c>
      <c r="AH140" s="284" t="str">
        <f ca="1">IF(AG140=0,"",IFERROR(AG140/_xll.EVGTS($B$1,1,_xll.EVPRO($B$1,$H140,"COSBASIS"),$B$3,$B$5,$B$6,$B$7,$B$9,AG$16,AG$17,AG$18),""))</f>
        <v/>
      </c>
      <c r="AI140" s="47">
        <f t="shared" si="60"/>
        <v>-61332.54</v>
      </c>
    </row>
    <row r="141" spans="3:35" x14ac:dyDescent="0.2">
      <c r="C141" s="23"/>
      <c r="H141" s="133"/>
      <c r="I141" s="25"/>
      <c r="J141" s="25"/>
      <c r="L141" s="24"/>
      <c r="M141" s="24"/>
      <c r="N141" s="439" t="s">
        <v>762</v>
      </c>
      <c r="O141" s="153">
        <f>IFERROR(O140/O85,"")</f>
        <v>0.21141447891805887</v>
      </c>
      <c r="P141" s="153" t="str">
        <f t="shared" ref="P141:AA141" si="61">IFERROR(P140/P85,"")</f>
        <v/>
      </c>
      <c r="Q141" s="153">
        <f t="shared" si="61"/>
        <v>0</v>
      </c>
      <c r="R141" s="153" t="str">
        <f t="shared" si="61"/>
        <v/>
      </c>
      <c r="S141" s="153" t="str">
        <f t="shared" si="61"/>
        <v/>
      </c>
      <c r="T141" s="153" t="str">
        <f t="shared" si="61"/>
        <v/>
      </c>
      <c r="U141" s="153" t="str">
        <f t="shared" si="61"/>
        <v/>
      </c>
      <c r="V141" s="153" t="str">
        <f t="shared" si="61"/>
        <v/>
      </c>
      <c r="W141" s="153" t="str">
        <f t="shared" si="61"/>
        <v/>
      </c>
      <c r="X141" s="153" t="str">
        <f t="shared" si="61"/>
        <v/>
      </c>
      <c r="Y141" s="153" t="str">
        <f t="shared" si="61"/>
        <v/>
      </c>
      <c r="Z141" s="153" t="str">
        <f t="shared" si="61"/>
        <v/>
      </c>
      <c r="AA141" s="153">
        <f t="shared" si="61"/>
        <v>0.21435992411238594</v>
      </c>
      <c r="AB141" s="284"/>
      <c r="AD141" s="153" t="str">
        <f>IFERROR(AD140/AD85,"")</f>
        <v/>
      </c>
      <c r="AE141" s="284"/>
      <c r="AF141" s="440" t="e">
        <f t="shared" ref="AF141" si="62">IF(AND($AA141="",AD141=""),"",$AA141-AD141)</f>
        <v>#VALUE!</v>
      </c>
      <c r="AG141" s="153">
        <f>IFERROR(AG140/AG85,"")</f>
        <v>0.2115193588924458</v>
      </c>
      <c r="AH141" s="284"/>
      <c r="AI141" s="440">
        <f t="shared" si="60"/>
        <v>2.8405652199401388E-3</v>
      </c>
    </row>
    <row r="142" spans="3:35" x14ac:dyDescent="0.2">
      <c r="C142" s="23"/>
    </row>
    <row r="143" spans="3:35" x14ac:dyDescent="0.2">
      <c r="C143" s="23"/>
      <c r="H143" s="133"/>
      <c r="I143" s="25"/>
      <c r="J143" s="25"/>
      <c r="N143" s="24" t="e">
        <f ca="1">N85&amp;" - Check"</f>
        <v>#NAME?</v>
      </c>
      <c r="O143" s="124">
        <f t="shared" ref="O143:AA143" si="63">O39+O49+O59+O69+O79+O83-O85</f>
        <v>0</v>
      </c>
      <c r="P143" s="124">
        <f t="shared" si="63"/>
        <v>0</v>
      </c>
      <c r="Q143" s="124">
        <f t="shared" si="63"/>
        <v>0</v>
      </c>
      <c r="R143" s="124">
        <f t="shared" si="63"/>
        <v>0</v>
      </c>
      <c r="S143" s="124">
        <f t="shared" si="63"/>
        <v>0</v>
      </c>
      <c r="T143" s="124">
        <f t="shared" si="63"/>
        <v>0</v>
      </c>
      <c r="U143" s="124">
        <f t="shared" si="63"/>
        <v>0</v>
      </c>
      <c r="V143" s="124">
        <f t="shared" si="63"/>
        <v>0</v>
      </c>
      <c r="W143" s="124">
        <f t="shared" si="63"/>
        <v>0</v>
      </c>
      <c r="X143" s="124">
        <f t="shared" si="63"/>
        <v>0</v>
      </c>
      <c r="Y143" s="124">
        <f t="shared" si="63"/>
        <v>0</v>
      </c>
      <c r="Z143" s="124">
        <f t="shared" si="63"/>
        <v>0</v>
      </c>
      <c r="AA143" s="124">
        <f t="shared" si="63"/>
        <v>0</v>
      </c>
      <c r="AB143" s="15"/>
      <c r="AD143" s="124">
        <f>AD39+AD49+AD59+AD69+AD79+AD83-AD85</f>
        <v>0</v>
      </c>
      <c r="AE143" s="15"/>
      <c r="AF143" s="19"/>
      <c r="AG143" s="124">
        <f>AG39+AG49+AG59+AG69+AG79+AG83-AG85</f>
        <v>0</v>
      </c>
      <c r="AH143" s="15"/>
      <c r="AI143" s="19"/>
    </row>
    <row r="144" spans="3:35" x14ac:dyDescent="0.2">
      <c r="C144" s="23"/>
      <c r="H144" s="133"/>
      <c r="I144" s="25"/>
      <c r="J144" s="25"/>
      <c r="N144" s="24" t="e">
        <f ca="1">N87&amp;" - Check"</f>
        <v>#NAME?</v>
      </c>
      <c r="O144" s="124">
        <f t="shared" ref="O144:AA144" si="64">O41+O51+O61+O71+O80-O87</f>
        <v>0</v>
      </c>
      <c r="P144" s="124">
        <f t="shared" si="64"/>
        <v>0</v>
      </c>
      <c r="Q144" s="124">
        <f t="shared" si="64"/>
        <v>0</v>
      </c>
      <c r="R144" s="124">
        <f t="shared" si="64"/>
        <v>0</v>
      </c>
      <c r="S144" s="124">
        <f t="shared" si="64"/>
        <v>0</v>
      </c>
      <c r="T144" s="124">
        <f t="shared" si="64"/>
        <v>0</v>
      </c>
      <c r="U144" s="124">
        <f t="shared" si="64"/>
        <v>0</v>
      </c>
      <c r="V144" s="124">
        <f t="shared" si="64"/>
        <v>0</v>
      </c>
      <c r="W144" s="124">
        <f t="shared" si="64"/>
        <v>0</v>
      </c>
      <c r="X144" s="124">
        <f t="shared" si="64"/>
        <v>0</v>
      </c>
      <c r="Y144" s="124">
        <f t="shared" si="64"/>
        <v>0</v>
      </c>
      <c r="Z144" s="124">
        <f t="shared" si="64"/>
        <v>0</v>
      </c>
      <c r="AA144" s="124">
        <f t="shared" si="64"/>
        <v>0</v>
      </c>
      <c r="AB144" s="15"/>
      <c r="AD144" s="124">
        <f>AD41+AD51+AD61+AD71+AD80-AD87</f>
        <v>0</v>
      </c>
      <c r="AE144" s="15"/>
      <c r="AF144" s="19"/>
      <c r="AG144" s="124">
        <f>AG41+AG51+AG61+AG71+AG80-AG87</f>
        <v>0</v>
      </c>
      <c r="AH144" s="15"/>
      <c r="AI144" s="19"/>
    </row>
    <row r="145" spans="3:35" x14ac:dyDescent="0.2">
      <c r="C145" s="23"/>
      <c r="H145" s="133"/>
      <c r="I145" s="25"/>
      <c r="J145" s="25"/>
      <c r="N145" s="24" t="e">
        <f ca="1">N88&amp;" - Check"</f>
        <v>#NAME?</v>
      </c>
      <c r="O145" s="159">
        <f>IFERROR(O$85/O87,"")-O88</f>
        <v>0</v>
      </c>
      <c r="P145" s="159" t="e">
        <f t="shared" ref="P145:Z145" si="65">IFERROR(P$85/P87,"")-P88</f>
        <v>#VALUE!</v>
      </c>
      <c r="Q145" s="159" t="e">
        <f t="shared" si="65"/>
        <v>#VALUE!</v>
      </c>
      <c r="R145" s="159" t="e">
        <f t="shared" si="65"/>
        <v>#VALUE!</v>
      </c>
      <c r="S145" s="159" t="e">
        <f t="shared" si="65"/>
        <v>#VALUE!</v>
      </c>
      <c r="T145" s="159" t="e">
        <f t="shared" si="65"/>
        <v>#VALUE!</v>
      </c>
      <c r="U145" s="159" t="e">
        <f t="shared" si="65"/>
        <v>#VALUE!</v>
      </c>
      <c r="V145" s="159" t="e">
        <f t="shared" si="65"/>
        <v>#VALUE!</v>
      </c>
      <c r="W145" s="159" t="e">
        <f t="shared" si="65"/>
        <v>#VALUE!</v>
      </c>
      <c r="X145" s="159" t="e">
        <f t="shared" si="65"/>
        <v>#VALUE!</v>
      </c>
      <c r="Y145" s="159" t="e">
        <f t="shared" si="65"/>
        <v>#VALUE!</v>
      </c>
      <c r="Z145" s="159" t="e">
        <f t="shared" si="65"/>
        <v>#VALUE!</v>
      </c>
      <c r="AA145" s="159">
        <f>IFERROR(AA$85/AA87,"")-AA88</f>
        <v>0</v>
      </c>
      <c r="AB145" s="15"/>
      <c r="AD145" s="159" t="e">
        <f>IFERROR(AD$85/AD87,"")-AD88</f>
        <v>#VALUE!</v>
      </c>
      <c r="AE145" s="15"/>
      <c r="AF145" s="19"/>
      <c r="AG145" s="159">
        <f>IFERROR(AG$85/AG87,"")-AG88</f>
        <v>0</v>
      </c>
      <c r="AH145" s="15"/>
      <c r="AI145" s="19"/>
    </row>
    <row r="146" spans="3:35" x14ac:dyDescent="0.2">
      <c r="C146" s="23"/>
      <c r="H146" s="133"/>
      <c r="I146" s="25"/>
      <c r="J146" s="25"/>
      <c r="N146" s="24" t="s">
        <v>768</v>
      </c>
      <c r="O146" s="124">
        <f>(O130+O132)-O140</f>
        <v>0</v>
      </c>
      <c r="P146" s="124">
        <f t="shared" ref="P146:AA146" si="66">(P130+P132)-P140</f>
        <v>0</v>
      </c>
      <c r="Q146" s="124">
        <f t="shared" si="66"/>
        <v>0</v>
      </c>
      <c r="R146" s="124">
        <f t="shared" si="66"/>
        <v>0</v>
      </c>
      <c r="S146" s="124">
        <f t="shared" si="66"/>
        <v>0</v>
      </c>
      <c r="T146" s="124">
        <f t="shared" si="66"/>
        <v>0</v>
      </c>
      <c r="U146" s="124">
        <f t="shared" si="66"/>
        <v>0</v>
      </c>
      <c r="V146" s="124">
        <f t="shared" si="66"/>
        <v>0</v>
      </c>
      <c r="W146" s="124">
        <f t="shared" si="66"/>
        <v>0</v>
      </c>
      <c r="X146" s="124">
        <f t="shared" si="66"/>
        <v>0</v>
      </c>
      <c r="Y146" s="124">
        <f t="shared" si="66"/>
        <v>0</v>
      </c>
      <c r="Z146" s="124">
        <f t="shared" si="66"/>
        <v>0</v>
      </c>
      <c r="AA146" s="124">
        <f t="shared" si="66"/>
        <v>0</v>
      </c>
      <c r="AB146" s="15"/>
      <c r="AD146" s="124">
        <f>(AD130+AD132)-AD140</f>
        <v>0</v>
      </c>
      <c r="AE146" s="15"/>
      <c r="AF146" s="19"/>
      <c r="AG146" s="124">
        <f>(AG130+AG132)-AG140</f>
        <v>0</v>
      </c>
      <c r="AH146" s="15"/>
      <c r="AI146" s="19"/>
    </row>
    <row r="147" spans="3:35" x14ac:dyDescent="0.2">
      <c r="C147" s="23"/>
    </row>
    <row r="148" spans="3:35" x14ac:dyDescent="0.2">
      <c r="C148" s="23"/>
    </row>
    <row r="149" spans="3:35" x14ac:dyDescent="0.2">
      <c r="C149" s="23"/>
    </row>
    <row r="150" spans="3:35" x14ac:dyDescent="0.2">
      <c r="C150" s="23"/>
    </row>
    <row r="151" spans="3:35" x14ac:dyDescent="0.2">
      <c r="C151" s="23"/>
    </row>
    <row r="152" spans="3:35" x14ac:dyDescent="0.2">
      <c r="C152" s="23"/>
    </row>
    <row r="153" spans="3:35" x14ac:dyDescent="0.2">
      <c r="C153" s="23"/>
    </row>
    <row r="169" spans="9:34" x14ac:dyDescent="0.2">
      <c r="I169" s="72"/>
      <c r="J169" s="1"/>
      <c r="K169" s="72"/>
      <c r="L169" s="72"/>
      <c r="M169" s="72"/>
      <c r="O169" s="72"/>
      <c r="P169" s="72"/>
      <c r="Q169" s="72"/>
      <c r="R169" s="72"/>
      <c r="S169" s="72"/>
      <c r="T169" s="72"/>
      <c r="U169" s="72"/>
      <c r="V169" s="72"/>
      <c r="W169" s="72"/>
      <c r="X169" s="72"/>
      <c r="Y169" s="72"/>
      <c r="Z169" s="72"/>
      <c r="AA169" s="72"/>
      <c r="AD169" s="72"/>
      <c r="AF169" s="72"/>
      <c r="AH169" s="72"/>
    </row>
    <row r="173" spans="9:34" x14ac:dyDescent="0.2">
      <c r="I173" s="72"/>
      <c r="J173" s="1"/>
      <c r="K173" s="72"/>
      <c r="L173" s="72"/>
      <c r="M173" s="72"/>
      <c r="O173" s="72"/>
      <c r="P173" s="72"/>
      <c r="Q173" s="72"/>
      <c r="R173" s="72"/>
      <c r="S173" s="72"/>
      <c r="T173" s="72"/>
      <c r="U173" s="72"/>
      <c r="V173" s="72"/>
      <c r="W173" s="72"/>
      <c r="X173" s="72"/>
      <c r="Y173" s="72"/>
      <c r="Z173" s="72"/>
      <c r="AA173" s="72"/>
      <c r="AD173" s="72"/>
      <c r="AF173" s="72"/>
      <c r="AH173" s="72"/>
    </row>
    <row r="207" spans="5:5" x14ac:dyDescent="0.2">
      <c r="E207" s="72"/>
    </row>
    <row r="211" spans="5:5" x14ac:dyDescent="0.2">
      <c r="E211" s="72"/>
    </row>
  </sheetData>
  <mergeCells count="2">
    <mergeCell ref="AD31:AE31"/>
    <mergeCell ref="AG31:AH31"/>
  </mergeCells>
  <conditionalFormatting sqref="N43">
    <cfRule type="expression" dxfId="140" priority="14">
      <formula>$G43&lt;&gt;0</formula>
    </cfRule>
  </conditionalFormatting>
  <conditionalFormatting sqref="N53">
    <cfRule type="expression" dxfId="139" priority="12">
      <formula>$G53&lt;&gt;0</formula>
    </cfRule>
  </conditionalFormatting>
  <conditionalFormatting sqref="N63">
    <cfRule type="expression" dxfId="138" priority="10">
      <formula>$G63&lt;&gt;0</formula>
    </cfRule>
  </conditionalFormatting>
  <conditionalFormatting sqref="N73">
    <cfRule type="expression" dxfId="137" priority="8">
      <formula>$G73&lt;&gt;0</formula>
    </cfRule>
  </conditionalFormatting>
  <conditionalFormatting sqref="N82">
    <cfRule type="expression" dxfId="136" priority="7">
      <formula>$G82&lt;&gt;0</formula>
    </cfRule>
  </conditionalFormatting>
  <conditionalFormatting sqref="O43:AA43 AD43 AF43:AG43">
    <cfRule type="expression" dxfId="135" priority="15">
      <formula>ROUND(O42,2)&lt;&gt;ROUND(O43,2)</formula>
    </cfRule>
  </conditionalFormatting>
  <conditionalFormatting sqref="O53:AA53 AD53 AF53:AG53">
    <cfRule type="expression" dxfId="134" priority="13">
      <formula>ROUND(O52,2)&lt;&gt;ROUND(O53,2)</formula>
    </cfRule>
  </conditionalFormatting>
  <conditionalFormatting sqref="O63:AA63 AD63 AF63:AG63">
    <cfRule type="expression" dxfId="133" priority="11">
      <formula>ROUND(O62,2)&lt;&gt;ROUND(O63,2)</formula>
    </cfRule>
  </conditionalFormatting>
  <conditionalFormatting sqref="O73:AA73 AD73 AF73:AG73">
    <cfRule type="expression" dxfId="132" priority="9">
      <formula>ROUND(O72,2)&lt;&gt;ROUND(O73,2)</formula>
    </cfRule>
  </conditionalFormatting>
  <conditionalFormatting sqref="O82:AA82 AD82 AF82:AG82">
    <cfRule type="expression" dxfId="131" priority="6">
      <formula>ROUND(O81,2)&lt;&gt;ROUND(O82,2)</formula>
    </cfRule>
  </conditionalFormatting>
  <conditionalFormatting sqref="AI43">
    <cfRule type="expression" dxfId="130" priority="5">
      <formula>ROUND(AI42,2)&lt;&gt;ROUND(AI43,2)</formula>
    </cfRule>
  </conditionalFormatting>
  <conditionalFormatting sqref="AI53">
    <cfRule type="expression" dxfId="129" priority="4">
      <formula>ROUND(AI52,2)&lt;&gt;ROUND(AI53,2)</formula>
    </cfRule>
  </conditionalFormatting>
  <conditionalFormatting sqref="AI63">
    <cfRule type="expression" dxfId="128" priority="3">
      <formula>ROUND(AI62,2)&lt;&gt;ROUND(AI63,2)</formula>
    </cfRule>
  </conditionalFormatting>
  <conditionalFormatting sqref="AI73">
    <cfRule type="expression" dxfId="127" priority="2">
      <formula>ROUND(AI72,2)&lt;&gt;ROUND(AI73,2)</formula>
    </cfRule>
  </conditionalFormatting>
  <conditionalFormatting sqref="AI82">
    <cfRule type="expression" dxfId="126" priority="1">
      <formula>ROUND(AI81,2)&lt;&gt;ROUND(AI82,2)</formula>
    </cfRule>
  </conditionalFormatting>
  <dataValidations disablePrompts="1" count="2">
    <dataValidation type="list" allowBlank="1" sqref="B28" xr:uid="{00000000-0002-0000-1400-000000000000}">
      <formula1>"ACCOUNT,BUSINESSUNIT,CATEGORY,DATASRC,DEPARTMENT,INTCO,MEASURES,RPTCURRENCY,TIME"</formula1>
    </dataValidation>
    <dataValidation type="list" allowBlank="1" sqref="B29" xr:uid="{00000000-0002-0000-14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3">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0"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G1" s="319" t="s">
        <v>22</v>
      </c>
      <c r="H1" s="46" t="s">
        <v>728</v>
      </c>
      <c r="I1" s="1"/>
      <c r="J1" s="1"/>
      <c r="N1" s="16" t="e">
        <f ca="1">IF(OR(_xll.EVCGT($B$1,$B$6,$H$1,$H$2,$H$3,$H$4,$H$5,$H$6,$H$7,$H$8)="#RFR",_xll.EVCGT($B$1,$B$6,$H$1,$H$2,$H$3,$H$4,$H$5,$H$6,$H$7,$H$8)="#NODATA"),"",_xll.EVCGT($B$1,$B$6,$H$1,$H$2,$H$3,$H$4,$H$5,$H$6,$H$7,$H$8))</f>
        <v>#NAME?</v>
      </c>
      <c r="O1" s="1" t="s">
        <v>731</v>
      </c>
    </row>
    <row r="2" spans="1:35" hidden="1" outlineLevel="1" x14ac:dyDescent="0.2">
      <c r="A2" s="8" t="s">
        <v>22</v>
      </c>
      <c r="B2" s="12" t="s">
        <v>56</v>
      </c>
      <c r="C2" s="1" t="e">
        <f ca="1">_xll.EVDES(B2,$B$1)</f>
        <v>#NAME?</v>
      </c>
      <c r="G2" s="319" t="s">
        <v>50</v>
      </c>
      <c r="H2" s="46" t="e">
        <f ca="1">"BU"&amp;RIGHT(B3,4)</f>
        <v>#NAME?</v>
      </c>
      <c r="I2" s="1"/>
      <c r="J2" s="1"/>
    </row>
    <row r="3" spans="1:35" hidden="1" outlineLevel="1" x14ac:dyDescent="0.2">
      <c r="A3" s="8" t="s">
        <v>50</v>
      </c>
      <c r="B3" s="9" t="e">
        <f ca="1">_xll.EVCVW($B$1,A3)</f>
        <v>#NAME?</v>
      </c>
      <c r="C3" s="1" t="e">
        <f ca="1">_xll.EVDES(B3,$B$1)</f>
        <v>#NAME?</v>
      </c>
      <c r="G3" s="319" t="s">
        <v>19</v>
      </c>
      <c r="H3" s="46" t="s">
        <v>683</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c r="G4" s="319" t="s">
        <v>51</v>
      </c>
      <c r="H4" s="46" t="s">
        <v>730</v>
      </c>
    </row>
    <row r="5" spans="1:35" hidden="1" outlineLevel="1" x14ac:dyDescent="0.2">
      <c r="A5" s="8" t="s">
        <v>51</v>
      </c>
      <c r="B5" s="12" t="s">
        <v>59</v>
      </c>
      <c r="C5" s="1" t="e">
        <f ca="1">_xll.EVDES(B5,$B$1)</f>
        <v>#NAME?</v>
      </c>
      <c r="G5" s="319" t="s">
        <v>53</v>
      </c>
      <c r="H5" s="46" t="s">
        <v>729</v>
      </c>
    </row>
    <row r="6" spans="1:35" hidden="1" outlineLevel="1" x14ac:dyDescent="0.2">
      <c r="A6" s="8" t="s">
        <v>52</v>
      </c>
      <c r="B6" s="12" t="s">
        <v>732</v>
      </c>
      <c r="C6" s="1" t="e">
        <f ca="1">_xll.EVDES(B6,$B$1)</f>
        <v>#NAME?</v>
      </c>
      <c r="E6" s="46" t="e">
        <f ca="1">_xll.EVPRO($B$1,$B$6,$F$6)</f>
        <v>#NAME?</v>
      </c>
      <c r="F6" s="1" t="s">
        <v>278</v>
      </c>
      <c r="G6" s="319" t="s">
        <v>20</v>
      </c>
      <c r="H6" s="46" t="s">
        <v>55</v>
      </c>
    </row>
    <row r="7" spans="1:35" hidden="1" outlineLevel="1" x14ac:dyDescent="0.2">
      <c r="A7" s="8" t="s">
        <v>53</v>
      </c>
      <c r="B7" s="12" t="s">
        <v>61</v>
      </c>
      <c r="C7" s="1" t="e">
        <f ca="1">_xll.EVDES(B7,$B$1)</f>
        <v>#NAME?</v>
      </c>
      <c r="G7" s="319" t="s">
        <v>54</v>
      </c>
      <c r="H7" s="46" t="s">
        <v>62</v>
      </c>
    </row>
    <row r="8" spans="1:35" hidden="1" outlineLevel="1" x14ac:dyDescent="0.2">
      <c r="A8" s="8" t="s">
        <v>20</v>
      </c>
      <c r="B8" s="12" t="s">
        <v>63</v>
      </c>
      <c r="C8" s="1" t="e">
        <f ca="1">_xll.EVDES(B8,$B$1)</f>
        <v>#NAME?</v>
      </c>
      <c r="G8" s="319" t="s">
        <v>18</v>
      </c>
      <c r="H8" s="46" t="s">
        <v>727</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_xll.EVRNG(H35:H58)</f>
        <v>#NAME?</v>
      </c>
      <c r="G19" s="16" t="str">
        <f>$B$6</f>
        <v>D2142</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tr">
        <f>$B$6</f>
        <v>D2142</v>
      </c>
      <c r="H20" s="16">
        <v>946000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I21" s="1"/>
      <c r="J21" s="1"/>
    </row>
    <row r="22" spans="1:40" hidden="1" outlineLevel="1" x14ac:dyDescent="0.2">
      <c r="A22" s="6" t="s">
        <v>7</v>
      </c>
      <c r="B22" s="7" t="e">
        <f ca="1">_xll.EVRNG(A36:F44)</f>
        <v>#NAME?</v>
      </c>
      <c r="I22" s="1"/>
      <c r="J22" s="1"/>
    </row>
    <row r="23" spans="1:40" hidden="1" outlineLevel="1" x14ac:dyDescent="0.2">
      <c r="A23" s="6" t="s">
        <v>47</v>
      </c>
      <c r="B23" s="7" t="e">
        <f ca="1">_xll.EVRNG($A$125:$B$146)</f>
        <v>#NAME?</v>
      </c>
      <c r="K23" s="53"/>
      <c r="L23" s="53"/>
      <c r="M23" s="53"/>
      <c r="AD23" s="136"/>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IF($N$1="",IF(_xll.EVDES(B6,$B$1)="#NODATA","",_xll.EVDES(B6,$B$1)&amp;" Department"),$N$1)</f>
        <v>#NAME?</v>
      </c>
    </row>
    <row r="28" spans="1:40" ht="16" x14ac:dyDescent="0.2">
      <c r="A28" s="6" t="s">
        <v>12</v>
      </c>
      <c r="B28" s="7" t="s">
        <v>22</v>
      </c>
      <c r="N28" s="67" t="e">
        <f ca="1">"For the Period ended"&amp;" "&amp;IF(_xll.EVDES($B$10,$B$1)="#NODATA","",_xll.EVDES($B$10,$B$1))</f>
        <v>#NAME?</v>
      </c>
    </row>
    <row r="29" spans="1:40" ht="15" customHeight="1" x14ac:dyDescent="0.2">
      <c r="A29" s="6" t="s">
        <v>13</v>
      </c>
      <c r="B29" s="7" t="e">
        <f ca="1">"DEP(REV_F) AND "&amp;$E$6&amp;"=Y,REV_F,BEV,DEP(REV_BEV) AND "&amp;$E$6&amp;"=Y,REV_BEV,ALLOW_FB,REV_FB,OTHR_REV,DEP(REV_OTHR) AND "&amp;$E$6&amp;"=Y,REV_OTHR,400000"</f>
        <v>#NAME?</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751</v>
      </c>
      <c r="AK30" s="209"/>
      <c r="AL30" s="210"/>
      <c r="AM30" s="209" t="s">
        <v>750</v>
      </c>
      <c r="AN30" s="209"/>
    </row>
    <row r="31" spans="1:40" x14ac:dyDescent="0.2">
      <c r="A31" s="6" t="s">
        <v>15</v>
      </c>
      <c r="B31" s="7"/>
      <c r="G31" s="13"/>
      <c r="K31" s="11"/>
      <c r="L31" s="11"/>
      <c r="M31" s="1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69</v>
      </c>
      <c r="I33" s="11" t="e">
        <f ca="1">_xll.EVPRO($B$1,$H33,"STYLE")</f>
        <v>#NAME?</v>
      </c>
      <c r="J33" s="11" t="e">
        <f ca="1">_xll.EVPRO($B$1,$H33,"CALC")</f>
        <v>#NAME?</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0" x14ac:dyDescent="0.2">
      <c r="H34" s="1" t="s">
        <v>259</v>
      </c>
      <c r="I34" s="11" t="e">
        <f ca="1">_xll.EVPRO($B$1,$H34,"STYLE")</f>
        <v>#NAME?</v>
      </c>
      <c r="J34" s="11" t="e">
        <f ca="1">_xll.EVPRO($B$1,$H34,"CALC")</f>
        <v>#NAME?</v>
      </c>
      <c r="L34" s="175" t="s">
        <v>364</v>
      </c>
      <c r="M34" s="175" t="s">
        <v>782</v>
      </c>
      <c r="N34" s="8" t="e">
        <f ca="1">IF(_xll.EVDES(H34,$B$1)="#NODATA","",_xll.EVDES(H34,$B$1))</f>
        <v>#NAME?</v>
      </c>
      <c r="O34" s="50"/>
      <c r="AB34" s="51"/>
      <c r="AD34" s="50"/>
      <c r="AF34" s="51"/>
      <c r="AG34" s="50"/>
      <c r="AI34" s="51"/>
    </row>
    <row r="35" spans="1:40" x14ac:dyDescent="0.2">
      <c r="A35" s="20" t="s">
        <v>92</v>
      </c>
      <c r="B35" s="21" t="s">
        <v>93</v>
      </c>
      <c r="C35" s="21" t="s">
        <v>94</v>
      </c>
      <c r="D35" s="21" t="s">
        <v>95</v>
      </c>
      <c r="E35" s="21" t="s">
        <v>96</v>
      </c>
      <c r="F35" s="22" t="s">
        <v>97</v>
      </c>
      <c r="H35" s="10" t="s">
        <v>260</v>
      </c>
      <c r="I35" s="25" t="e">
        <f ca="1">_xll.EVPRO($B$1,$H35,"STYLE")</f>
        <v>#NAME?</v>
      </c>
      <c r="J35" s="25" t="e">
        <f ca="1">_xll.EVPRO($B$1,$H35,"CALC")</f>
        <v>#NAME?</v>
      </c>
      <c r="K35" s="64" t="e">
        <f ca="1">IF(AND(I35&gt;="T5"),"&gt;","")</f>
        <v>#NAME?</v>
      </c>
      <c r="L35" s="24" t="e">
        <f ca="1">_xll.EVPRO($B$1,H35,"JDEID")</f>
        <v>#NAME?</v>
      </c>
      <c r="M35" s="24" t="e">
        <f ca="1">IF(AND(I35="N",J35="N"),_xll.EVPRO($B$1,H35,"PSFTID"),"")</f>
        <v>#NAME?</v>
      </c>
      <c r="N35" s="24" t="e">
        <f ca="1">IF(_xll.EVDES(H35,$B$1)="#NODATA","",_xll.EVDES(H35,$B$1))</f>
        <v>#NAME?</v>
      </c>
      <c r="O35" s="282"/>
      <c r="P35" s="283"/>
      <c r="Q35" s="283"/>
      <c r="R35" s="283"/>
      <c r="S35" s="283"/>
      <c r="T35" s="283"/>
      <c r="U35" s="283"/>
      <c r="V35" s="283"/>
      <c r="W35" s="283"/>
      <c r="X35" s="283"/>
      <c r="Y35" s="283"/>
      <c r="Z35" s="283"/>
      <c r="AA35" s="283" t="e">
        <f t="shared" ref="AA35:AA58" ca="1" si="0">IF($I35="B1","",SUM(O35:Z35))</f>
        <v>#NAME?</v>
      </c>
      <c r="AB35" s="284" t="e">
        <f t="shared" ref="AB35:AB58" ca="1" si="1">IF(AA35=0,"",IFERROR(AA35/AA$19,""))</f>
        <v>#NAME?</v>
      </c>
      <c r="AC35" s="300"/>
      <c r="AD35" s="283"/>
      <c r="AE35" s="284" t="str">
        <f t="shared" ref="AE35:AE58" si="2">IF(AD35=0,"",IFERROR(AD35/AD$19,""))</f>
        <v/>
      </c>
      <c r="AF35" s="285" t="e">
        <f t="shared" ref="AF35:AF58" ca="1" si="3">IF(AND($AA35="",AD35=""),"",$AA35-AD35)</f>
        <v>#NAME?</v>
      </c>
      <c r="AG35" s="283"/>
      <c r="AH35" s="284" t="str">
        <f>IF(AG35=0,"",IFERROR(AG35/AG$19,""))</f>
        <v/>
      </c>
      <c r="AI35" s="286" t="e">
        <f ca="1">IF(AND($AA35="",AG35=""),"",$AA35-AG35)</f>
        <v>#NAME?</v>
      </c>
      <c r="AJ35" s="371">
        <f ca="1">IFERROR(AA35/AA$20,0)</f>
        <v>0</v>
      </c>
      <c r="AK35" s="372">
        <f ca="1">IFERROR(AD35/AD$20,0)</f>
        <v>0</v>
      </c>
      <c r="AL35" s="373">
        <f ca="1">IFERROR(AG35/AG$20,0)</f>
        <v>0</v>
      </c>
      <c r="AM35" s="374">
        <f ca="1">+IFERROR(ROUND(($AB35-AE35)*100,2)&amp;" pts.",0)</f>
        <v>0</v>
      </c>
      <c r="AN35" s="375">
        <f ca="1">+IFERROR(ROUND(($AB35-AH35)*100,2)&amp;" pts.",0)</f>
        <v>0</v>
      </c>
    </row>
    <row r="36" spans="1:40" x14ac:dyDescent="0.2">
      <c r="H36" s="10" t="s">
        <v>261</v>
      </c>
      <c r="I36" s="25" t="e">
        <f ca="1">_xll.EVPRO($B$1,$H36,"STYLE")</f>
        <v>#NAME?</v>
      </c>
      <c r="J36" s="25" t="e">
        <f ca="1">_xll.EVPRO($B$1,$H36,"CALC")</f>
        <v>#NAME?</v>
      </c>
      <c r="K36" s="64" t="e">
        <f t="shared" ref="K36:K58" ca="1" si="4">IF(AND(I36&gt;="T5"),"&gt;","")</f>
        <v>#NAME?</v>
      </c>
      <c r="L36" s="24" t="e">
        <f ca="1">_xll.EVPRO($B$1,H36,"JDEID")</f>
        <v>#NAME?</v>
      </c>
      <c r="M36" s="24" t="e">
        <f ca="1">IF(AND(I36="N",J36="N"),_xll.EVPRO($B$1,H36,"PSFTID"),"")</f>
        <v>#NAME?</v>
      </c>
      <c r="N36" s="24" t="e">
        <f ca="1">IF(_xll.EVDES(H36,$B$1)="#NODATA","",_xll.EVDES(H36,$B$1))</f>
        <v>#NAME?</v>
      </c>
      <c r="O36" s="282"/>
      <c r="P36" s="283"/>
      <c r="Q36" s="283"/>
      <c r="R36" s="283"/>
      <c r="S36" s="283"/>
      <c r="T36" s="283"/>
      <c r="U36" s="283"/>
      <c r="V36" s="283"/>
      <c r="W36" s="283"/>
      <c r="X36" s="283"/>
      <c r="Y36" s="283"/>
      <c r="Z36" s="283"/>
      <c r="AA36" s="283" t="e">
        <f t="shared" ca="1" si="0"/>
        <v>#NAME?</v>
      </c>
      <c r="AB36" s="284" t="e">
        <f t="shared" ca="1" si="1"/>
        <v>#NAME?</v>
      </c>
      <c r="AC36" s="300"/>
      <c r="AD36" s="283"/>
      <c r="AE36" s="284" t="str">
        <f t="shared" si="2"/>
        <v/>
      </c>
      <c r="AF36" s="285" t="e">
        <f t="shared" ca="1" si="3"/>
        <v>#NAME?</v>
      </c>
      <c r="AG36" s="283"/>
      <c r="AH36" s="284" t="str">
        <f t="shared" ref="AH36:AH58" si="5">IF(AG36=0,"",IFERROR(AG36/AG$19,""))</f>
        <v/>
      </c>
      <c r="AI36" s="286" t="e">
        <f t="shared" ref="AI36:AI58" ca="1" si="6">IF(AND($AA36="",AG36=""),"",$AA36-AG36)</f>
        <v>#NAME?</v>
      </c>
      <c r="AJ36" s="371">
        <f t="shared" ref="AJ36:AJ58" ca="1" si="7">IFERROR(AA36/AA$20,0)</f>
        <v>0</v>
      </c>
      <c r="AK36" s="372">
        <f t="shared" ref="AK36:AK58" ca="1" si="8">IFERROR(AD36/AD$20,0)</f>
        <v>0</v>
      </c>
      <c r="AL36" s="373">
        <f t="shared" ref="AL36:AL58" ca="1" si="9">IFERROR(AG36/AG$20,0)</f>
        <v>0</v>
      </c>
      <c r="AM36" s="374">
        <f t="shared" ref="AM36:AM58" ca="1" si="10">+IFERROR(ROUND(($AB36-AE36)*100,2)&amp;" pts.",0)</f>
        <v>0</v>
      </c>
      <c r="AN36" s="375">
        <f t="shared" ref="AN36:AN58" ca="1" si="11">+IFERROR(ROUND(($AB36-AH36)*100,2)&amp;" pts.",0)</f>
        <v>0</v>
      </c>
    </row>
    <row r="37" spans="1:40" x14ac:dyDescent="0.2">
      <c r="A37" s="1" t="s">
        <v>209</v>
      </c>
      <c r="B37" s="1" t="s">
        <v>21</v>
      </c>
      <c r="C37" s="70"/>
      <c r="D37" s="1" t="s">
        <v>590</v>
      </c>
      <c r="F37" s="1" t="s">
        <v>99</v>
      </c>
      <c r="H37" s="10" t="s">
        <v>262</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282"/>
      <c r="P37" s="283"/>
      <c r="Q37" s="283"/>
      <c r="R37" s="283"/>
      <c r="S37" s="283"/>
      <c r="T37" s="283"/>
      <c r="U37" s="283"/>
      <c r="V37" s="283"/>
      <c r="W37" s="283"/>
      <c r="X37" s="283"/>
      <c r="Y37" s="283"/>
      <c r="Z37" s="283"/>
      <c r="AA37" s="283" t="e">
        <f t="shared" ca="1" si="0"/>
        <v>#NAME?</v>
      </c>
      <c r="AB37" s="284" t="e">
        <f t="shared" ca="1" si="1"/>
        <v>#NAME?</v>
      </c>
      <c r="AC37" s="300"/>
      <c r="AD37" s="283"/>
      <c r="AE37" s="284" t="str">
        <f t="shared" si="2"/>
        <v/>
      </c>
      <c r="AF37" s="285" t="e">
        <f t="shared" ca="1" si="3"/>
        <v>#NAME?</v>
      </c>
      <c r="AG37" s="283"/>
      <c r="AH37" s="284" t="str">
        <f t="shared" si="5"/>
        <v/>
      </c>
      <c r="AI37" s="286" t="e">
        <f t="shared" ca="1" si="6"/>
        <v>#NAME?</v>
      </c>
      <c r="AJ37" s="371">
        <f t="shared" ca="1" si="7"/>
        <v>0</v>
      </c>
      <c r="AK37" s="372">
        <f t="shared" ca="1" si="8"/>
        <v>0</v>
      </c>
      <c r="AL37" s="373">
        <f t="shared" ca="1" si="9"/>
        <v>0</v>
      </c>
      <c r="AM37" s="374">
        <f t="shared" ca="1" si="10"/>
        <v>0</v>
      </c>
      <c r="AN37" s="375">
        <f t="shared" ca="1" si="11"/>
        <v>0</v>
      </c>
    </row>
    <row r="38" spans="1:40" x14ac:dyDescent="0.2">
      <c r="A38" s="1" t="s">
        <v>105</v>
      </c>
      <c r="C38" s="24" t="s">
        <v>101</v>
      </c>
      <c r="D38" s="1" t="s">
        <v>106</v>
      </c>
      <c r="F38" s="1" t="s">
        <v>98</v>
      </c>
      <c r="H38" s="10" t="s">
        <v>263</v>
      </c>
      <c r="I38" s="25" t="e">
        <f ca="1">_xll.EVPRO($B$1,$H38,"STYLE")</f>
        <v>#NAME?</v>
      </c>
      <c r="J38" s="25" t="e">
        <f ca="1">_xll.EVPRO($B$1,$H38,"CALC")</f>
        <v>#NAME?</v>
      </c>
      <c r="K38" s="64" t="e">
        <f t="shared" ca="1" si="4"/>
        <v>#NAME?</v>
      </c>
      <c r="L38" s="24" t="e">
        <f ca="1">_xll.EVPRO($B$1,H38,"JDEID")</f>
        <v>#NAME?</v>
      </c>
      <c r="M38" s="24" t="e">
        <f ca="1">IF(AND(I38="N",J38="N"),_xll.EVPRO($B$1,H38,"PSFTID"),"")</f>
        <v>#NAME?</v>
      </c>
      <c r="N38" s="24" t="e">
        <f ca="1">IF(_xll.EVDES(H38,$B$1)="#NODATA","",_xll.EVDES(H38,$B$1))</f>
        <v>#NAME?</v>
      </c>
      <c r="O38" s="282"/>
      <c r="P38" s="283"/>
      <c r="Q38" s="283"/>
      <c r="R38" s="283"/>
      <c r="S38" s="283"/>
      <c r="T38" s="283"/>
      <c r="U38" s="283"/>
      <c r="V38" s="283"/>
      <c r="W38" s="283"/>
      <c r="X38" s="283"/>
      <c r="Y38" s="283"/>
      <c r="Z38" s="283"/>
      <c r="AA38" s="283" t="e">
        <f t="shared" ca="1" si="0"/>
        <v>#NAME?</v>
      </c>
      <c r="AB38" s="284" t="e">
        <f t="shared" ca="1" si="1"/>
        <v>#NAME?</v>
      </c>
      <c r="AC38" s="300"/>
      <c r="AD38" s="283"/>
      <c r="AE38" s="284" t="str">
        <f t="shared" si="2"/>
        <v/>
      </c>
      <c r="AF38" s="285" t="e">
        <f t="shared" ca="1" si="3"/>
        <v>#NAME?</v>
      </c>
      <c r="AG38" s="283"/>
      <c r="AH38" s="284" t="str">
        <f t="shared" si="5"/>
        <v/>
      </c>
      <c r="AI38" s="286" t="e">
        <f t="shared" ca="1" si="6"/>
        <v>#NAME?</v>
      </c>
      <c r="AJ38" s="371">
        <f t="shared" ca="1" si="7"/>
        <v>0</v>
      </c>
      <c r="AK38" s="372">
        <f t="shared" ca="1" si="8"/>
        <v>0</v>
      </c>
      <c r="AL38" s="373">
        <f t="shared" ca="1" si="9"/>
        <v>0</v>
      </c>
      <c r="AM38" s="374">
        <f t="shared" ca="1" si="10"/>
        <v>0</v>
      </c>
      <c r="AN38" s="375">
        <f t="shared" ca="1" si="11"/>
        <v>0</v>
      </c>
    </row>
    <row r="39" spans="1:40" x14ac:dyDescent="0.2">
      <c r="A39" s="1" t="s">
        <v>104</v>
      </c>
      <c r="C39" s="24" t="s">
        <v>101</v>
      </c>
      <c r="D39" s="1" t="s">
        <v>106</v>
      </c>
      <c r="F39" s="1" t="s">
        <v>98</v>
      </c>
      <c r="H39" s="10" t="s">
        <v>264</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295"/>
      <c r="P39" s="296"/>
      <c r="Q39" s="296"/>
      <c r="R39" s="296"/>
      <c r="S39" s="296"/>
      <c r="T39" s="296"/>
      <c r="U39" s="296"/>
      <c r="V39" s="296"/>
      <c r="W39" s="296"/>
      <c r="X39" s="296"/>
      <c r="Y39" s="296"/>
      <c r="Z39" s="296"/>
      <c r="AA39" s="296" t="e">
        <f t="shared" ca="1" si="0"/>
        <v>#NAME?</v>
      </c>
      <c r="AB39" s="297" t="e">
        <f t="shared" ca="1" si="1"/>
        <v>#NAME?</v>
      </c>
      <c r="AC39" s="263"/>
      <c r="AD39" s="296"/>
      <c r="AE39" s="297" t="str">
        <f t="shared" si="2"/>
        <v/>
      </c>
      <c r="AF39" s="298" t="e">
        <f t="shared" ca="1" si="3"/>
        <v>#NAME?</v>
      </c>
      <c r="AG39" s="296"/>
      <c r="AH39" s="297" t="str">
        <f t="shared" si="5"/>
        <v/>
      </c>
      <c r="AI39" s="299" t="e">
        <f t="shared" ca="1" si="6"/>
        <v>#NAME?</v>
      </c>
      <c r="AJ39" s="381">
        <f t="shared" ca="1" si="7"/>
        <v>0</v>
      </c>
      <c r="AK39" s="382">
        <f t="shared" ca="1" si="8"/>
        <v>0</v>
      </c>
      <c r="AL39" s="383">
        <f t="shared" ca="1" si="9"/>
        <v>0</v>
      </c>
      <c r="AM39" s="384">
        <f t="shared" ca="1" si="10"/>
        <v>0</v>
      </c>
      <c r="AN39" s="385">
        <f t="shared" ca="1" si="11"/>
        <v>0</v>
      </c>
    </row>
    <row r="40" spans="1:40" x14ac:dyDescent="0.2">
      <c r="A40" s="1" t="s">
        <v>100</v>
      </c>
      <c r="C40" s="8" t="s">
        <v>101</v>
      </c>
      <c r="D40" s="1" t="s">
        <v>106</v>
      </c>
      <c r="F40" s="1" t="s">
        <v>98</v>
      </c>
      <c r="H40" s="10" t="s">
        <v>265</v>
      </c>
      <c r="I40" s="447" t="e">
        <f ca="1">_xll.EVPRO($B$1,$H40,"STYLE")</f>
        <v>#NAME?</v>
      </c>
      <c r="J40" s="447" t="e">
        <f ca="1">_xll.EVPRO($B$1,$H40,"CALC")</f>
        <v>#NAME?</v>
      </c>
      <c r="K40" s="448" t="e">
        <f t="shared" ca="1" si="4"/>
        <v>#NAME?</v>
      </c>
      <c r="L40" s="151" t="e">
        <f ca="1">_xll.EVPRO($B$1,H40,"JDEID")</f>
        <v>#NAME?</v>
      </c>
      <c r="M40" s="151" t="e">
        <f ca="1">IF(AND(I40="N",J40="N"),_xll.EVPRO($B$1,H40,"PSFTID"),"")</f>
        <v>#NAME?</v>
      </c>
      <c r="N40" s="151" t="e">
        <f ca="1">IF(_xll.EVDES(H40,$B$1)="#NODATA","",_xll.EVDES(H40,$B$1))</f>
        <v>#NAME?</v>
      </c>
      <c r="O40" s="202"/>
      <c r="P40" s="120"/>
      <c r="Q40" s="120"/>
      <c r="R40" s="120"/>
      <c r="S40" s="120"/>
      <c r="T40" s="120"/>
      <c r="U40" s="120"/>
      <c r="V40" s="120"/>
      <c r="W40" s="120"/>
      <c r="X40" s="120"/>
      <c r="Y40" s="120"/>
      <c r="Z40" s="120"/>
      <c r="AA40" s="120" t="e">
        <f t="shared" ca="1" si="0"/>
        <v>#NAME?</v>
      </c>
      <c r="AB40" s="121" t="e">
        <f t="shared" ca="1" si="1"/>
        <v>#NAME?</v>
      </c>
      <c r="AC40" s="123"/>
      <c r="AD40" s="120"/>
      <c r="AE40" s="121" t="str">
        <f t="shared" si="2"/>
        <v/>
      </c>
      <c r="AF40" s="122" t="e">
        <f t="shared" ca="1" si="3"/>
        <v>#NAME?</v>
      </c>
      <c r="AG40" s="120"/>
      <c r="AH40" s="121" t="str">
        <f t="shared" si="5"/>
        <v/>
      </c>
      <c r="AI40" s="264" t="e">
        <f t="shared" ca="1" si="6"/>
        <v>#NAME?</v>
      </c>
      <c r="AJ40" s="332">
        <f t="shared" ca="1" si="7"/>
        <v>0</v>
      </c>
      <c r="AK40" s="333">
        <f t="shared" ca="1" si="8"/>
        <v>0</v>
      </c>
      <c r="AL40" s="335">
        <f t="shared" ca="1" si="9"/>
        <v>0</v>
      </c>
      <c r="AM40" s="377">
        <f t="shared" ca="1" si="10"/>
        <v>0</v>
      </c>
      <c r="AN40" s="378">
        <f t="shared" ca="1" si="11"/>
        <v>0</v>
      </c>
    </row>
    <row r="41" spans="1:40" x14ac:dyDescent="0.2">
      <c r="A41" s="1" t="s">
        <v>102</v>
      </c>
      <c r="C41" s="23" t="s">
        <v>101</v>
      </c>
      <c r="D41" s="1" t="s">
        <v>106</v>
      </c>
      <c r="F41" s="1" t="s">
        <v>98</v>
      </c>
      <c r="H41" s="10" t="s">
        <v>266</v>
      </c>
      <c r="I41" s="447" t="e">
        <f ca="1">_xll.EVPRO($B$1,$H41,"STYLE")</f>
        <v>#NAME?</v>
      </c>
      <c r="J41" s="447" t="e">
        <f ca="1">_xll.EVPRO($B$1,$H41,"CALC")</f>
        <v>#NAME?</v>
      </c>
      <c r="K41" s="448" t="e">
        <f t="shared" ca="1" si="4"/>
        <v>#NAME?</v>
      </c>
      <c r="L41" s="151" t="e">
        <f ca="1">_xll.EVPRO($B$1,H41,"JDEID")</f>
        <v>#NAME?</v>
      </c>
      <c r="M41" s="151" t="e">
        <f ca="1">IF(AND(I41="N",J41="N"),_xll.EVPRO($B$1,H41,"PSFTID"),"")</f>
        <v>#NAME?</v>
      </c>
      <c r="N41" s="151" t="e">
        <f ca="1">IF(_xll.EVDES(H41,$B$1)="#NODATA","",_xll.EVDES(H41,$B$1))</f>
        <v>#NAME?</v>
      </c>
      <c r="O41" s="287"/>
      <c r="P41" s="288"/>
      <c r="Q41" s="288"/>
      <c r="R41" s="288"/>
      <c r="S41" s="288"/>
      <c r="T41" s="288"/>
      <c r="U41" s="288"/>
      <c r="V41" s="288"/>
      <c r="W41" s="288"/>
      <c r="X41" s="288"/>
      <c r="Y41" s="288"/>
      <c r="Z41" s="288"/>
      <c r="AA41" s="288" t="e">
        <f t="shared" ca="1" si="0"/>
        <v>#NAME?</v>
      </c>
      <c r="AB41" s="289" t="e">
        <f t="shared" ca="1" si="1"/>
        <v>#NAME?</v>
      </c>
      <c r="AC41" s="301"/>
      <c r="AD41" s="288"/>
      <c r="AE41" s="289" t="str">
        <f t="shared" si="2"/>
        <v/>
      </c>
      <c r="AF41" s="290" t="e">
        <f t="shared" ca="1" si="3"/>
        <v>#NAME?</v>
      </c>
      <c r="AG41" s="288"/>
      <c r="AH41" s="289" t="str">
        <f t="shared" si="5"/>
        <v/>
      </c>
      <c r="AI41" s="291" t="e">
        <f t="shared" ca="1" si="6"/>
        <v>#NAME?</v>
      </c>
      <c r="AJ41" s="325">
        <f t="shared" ca="1" si="7"/>
        <v>0</v>
      </c>
      <c r="AK41" s="326">
        <f t="shared" ca="1" si="8"/>
        <v>0</v>
      </c>
      <c r="AL41" s="328">
        <f t="shared" ca="1" si="9"/>
        <v>0</v>
      </c>
      <c r="AM41" s="362">
        <f t="shared" ca="1" si="10"/>
        <v>0</v>
      </c>
      <c r="AN41" s="376">
        <f t="shared" ca="1" si="11"/>
        <v>0</v>
      </c>
    </row>
    <row r="42" spans="1:40" x14ac:dyDescent="0.2">
      <c r="A42" s="1" t="s">
        <v>102</v>
      </c>
      <c r="C42" s="135" t="s">
        <v>101</v>
      </c>
      <c r="D42" s="1" t="s">
        <v>107</v>
      </c>
      <c r="F42" s="1" t="s">
        <v>99</v>
      </c>
      <c r="H42" s="10" t="s">
        <v>267</v>
      </c>
      <c r="I42" s="25" t="e">
        <f ca="1">_xll.EVPRO($B$1,$H42,"STYLE")</f>
        <v>#NAME?</v>
      </c>
      <c r="J42" s="25" t="e">
        <f ca="1">_xll.EVPRO($B$1,$H42,"CALC")</f>
        <v>#NAME?</v>
      </c>
      <c r="K42" s="64" t="e">
        <f t="shared" ca="1" si="4"/>
        <v>#NAME?</v>
      </c>
      <c r="L42" s="24" t="e">
        <f ca="1">_xll.EVPRO($B$1,H42,"JDEID")</f>
        <v>#NAME?</v>
      </c>
      <c r="M42" s="24" t="e">
        <f ca="1">IF(AND(I42="N",J42="N"),_xll.EVPRO($B$1,H42,"PSFTID"),"")</f>
        <v>#NAME?</v>
      </c>
      <c r="N42" s="24" t="e">
        <f ca="1">IF(_xll.EVDES(H42,$B$1)="#NODATA","",_xll.EVDES(H42,$B$1))</f>
        <v>#NAME?</v>
      </c>
      <c r="O42" s="282"/>
      <c r="P42" s="283"/>
      <c r="Q42" s="283"/>
      <c r="R42" s="283"/>
      <c r="S42" s="283"/>
      <c r="T42" s="283"/>
      <c r="U42" s="283"/>
      <c r="V42" s="283"/>
      <c r="W42" s="283"/>
      <c r="X42" s="283"/>
      <c r="Y42" s="283"/>
      <c r="Z42" s="283"/>
      <c r="AA42" s="283" t="e">
        <f t="shared" ca="1" si="0"/>
        <v>#NAME?</v>
      </c>
      <c r="AB42" s="284" t="e">
        <f t="shared" ca="1" si="1"/>
        <v>#NAME?</v>
      </c>
      <c r="AC42" s="300"/>
      <c r="AD42" s="283"/>
      <c r="AE42" s="284" t="str">
        <f t="shared" si="2"/>
        <v/>
      </c>
      <c r="AF42" s="285" t="e">
        <f t="shared" ca="1" si="3"/>
        <v>#NAME?</v>
      </c>
      <c r="AG42" s="283"/>
      <c r="AH42" s="284" t="str">
        <f t="shared" si="5"/>
        <v/>
      </c>
      <c r="AI42" s="286" t="e">
        <f t="shared" ca="1" si="6"/>
        <v>#NAME?</v>
      </c>
      <c r="AJ42" s="371">
        <f t="shared" ca="1" si="7"/>
        <v>0</v>
      </c>
      <c r="AK42" s="372">
        <f t="shared" ca="1" si="8"/>
        <v>0</v>
      </c>
      <c r="AL42" s="373">
        <f t="shared" ca="1" si="9"/>
        <v>0</v>
      </c>
      <c r="AM42" s="374">
        <f t="shared" ca="1" si="10"/>
        <v>0</v>
      </c>
      <c r="AN42" s="375">
        <f t="shared" ca="1" si="11"/>
        <v>0</v>
      </c>
    </row>
    <row r="43" spans="1:40" x14ac:dyDescent="0.2">
      <c r="A43" s="1" t="s">
        <v>108</v>
      </c>
      <c r="C43" s="23" t="s">
        <v>101</v>
      </c>
      <c r="D43" s="1" t="s">
        <v>106</v>
      </c>
      <c r="F43" s="1" t="s">
        <v>98</v>
      </c>
      <c r="H43" s="10" t="s">
        <v>268</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282"/>
      <c r="P43" s="283"/>
      <c r="Q43" s="283"/>
      <c r="R43" s="283"/>
      <c r="S43" s="283"/>
      <c r="T43" s="283"/>
      <c r="U43" s="283"/>
      <c r="V43" s="283"/>
      <c r="W43" s="283"/>
      <c r="X43" s="283"/>
      <c r="Y43" s="283"/>
      <c r="Z43" s="283"/>
      <c r="AA43" s="283" t="e">
        <f t="shared" ca="1" si="0"/>
        <v>#NAME?</v>
      </c>
      <c r="AB43" s="284" t="e">
        <f t="shared" ca="1" si="1"/>
        <v>#NAME?</v>
      </c>
      <c r="AC43" s="300"/>
      <c r="AD43" s="283"/>
      <c r="AE43" s="284" t="str">
        <f t="shared" si="2"/>
        <v/>
      </c>
      <c r="AF43" s="285" t="e">
        <f t="shared" ca="1" si="3"/>
        <v>#NAME?</v>
      </c>
      <c r="AG43" s="283"/>
      <c r="AH43" s="284" t="str">
        <f t="shared" si="5"/>
        <v/>
      </c>
      <c r="AI43" s="286" t="e">
        <f t="shared" ca="1" si="6"/>
        <v>#NAME?</v>
      </c>
      <c r="AJ43" s="371">
        <f t="shared" ca="1" si="7"/>
        <v>0</v>
      </c>
      <c r="AK43" s="372">
        <f t="shared" ca="1" si="8"/>
        <v>0</v>
      </c>
      <c r="AL43" s="373">
        <f t="shared" ca="1" si="9"/>
        <v>0</v>
      </c>
      <c r="AM43" s="374">
        <f t="shared" ca="1" si="10"/>
        <v>0</v>
      </c>
      <c r="AN43" s="375">
        <f t="shared" ca="1" si="11"/>
        <v>0</v>
      </c>
    </row>
    <row r="44" spans="1:40" x14ac:dyDescent="0.2">
      <c r="A44" s="1" t="s">
        <v>108</v>
      </c>
      <c r="C44" s="135" t="s">
        <v>101</v>
      </c>
      <c r="D44" s="1" t="s">
        <v>107</v>
      </c>
      <c r="F44" s="1" t="s">
        <v>99</v>
      </c>
      <c r="H44" s="10" t="s">
        <v>269</v>
      </c>
      <c r="I44" s="25" t="e">
        <f ca="1">_xll.EVPRO($B$1,$H44,"STYLE")</f>
        <v>#NAME?</v>
      </c>
      <c r="J44" s="25" t="e">
        <f ca="1">_xll.EVPRO($B$1,$H44,"CALC")</f>
        <v>#NAME?</v>
      </c>
      <c r="K44" s="64" t="e">
        <f t="shared" ca="1" si="4"/>
        <v>#NAME?</v>
      </c>
      <c r="L44" s="24" t="e">
        <f ca="1">_xll.EVPRO($B$1,H44,"JDEID")</f>
        <v>#NAME?</v>
      </c>
      <c r="M44" s="24" t="e">
        <f ca="1">IF(AND(I44="N",J44="N"),_xll.EVPRO($B$1,H44,"PSFTID"),"")</f>
        <v>#NAME?</v>
      </c>
      <c r="N44" s="24" t="e">
        <f ca="1">IF(_xll.EVDES(H44,$B$1)="#NODATA","",_xll.EVDES(H44,$B$1))</f>
        <v>#NAME?</v>
      </c>
      <c r="O44" s="282"/>
      <c r="P44" s="283"/>
      <c r="Q44" s="283"/>
      <c r="R44" s="283"/>
      <c r="S44" s="283"/>
      <c r="T44" s="283"/>
      <c r="U44" s="283"/>
      <c r="V44" s="283"/>
      <c r="W44" s="283"/>
      <c r="X44" s="283"/>
      <c r="Y44" s="283"/>
      <c r="Z44" s="283"/>
      <c r="AA44" s="283" t="e">
        <f t="shared" ca="1" si="0"/>
        <v>#NAME?</v>
      </c>
      <c r="AB44" s="284" t="e">
        <f t="shared" ca="1" si="1"/>
        <v>#NAME?</v>
      </c>
      <c r="AC44" s="300"/>
      <c r="AD44" s="283"/>
      <c r="AE44" s="284" t="str">
        <f t="shared" si="2"/>
        <v/>
      </c>
      <c r="AF44" s="285" t="e">
        <f t="shared" ca="1" si="3"/>
        <v>#NAME?</v>
      </c>
      <c r="AG44" s="283"/>
      <c r="AH44" s="284" t="str">
        <f t="shared" si="5"/>
        <v/>
      </c>
      <c r="AI44" s="286" t="e">
        <f t="shared" ca="1" si="6"/>
        <v>#NAME?</v>
      </c>
      <c r="AJ44" s="371">
        <f t="shared" ca="1" si="7"/>
        <v>0</v>
      </c>
      <c r="AK44" s="372">
        <f t="shared" ca="1" si="8"/>
        <v>0</v>
      </c>
      <c r="AL44" s="373">
        <f t="shared" ca="1" si="9"/>
        <v>0</v>
      </c>
      <c r="AM44" s="374">
        <f t="shared" ca="1" si="10"/>
        <v>0</v>
      </c>
      <c r="AN44" s="375">
        <f t="shared" ca="1" si="11"/>
        <v>0</v>
      </c>
    </row>
    <row r="45" spans="1:40" x14ac:dyDescent="0.2">
      <c r="H45" s="10" t="s">
        <v>270</v>
      </c>
      <c r="I45" s="25" t="e">
        <f ca="1">_xll.EVPRO($B$1,$H45,"STYLE")</f>
        <v>#NAME?</v>
      </c>
      <c r="J45" s="25" t="e">
        <f ca="1">_xll.EVPRO($B$1,$H45,"CALC")</f>
        <v>#NAME?</v>
      </c>
      <c r="K45" s="64" t="e">
        <f t="shared" ca="1" si="4"/>
        <v>#NAME?</v>
      </c>
      <c r="L45" s="24" t="e">
        <f ca="1">_xll.EVPRO($B$1,H45,"JDEID")</f>
        <v>#NAME?</v>
      </c>
      <c r="M45" s="24" t="e">
        <f ca="1">IF(AND(I45="N",J45="N"),_xll.EVPRO($B$1,H45,"PSFTID"),"")</f>
        <v>#NAME?</v>
      </c>
      <c r="N45" s="24" t="e">
        <f ca="1">IF(_xll.EVDES(H45,$B$1)="#NODATA","",_xll.EVDES(H45,$B$1))</f>
        <v>#NAME?</v>
      </c>
      <c r="O45" s="282"/>
      <c r="P45" s="283"/>
      <c r="Q45" s="283"/>
      <c r="R45" s="283"/>
      <c r="S45" s="283"/>
      <c r="T45" s="283"/>
      <c r="U45" s="283"/>
      <c r="V45" s="283"/>
      <c r="W45" s="283"/>
      <c r="X45" s="283"/>
      <c r="Y45" s="283"/>
      <c r="Z45" s="283"/>
      <c r="AA45" s="283" t="e">
        <f t="shared" ca="1" si="0"/>
        <v>#NAME?</v>
      </c>
      <c r="AB45" s="284" t="e">
        <f t="shared" ca="1" si="1"/>
        <v>#NAME?</v>
      </c>
      <c r="AC45" s="300"/>
      <c r="AD45" s="283"/>
      <c r="AE45" s="284" t="str">
        <f t="shared" si="2"/>
        <v/>
      </c>
      <c r="AF45" s="285" t="e">
        <f t="shared" ca="1" si="3"/>
        <v>#NAME?</v>
      </c>
      <c r="AG45" s="283"/>
      <c r="AH45" s="284" t="str">
        <f t="shared" si="5"/>
        <v/>
      </c>
      <c r="AI45" s="286" t="e">
        <f t="shared" ca="1" si="6"/>
        <v>#NAME?</v>
      </c>
      <c r="AJ45" s="371">
        <f t="shared" ca="1" si="7"/>
        <v>0</v>
      </c>
      <c r="AK45" s="372">
        <f t="shared" ca="1" si="8"/>
        <v>0</v>
      </c>
      <c r="AL45" s="373">
        <f t="shared" ca="1" si="9"/>
        <v>0</v>
      </c>
      <c r="AM45" s="374">
        <f t="shared" ca="1" si="10"/>
        <v>0</v>
      </c>
      <c r="AN45" s="375">
        <f t="shared" ca="1" si="11"/>
        <v>0</v>
      </c>
    </row>
    <row r="46" spans="1:40" x14ac:dyDescent="0.2">
      <c r="H46" s="10" t="s">
        <v>271</v>
      </c>
      <c r="I46" s="25" t="e">
        <f ca="1">_xll.EVPRO($B$1,$H46,"STYLE")</f>
        <v>#NAME?</v>
      </c>
      <c r="J46" s="25" t="e">
        <f ca="1">_xll.EVPRO($B$1,$H46,"CALC")</f>
        <v>#NAME?</v>
      </c>
      <c r="K46" s="64" t="e">
        <f t="shared" ca="1" si="4"/>
        <v>#NAME?</v>
      </c>
      <c r="L46" s="24" t="e">
        <f ca="1">_xll.EVPRO($B$1,H46,"JDEID")</f>
        <v>#NAME?</v>
      </c>
      <c r="M46" s="24" t="e">
        <f ca="1">IF(AND(I46="N",J46="N"),_xll.EVPRO($B$1,H46,"PSFTID"),"")</f>
        <v>#NAME?</v>
      </c>
      <c r="N46" s="24" t="e">
        <f ca="1">IF(_xll.EVDES(H46,$B$1)="#NODATA","",_xll.EVDES(H46,$B$1))</f>
        <v>#NAME?</v>
      </c>
      <c r="O46" s="295"/>
      <c r="P46" s="296"/>
      <c r="Q46" s="296"/>
      <c r="R46" s="296"/>
      <c r="S46" s="296"/>
      <c r="T46" s="296"/>
      <c r="U46" s="296"/>
      <c r="V46" s="296"/>
      <c r="W46" s="296"/>
      <c r="X46" s="296"/>
      <c r="Y46" s="296"/>
      <c r="Z46" s="296"/>
      <c r="AA46" s="296" t="e">
        <f t="shared" ca="1" si="0"/>
        <v>#NAME?</v>
      </c>
      <c r="AB46" s="297" t="e">
        <f t="shared" ca="1" si="1"/>
        <v>#NAME?</v>
      </c>
      <c r="AC46" s="263"/>
      <c r="AD46" s="296"/>
      <c r="AE46" s="297" t="str">
        <f t="shared" si="2"/>
        <v/>
      </c>
      <c r="AF46" s="298" t="e">
        <f t="shared" ca="1" si="3"/>
        <v>#NAME?</v>
      </c>
      <c r="AG46" s="296"/>
      <c r="AH46" s="297" t="str">
        <f t="shared" si="5"/>
        <v/>
      </c>
      <c r="AI46" s="299" t="e">
        <f t="shared" ca="1" si="6"/>
        <v>#NAME?</v>
      </c>
      <c r="AJ46" s="381">
        <f t="shared" ca="1" si="7"/>
        <v>0</v>
      </c>
      <c r="AK46" s="382">
        <f t="shared" ca="1" si="8"/>
        <v>0</v>
      </c>
      <c r="AL46" s="383">
        <f t="shared" ca="1" si="9"/>
        <v>0</v>
      </c>
      <c r="AM46" s="384">
        <f t="shared" ca="1" si="10"/>
        <v>0</v>
      </c>
      <c r="AN46" s="385">
        <f t="shared" ca="1" si="11"/>
        <v>0</v>
      </c>
    </row>
    <row r="47" spans="1:40" x14ac:dyDescent="0.2">
      <c r="A47" s="4" t="e">
        <f ca="1">_xll.EVDRE($B$1,A50:B57,A60:B66)</f>
        <v>#NAME?</v>
      </c>
      <c r="H47" s="10" t="s">
        <v>272</v>
      </c>
      <c r="I47" s="447" t="e">
        <f ca="1">_xll.EVPRO($B$1,$H47,"STYLE")</f>
        <v>#NAME?</v>
      </c>
      <c r="J47" s="447" t="e">
        <f ca="1">_xll.EVPRO($B$1,$H47,"CALC")</f>
        <v>#NAME?</v>
      </c>
      <c r="K47" s="448" t="e">
        <f t="shared" ca="1" si="4"/>
        <v>#NAME?</v>
      </c>
      <c r="L47" s="151" t="e">
        <f ca="1">_xll.EVPRO($B$1,H47,"JDEID")</f>
        <v>#NAME?</v>
      </c>
      <c r="M47" s="151" t="e">
        <f ca="1">IF(AND(I47="N",J47="N"),_xll.EVPRO($B$1,H47,"PSFTID"),"")</f>
        <v>#NAME?</v>
      </c>
      <c r="N47" s="151" t="e">
        <f ca="1">IF(_xll.EVDES(H47,$B$1)="#NODATA","",_xll.EVDES(H47,$B$1))</f>
        <v>#NAME?</v>
      </c>
      <c r="O47" s="202"/>
      <c r="P47" s="120"/>
      <c r="Q47" s="120"/>
      <c r="R47" s="120"/>
      <c r="S47" s="120"/>
      <c r="T47" s="120"/>
      <c r="U47" s="120"/>
      <c r="V47" s="120"/>
      <c r="W47" s="120"/>
      <c r="X47" s="120"/>
      <c r="Y47" s="120"/>
      <c r="Z47" s="120"/>
      <c r="AA47" s="120" t="e">
        <f t="shared" ca="1" si="0"/>
        <v>#NAME?</v>
      </c>
      <c r="AB47" s="121" t="e">
        <f t="shared" ca="1" si="1"/>
        <v>#NAME?</v>
      </c>
      <c r="AC47" s="123"/>
      <c r="AD47" s="120"/>
      <c r="AE47" s="121" t="str">
        <f t="shared" si="2"/>
        <v/>
      </c>
      <c r="AF47" s="122" t="e">
        <f t="shared" ca="1" si="3"/>
        <v>#NAME?</v>
      </c>
      <c r="AG47" s="120"/>
      <c r="AH47" s="121" t="str">
        <f t="shared" si="5"/>
        <v/>
      </c>
      <c r="AI47" s="264" t="e">
        <f t="shared" ca="1" si="6"/>
        <v>#NAME?</v>
      </c>
      <c r="AJ47" s="332">
        <f t="shared" ca="1" si="7"/>
        <v>0</v>
      </c>
      <c r="AK47" s="333">
        <f t="shared" ca="1" si="8"/>
        <v>0</v>
      </c>
      <c r="AL47" s="335">
        <f t="shared" ca="1" si="9"/>
        <v>0</v>
      </c>
      <c r="AM47" s="377">
        <f t="shared" ca="1" si="10"/>
        <v>0</v>
      </c>
      <c r="AN47" s="378">
        <f t="shared" ca="1" si="11"/>
        <v>0</v>
      </c>
    </row>
    <row r="48" spans="1:40" x14ac:dyDescent="0.2">
      <c r="H48" s="10" t="s">
        <v>486</v>
      </c>
      <c r="I48" s="25" t="e">
        <f ca="1">_xll.EVPRO($B$1,$H48,"STYLE")</f>
        <v>#NAME?</v>
      </c>
      <c r="J48" s="25" t="e">
        <f ca="1">_xll.EVPRO($B$1,$H48,"CALC")</f>
        <v>#NAME?</v>
      </c>
      <c r="K48" s="64" t="e">
        <f t="shared" ca="1" si="4"/>
        <v>#NAME?</v>
      </c>
      <c r="L48" s="24" t="e">
        <f ca="1">_xll.EVPRO($B$1,H48,"JDEID")</f>
        <v>#NAME?</v>
      </c>
      <c r="M48" s="24" t="e">
        <f ca="1">IF(AND(I48="N",J48="N"),_xll.EVPRO($B$1,H48,"PSFTID"),"")</f>
        <v>#NAME?</v>
      </c>
      <c r="N48" s="24" t="e">
        <f ca="1">IF(_xll.EVDES(H48,$B$1)="#NODATA","",_xll.EVDES(H48,$B$1))</f>
        <v>#NAME?</v>
      </c>
      <c r="O48" s="302"/>
      <c r="P48" s="44"/>
      <c r="Q48" s="44"/>
      <c r="R48" s="44"/>
      <c r="S48" s="44"/>
      <c r="T48" s="44"/>
      <c r="U48" s="44"/>
      <c r="V48" s="44"/>
      <c r="W48" s="44"/>
      <c r="X48" s="44"/>
      <c r="Y48" s="44"/>
      <c r="Z48" s="44"/>
      <c r="AA48" s="44" t="e">
        <f t="shared" ca="1" si="0"/>
        <v>#NAME?</v>
      </c>
      <c r="AB48" s="45" t="e">
        <f t="shared" ca="1" si="1"/>
        <v>#NAME?</v>
      </c>
      <c r="AD48" s="44"/>
      <c r="AE48" s="45" t="str">
        <f t="shared" si="2"/>
        <v/>
      </c>
      <c r="AF48" s="134" t="e">
        <f t="shared" ca="1" si="3"/>
        <v>#NAME?</v>
      </c>
      <c r="AG48" s="44"/>
      <c r="AH48" s="45" t="str">
        <f t="shared" si="5"/>
        <v/>
      </c>
      <c r="AI48" s="303" t="e">
        <f t="shared" ca="1" si="6"/>
        <v>#NAME?</v>
      </c>
      <c r="AJ48" s="392">
        <f t="shared" ca="1" si="7"/>
        <v>0</v>
      </c>
      <c r="AK48" s="393">
        <f t="shared" ca="1" si="8"/>
        <v>0</v>
      </c>
      <c r="AL48" s="394">
        <f t="shared" ca="1" si="9"/>
        <v>0</v>
      </c>
      <c r="AM48" s="395">
        <f t="shared" ca="1" si="10"/>
        <v>0</v>
      </c>
      <c r="AN48" s="396">
        <f t="shared" ca="1" si="11"/>
        <v>0</v>
      </c>
    </row>
    <row r="49" spans="1:40" x14ac:dyDescent="0.2">
      <c r="A49" s="3" t="s">
        <v>0</v>
      </c>
      <c r="B49" s="5" t="s">
        <v>1</v>
      </c>
      <c r="H49" s="10" t="s">
        <v>273</v>
      </c>
      <c r="I49" s="447" t="e">
        <f ca="1">_xll.EVPRO($B$1,$H49,"STYLE")</f>
        <v>#NAME?</v>
      </c>
      <c r="J49" s="447" t="e">
        <f ca="1">_xll.EVPRO($B$1,$H49,"CALC")</f>
        <v>#NAME?</v>
      </c>
      <c r="K49" s="448" t="e">
        <f t="shared" ca="1" si="4"/>
        <v>#NAME?</v>
      </c>
      <c r="L49" s="151" t="e">
        <f ca="1">_xll.EVPRO($B$1,H49,"JDEID")</f>
        <v>#NAME?</v>
      </c>
      <c r="M49" s="151" t="e">
        <f ca="1">IF(AND(I49="N",J49="N"),_xll.EVPRO($B$1,H49,"PSFTID"),"")</f>
        <v>#NAME?</v>
      </c>
      <c r="N49" s="151" t="e">
        <f ca="1">IF(_xll.EVDES(H49,$B$1)="#NODATA","",_xll.EVDES(H49,$B$1))</f>
        <v>#NAME?</v>
      </c>
      <c r="O49" s="202"/>
      <c r="P49" s="120"/>
      <c r="Q49" s="120"/>
      <c r="R49" s="120"/>
      <c r="S49" s="120"/>
      <c r="T49" s="120"/>
      <c r="U49" s="120"/>
      <c r="V49" s="120"/>
      <c r="W49" s="120"/>
      <c r="X49" s="120"/>
      <c r="Y49" s="120"/>
      <c r="Z49" s="120"/>
      <c r="AA49" s="120" t="e">
        <f t="shared" ca="1" si="0"/>
        <v>#NAME?</v>
      </c>
      <c r="AB49" s="121" t="e">
        <f t="shared" ca="1" si="1"/>
        <v>#NAME?</v>
      </c>
      <c r="AC49" s="123"/>
      <c r="AD49" s="120"/>
      <c r="AE49" s="121" t="str">
        <f t="shared" si="2"/>
        <v/>
      </c>
      <c r="AF49" s="122" t="e">
        <f t="shared" ca="1" si="3"/>
        <v>#NAME?</v>
      </c>
      <c r="AG49" s="120"/>
      <c r="AH49" s="121" t="str">
        <f t="shared" si="5"/>
        <v/>
      </c>
      <c r="AI49" s="264" t="e">
        <f t="shared" ca="1" si="6"/>
        <v>#NAME?</v>
      </c>
      <c r="AJ49" s="332">
        <f t="shared" ca="1" si="7"/>
        <v>0</v>
      </c>
      <c r="AK49" s="333">
        <f t="shared" ca="1" si="8"/>
        <v>0</v>
      </c>
      <c r="AL49" s="335">
        <f t="shared" ca="1" si="9"/>
        <v>0</v>
      </c>
      <c r="AM49" s="377">
        <f t="shared" ca="1" si="10"/>
        <v>0</v>
      </c>
      <c r="AN49" s="378">
        <f t="shared" ca="1" si="11"/>
        <v>0</v>
      </c>
    </row>
    <row r="50" spans="1:40" x14ac:dyDescent="0.2">
      <c r="A50" s="6" t="s">
        <v>2</v>
      </c>
      <c r="B50" s="7" t="e">
        <f ca="1">_xll.EVRNG($B$2:$B$10)</f>
        <v>#NAME?</v>
      </c>
      <c r="H50" s="10" t="s">
        <v>279</v>
      </c>
      <c r="I50" s="447" t="e">
        <f ca="1">_xll.EVPRO($B$1,$H50,"STYLE")</f>
        <v>#NAME?</v>
      </c>
      <c r="J50" s="447" t="e">
        <f ca="1">_xll.EVPRO($B$1,$H50,"CALC")</f>
        <v>#NAME?</v>
      </c>
      <c r="K50" s="448" t="e">
        <f t="shared" ca="1" si="4"/>
        <v>#NAME?</v>
      </c>
      <c r="L50" s="151" t="e">
        <f ca="1">_xll.EVPRO($B$1,H50,"JDEID")</f>
        <v>#NAME?</v>
      </c>
      <c r="M50" s="151" t="e">
        <f ca="1">IF(AND(I50="N",J50="N"),_xll.EVPRO($B$1,H50,"PSFTID"),"")</f>
        <v>#NAME?</v>
      </c>
      <c r="N50" s="151" t="e">
        <f ca="1">IF(_xll.EVDES(H50,$B$1)="#NODATA","",_xll.EVDES(H50,$B$1))</f>
        <v>#NAME?</v>
      </c>
      <c r="O50" s="287"/>
      <c r="P50" s="288"/>
      <c r="Q50" s="288"/>
      <c r="R50" s="288"/>
      <c r="S50" s="288"/>
      <c r="T50" s="288"/>
      <c r="U50" s="288"/>
      <c r="V50" s="288"/>
      <c r="W50" s="288"/>
      <c r="X50" s="288"/>
      <c r="Y50" s="288"/>
      <c r="Z50" s="288"/>
      <c r="AA50" s="288" t="e">
        <f t="shared" ca="1" si="0"/>
        <v>#NAME?</v>
      </c>
      <c r="AB50" s="289" t="e">
        <f t="shared" ca="1" si="1"/>
        <v>#NAME?</v>
      </c>
      <c r="AC50" s="301"/>
      <c r="AD50" s="288"/>
      <c r="AE50" s="289" t="str">
        <f t="shared" si="2"/>
        <v/>
      </c>
      <c r="AF50" s="290" t="e">
        <f t="shared" ca="1" si="3"/>
        <v>#NAME?</v>
      </c>
      <c r="AG50" s="288"/>
      <c r="AH50" s="289" t="str">
        <f t="shared" si="5"/>
        <v/>
      </c>
      <c r="AI50" s="291" t="e">
        <f t="shared" ca="1" si="6"/>
        <v>#NAME?</v>
      </c>
      <c r="AJ50" s="325">
        <f t="shared" ca="1" si="7"/>
        <v>0</v>
      </c>
      <c r="AK50" s="326">
        <f t="shared" ca="1" si="8"/>
        <v>0</v>
      </c>
      <c r="AL50" s="328">
        <f t="shared" ca="1" si="9"/>
        <v>0</v>
      </c>
      <c r="AM50" s="362">
        <f t="shared" ca="1" si="10"/>
        <v>0</v>
      </c>
      <c r="AN50" s="376">
        <f t="shared" ca="1" si="11"/>
        <v>0</v>
      </c>
    </row>
    <row r="51" spans="1:40" x14ac:dyDescent="0.2">
      <c r="A51" s="6" t="s">
        <v>3</v>
      </c>
      <c r="B51" s="7" t="e">
        <f ca="1">_xll.EVRNG($O$16:$AN$18)</f>
        <v>#NAME?</v>
      </c>
      <c r="H51" s="10" t="s">
        <v>274</v>
      </c>
      <c r="I51" s="25" t="e">
        <f ca="1">_xll.EVPRO($B$1,$H51,"STYLE")</f>
        <v>#NAME?</v>
      </c>
      <c r="J51" s="25" t="e">
        <f ca="1">_xll.EVPRO($B$1,$H51,"CALC")</f>
        <v>#NAME?</v>
      </c>
      <c r="K51" s="64" t="e">
        <f t="shared" ca="1" si="4"/>
        <v>#NAME?</v>
      </c>
      <c r="L51" s="24" t="e">
        <f ca="1">_xll.EVPRO($B$1,H51,"JDEID")</f>
        <v>#NAME?</v>
      </c>
      <c r="M51" s="24" t="e">
        <f ca="1">IF(AND(I51="N",J51="N"),_xll.EVPRO($B$1,H51,"PSFTID"),"")</f>
        <v>#NAME?</v>
      </c>
      <c r="N51" s="24" t="e">
        <f ca="1">IF(_xll.EVDES(H51,$B$1)="#NODATA","",_xll.EVDES(H51,$B$1))</f>
        <v>#NAME?</v>
      </c>
      <c r="O51" s="282"/>
      <c r="P51" s="283"/>
      <c r="Q51" s="283"/>
      <c r="R51" s="283"/>
      <c r="S51" s="283"/>
      <c r="T51" s="283"/>
      <c r="U51" s="283"/>
      <c r="V51" s="283"/>
      <c r="W51" s="283"/>
      <c r="X51" s="283"/>
      <c r="Y51" s="283"/>
      <c r="Z51" s="283"/>
      <c r="AA51" s="283" t="e">
        <f t="shared" ca="1" si="0"/>
        <v>#NAME?</v>
      </c>
      <c r="AB51" s="284" t="e">
        <f t="shared" ca="1" si="1"/>
        <v>#NAME?</v>
      </c>
      <c r="AC51" s="300"/>
      <c r="AD51" s="283"/>
      <c r="AE51" s="284" t="str">
        <f t="shared" si="2"/>
        <v/>
      </c>
      <c r="AF51" s="285" t="e">
        <f t="shared" ca="1" si="3"/>
        <v>#NAME?</v>
      </c>
      <c r="AG51" s="283"/>
      <c r="AH51" s="284" t="str">
        <f t="shared" si="5"/>
        <v/>
      </c>
      <c r="AI51" s="286" t="e">
        <f t="shared" ca="1" si="6"/>
        <v>#NAME?</v>
      </c>
      <c r="AJ51" s="371">
        <f t="shared" ca="1" si="7"/>
        <v>0</v>
      </c>
      <c r="AK51" s="372">
        <f t="shared" ca="1" si="8"/>
        <v>0</v>
      </c>
      <c r="AL51" s="373">
        <f t="shared" ca="1" si="9"/>
        <v>0</v>
      </c>
      <c r="AM51" s="374">
        <f t="shared" ca="1" si="10"/>
        <v>0</v>
      </c>
      <c r="AN51" s="375">
        <f t="shared" ca="1" si="11"/>
        <v>0</v>
      </c>
    </row>
    <row r="52" spans="1:40" x14ac:dyDescent="0.2">
      <c r="A52" s="6" t="s">
        <v>4</v>
      </c>
      <c r="B52" s="7" t="e">
        <f ca="1">_xll.EVRNG(H62:H70)</f>
        <v>#NAME?</v>
      </c>
      <c r="H52" s="10" t="s">
        <v>275</v>
      </c>
      <c r="I52" s="25" t="e">
        <f ca="1">_xll.EVPRO($B$1,$H52,"STYLE")</f>
        <v>#NAME?</v>
      </c>
      <c r="J52" s="25" t="e">
        <f ca="1">_xll.EVPRO($B$1,$H52,"CALC")</f>
        <v>#NAME?</v>
      </c>
      <c r="K52" s="64" t="e">
        <f t="shared" ca="1" si="4"/>
        <v>#NAME?</v>
      </c>
      <c r="L52" s="24" t="e">
        <f ca="1">_xll.EVPRO($B$1,H52,"JDEID")</f>
        <v>#NAME?</v>
      </c>
      <c r="M52" s="24" t="e">
        <f ca="1">IF(AND(I52="N",J52="N"),_xll.EVPRO($B$1,H52,"PSFTID"),"")</f>
        <v>#NAME?</v>
      </c>
      <c r="N52" s="24" t="e">
        <f ca="1">IF(_xll.EVDES(H52,$B$1)="#NODATA","",_xll.EVDES(H52,$B$1))</f>
        <v>#NAME?</v>
      </c>
      <c r="O52" s="282"/>
      <c r="P52" s="283"/>
      <c r="Q52" s="283"/>
      <c r="R52" s="283"/>
      <c r="S52" s="283"/>
      <c r="T52" s="283"/>
      <c r="U52" s="283"/>
      <c r="V52" s="283"/>
      <c r="W52" s="283"/>
      <c r="X52" s="283"/>
      <c r="Y52" s="283"/>
      <c r="Z52" s="283"/>
      <c r="AA52" s="283" t="e">
        <f t="shared" ca="1" si="0"/>
        <v>#NAME?</v>
      </c>
      <c r="AB52" s="284" t="e">
        <f t="shared" ca="1" si="1"/>
        <v>#NAME?</v>
      </c>
      <c r="AC52" s="300"/>
      <c r="AD52" s="283"/>
      <c r="AE52" s="284" t="str">
        <f t="shared" si="2"/>
        <v/>
      </c>
      <c r="AF52" s="285" t="e">
        <f t="shared" ca="1" si="3"/>
        <v>#NAME?</v>
      </c>
      <c r="AG52" s="283"/>
      <c r="AH52" s="284" t="str">
        <f t="shared" si="5"/>
        <v/>
      </c>
      <c r="AI52" s="286" t="e">
        <f t="shared" ca="1" si="6"/>
        <v>#NAME?</v>
      </c>
      <c r="AJ52" s="371">
        <f t="shared" ca="1" si="7"/>
        <v>0</v>
      </c>
      <c r="AK52" s="372">
        <f t="shared" ca="1" si="8"/>
        <v>0</v>
      </c>
      <c r="AL52" s="373">
        <f t="shared" ca="1" si="9"/>
        <v>0</v>
      </c>
      <c r="AM52" s="374">
        <f t="shared" ca="1" si="10"/>
        <v>0</v>
      </c>
      <c r="AN52" s="375">
        <f t="shared" ca="1" si="11"/>
        <v>0</v>
      </c>
    </row>
    <row r="53" spans="1:40" x14ac:dyDescent="0.2">
      <c r="A53" s="6" t="s">
        <v>5</v>
      </c>
      <c r="B53" s="7"/>
      <c r="F53" s="136"/>
      <c r="H53" s="10" t="s">
        <v>276</v>
      </c>
      <c r="I53" s="25" t="e">
        <f ca="1">_xll.EVPRO($B$1,$H53,"STYLE")</f>
        <v>#NAME?</v>
      </c>
      <c r="J53" s="25" t="e">
        <f ca="1">_xll.EVPRO($B$1,$H53,"CALC")</f>
        <v>#NAME?</v>
      </c>
      <c r="K53" s="64" t="e">
        <f t="shared" ca="1" si="4"/>
        <v>#NAME?</v>
      </c>
      <c r="L53" s="24" t="e">
        <f ca="1">_xll.EVPRO($B$1,H53,"JDEID")</f>
        <v>#NAME?</v>
      </c>
      <c r="M53" s="24" t="e">
        <f ca="1">IF(AND(I53="N",J53="N"),_xll.EVPRO($B$1,H53,"PSFTID"),"")</f>
        <v>#NAME?</v>
      </c>
      <c r="N53" s="24" t="e">
        <f ca="1">IF(_xll.EVDES(H53,$B$1)="#NODATA","",_xll.EVDES(H53,$B$1))</f>
        <v>#NAME?</v>
      </c>
      <c r="O53" s="282"/>
      <c r="P53" s="283"/>
      <c r="Q53" s="283"/>
      <c r="R53" s="283"/>
      <c r="S53" s="283"/>
      <c r="T53" s="283"/>
      <c r="U53" s="283"/>
      <c r="V53" s="283"/>
      <c r="W53" s="283"/>
      <c r="X53" s="283"/>
      <c r="Y53" s="283"/>
      <c r="Z53" s="283"/>
      <c r="AA53" s="283" t="e">
        <f t="shared" ca="1" si="0"/>
        <v>#NAME?</v>
      </c>
      <c r="AB53" s="284" t="e">
        <f t="shared" ca="1" si="1"/>
        <v>#NAME?</v>
      </c>
      <c r="AC53" s="300"/>
      <c r="AD53" s="283"/>
      <c r="AE53" s="284" t="str">
        <f t="shared" si="2"/>
        <v/>
      </c>
      <c r="AF53" s="285" t="e">
        <f t="shared" ca="1" si="3"/>
        <v>#NAME?</v>
      </c>
      <c r="AG53" s="283"/>
      <c r="AH53" s="284" t="str">
        <f t="shared" si="5"/>
        <v/>
      </c>
      <c r="AI53" s="286" t="e">
        <f t="shared" ca="1" si="6"/>
        <v>#NAME?</v>
      </c>
      <c r="AJ53" s="371">
        <f t="shared" ca="1" si="7"/>
        <v>0</v>
      </c>
      <c r="AK53" s="372">
        <f t="shared" ca="1" si="8"/>
        <v>0</v>
      </c>
      <c r="AL53" s="373">
        <f t="shared" ca="1" si="9"/>
        <v>0</v>
      </c>
      <c r="AM53" s="374">
        <f t="shared" ca="1" si="10"/>
        <v>0</v>
      </c>
      <c r="AN53" s="375">
        <f t="shared" ca="1" si="11"/>
        <v>0</v>
      </c>
    </row>
    <row r="54" spans="1:40" x14ac:dyDescent="0.2">
      <c r="A54" s="6" t="s">
        <v>6</v>
      </c>
      <c r="B54" s="7"/>
      <c r="F54" s="136"/>
      <c r="H54" s="10" t="s">
        <v>282</v>
      </c>
      <c r="I54" s="25" t="e">
        <f ca="1">_xll.EVPRO($B$1,$H54,"STYLE")</f>
        <v>#NAME?</v>
      </c>
      <c r="J54" s="25" t="e">
        <f ca="1">_xll.EVPRO($B$1,$H54,"CALC")</f>
        <v>#NAME?</v>
      </c>
      <c r="K54" s="64" t="e">
        <f t="shared" ca="1" si="4"/>
        <v>#NAME?</v>
      </c>
      <c r="L54" s="24" t="e">
        <f ca="1">_xll.EVPRO($B$1,H54,"JDEID")</f>
        <v>#NAME?</v>
      </c>
      <c r="M54" s="24" t="e">
        <f ca="1">IF(AND(I54="N",J54="N"),_xll.EVPRO($B$1,H54,"PSFTID"),"")</f>
        <v>#NAME?</v>
      </c>
      <c r="N54" s="24" t="e">
        <f ca="1">IF(_xll.EVDES(H54,$B$1)="#NODATA","",_xll.EVDES(H54,$B$1))</f>
        <v>#NAME?</v>
      </c>
      <c r="O54" s="282"/>
      <c r="P54" s="283"/>
      <c r="Q54" s="283"/>
      <c r="R54" s="283"/>
      <c r="S54" s="283"/>
      <c r="T54" s="283"/>
      <c r="U54" s="283"/>
      <c r="V54" s="283"/>
      <c r="W54" s="283"/>
      <c r="X54" s="283"/>
      <c r="Y54" s="283"/>
      <c r="Z54" s="283"/>
      <c r="AA54" s="283" t="e">
        <f t="shared" ca="1" si="0"/>
        <v>#NAME?</v>
      </c>
      <c r="AB54" s="284" t="e">
        <f t="shared" ca="1" si="1"/>
        <v>#NAME?</v>
      </c>
      <c r="AC54" s="300"/>
      <c r="AD54" s="283"/>
      <c r="AE54" s="284" t="str">
        <f t="shared" si="2"/>
        <v/>
      </c>
      <c r="AF54" s="285" t="e">
        <f t="shared" ca="1" si="3"/>
        <v>#NAME?</v>
      </c>
      <c r="AG54" s="283"/>
      <c r="AH54" s="284" t="str">
        <f t="shared" si="5"/>
        <v/>
      </c>
      <c r="AI54" s="286" t="e">
        <f t="shared" ca="1" si="6"/>
        <v>#NAME?</v>
      </c>
      <c r="AJ54" s="371">
        <f t="shared" ca="1" si="7"/>
        <v>0</v>
      </c>
      <c r="AK54" s="372">
        <f t="shared" ca="1" si="8"/>
        <v>0</v>
      </c>
      <c r="AL54" s="373">
        <f t="shared" ca="1" si="9"/>
        <v>0</v>
      </c>
      <c r="AM54" s="374">
        <f t="shared" ca="1" si="10"/>
        <v>0</v>
      </c>
      <c r="AN54" s="375">
        <f t="shared" ca="1" si="11"/>
        <v>0</v>
      </c>
    </row>
    <row r="55" spans="1:40" x14ac:dyDescent="0.2">
      <c r="A55" s="6" t="s">
        <v>7</v>
      </c>
      <c r="B55" s="7" t="e">
        <f ca="1">_xll.EVRNG(A69:F77)</f>
        <v>#NAME?</v>
      </c>
      <c r="F55" s="136"/>
      <c r="H55" s="10" t="s">
        <v>283</v>
      </c>
      <c r="I55" s="25" t="e">
        <f ca="1">_xll.EVPRO($B$1,$H55,"STYLE")</f>
        <v>#NAME?</v>
      </c>
      <c r="J55" s="25" t="e">
        <f ca="1">_xll.EVPRO($B$1,$H55,"CALC")</f>
        <v>#NAME?</v>
      </c>
      <c r="K55" s="64" t="e">
        <f t="shared" ca="1" si="4"/>
        <v>#NAME?</v>
      </c>
      <c r="L55" s="24" t="e">
        <f ca="1">_xll.EVPRO($B$1,H55,"JDEID")</f>
        <v>#NAME?</v>
      </c>
      <c r="M55" s="24" t="e">
        <f ca="1">IF(AND(I55="N",J55="N"),_xll.EVPRO($B$1,H55,"PSFTID"),"")</f>
        <v>#NAME?</v>
      </c>
      <c r="N55" s="24" t="e">
        <f ca="1">IF(_xll.EVDES(H55,$B$1)="#NODATA","",_xll.EVDES(H55,$B$1))</f>
        <v>#NAME?</v>
      </c>
      <c r="O55" s="282"/>
      <c r="P55" s="283"/>
      <c r="Q55" s="283"/>
      <c r="R55" s="283"/>
      <c r="S55" s="283"/>
      <c r="T55" s="283"/>
      <c r="U55" s="283"/>
      <c r="V55" s="283"/>
      <c r="W55" s="283"/>
      <c r="X55" s="283"/>
      <c r="Y55" s="283"/>
      <c r="Z55" s="283"/>
      <c r="AA55" s="283" t="e">
        <f t="shared" ca="1" si="0"/>
        <v>#NAME?</v>
      </c>
      <c r="AB55" s="284" t="e">
        <f t="shared" ca="1" si="1"/>
        <v>#NAME?</v>
      </c>
      <c r="AC55" s="300"/>
      <c r="AD55" s="283"/>
      <c r="AE55" s="284" t="str">
        <f t="shared" si="2"/>
        <v/>
      </c>
      <c r="AF55" s="285" t="e">
        <f t="shared" ca="1" si="3"/>
        <v>#NAME?</v>
      </c>
      <c r="AG55" s="283"/>
      <c r="AH55" s="284" t="str">
        <f t="shared" si="5"/>
        <v/>
      </c>
      <c r="AI55" s="286" t="e">
        <f t="shared" ca="1" si="6"/>
        <v>#NAME?</v>
      </c>
      <c r="AJ55" s="371">
        <f t="shared" ca="1" si="7"/>
        <v>0</v>
      </c>
      <c r="AK55" s="372">
        <f t="shared" ca="1" si="8"/>
        <v>0</v>
      </c>
      <c r="AL55" s="373">
        <f t="shared" ca="1" si="9"/>
        <v>0</v>
      </c>
      <c r="AM55" s="374">
        <f t="shared" ca="1" si="10"/>
        <v>0</v>
      </c>
      <c r="AN55" s="375">
        <f t="shared" ca="1" si="11"/>
        <v>0</v>
      </c>
    </row>
    <row r="56" spans="1:40" x14ac:dyDescent="0.2">
      <c r="A56" s="6" t="s">
        <v>47</v>
      </c>
      <c r="B56" s="7" t="e">
        <f ca="1">_xll.EVRNG($A$125:$B$146)</f>
        <v>#NAME?</v>
      </c>
      <c r="H56" s="10" t="s">
        <v>473</v>
      </c>
      <c r="I56" s="25" t="e">
        <f ca="1">_xll.EVPRO($B$1,$H56,"STYLE")</f>
        <v>#NAME?</v>
      </c>
      <c r="J56" s="25" t="e">
        <f ca="1">_xll.EVPRO($B$1,$H56,"CALC")</f>
        <v>#NAME?</v>
      </c>
      <c r="K56" s="64" t="e">
        <f t="shared" ca="1" si="4"/>
        <v>#NAME?</v>
      </c>
      <c r="L56" s="24" t="e">
        <f ca="1">_xll.EVPRO($B$1,H56,"JDEID")</f>
        <v>#NAME?</v>
      </c>
      <c r="M56" s="24" t="e">
        <f ca="1">IF(AND(I56="N",J56="N"),_xll.EVPRO($B$1,H56,"PSFTID"),"")</f>
        <v>#NAME?</v>
      </c>
      <c r="N56" s="24" t="e">
        <f ca="1">IF(_xll.EVDES(H56,$B$1)="#NODATA","",_xll.EVDES(H56,$B$1))</f>
        <v>#NAME?</v>
      </c>
      <c r="O56" s="295"/>
      <c r="P56" s="296"/>
      <c r="Q56" s="296"/>
      <c r="R56" s="296"/>
      <c r="S56" s="296"/>
      <c r="T56" s="296"/>
      <c r="U56" s="296"/>
      <c r="V56" s="296"/>
      <c r="W56" s="296"/>
      <c r="X56" s="296"/>
      <c r="Y56" s="296"/>
      <c r="Z56" s="296"/>
      <c r="AA56" s="296" t="e">
        <f t="shared" ca="1" si="0"/>
        <v>#NAME?</v>
      </c>
      <c r="AB56" s="297" t="e">
        <f t="shared" ca="1" si="1"/>
        <v>#NAME?</v>
      </c>
      <c r="AC56" s="263"/>
      <c r="AD56" s="296"/>
      <c r="AE56" s="297" t="str">
        <f t="shared" si="2"/>
        <v/>
      </c>
      <c r="AF56" s="298" t="e">
        <f t="shared" ca="1" si="3"/>
        <v>#NAME?</v>
      </c>
      <c r="AG56" s="296"/>
      <c r="AH56" s="297" t="str">
        <f t="shared" si="5"/>
        <v/>
      </c>
      <c r="AI56" s="299" t="e">
        <f t="shared" ca="1" si="6"/>
        <v>#NAME?</v>
      </c>
      <c r="AJ56" s="381">
        <f t="shared" ca="1" si="7"/>
        <v>0</v>
      </c>
      <c r="AK56" s="382">
        <f t="shared" ca="1" si="8"/>
        <v>0</v>
      </c>
      <c r="AL56" s="383">
        <f t="shared" ca="1" si="9"/>
        <v>0</v>
      </c>
      <c r="AM56" s="384">
        <f t="shared" ca="1" si="10"/>
        <v>0</v>
      </c>
      <c r="AN56" s="385">
        <f t="shared" ca="1" si="11"/>
        <v>0</v>
      </c>
    </row>
    <row r="57" spans="1:40" x14ac:dyDescent="0.2">
      <c r="A57" s="6" t="s">
        <v>8</v>
      </c>
      <c r="B57" s="7"/>
      <c r="H57" s="10" t="s">
        <v>277</v>
      </c>
      <c r="I57" s="447" t="e">
        <f ca="1">_xll.EVPRO($B$1,$H57,"STYLE")</f>
        <v>#NAME?</v>
      </c>
      <c r="J57" s="447" t="e">
        <f ca="1">_xll.EVPRO($B$1,$H57,"CALC")</f>
        <v>#NAME?</v>
      </c>
      <c r="K57" s="448" t="e">
        <f t="shared" ca="1" si="4"/>
        <v>#NAME?</v>
      </c>
      <c r="L57" s="151" t="e">
        <f ca="1">_xll.EVPRO($B$1,H57,"JDEID")</f>
        <v>#NAME?</v>
      </c>
      <c r="M57" s="151" t="e">
        <f ca="1">IF(AND(I57="N",J57="N"),_xll.EVPRO($B$1,H57,"PSFTID"),"")</f>
        <v>#NAME?</v>
      </c>
      <c r="N57" s="151" t="e">
        <f ca="1">IF(_xll.EVDES(H57,$B$1)="#NODATA","",_xll.EVDES(H57,$B$1))</f>
        <v>#NAME?</v>
      </c>
      <c r="O57" s="203"/>
      <c r="P57" s="33"/>
      <c r="Q57" s="33"/>
      <c r="R57" s="33"/>
      <c r="S57" s="33"/>
      <c r="T57" s="33"/>
      <c r="U57" s="33"/>
      <c r="V57" s="33"/>
      <c r="W57" s="33"/>
      <c r="X57" s="33"/>
      <c r="Y57" s="33"/>
      <c r="Z57" s="33"/>
      <c r="AA57" s="33" t="e">
        <f t="shared" ca="1" si="0"/>
        <v>#NAME?</v>
      </c>
      <c r="AB57" s="34" t="e">
        <f t="shared" ca="1" si="1"/>
        <v>#NAME?</v>
      </c>
      <c r="AC57" s="32"/>
      <c r="AD57" s="33"/>
      <c r="AE57" s="34" t="str">
        <f t="shared" si="2"/>
        <v/>
      </c>
      <c r="AF57" s="54" t="e">
        <f t="shared" ca="1" si="3"/>
        <v>#NAME?</v>
      </c>
      <c r="AG57" s="33"/>
      <c r="AH57" s="34" t="str">
        <f t="shared" si="5"/>
        <v/>
      </c>
      <c r="AI57" s="265" t="e">
        <f t="shared" ca="1" si="6"/>
        <v>#NAME?</v>
      </c>
      <c r="AJ57" s="344">
        <f t="shared" ca="1" si="7"/>
        <v>0</v>
      </c>
      <c r="AK57" s="345">
        <f t="shared" ca="1" si="8"/>
        <v>0</v>
      </c>
      <c r="AL57" s="347">
        <f t="shared" ca="1" si="9"/>
        <v>0</v>
      </c>
      <c r="AM57" s="379">
        <f t="shared" ca="1" si="10"/>
        <v>0</v>
      </c>
      <c r="AN57" s="380">
        <f t="shared" ca="1" si="11"/>
        <v>0</v>
      </c>
    </row>
    <row r="58" spans="1:40" x14ac:dyDescent="0.2">
      <c r="G58" s="13"/>
      <c r="H58" s="10" t="s">
        <v>280</v>
      </c>
      <c r="I58" s="447" t="e">
        <f ca="1">_xll.EVPRO($B$1,$H58,"STYLE")</f>
        <v>#NAME?</v>
      </c>
      <c r="J58" s="447" t="e">
        <f ca="1">_xll.EVPRO($B$1,$H58,"CALC")</f>
        <v>#NAME?</v>
      </c>
      <c r="K58" s="448" t="e">
        <f t="shared" ca="1" si="4"/>
        <v>#NAME?</v>
      </c>
      <c r="L58" s="151" t="e">
        <f ca="1">_xll.EVPRO($B$1,H58,"JDEID")</f>
        <v>#NAME?</v>
      </c>
      <c r="M58" s="151" t="e">
        <f ca="1">IF(AND(I58="N",J58="N"),_xll.EVPRO($B$1,H58,"PSFTID"),"")</f>
        <v>#NAME?</v>
      </c>
      <c r="N58" s="151" t="e">
        <f ca="1">IF(_xll.EVDES(H58,$B$1)="#NODATA","",_xll.EVDES(H58,$B$1))</f>
        <v>#NAME?</v>
      </c>
      <c r="O58" s="202"/>
      <c r="P58" s="120"/>
      <c r="Q58" s="120"/>
      <c r="R58" s="120"/>
      <c r="S58" s="120"/>
      <c r="T58" s="120"/>
      <c r="U58" s="120"/>
      <c r="V58" s="120"/>
      <c r="W58" s="120"/>
      <c r="X58" s="120"/>
      <c r="Y58" s="120"/>
      <c r="Z58" s="120"/>
      <c r="AA58" s="120" t="e">
        <f t="shared" ca="1" si="0"/>
        <v>#NAME?</v>
      </c>
      <c r="AB58" s="121" t="e">
        <f t="shared" ca="1" si="1"/>
        <v>#NAME?</v>
      </c>
      <c r="AC58" s="123"/>
      <c r="AD58" s="120"/>
      <c r="AE58" s="121" t="str">
        <f t="shared" si="2"/>
        <v/>
      </c>
      <c r="AF58" s="122" t="e">
        <f t="shared" ca="1" si="3"/>
        <v>#NAME?</v>
      </c>
      <c r="AG58" s="120"/>
      <c r="AH58" s="121" t="str">
        <f t="shared" si="5"/>
        <v/>
      </c>
      <c r="AI58" s="264" t="e">
        <f t="shared" ca="1" si="6"/>
        <v>#NAME?</v>
      </c>
      <c r="AJ58" s="332">
        <f t="shared" ca="1" si="7"/>
        <v>0</v>
      </c>
      <c r="AK58" s="333">
        <f t="shared" ca="1" si="8"/>
        <v>0</v>
      </c>
      <c r="AL58" s="335">
        <f t="shared" ca="1" si="9"/>
        <v>0</v>
      </c>
      <c r="AM58" s="377">
        <f t="shared" ca="1" si="10"/>
        <v>0</v>
      </c>
      <c r="AN58" s="378">
        <f t="shared" ca="1" si="11"/>
        <v>0</v>
      </c>
    </row>
    <row r="59" spans="1:40" x14ac:dyDescent="0.2">
      <c r="A59" s="3" t="s">
        <v>9</v>
      </c>
      <c r="B59" s="5" t="s">
        <v>10</v>
      </c>
      <c r="O59" s="50"/>
      <c r="AB59" s="51"/>
      <c r="AD59" s="50"/>
      <c r="AF59" s="51"/>
      <c r="AG59" s="50"/>
      <c r="AI59" s="51"/>
    </row>
    <row r="60" spans="1:40" x14ac:dyDescent="0.2">
      <c r="A60" s="6" t="s">
        <v>11</v>
      </c>
      <c r="B60" s="7" t="s">
        <v>21</v>
      </c>
      <c r="H60" s="1" t="s">
        <v>281</v>
      </c>
      <c r="I60" s="11" t="e">
        <f ca="1">_xll.EVPRO($B$1,$H60,"STYLE")</f>
        <v>#NAME?</v>
      </c>
      <c r="J60" s="11" t="e">
        <f ca="1">_xll.EVPRO($B$1,$H60,"CALC")</f>
        <v>#NAME?</v>
      </c>
      <c r="N60" s="37" t="e">
        <f ca="1">IF(_xll.EVDES(H60,$B$1)="#NODATA","",_xll.EVDES(H60,$B$1))</f>
        <v>#NAME?</v>
      </c>
      <c r="O60" s="50"/>
      <c r="AB60" s="51"/>
      <c r="AD60" s="50"/>
      <c r="AF60" s="51"/>
      <c r="AG60" s="50"/>
      <c r="AI60" s="51"/>
    </row>
    <row r="61" spans="1:40" x14ac:dyDescent="0.2">
      <c r="A61" s="6" t="s">
        <v>12</v>
      </c>
      <c r="B61" s="7" t="s">
        <v>22</v>
      </c>
      <c r="H61" s="1" t="s">
        <v>284</v>
      </c>
      <c r="I61" s="11" t="e">
        <f ca="1">_xll.EVPRO($B$1,$H61,"STYLE")</f>
        <v>#NAME?</v>
      </c>
      <c r="J61" s="11" t="e">
        <f ca="1">_xll.EVPRO($B$1,$H61,"CALC")</f>
        <v>#NAME?</v>
      </c>
      <c r="N61" s="8" t="e">
        <f ca="1">IF(_xll.EVDES(H61,$B$1)="#NODATA","",_xll.EVDES(H61,$B$1))</f>
        <v>#NAME?</v>
      </c>
      <c r="O61" s="50"/>
      <c r="AB61" s="51"/>
      <c r="AD61" s="50"/>
      <c r="AF61" s="51"/>
      <c r="AG61" s="50"/>
      <c r="AI61" s="51"/>
    </row>
    <row r="62" spans="1:40" x14ac:dyDescent="0.2">
      <c r="A62" s="6" t="s">
        <v>13</v>
      </c>
      <c r="B62" s="7" t="e">
        <f ca="1">"DEP(COS_FB) AND "&amp;$E$6&amp;"=Y,COS_FB,COSOTH,DEP(COS_OTHR) AND "&amp;$E$6&amp;"=Y,COS_OTHR,500001"</f>
        <v>#NAME?</v>
      </c>
      <c r="H62" s="10" t="s">
        <v>285</v>
      </c>
      <c r="I62" s="25" t="e">
        <f ca="1">_xll.EVPRO($B$1,$H62,"STYLE")</f>
        <v>#NAME?</v>
      </c>
      <c r="J62" s="25" t="e">
        <f ca="1">_xll.EVPRO($B$1,$H62,"CALC")</f>
        <v>#NAME?</v>
      </c>
      <c r="K62" s="64" t="e">
        <f ca="1">IF(AND(I62&gt;="T5"),"&gt;","")</f>
        <v>#NAME?</v>
      </c>
      <c r="L62" s="24" t="e">
        <f ca="1">_xll.EVPRO($B$1,H62,"JDEID")</f>
        <v>#NAME?</v>
      </c>
      <c r="M62" s="24" t="e">
        <f ca="1">IF(AND(I62="N",J62="N"),_xll.EVPRO($B$1,H62,"PSFTID"),"")</f>
        <v>#NAME?</v>
      </c>
      <c r="N62" s="24" t="e">
        <f ca="1">IF(_xll.EVDES(H62,$B$1)="#NODATA","",_xll.EVDES(H62,$B$1))</f>
        <v>#NAME?</v>
      </c>
      <c r="O62" s="282"/>
      <c r="P62" s="283"/>
      <c r="Q62" s="283"/>
      <c r="R62" s="283"/>
      <c r="S62" s="283"/>
      <c r="T62" s="283"/>
      <c r="U62" s="283"/>
      <c r="V62" s="283"/>
      <c r="W62" s="283"/>
      <c r="X62" s="283"/>
      <c r="Y62" s="283"/>
      <c r="Z62" s="283"/>
      <c r="AA62" s="283" t="e">
        <f t="shared" ref="AA62:AA70" ca="1" si="12">IF($I62="B1","",SUM(O62:Z62))</f>
        <v>#NAME?</v>
      </c>
      <c r="AB62" s="284" t="e">
        <f ca="1">IF(AA62=0,"",IFERROR(AA62/_xll.EVGTS($B$1,1,_xll.EVPRO($B$1,$H62,"COSBASIS"),$B$3,$B$5,$B$6,$B$7,$B$9,AA$16,AA$17,AA$11),""))</f>
        <v>#NAME?</v>
      </c>
      <c r="AC62" s="300"/>
      <c r="AD62" s="283"/>
      <c r="AE62" s="284" t="str">
        <f>IF(AD62=0,"",IFERROR(AD62/_xll.EVGTS($B$1,1,_xll.EVPRO($B$1,$H62,"COSBASIS"),$B$3,$B$5,$B$6,$B$7,$B$9,AD$16,AD$17,AD$18),""))</f>
        <v/>
      </c>
      <c r="AF62" s="285" t="e">
        <f t="shared" ref="AF62:AF70" ca="1" si="13">IF(AND($AA62="",AD62=""),"",$AA62-AD62)</f>
        <v>#NAME?</v>
      </c>
      <c r="AG62" s="283"/>
      <c r="AH62" s="284" t="str">
        <f>IF(AG62=0,"",IFERROR(AG62/_xll.EVGTS($B$1,1,_xll.EVPRO($B$1,$H62,"COSBASIS"),$B$3,$B$5,$B$6,$B$7,$B$9,AG$16,AG$17,AG$18),""))</f>
        <v/>
      </c>
      <c r="AI62" s="286" t="e">
        <f ca="1">IF(AND($AA62="",AG62=""),"",$AA62-AG62)</f>
        <v>#NAME?</v>
      </c>
      <c r="AJ62" s="371">
        <f ca="1">IFERROR(AA62/AA$20,0)</f>
        <v>0</v>
      </c>
      <c r="AK62" s="372">
        <f ca="1">IFERROR(AD62/AD$20,0)</f>
        <v>0</v>
      </c>
      <c r="AL62" s="373">
        <f ca="1">IFERROR(AG62/AG$20,0)</f>
        <v>0</v>
      </c>
      <c r="AM62" s="374">
        <f ca="1">+IFERROR(ROUND(($AB62-AE62)*100,2)&amp;" pts.",0)</f>
        <v>0</v>
      </c>
      <c r="AN62" s="375">
        <f ca="1">+IFERROR(ROUND(($AB62-AH62)*100,2)&amp;" pts.",0)</f>
        <v>0</v>
      </c>
    </row>
    <row r="63" spans="1:40" x14ac:dyDescent="0.2">
      <c r="A63" s="6" t="s">
        <v>14</v>
      </c>
      <c r="B63" s="7"/>
      <c r="H63" s="10" t="s">
        <v>636</v>
      </c>
      <c r="I63" s="25" t="e">
        <f ca="1">_xll.EVPRO($B$1,$H63,"STYLE")</f>
        <v>#NAME?</v>
      </c>
      <c r="J63" s="25" t="e">
        <f ca="1">_xll.EVPRO($B$1,$H63,"CALC")</f>
        <v>#NAME?</v>
      </c>
      <c r="K63" s="64" t="e">
        <f t="shared" ref="K63:K70" ca="1" si="14">IF(AND(I63&gt;="T5"),"&gt;","")</f>
        <v>#NAME?</v>
      </c>
      <c r="L63" s="24" t="e">
        <f ca="1">_xll.EVPRO($B$1,H63,"JDEID")</f>
        <v>#NAME?</v>
      </c>
      <c r="M63" s="24" t="e">
        <f ca="1">IF(AND(I63="N",J63="N"),_xll.EVPRO($B$1,H63,"PSFTID"),"")</f>
        <v>#NAME?</v>
      </c>
      <c r="N63" s="24" t="e">
        <f ca="1">IF(_xll.EVDES(H63,$B$1)="#NODATA","",_xll.EVDES(H63,$B$1))</f>
        <v>#NAME?</v>
      </c>
      <c r="O63" s="295"/>
      <c r="P63" s="296"/>
      <c r="Q63" s="296"/>
      <c r="R63" s="296"/>
      <c r="S63" s="296"/>
      <c r="T63" s="296"/>
      <c r="U63" s="296"/>
      <c r="V63" s="296"/>
      <c r="W63" s="296"/>
      <c r="X63" s="296"/>
      <c r="Y63" s="296"/>
      <c r="Z63" s="296"/>
      <c r="AA63" s="296" t="e">
        <f t="shared" ca="1" si="12"/>
        <v>#NAME?</v>
      </c>
      <c r="AB63" s="297" t="e">
        <f ca="1">IF(AA63=0,"",IFERROR(AA63/_xll.EVGTS($B$1,1,_xll.EVPRO($B$1,$H63,"COSBASIS"),$B$3,$B$5,$B$6,$B$7,$B$9,AA$16,AA$17,AA$11),""))</f>
        <v>#NAME?</v>
      </c>
      <c r="AC63" s="263"/>
      <c r="AD63" s="296"/>
      <c r="AE63" s="297" t="str">
        <f>IF(AD63=0,"",IFERROR(AD63/_xll.EVGTS($B$1,1,_xll.EVPRO($B$1,$H63,"COSBASIS"),$B$3,$B$5,$B$6,$B$7,$B$9,AD$16,AD$17,AD$18),""))</f>
        <v/>
      </c>
      <c r="AF63" s="298" t="e">
        <f t="shared" ca="1" si="13"/>
        <v>#NAME?</v>
      </c>
      <c r="AG63" s="296"/>
      <c r="AH63" s="297" t="str">
        <f>IF(AG63=0,"",IFERROR(AG63/_xll.EVGTS($B$1,1,_xll.EVPRO($B$1,$H63,"COSBASIS"),$B$3,$B$5,$B$6,$B$7,$B$9,AG$16,AG$17,AG$18),""))</f>
        <v/>
      </c>
      <c r="AI63" s="299" t="e">
        <f t="shared" ref="AI63:AI70" ca="1" si="15">IF(AND($AA63="",AG63=""),"",$AA63-AG63)</f>
        <v>#NAME?</v>
      </c>
      <c r="AJ63" s="381">
        <f t="shared" ref="AJ63:AJ70" ca="1" si="16">IFERROR(AA63/AA$20,0)</f>
        <v>0</v>
      </c>
      <c r="AK63" s="382">
        <f t="shared" ref="AK63:AK70" ca="1" si="17">IFERROR(AD63/AD$20,0)</f>
        <v>0</v>
      </c>
      <c r="AL63" s="383">
        <f t="shared" ref="AL63:AL70" ca="1" si="18">IFERROR(AG63/AG$20,0)</f>
        <v>0</v>
      </c>
      <c r="AM63" s="384">
        <f t="shared" ref="AM63:AM70" ca="1" si="19">+IFERROR(ROUND(($AB63-AE63)*100,2)&amp;" pts.",0)</f>
        <v>0</v>
      </c>
      <c r="AN63" s="385">
        <f t="shared" ref="AN63:AN70" ca="1" si="20">+IFERROR(ROUND(($AB63-AH63)*100,2)&amp;" pts.",0)</f>
        <v>0</v>
      </c>
    </row>
    <row r="64" spans="1:40" x14ac:dyDescent="0.2">
      <c r="A64" s="6" t="s">
        <v>15</v>
      </c>
      <c r="B64" s="7"/>
      <c r="H64" s="10" t="s">
        <v>286</v>
      </c>
      <c r="I64" s="447" t="e">
        <f ca="1">_xll.EVPRO($B$1,$H64,"STYLE")</f>
        <v>#NAME?</v>
      </c>
      <c r="J64" s="447" t="e">
        <f ca="1">_xll.EVPRO($B$1,$H64,"CALC")</f>
        <v>#NAME?</v>
      </c>
      <c r="K64" s="448" t="e">
        <f t="shared" ca="1" si="14"/>
        <v>#NAME?</v>
      </c>
      <c r="L64" s="151" t="e">
        <f ca="1">_xll.EVPRO($B$1,H64,"JDEID")</f>
        <v>#NAME?</v>
      </c>
      <c r="M64" s="151" t="e">
        <f ca="1">IF(AND(I64="N",J64="N"),_xll.EVPRO($B$1,H64,"PSFTID"),"")</f>
        <v>#NAME?</v>
      </c>
      <c r="N64" s="151" t="e">
        <f ca="1">IF(_xll.EVDES(H64,$B$1)="#NODATA","",_xll.EVDES(H64,$B$1))</f>
        <v>#NAME?</v>
      </c>
      <c r="O64" s="202"/>
      <c r="P64" s="120"/>
      <c r="Q64" s="120"/>
      <c r="R64" s="120"/>
      <c r="S64" s="120"/>
      <c r="T64" s="120"/>
      <c r="U64" s="120"/>
      <c r="V64" s="120"/>
      <c r="W64" s="120"/>
      <c r="X64" s="120"/>
      <c r="Y64" s="120"/>
      <c r="Z64" s="120"/>
      <c r="AA64" s="120" t="e">
        <f t="shared" ca="1" si="12"/>
        <v>#NAME?</v>
      </c>
      <c r="AB64" s="121" t="e">
        <f ca="1">IF(AA64=0,"",IFERROR(AA64/_xll.EVGTS($B$1,1,_xll.EVPRO($B$1,$H64,"COSBASIS"),$B$3,$B$5,$B$6,$B$7,$B$9,AA$16,AA$17,AA$11),""))</f>
        <v>#NAME?</v>
      </c>
      <c r="AC64" s="123"/>
      <c r="AD64" s="120"/>
      <c r="AE64" s="121" t="str">
        <f>IF(AD64=0,"",IFERROR(AD64/_xll.EVGTS($B$1,1,_xll.EVPRO($B$1,$H64,"COSBASIS"),$B$3,$B$5,$B$6,$B$7,$B$9,AD$16,AD$17,AD$18),""))</f>
        <v/>
      </c>
      <c r="AF64" s="122" t="e">
        <f t="shared" ca="1" si="13"/>
        <v>#NAME?</v>
      </c>
      <c r="AG64" s="120"/>
      <c r="AH64" s="121" t="str">
        <f>IF(AG64=0,"",IFERROR(AG64/_xll.EVGTS($B$1,1,_xll.EVPRO($B$1,$H64,"COSBASIS"),$B$3,$B$5,$B$6,$B$7,$B$9,AG$16,AG$17,AG$18),""))</f>
        <v/>
      </c>
      <c r="AI64" s="264" t="e">
        <f t="shared" ca="1" si="15"/>
        <v>#NAME?</v>
      </c>
      <c r="AJ64" s="332">
        <f t="shared" ca="1" si="16"/>
        <v>0</v>
      </c>
      <c r="AK64" s="333">
        <f t="shared" ca="1" si="17"/>
        <v>0</v>
      </c>
      <c r="AL64" s="335">
        <f t="shared" ca="1" si="18"/>
        <v>0</v>
      </c>
      <c r="AM64" s="377">
        <f t="shared" ca="1" si="19"/>
        <v>0</v>
      </c>
      <c r="AN64" s="378">
        <f t="shared" ca="1" si="20"/>
        <v>0</v>
      </c>
    </row>
    <row r="65" spans="1:40" x14ac:dyDescent="0.2">
      <c r="A65" s="6" t="s">
        <v>16</v>
      </c>
      <c r="B65" s="7"/>
      <c r="H65" s="10" t="s">
        <v>287</v>
      </c>
      <c r="I65" s="447" t="e">
        <f ca="1">_xll.EVPRO($B$1,$H65,"STYLE")</f>
        <v>#NAME?</v>
      </c>
      <c r="J65" s="447" t="e">
        <f ca="1">_xll.EVPRO($B$1,$H65,"CALC")</f>
        <v>#NAME?</v>
      </c>
      <c r="K65" s="448" t="e">
        <f t="shared" ca="1" si="14"/>
        <v>#NAME?</v>
      </c>
      <c r="L65" s="151" t="e">
        <f ca="1">_xll.EVPRO($B$1,H65,"JDEID")</f>
        <v>#NAME?</v>
      </c>
      <c r="M65" s="151" t="e">
        <f ca="1">IF(AND(I65="N",J65="N"),_xll.EVPRO($B$1,H65,"PSFTID"),"")</f>
        <v>#NAME?</v>
      </c>
      <c r="N65" s="151" t="e">
        <f ca="1">IF(_xll.EVDES(H65,$B$1)="#NODATA","",_xll.EVDES(H65,$B$1))</f>
        <v>#NAME?</v>
      </c>
      <c r="O65" s="287"/>
      <c r="P65" s="288"/>
      <c r="Q65" s="288"/>
      <c r="R65" s="288"/>
      <c r="S65" s="288"/>
      <c r="T65" s="288"/>
      <c r="U65" s="288"/>
      <c r="V65" s="288"/>
      <c r="W65" s="288"/>
      <c r="X65" s="288"/>
      <c r="Y65" s="288"/>
      <c r="Z65" s="288"/>
      <c r="AA65" s="288" t="e">
        <f t="shared" ca="1" si="12"/>
        <v>#NAME?</v>
      </c>
      <c r="AB65" s="289" t="e">
        <f ca="1">IF(AA65=0,"",IFERROR(AA65/_xll.EVGTS($B$1,1,_xll.EVPRO($B$1,$H65,"COSBASIS"),$B$3,$B$5,$B$6,$B$7,$B$9,AA$16,AA$17,AA$11),""))</f>
        <v>#NAME?</v>
      </c>
      <c r="AC65" s="301"/>
      <c r="AD65" s="288"/>
      <c r="AE65" s="289" t="str">
        <f>IF(AD65=0,"",IFERROR(AD65/_xll.EVGTS($B$1,1,_xll.EVPRO($B$1,$H65,"COSBASIS"),$B$3,$B$5,$B$6,$B$7,$B$9,AD$16,AD$17,AD$18),""))</f>
        <v/>
      </c>
      <c r="AF65" s="290" t="e">
        <f t="shared" ca="1" si="13"/>
        <v>#NAME?</v>
      </c>
      <c r="AG65" s="288"/>
      <c r="AH65" s="289" t="str">
        <f>IF(AG65=0,"",IFERROR(AG65/_xll.EVGTS($B$1,1,_xll.EVPRO($B$1,$H65,"COSBASIS"),$B$3,$B$5,$B$6,$B$7,$B$9,AG$16,AG$17,AG$18),""))</f>
        <v/>
      </c>
      <c r="AI65" s="291" t="e">
        <f t="shared" ca="1" si="15"/>
        <v>#NAME?</v>
      </c>
      <c r="AJ65" s="325">
        <f t="shared" ca="1" si="16"/>
        <v>0</v>
      </c>
      <c r="AK65" s="326">
        <f t="shared" ca="1" si="17"/>
        <v>0</v>
      </c>
      <c r="AL65" s="328">
        <f t="shared" ca="1" si="18"/>
        <v>0</v>
      </c>
      <c r="AM65" s="362">
        <f t="shared" ca="1" si="19"/>
        <v>0</v>
      </c>
      <c r="AN65" s="376">
        <f t="shared" ca="1" si="20"/>
        <v>0</v>
      </c>
    </row>
    <row r="66" spans="1:40" x14ac:dyDescent="0.2">
      <c r="A66" s="6" t="s">
        <v>17</v>
      </c>
      <c r="B66" s="7"/>
      <c r="H66" s="10" t="s">
        <v>637</v>
      </c>
      <c r="I66" s="25" t="e">
        <f ca="1">_xll.EVPRO($B$1,$H66,"STYLE")</f>
        <v>#NAME?</v>
      </c>
      <c r="J66" s="25" t="e">
        <f ca="1">_xll.EVPRO($B$1,$H66,"CALC")</f>
        <v>#NAME?</v>
      </c>
      <c r="K66" s="64" t="e">
        <f t="shared" ca="1" si="14"/>
        <v>#NAME?</v>
      </c>
      <c r="L66" s="24" t="e">
        <f ca="1">_xll.EVPRO($B$1,H66,"JDEID")</f>
        <v>#NAME?</v>
      </c>
      <c r="M66" s="24" t="e">
        <f ca="1">IF(AND(I66="N",J66="N"),_xll.EVPRO($B$1,H66,"PSFTID"),"")</f>
        <v>#NAME?</v>
      </c>
      <c r="N66" s="24" t="e">
        <f ca="1">IF(_xll.EVDES(H66,$B$1)="#NODATA","",_xll.EVDES(H66,$B$1))</f>
        <v>#NAME?</v>
      </c>
      <c r="O66" s="282"/>
      <c r="P66" s="283"/>
      <c r="Q66" s="283"/>
      <c r="R66" s="283"/>
      <c r="S66" s="283"/>
      <c r="T66" s="283"/>
      <c r="U66" s="283"/>
      <c r="V66" s="283"/>
      <c r="W66" s="283"/>
      <c r="X66" s="283"/>
      <c r="Y66" s="283"/>
      <c r="Z66" s="283"/>
      <c r="AA66" s="283" t="e">
        <f t="shared" ca="1" si="12"/>
        <v>#NAME?</v>
      </c>
      <c r="AB66" s="284" t="e">
        <f ca="1">IF(AA66=0,"",IFERROR(AA66/_xll.EVGTS($B$1,1,_xll.EVPRO($B$1,$H66,"COSBASIS"),$B$3,$B$5,$B$6,$B$7,$B$9,AA$16,AA$17,AA$11),""))</f>
        <v>#NAME?</v>
      </c>
      <c r="AC66" s="300"/>
      <c r="AD66" s="283"/>
      <c r="AE66" s="284" t="str">
        <f>IF(AD66=0,"",IFERROR(AD66/_xll.EVGTS($B$1,1,_xll.EVPRO($B$1,$H66,"COSBASIS"),$B$3,$B$5,$B$6,$B$7,$B$9,AD$16,AD$17,AD$18),""))</f>
        <v/>
      </c>
      <c r="AF66" s="285" t="e">
        <f t="shared" ca="1" si="13"/>
        <v>#NAME?</v>
      </c>
      <c r="AG66" s="283"/>
      <c r="AH66" s="284" t="str">
        <f>IF(AG66=0,"",IFERROR(AG66/_xll.EVGTS($B$1,1,_xll.EVPRO($B$1,$H66,"COSBASIS"),$B$3,$B$5,$B$6,$B$7,$B$9,AG$16,AG$17,AG$18),""))</f>
        <v/>
      </c>
      <c r="AI66" s="286" t="e">
        <f t="shared" ca="1" si="15"/>
        <v>#NAME?</v>
      </c>
      <c r="AJ66" s="371">
        <f t="shared" ca="1" si="16"/>
        <v>0</v>
      </c>
      <c r="AK66" s="372">
        <f t="shared" ca="1" si="17"/>
        <v>0</v>
      </c>
      <c r="AL66" s="373">
        <f t="shared" ca="1" si="18"/>
        <v>0</v>
      </c>
      <c r="AM66" s="374">
        <f t="shared" ca="1" si="19"/>
        <v>0</v>
      </c>
      <c r="AN66" s="375">
        <f t="shared" ca="1" si="20"/>
        <v>0</v>
      </c>
    </row>
    <row r="67" spans="1:40" x14ac:dyDescent="0.2">
      <c r="H67" s="10" t="s">
        <v>638</v>
      </c>
      <c r="I67" s="25" t="e">
        <f ca="1">_xll.EVPRO($B$1,$H67,"STYLE")</f>
        <v>#NAME?</v>
      </c>
      <c r="J67" s="25" t="e">
        <f ca="1">_xll.EVPRO($B$1,$H67,"CALC")</f>
        <v>#NAME?</v>
      </c>
      <c r="K67" s="64" t="e">
        <f t="shared" ca="1" si="14"/>
        <v>#NAME?</v>
      </c>
      <c r="L67" s="24" t="e">
        <f ca="1">_xll.EVPRO($B$1,H67,"JDEID")</f>
        <v>#NAME?</v>
      </c>
      <c r="M67" s="24" t="e">
        <f ca="1">IF(AND(I67="N",J67="N"),_xll.EVPRO($B$1,H67,"PSFTID"),"")</f>
        <v>#NAME?</v>
      </c>
      <c r="N67" s="24" t="e">
        <f ca="1">IF(_xll.EVDES(H67,$B$1)="#NODATA","",_xll.EVDES(H67,$B$1))</f>
        <v>#NAME?</v>
      </c>
      <c r="O67" s="282"/>
      <c r="P67" s="283"/>
      <c r="Q67" s="283"/>
      <c r="R67" s="283"/>
      <c r="S67" s="283"/>
      <c r="T67" s="283"/>
      <c r="U67" s="283"/>
      <c r="V67" s="283"/>
      <c r="W67" s="283"/>
      <c r="X67" s="283"/>
      <c r="Y67" s="283"/>
      <c r="Z67" s="283"/>
      <c r="AA67" s="283" t="e">
        <f t="shared" ca="1" si="12"/>
        <v>#NAME?</v>
      </c>
      <c r="AB67" s="284" t="e">
        <f ca="1">IF(AA67=0,"",IFERROR(AA67/_xll.EVGTS($B$1,1,_xll.EVPRO($B$1,$H67,"COSBASIS"),$B$3,$B$5,$B$6,$B$7,$B$9,AA$16,AA$17,AA$11),""))</f>
        <v>#NAME?</v>
      </c>
      <c r="AC67" s="300"/>
      <c r="AD67" s="283"/>
      <c r="AE67" s="284" t="str">
        <f>IF(AD67=0,"",IFERROR(AD67/_xll.EVGTS($B$1,1,_xll.EVPRO($B$1,$H67,"COSBASIS"),$B$3,$B$5,$B$6,$B$7,$B$9,AD$16,AD$17,AD$18),""))</f>
        <v/>
      </c>
      <c r="AF67" s="285" t="e">
        <f t="shared" ca="1" si="13"/>
        <v>#NAME?</v>
      </c>
      <c r="AG67" s="283"/>
      <c r="AH67" s="284" t="str">
        <f>IF(AG67=0,"",IFERROR(AG67/_xll.EVGTS($B$1,1,_xll.EVPRO($B$1,$H67,"COSBASIS"),$B$3,$B$5,$B$6,$B$7,$B$9,AG$16,AG$17,AG$18),""))</f>
        <v/>
      </c>
      <c r="AI67" s="286" t="e">
        <f t="shared" ca="1" si="15"/>
        <v>#NAME?</v>
      </c>
      <c r="AJ67" s="371">
        <f t="shared" ca="1" si="16"/>
        <v>0</v>
      </c>
      <c r="AK67" s="372">
        <f t="shared" ca="1" si="17"/>
        <v>0</v>
      </c>
      <c r="AL67" s="373">
        <f t="shared" ca="1" si="18"/>
        <v>0</v>
      </c>
      <c r="AM67" s="374">
        <f t="shared" ca="1" si="19"/>
        <v>0</v>
      </c>
      <c r="AN67" s="375">
        <f t="shared" ca="1" si="20"/>
        <v>0</v>
      </c>
    </row>
    <row r="68" spans="1:40" x14ac:dyDescent="0.2">
      <c r="A68" s="20" t="s">
        <v>92</v>
      </c>
      <c r="B68" s="21" t="s">
        <v>93</v>
      </c>
      <c r="C68" s="21" t="s">
        <v>94</v>
      </c>
      <c r="D68" s="21" t="s">
        <v>95</v>
      </c>
      <c r="E68" s="21" t="s">
        <v>96</v>
      </c>
      <c r="F68" s="22" t="s">
        <v>97</v>
      </c>
      <c r="H68" s="10" t="s">
        <v>639</v>
      </c>
      <c r="I68" s="25" t="e">
        <f ca="1">_xll.EVPRO($B$1,$H68,"STYLE")</f>
        <v>#NAME?</v>
      </c>
      <c r="J68" s="25" t="e">
        <f ca="1">_xll.EVPRO($B$1,$H68,"CALC")</f>
        <v>#NAME?</v>
      </c>
      <c r="K68" s="64" t="e">
        <f t="shared" ca="1" si="14"/>
        <v>#NAME?</v>
      </c>
      <c r="L68" s="24" t="e">
        <f ca="1">_xll.EVPRO($B$1,H68,"JDEID")</f>
        <v>#NAME?</v>
      </c>
      <c r="M68" s="24" t="e">
        <f ca="1">IF(AND(I68="N",J68="N"),_xll.EVPRO($B$1,H68,"PSFTID"),"")</f>
        <v>#NAME?</v>
      </c>
      <c r="N68" s="24" t="e">
        <f ca="1">IF(_xll.EVDES(H68,$B$1)="#NODATA","",_xll.EVDES(H68,$B$1))</f>
        <v>#NAME?</v>
      </c>
      <c r="O68" s="295"/>
      <c r="P68" s="296"/>
      <c r="Q68" s="296"/>
      <c r="R68" s="296"/>
      <c r="S68" s="296"/>
      <c r="T68" s="296"/>
      <c r="U68" s="296"/>
      <c r="V68" s="296"/>
      <c r="W68" s="296"/>
      <c r="X68" s="296"/>
      <c r="Y68" s="296"/>
      <c r="Z68" s="296"/>
      <c r="AA68" s="296" t="e">
        <f t="shared" ca="1" si="12"/>
        <v>#NAME?</v>
      </c>
      <c r="AB68" s="297" t="e">
        <f ca="1">IF(AA68=0,"",IFERROR(AA68/_xll.EVGTS($B$1,1,_xll.EVPRO($B$1,$H68,"COSBASIS"),$B$3,$B$5,$B$6,$B$7,$B$9,AA$16,AA$17,AA$11),""))</f>
        <v>#NAME?</v>
      </c>
      <c r="AC68" s="263"/>
      <c r="AD68" s="296"/>
      <c r="AE68" s="297" t="str">
        <f>IF(AD68=0,"",IFERROR(AD68/_xll.EVGTS($B$1,1,_xll.EVPRO($B$1,$H68,"COSBASIS"),$B$3,$B$5,$B$6,$B$7,$B$9,AD$16,AD$17,AD$18),""))</f>
        <v/>
      </c>
      <c r="AF68" s="298" t="e">
        <f t="shared" ca="1" si="13"/>
        <v>#NAME?</v>
      </c>
      <c r="AG68" s="296"/>
      <c r="AH68" s="297" t="str">
        <f>IF(AG68=0,"",IFERROR(AG68/_xll.EVGTS($B$1,1,_xll.EVPRO($B$1,$H68,"COSBASIS"),$B$3,$B$5,$B$6,$B$7,$B$9,AG$16,AG$17,AG$18),""))</f>
        <v/>
      </c>
      <c r="AI68" s="299" t="e">
        <f t="shared" ca="1" si="15"/>
        <v>#NAME?</v>
      </c>
      <c r="AJ68" s="381">
        <f t="shared" ca="1" si="16"/>
        <v>0</v>
      </c>
      <c r="AK68" s="382">
        <f t="shared" ca="1" si="17"/>
        <v>0</v>
      </c>
      <c r="AL68" s="383">
        <f t="shared" ca="1" si="18"/>
        <v>0</v>
      </c>
      <c r="AM68" s="384">
        <f t="shared" ca="1" si="19"/>
        <v>0</v>
      </c>
      <c r="AN68" s="385">
        <f t="shared" ca="1" si="20"/>
        <v>0</v>
      </c>
    </row>
    <row r="69" spans="1:40" x14ac:dyDescent="0.2">
      <c r="H69" s="10" t="s">
        <v>288</v>
      </c>
      <c r="I69" s="447" t="e">
        <f ca="1">_xll.EVPRO($B$1,$H69,"STYLE")</f>
        <v>#NAME?</v>
      </c>
      <c r="J69" s="447" t="e">
        <f ca="1">_xll.EVPRO($B$1,$H69,"CALC")</f>
        <v>#NAME?</v>
      </c>
      <c r="K69" s="448" t="e">
        <f t="shared" ca="1" si="14"/>
        <v>#NAME?</v>
      </c>
      <c r="L69" s="151" t="e">
        <f ca="1">_xll.EVPRO($B$1,H69,"JDEID")</f>
        <v>#NAME?</v>
      </c>
      <c r="M69" s="151" t="e">
        <f ca="1">IF(AND(I69="N",J69="N"),_xll.EVPRO($B$1,H69,"PSFTID"),"")</f>
        <v>#NAME?</v>
      </c>
      <c r="N69" s="151" t="e">
        <f ca="1">IF(_xll.EVDES(H69,$B$1)="#NODATA","",_xll.EVDES(H69,$B$1))</f>
        <v>#NAME?</v>
      </c>
      <c r="O69" s="203"/>
      <c r="P69" s="33"/>
      <c r="Q69" s="33"/>
      <c r="R69" s="33"/>
      <c r="S69" s="33"/>
      <c r="T69" s="33"/>
      <c r="U69" s="33"/>
      <c r="V69" s="33"/>
      <c r="W69" s="33"/>
      <c r="X69" s="33"/>
      <c r="Y69" s="33"/>
      <c r="Z69" s="33"/>
      <c r="AA69" s="33" t="e">
        <f t="shared" ca="1" si="12"/>
        <v>#NAME?</v>
      </c>
      <c r="AB69" s="34" t="e">
        <f ca="1">IF(AA69=0,"",IFERROR(AA69/_xll.EVGTS($B$1,1,_xll.EVPRO($B$1,$H69,"COSBASIS"),$B$3,$B$5,$B$6,$B$7,$B$9,AA$16,AA$17,AA$11),""))</f>
        <v>#NAME?</v>
      </c>
      <c r="AC69" s="32"/>
      <c r="AD69" s="33"/>
      <c r="AE69" s="34" t="str">
        <f>IF(AD69=0,"",IFERROR(AD69/_xll.EVGTS($B$1,1,_xll.EVPRO($B$1,$H69,"COSBASIS"),$B$3,$B$5,$B$6,$B$7,$B$9,AD$16,AD$17,AD$18),""))</f>
        <v/>
      </c>
      <c r="AF69" s="54" t="e">
        <f t="shared" ca="1" si="13"/>
        <v>#NAME?</v>
      </c>
      <c r="AG69" s="33"/>
      <c r="AH69" s="34" t="str">
        <f>IF(AG69=0,"",IFERROR(AG69/_xll.EVGTS($B$1,1,_xll.EVPRO($B$1,$H69,"COSBASIS"),$B$3,$B$5,$B$6,$B$7,$B$9,AG$16,AG$17,AG$18),""))</f>
        <v/>
      </c>
      <c r="AI69" s="265" t="e">
        <f t="shared" ca="1" si="15"/>
        <v>#NAME?</v>
      </c>
      <c r="AJ69" s="344">
        <f t="shared" ca="1" si="16"/>
        <v>0</v>
      </c>
      <c r="AK69" s="345">
        <f t="shared" ca="1" si="17"/>
        <v>0</v>
      </c>
      <c r="AL69" s="347">
        <f t="shared" ca="1" si="18"/>
        <v>0</v>
      </c>
      <c r="AM69" s="379">
        <f t="shared" ca="1" si="19"/>
        <v>0</v>
      </c>
      <c r="AN69" s="380">
        <f t="shared" ca="1" si="20"/>
        <v>0</v>
      </c>
    </row>
    <row r="70" spans="1:40" x14ac:dyDescent="0.2">
      <c r="A70" s="1" t="s">
        <v>209</v>
      </c>
      <c r="B70" s="1" t="s">
        <v>21</v>
      </c>
      <c r="C70" s="70"/>
      <c r="D70" s="1" t="s">
        <v>590</v>
      </c>
      <c r="F70" s="1" t="s">
        <v>99</v>
      </c>
      <c r="H70" s="10" t="s">
        <v>289</v>
      </c>
      <c r="I70" s="447" t="e">
        <f ca="1">_xll.EVPRO($B$1,$H70,"STYLE")</f>
        <v>#NAME?</v>
      </c>
      <c r="J70" s="447" t="e">
        <f ca="1">_xll.EVPRO($B$1,$H70,"CALC")</f>
        <v>#NAME?</v>
      </c>
      <c r="K70" s="448" t="e">
        <f t="shared" ca="1" si="14"/>
        <v>#NAME?</v>
      </c>
      <c r="L70" s="151" t="e">
        <f ca="1">_xll.EVPRO($B$1,H70,"JDEID")</f>
        <v>#NAME?</v>
      </c>
      <c r="M70" s="151" t="e">
        <f ca="1">IF(AND(I70="N",J70="N"),_xll.EVPRO($B$1,H70,"PSFTID"),"")</f>
        <v>#NAME?</v>
      </c>
      <c r="N70" s="151" t="e">
        <f ca="1">IF(_xll.EVDES(H70,$B$1)="#NODATA","",_xll.EVDES(H70,$B$1))</f>
        <v>#NAME?</v>
      </c>
      <c r="O70" s="202"/>
      <c r="P70" s="120"/>
      <c r="Q70" s="120"/>
      <c r="R70" s="120"/>
      <c r="S70" s="120"/>
      <c r="T70" s="120"/>
      <c r="U70" s="120"/>
      <c r="V70" s="120"/>
      <c r="W70" s="120"/>
      <c r="X70" s="120"/>
      <c r="Y70" s="120"/>
      <c r="Z70" s="120"/>
      <c r="AA70" s="120" t="e">
        <f t="shared" ca="1" si="12"/>
        <v>#NAME?</v>
      </c>
      <c r="AB70" s="121" t="e">
        <f ca="1">IF(AA70=0,"",IFERROR(AA70/_xll.EVGTS($B$1,1,_xll.EVPRO($B$1,$H70,"COSBASIS"),$B$3,$B$5,$B$6,$B$7,$B$9,AA$16,AA$17,AA$11),""))</f>
        <v>#NAME?</v>
      </c>
      <c r="AC70" s="123"/>
      <c r="AD70" s="120"/>
      <c r="AE70" s="121" t="str">
        <f>IF(AD70=0,"",IFERROR(AD70/_xll.EVGTS($B$1,1,_xll.EVPRO($B$1,$H70,"COSBASIS"),$B$3,$B$5,$B$6,$B$7,$B$9,AD$16,AD$17,AD$18),""))</f>
        <v/>
      </c>
      <c r="AF70" s="122" t="e">
        <f t="shared" ca="1" si="13"/>
        <v>#NAME?</v>
      </c>
      <c r="AG70" s="120"/>
      <c r="AH70" s="121" t="str">
        <f>IF(AG70=0,"",IFERROR(AG70/_xll.EVGTS($B$1,1,_xll.EVPRO($B$1,$H70,"COSBASIS"),$B$3,$B$5,$B$6,$B$7,$B$9,AG$16,AG$17,AG$18),""))</f>
        <v/>
      </c>
      <c r="AI70" s="264" t="e">
        <f t="shared" ca="1" si="15"/>
        <v>#NAME?</v>
      </c>
      <c r="AJ70" s="332">
        <f t="shared" ca="1" si="16"/>
        <v>0</v>
      </c>
      <c r="AK70" s="333">
        <f t="shared" ca="1" si="17"/>
        <v>0</v>
      </c>
      <c r="AL70" s="335">
        <f t="shared" ca="1" si="18"/>
        <v>0</v>
      </c>
      <c r="AM70" s="377">
        <f t="shared" ca="1" si="19"/>
        <v>0</v>
      </c>
      <c r="AN70" s="378">
        <f t="shared" ca="1" si="20"/>
        <v>0</v>
      </c>
    </row>
    <row r="71" spans="1:40" x14ac:dyDescent="0.2">
      <c r="A71" s="1" t="s">
        <v>105</v>
      </c>
      <c r="C71" s="24" t="s">
        <v>101</v>
      </c>
      <c r="D71" s="1" t="s">
        <v>106</v>
      </c>
      <c r="F71" s="1" t="s">
        <v>98</v>
      </c>
      <c r="H71" s="133" t="s">
        <v>175</v>
      </c>
      <c r="I71" s="26" t="e">
        <f ca="1">_xll.EVPRO($B$1,$H71,"STYLE")</f>
        <v>#NAME?</v>
      </c>
      <c r="J71" s="26" t="e">
        <f ca="1">_xll.EVPRO($B$1,$H71,"CALC")</f>
        <v>#NAME?</v>
      </c>
      <c r="K71" s="65" t="e">
        <f ca="1">IF(AND(I71&gt;="T5"),"&gt;","")</f>
        <v>#NAME?</v>
      </c>
      <c r="L71" s="65"/>
      <c r="M71" s="65"/>
      <c r="N71" s="23" t="e">
        <f ca="1">IF(_xll.EVDES(H71,$B$1)="#NODATA","",_xll.EVDES(H71,$B$1))</f>
        <v>#NAME?</v>
      </c>
      <c r="O71" s="44"/>
      <c r="P71" s="44"/>
      <c r="Q71" s="44"/>
      <c r="R71" s="44"/>
      <c r="S71" s="44"/>
      <c r="T71" s="44"/>
      <c r="U71" s="44"/>
      <c r="V71" s="44"/>
      <c r="W71" s="44"/>
      <c r="X71" s="44"/>
      <c r="Y71" s="44"/>
      <c r="Z71" s="44"/>
      <c r="AA71" s="44"/>
      <c r="AB71" s="45" t="str">
        <f>IF(O71=0,"",IFERROR(O71/_xll.EVGTS($B$1,1,INDEX($C$152:$C$175,MATCH($H71,$A$152:$A$175,0)),$B$3,$B$5,$B$6,$B$7,$B$9,O$16,O$17,O$18),""))</f>
        <v/>
      </c>
      <c r="AD71" s="44"/>
      <c r="AE71" s="45" t="str">
        <f>IF(AD71=0,"",IFERROR(AD71/_xll.EVGTS($B$1,1,INDEX($C$152:$C$175,MATCH($H71,$A$152:$A$175,0)),$B$3,$B$5,$B$6,$B$7,$B$9,AD$16,AD$17,AD$18),""))</f>
        <v/>
      </c>
      <c r="AF71" s="134" t="str">
        <f t="shared" ref="AF71:AF72" si="21">IF(AND($AA71="",AD71=""),"",$AA71-AD71)</f>
        <v/>
      </c>
      <c r="AG71" s="44"/>
      <c r="AH71" s="45" t="str">
        <f>IF(AG71=0,"",IFERROR(AG71/_xll.EVGTS($B$1,1,INDEX($C$152:$C$175,MATCH($H71,$A$152:$A$175,0)),$B$3,$B$5,$B$6,$B$7,$B$9,AG$16,AG$17,AG$18),""))</f>
        <v/>
      </c>
      <c r="AI71" s="134" t="str">
        <f>IF(AND($AA71="",AG71=""),"",$AA71-AG71)</f>
        <v/>
      </c>
    </row>
    <row r="72" spans="1:40" x14ac:dyDescent="0.2">
      <c r="A72" s="1" t="s">
        <v>104</v>
      </c>
      <c r="C72" s="24" t="s">
        <v>101</v>
      </c>
      <c r="D72" s="1" t="s">
        <v>106</v>
      </c>
      <c r="F72" s="1" t="s">
        <v>98</v>
      </c>
      <c r="H72" s="133" t="s">
        <v>292</v>
      </c>
      <c r="I72" s="26" t="e">
        <f ca="1">_xll.EVPRO($B$1,$H72,"STYLE")</f>
        <v>#NAME?</v>
      </c>
      <c r="J72" s="26" t="e">
        <f ca="1">_xll.EVPRO($B$1,$H72,"CALC")</f>
        <v>#NAME?</v>
      </c>
      <c r="K72" s="65" t="e">
        <f ca="1">IF(AND(I72&gt;="T5"),"&gt;","")</f>
        <v>#NAME?</v>
      </c>
      <c r="L72" s="65"/>
      <c r="M72" s="65"/>
      <c r="N72" s="23" t="e">
        <f ca="1">IF(_xll.EVDES(H72,$B$1)="#NODATA","",_xll.EVDES(H72,$B$1))</f>
        <v>#NAME?</v>
      </c>
      <c r="O72" s="145">
        <f>SUMIF($H$35:$H$70,"400000",O35:O70)-SUMIF($H$35:$H$70,"500001",O35:O70)</f>
        <v>0</v>
      </c>
      <c r="P72" s="145">
        <f t="shared" ref="P72:Y72" si="22">SUMIF($H$35:$H$70,"400000",P35:P70)-SUMIF($H$35:$H$70,"500001",P35:P70)</f>
        <v>0</v>
      </c>
      <c r="Q72" s="145">
        <f t="shared" si="22"/>
        <v>0</v>
      </c>
      <c r="R72" s="145">
        <f t="shared" si="22"/>
        <v>0</v>
      </c>
      <c r="S72" s="145">
        <f t="shared" si="22"/>
        <v>0</v>
      </c>
      <c r="T72" s="145">
        <f t="shared" si="22"/>
        <v>0</v>
      </c>
      <c r="U72" s="145">
        <f t="shared" si="22"/>
        <v>0</v>
      </c>
      <c r="V72" s="145">
        <f t="shared" si="22"/>
        <v>0</v>
      </c>
      <c r="W72" s="145">
        <f t="shared" si="22"/>
        <v>0</v>
      </c>
      <c r="X72" s="145">
        <f t="shared" si="22"/>
        <v>0</v>
      </c>
      <c r="Y72" s="145">
        <f t="shared" si="22"/>
        <v>0</v>
      </c>
      <c r="Z72" s="145">
        <f>SUMIF($H$35:$H$70,"400000",Z35:Z70)-SUMIF($H$35:$H$70,"500001",Z35:Z70)</f>
        <v>0</v>
      </c>
      <c r="AA72" s="120" t="e">
        <f ca="1">IF($I72="B1","",SUM(O72:Z72))</f>
        <v>#NAME?</v>
      </c>
      <c r="AB72" s="121" t="e">
        <f ca="1">IF(AA72=0,"",IFERROR(AA72/AA$19,""))</f>
        <v>#NAME?</v>
      </c>
      <c r="AD72" s="145">
        <f>SUMIF($H$35:$H$70,"400000",AD35:AD70)-SUMIF($H$35:$H$70,"500001",AD35:AD70)</f>
        <v>0</v>
      </c>
      <c r="AE72" s="121" t="str">
        <f>IF(AD72=0,"",IFERROR(AD72/AD$19,""))</f>
        <v/>
      </c>
      <c r="AF72" s="146" t="e">
        <f t="shared" ca="1" si="21"/>
        <v>#NAME?</v>
      </c>
      <c r="AG72" s="145">
        <f>SUMIF($H$35:$H$70,"400000",AG35:AG70)-SUMIF($H$35:$H$70,"500001",AG35:AG70)</f>
        <v>0</v>
      </c>
      <c r="AH72" s="121" t="str">
        <f>IF(AG72=0,"",IFERROR(AG72/AG$19,""))</f>
        <v/>
      </c>
      <c r="AI72" s="146" t="e">
        <f ca="1">IF(AND($AA72="",AG72=""),"",$AA72-AG72)</f>
        <v>#NAME?</v>
      </c>
      <c r="AJ72" s="364">
        <f ca="1">IFERROR(AA72/AA$20,0)</f>
        <v>0</v>
      </c>
      <c r="AK72" s="365">
        <f ca="1">IFERROR(AD72/AD$20,0)</f>
        <v>0</v>
      </c>
      <c r="AL72" s="366">
        <f ca="1">IFERROR(AG72/AG$20,0)</f>
        <v>0</v>
      </c>
      <c r="AM72" s="367">
        <f ca="1">+IFERROR(ROUND(($AB72-AE72)*100,2)&amp;" pts.",0)</f>
        <v>0</v>
      </c>
      <c r="AN72" s="409">
        <f ca="1">+IFERROR(ROUND(($AB72-AH72)*100,2)&amp;" pts.",0)</f>
        <v>0</v>
      </c>
    </row>
    <row r="73" spans="1:40" x14ac:dyDescent="0.2">
      <c r="A73" s="1" t="s">
        <v>100</v>
      </c>
      <c r="C73" s="8" t="s">
        <v>101</v>
      </c>
      <c r="D73" s="1" t="s">
        <v>106</v>
      </c>
      <c r="F73" s="1" t="s">
        <v>98</v>
      </c>
      <c r="O73" s="144"/>
      <c r="P73" s="147"/>
      <c r="Q73" s="147"/>
      <c r="R73" s="147"/>
      <c r="S73" s="147"/>
      <c r="T73" s="147"/>
      <c r="U73" s="147"/>
      <c r="V73" s="147"/>
      <c r="W73" s="147"/>
      <c r="X73" s="147"/>
      <c r="Y73" s="147"/>
      <c r="Z73" s="147"/>
      <c r="AA73" s="147"/>
      <c r="AB73" s="51"/>
      <c r="AD73" s="50"/>
      <c r="AF73" s="51"/>
      <c r="AI73" s="51"/>
    </row>
    <row r="74" spans="1:40" x14ac:dyDescent="0.2">
      <c r="A74" s="1" t="s">
        <v>102</v>
      </c>
      <c r="C74" s="23" t="s">
        <v>101</v>
      </c>
      <c r="D74" s="1" t="s">
        <v>106</v>
      </c>
      <c r="F74" s="1" t="s">
        <v>98</v>
      </c>
      <c r="H74" s="1" t="s">
        <v>73</v>
      </c>
      <c r="I74" s="11" t="e">
        <f ca="1">_xll.EVPRO($B$1,$H74,"STYLE")</f>
        <v>#NAME?</v>
      </c>
      <c r="J74" s="11" t="e">
        <f ca="1">_xll.EVPRO($B$1,$H74,"CALC")</f>
        <v>#NAME?</v>
      </c>
      <c r="N74" s="37" t="e">
        <f ca="1">IF(_xll.EVDES(H74,$B$1)="#NODATA","",_xll.EVDES(H74,$B$1))</f>
        <v>#NAME?</v>
      </c>
      <c r="O74" s="50"/>
      <c r="AB74" s="149"/>
      <c r="AD74" s="148"/>
      <c r="AE74" s="150"/>
      <c r="AF74" s="51"/>
      <c r="AH74" s="150"/>
      <c r="AI74" s="51"/>
    </row>
    <row r="75" spans="1:40" x14ac:dyDescent="0.2">
      <c r="A75" s="1" t="s">
        <v>102</v>
      </c>
      <c r="C75" s="135" t="s">
        <v>101</v>
      </c>
      <c r="D75" s="1" t="s">
        <v>107</v>
      </c>
      <c r="F75" s="1" t="s">
        <v>99</v>
      </c>
      <c r="H75" s="1" t="s">
        <v>74</v>
      </c>
      <c r="I75" s="11" t="e">
        <f ca="1">_xll.EVPRO($B$1,$H75,"STYLE")</f>
        <v>#NAME?</v>
      </c>
      <c r="J75" s="11" t="e">
        <f ca="1">_xll.EVPRO($B$1,$H75,"CALC")</f>
        <v>#NAME?</v>
      </c>
      <c r="N75" s="8" t="e">
        <f ca="1">IF(_xll.EVDES(H75,$B$1)="#NODATA","",_xll.EVDES(H75,$B$1))</f>
        <v>#NAME?</v>
      </c>
      <c r="O75" s="40"/>
      <c r="P75" s="43"/>
      <c r="Q75" s="43"/>
      <c r="R75" s="43"/>
      <c r="S75" s="43"/>
      <c r="T75" s="43"/>
      <c r="U75" s="43"/>
      <c r="V75" s="43"/>
      <c r="W75" s="43"/>
      <c r="X75" s="43"/>
      <c r="Y75" s="43"/>
      <c r="Z75" s="43"/>
      <c r="AA75" s="43"/>
      <c r="AB75" s="41"/>
      <c r="AD75" s="40"/>
      <c r="AE75" s="43"/>
      <c r="AF75" s="41"/>
      <c r="AG75" s="43"/>
      <c r="AH75" s="43"/>
      <c r="AI75" s="41"/>
    </row>
    <row r="76" spans="1:40" hidden="1" x14ac:dyDescent="0.2">
      <c r="A76" s="1" t="s">
        <v>108</v>
      </c>
      <c r="C76" s="23" t="s">
        <v>101</v>
      </c>
      <c r="D76" s="1" t="s">
        <v>106</v>
      </c>
      <c r="F76" s="1" t="s">
        <v>98</v>
      </c>
      <c r="H76" s="10" t="s">
        <v>667</v>
      </c>
      <c r="I76" s="25" t="e">
        <f ca="1">_xll.EVPRO($B$1,$H76,"STYLE")</f>
        <v>#NAME?</v>
      </c>
      <c r="J76" s="25" t="e">
        <f ca="1">_xll.EVPRO($B$1,$H76,"CALC")</f>
        <v>#NAME?</v>
      </c>
      <c r="K76" s="64" t="e">
        <f ca="1">IF(AND(I76&gt;="T3"),"&gt;","")</f>
        <v>#NAME?</v>
      </c>
      <c r="L76" s="24" t="e">
        <f ca="1">_xll.EVPRO($B$1,H76,"JDEID")</f>
        <v>#NAME?</v>
      </c>
      <c r="M76" s="24" t="e">
        <f ca="1">IF(AND(I76="N",J76="N"),_xll.EVPRO($B$1,H76,"PSFTID"),"")</f>
        <v>#NAME?</v>
      </c>
      <c r="N76" s="24" t="e">
        <f ca="1">IF(_xll.EVDES(H76,$B$1)="#NODATA","",_xll.EVDES(H76,$B$1))</f>
        <v>#NAME?</v>
      </c>
      <c r="O76" s="35"/>
      <c r="P76" s="35"/>
      <c r="Q76" s="35"/>
      <c r="R76" s="35"/>
      <c r="S76" s="35"/>
      <c r="T76" s="35"/>
      <c r="U76" s="35"/>
      <c r="V76" s="35"/>
      <c r="W76" s="35"/>
      <c r="X76" s="35"/>
      <c r="Y76" s="35"/>
      <c r="Z76" s="35"/>
      <c r="AA76" s="283" t="e">
        <f ca="1">IF($I76="B1","",SUM(O76:Z76))</f>
        <v>#NAME?</v>
      </c>
      <c r="AB76" s="36" t="e">
        <f ca="1">IF(AA76=0,"",IFERROR(AA76/AA$19,""))</f>
        <v>#NAME?</v>
      </c>
      <c r="AD76" s="35"/>
      <c r="AE76" s="36" t="str">
        <f>IF(AD76=0,"",IFERROR(AD76/AD$19,""))</f>
        <v/>
      </c>
      <c r="AF76" s="118" t="e">
        <f ca="1">IF(AND($AA76="",AD76=""),"",$AA76-AD76)</f>
        <v>#NAME?</v>
      </c>
      <c r="AG76" s="35"/>
      <c r="AH76" s="36" t="str">
        <f>IF(AG76=0,"",IFERROR(AG76/AG$19,""))</f>
        <v/>
      </c>
      <c r="AI76" s="118" t="e">
        <f ca="1">IF(AND($AA76="",AG76=""),"",$AA76-AG76)</f>
        <v>#NAME?</v>
      </c>
      <c r="AJ76" s="371">
        <f ca="1">IFERROR(AA76/AA$20,0)</f>
        <v>0</v>
      </c>
      <c r="AK76" s="372">
        <f ca="1">IFERROR(AD76/AD$20,0)</f>
        <v>0</v>
      </c>
      <c r="AL76" s="373">
        <f ca="1">IFERROR(AG76/AG$20,0)</f>
        <v>0</v>
      </c>
      <c r="AM76" s="374">
        <f ca="1">+IFERROR(ROUND(($AB76-AE76)*100,2)&amp;" pts.",0)</f>
        <v>0</v>
      </c>
      <c r="AN76" s="375">
        <f ca="1">+IFERROR(ROUND(($AB76-AH76)*100,2)&amp;" pts.",0)</f>
        <v>0</v>
      </c>
    </row>
    <row r="77" spans="1:40" hidden="1" x14ac:dyDescent="0.2">
      <c r="A77" s="1" t="s">
        <v>108</v>
      </c>
      <c r="C77" s="135" t="s">
        <v>101</v>
      </c>
      <c r="D77" s="1" t="s">
        <v>107</v>
      </c>
      <c r="F77" s="1" t="s">
        <v>99</v>
      </c>
      <c r="H77" s="10"/>
      <c r="I77" s="25" t="e">
        <f ca="1">_xll.EVPRO($B$1,$H77,"STYLE")</f>
        <v>#NAME?</v>
      </c>
      <c r="J77" s="25" t="e">
        <f ca="1">_xll.EVPRO($B$1,$H77,"CALC")</f>
        <v>#NAME?</v>
      </c>
      <c r="K77" s="64" t="e">
        <f ca="1">IF(AND(I77&gt;="T3"),"&gt;","")</f>
        <v>#NAME?</v>
      </c>
      <c r="L77" s="24" t="e">
        <f ca="1">_xll.EVPRO($B$1,H77,"JDEID")</f>
        <v>#NAME?</v>
      </c>
      <c r="M77" s="24" t="e">
        <f ca="1">IF(AND(I77="N",J77="N"),_xll.EVPRO($B$1,H77,"PSFTID"),"")</f>
        <v>#NAME?</v>
      </c>
      <c r="N77" s="24" t="e">
        <f ca="1">IF(_xll.EVDES(H77,$B$1)="#NODATA","",_xll.EVDES(H77,$B$1))</f>
        <v>#NAME?</v>
      </c>
      <c r="O77" s="35"/>
      <c r="P77" s="35"/>
      <c r="Q77" s="35"/>
      <c r="R77" s="35"/>
      <c r="S77" s="35"/>
      <c r="T77" s="35"/>
      <c r="U77" s="35"/>
      <c r="V77" s="35"/>
      <c r="W77" s="35"/>
      <c r="X77" s="35"/>
      <c r="Y77" s="35"/>
      <c r="Z77" s="35"/>
      <c r="AA77" s="283" t="e">
        <f ca="1">IF($I77="B1","",SUM(O77:Z77))</f>
        <v>#NAME?</v>
      </c>
      <c r="AB77" s="36" t="e">
        <f ca="1">IF(AA77=0,"",IFERROR(AA77/AA$19,""))</f>
        <v>#NAME?</v>
      </c>
      <c r="AD77" s="35"/>
      <c r="AE77" s="36" t="str">
        <f>IF(AD77=0,"",IFERROR(AD77/AD$19,""))</f>
        <v/>
      </c>
      <c r="AF77" s="118" t="e">
        <f ca="1">IF(AND($AA77="",AD77=""),"",$AA77-AD77)</f>
        <v>#NAME?</v>
      </c>
      <c r="AG77" s="35"/>
      <c r="AH77" s="36" t="str">
        <f>IF(AG77=0,"",IFERROR(AG77/AG$19,""))</f>
        <v/>
      </c>
      <c r="AI77" s="118" t="e">
        <f ca="1">IF(AND($AA77="",AG77=""),"",$AA77-AG77)</f>
        <v>#NAME?</v>
      </c>
      <c r="AJ77" s="371">
        <f ca="1">IFERROR(AA77/AA$20,0)</f>
        <v>0</v>
      </c>
      <c r="AK77" s="372">
        <f ca="1">IFERROR(AD77/AD$20,0)</f>
        <v>0</v>
      </c>
      <c r="AL77" s="373">
        <f ca="1">IFERROR(AG77/AG$20,0)</f>
        <v>0</v>
      </c>
      <c r="AM77" s="374">
        <f ca="1">+IFERROR(ROUND(($AB77-AE77)*100,2)&amp;" pts.",0)</f>
        <v>0</v>
      </c>
      <c r="AN77" s="375">
        <f ca="1">+IFERROR(ROUND(($AB77-AH77)*100,2)&amp;" pts.",0)</f>
        <v>0</v>
      </c>
    </row>
    <row r="78" spans="1:40" x14ac:dyDescent="0.2">
      <c r="H78" s="10" t="s">
        <v>75</v>
      </c>
      <c r="I78" s="26" t="e">
        <f ca="1">_xll.EVPRO($B$1,$H78,"STYLE")</f>
        <v>#NAME?</v>
      </c>
      <c r="J78" s="26" t="e">
        <f ca="1">_xll.EVPRO($B$1,$H78,"CALC")</f>
        <v>#NAME?</v>
      </c>
      <c r="K78" s="65" t="e">
        <f ca="1">IF(AND(I78&gt;="T3"),"&gt;","")</f>
        <v>#NAME?</v>
      </c>
      <c r="L78" s="23" t="e">
        <f ca="1">_xll.EVPRO($B$1,H78,"JDEID")</f>
        <v>#NAME?</v>
      </c>
      <c r="M78" s="24" t="e">
        <f ca="1">IF(AND(I78="N",J78="N"),_xll.EVPRO($B$1,H78,"PSFTID"),"")</f>
        <v>#NAME?</v>
      </c>
      <c r="N78" s="23" t="e">
        <f ca="1">IF(_xll.EVDES(H78,$B$1)="#NODATA","",_xll.EVDES(H78,$B$1))</f>
        <v>#NAME?</v>
      </c>
      <c r="O78" s="35"/>
      <c r="P78" s="35"/>
      <c r="Q78" s="35"/>
      <c r="R78" s="35"/>
      <c r="S78" s="35"/>
      <c r="T78" s="35"/>
      <c r="U78" s="35"/>
      <c r="V78" s="35"/>
      <c r="W78" s="35"/>
      <c r="X78" s="35"/>
      <c r="Y78" s="35"/>
      <c r="Z78" s="35"/>
      <c r="AA78" s="283" t="e">
        <f ca="1">IF($I78="B1","",SUM(O78:Z78))</f>
        <v>#NAME?</v>
      </c>
      <c r="AB78" s="36" t="e">
        <f ca="1">IF(AA78=0,"",IFERROR(AA78/AA$19,""))</f>
        <v>#NAME?</v>
      </c>
      <c r="AD78" s="35"/>
      <c r="AE78" s="36" t="str">
        <f>IF(AD78=0,"",IFERROR(AD78/AD$19,""))</f>
        <v/>
      </c>
      <c r="AF78" s="118" t="e">
        <f ca="1">IF(AND($AA78="",AD78=""),"",$AA78-AD78)</f>
        <v>#NAME?</v>
      </c>
      <c r="AG78" s="35"/>
      <c r="AH78" s="36" t="str">
        <f>IF(AG78=0,"",IFERROR(AG78/AG$19,""))</f>
        <v/>
      </c>
      <c r="AI78" s="118" t="e">
        <f ca="1">IF(AND($AA78="",AG78=""),"",$AA78-AG78)</f>
        <v>#NAME?</v>
      </c>
      <c r="AJ78" s="371">
        <f ca="1">IFERROR(AA78/AA$20,0)</f>
        <v>0</v>
      </c>
      <c r="AK78" s="372">
        <f ca="1">IFERROR(AD78/AD$20,0)</f>
        <v>0</v>
      </c>
      <c r="AL78" s="373">
        <f ca="1">IFERROR(AG78/AG$20,0)</f>
        <v>0</v>
      </c>
      <c r="AM78" s="374">
        <f ca="1">+IFERROR(ROUND(($AB78-AE78)*100,2)&amp;" pts.",0)</f>
        <v>0</v>
      </c>
      <c r="AN78" s="375">
        <f ca="1">+IFERROR(ROUND(($AB78-AH78)*100,2)&amp;" pts.",0)</f>
        <v>0</v>
      </c>
    </row>
    <row r="79" spans="1:40" hidden="1" x14ac:dyDescent="0.2">
      <c r="C79" s="23"/>
      <c r="H79" s="10" t="s">
        <v>667</v>
      </c>
      <c r="I79" s="25" t="e">
        <f ca="1">_xll.EVPRO($B$1,$H79,"STYLE")</f>
        <v>#NAME?</v>
      </c>
      <c r="J79" s="25" t="e">
        <f ca="1">_xll.EVPRO($B$1,$H79,"CALC")</f>
        <v>#NAME?</v>
      </c>
      <c r="K79" s="64" t="e">
        <f ca="1">IF(AND(I79&gt;="T3"),"&gt;","")</f>
        <v>#NAME?</v>
      </c>
      <c r="L79" s="24" t="e">
        <f ca="1">_xll.EVPRO($B$1,H79,"JDEID")</f>
        <v>#NAME?</v>
      </c>
      <c r="M79" s="24" t="e">
        <f ca="1">IF(AND(I79="N",J79="N"),_xll.EVPRO($B$1,H79,"PSFTID"),"")</f>
        <v>#NAME?</v>
      </c>
      <c r="N79" s="24" t="e">
        <f ca="1">IF(_xll.EVDES(H79,$B$1)="#NODATA","",_xll.EVDES(H79,$B$1))</f>
        <v>#NAME?</v>
      </c>
      <c r="O79" s="44"/>
      <c r="P79" s="44"/>
      <c r="Q79" s="44"/>
      <c r="R79" s="44"/>
      <c r="S79" s="44"/>
      <c r="T79" s="44"/>
      <c r="U79" s="44"/>
      <c r="V79" s="44"/>
      <c r="W79" s="44"/>
      <c r="X79" s="44"/>
      <c r="Y79" s="44"/>
      <c r="Z79" s="44"/>
      <c r="AA79" s="296" t="e">
        <f ca="1">IF($I79="B1","",SUM(O79:Z79))</f>
        <v>#NAME?</v>
      </c>
      <c r="AB79" s="45" t="e">
        <f ca="1">IF(AA79=0,"",IFERROR(AA79/AA$19,""))</f>
        <v>#NAME?</v>
      </c>
      <c r="AD79" s="44"/>
      <c r="AE79" s="45" t="str">
        <f>IF(AD79=0,"",IFERROR(AD79/AD$19,""))</f>
        <v/>
      </c>
      <c r="AF79" s="134" t="e">
        <f ca="1">IF(AND($AA79="",AD79=""),"",$AA79-AD79)</f>
        <v>#NAME?</v>
      </c>
      <c r="AG79" s="44"/>
      <c r="AH79" s="45" t="str">
        <f>IF(AG79=0,"",IFERROR(AG79/AG$19,""))</f>
        <v/>
      </c>
      <c r="AI79" s="134" t="e">
        <f ca="1">IF(AND($AA79="",AG79=""),"",$AA79-AG79)</f>
        <v>#NAME?</v>
      </c>
      <c r="AJ79" s="381">
        <f ca="1">IFERROR(AA79/AA$20,0)</f>
        <v>0</v>
      </c>
      <c r="AK79" s="382">
        <f ca="1">IFERROR(AD79/AD$20,0)</f>
        <v>0</v>
      </c>
      <c r="AL79" s="383">
        <f ca="1">IFERROR(AG79/AG$20,0)</f>
        <v>0</v>
      </c>
      <c r="AM79" s="384">
        <f ca="1">+IFERROR(ROUND(($AB79-AE79)*100,2)&amp;" pts.",0)</f>
        <v>0</v>
      </c>
      <c r="AN79" s="385">
        <f ca="1">+IFERROR(ROUND(($AB79-AH79)*100,2)&amp;" pts.",0)</f>
        <v>0</v>
      </c>
    </row>
    <row r="80" spans="1:40" hidden="1" x14ac:dyDescent="0.2">
      <c r="A80" s="4" t="e">
        <f ca="1">_xll.EVDRE($B$1,A83:B90,A93:B99)</f>
        <v>#NAME?</v>
      </c>
      <c r="H80" s="10"/>
      <c r="I80" s="25" t="e">
        <f ca="1">_xll.EVPRO($B$1,$H80,"STYLE")</f>
        <v>#NAME?</v>
      </c>
      <c r="J80" s="25" t="e">
        <f ca="1">_xll.EVPRO($B$1,$H80,"CALC")</f>
        <v>#NAME?</v>
      </c>
      <c r="K80" s="64" t="e">
        <f ca="1">IF(AND(I80&gt;="T3"),"&gt;","")</f>
        <v>#NAME?</v>
      </c>
      <c r="L80" s="24" t="e">
        <f ca="1">_xll.EVPRO($B$1,H80,"JDEID")</f>
        <v>#NAME?</v>
      </c>
      <c r="M80" s="24" t="e">
        <f ca="1">IF(AND(I80="N",J80="N"),_xll.EVPRO($B$1,H80,"PSFTID"),"")</f>
        <v>#NAME?</v>
      </c>
      <c r="N80" s="24" t="e">
        <f ca="1">IF(_xll.EVDES(H80,$B$1)="#NODATA","",_xll.EVDES(H80,$B$1))</f>
        <v>#NAME?</v>
      </c>
      <c r="O80" s="44"/>
      <c r="P80" s="44"/>
      <c r="Q80" s="44"/>
      <c r="R80" s="44"/>
      <c r="S80" s="44"/>
      <c r="T80" s="44"/>
      <c r="U80" s="44"/>
      <c r="V80" s="44"/>
      <c r="W80" s="44"/>
      <c r="X80" s="44"/>
      <c r="Y80" s="44"/>
      <c r="Z80" s="44"/>
      <c r="AA80" s="296" t="e">
        <f ca="1">IF($I80="B1","",SUM(O80:Z80))</f>
        <v>#NAME?</v>
      </c>
      <c r="AB80" s="45" t="e">
        <f ca="1">IF(AA80=0,"",IFERROR(AA80/AA$19,""))</f>
        <v>#NAME?</v>
      </c>
      <c r="AD80" s="44"/>
      <c r="AE80" s="45" t="str">
        <f>IF(AD80=0,"",IFERROR(AD80/AD$19,""))</f>
        <v/>
      </c>
      <c r="AF80" s="134" t="e">
        <f ca="1">IF(AND($AA80="",AD80=""),"",$AA80-AD80)</f>
        <v>#NAME?</v>
      </c>
      <c r="AG80" s="44"/>
      <c r="AH80" s="45" t="str">
        <f>IF(AG80=0,"",IFERROR(AG80/AG$19,""))</f>
        <v/>
      </c>
      <c r="AI80" s="134" t="e">
        <f ca="1">IF(AND($AA80="",AG80=""),"",$AA80-AG80)</f>
        <v>#NAME?</v>
      </c>
      <c r="AJ80" s="381">
        <f ca="1">IFERROR(AA80/AA$20,0)</f>
        <v>0</v>
      </c>
      <c r="AK80" s="382">
        <f ca="1">IFERROR(AD80/AD$20,0)</f>
        <v>0</v>
      </c>
      <c r="AL80" s="383">
        <f ca="1">IFERROR(AG80/AG$20,0)</f>
        <v>0</v>
      </c>
      <c r="AM80" s="384">
        <f ca="1">+IFERROR(ROUND(($AB80-AE80)*100,2)&amp;" pts.",0)</f>
        <v>0</v>
      </c>
      <c r="AN80" s="385">
        <f ca="1">+IFERROR(ROUND(($AB80-AH80)*100,2)&amp;" pts.",0)</f>
        <v>0</v>
      </c>
    </row>
    <row r="81" spans="1:40" x14ac:dyDescent="0.2">
      <c r="O81" s="38"/>
      <c r="P81" s="42"/>
      <c r="Q81" s="42"/>
      <c r="R81" s="42"/>
      <c r="S81" s="42"/>
      <c r="T81" s="42"/>
      <c r="U81" s="42"/>
      <c r="V81" s="42"/>
      <c r="W81" s="42"/>
      <c r="X81" s="42"/>
      <c r="Y81" s="42"/>
      <c r="Z81" s="42"/>
      <c r="AA81" s="42"/>
      <c r="AB81" s="39"/>
      <c r="AD81" s="38"/>
      <c r="AE81" s="42"/>
      <c r="AF81" s="39"/>
      <c r="AG81" s="38"/>
      <c r="AH81" s="42"/>
      <c r="AI81" s="39"/>
    </row>
    <row r="82" spans="1:40" x14ac:dyDescent="0.2">
      <c r="A82" s="3" t="s">
        <v>0</v>
      </c>
      <c r="B82" s="5" t="s">
        <v>1</v>
      </c>
      <c r="H82" s="1" t="s">
        <v>82</v>
      </c>
      <c r="I82" s="11" t="e">
        <f ca="1">_xll.EVPRO($B$1,$H82,"STYLE")</f>
        <v>#NAME?</v>
      </c>
      <c r="J82" s="11" t="e">
        <f ca="1">_xll.EVPRO($B$1,$H82,"CALC")</f>
        <v>#NAME?</v>
      </c>
      <c r="N82" s="37" t="e">
        <f ca="1">IF(_xll.EVDES(H82,$B$1)="#NODATA","",_xll.EVDES(H82,$B$1))</f>
        <v>#NAME?</v>
      </c>
      <c r="O82" s="40"/>
      <c r="P82" s="43"/>
      <c r="Q82" s="43"/>
      <c r="R82" s="43"/>
      <c r="S82" s="43"/>
      <c r="T82" s="43"/>
      <c r="U82" s="43"/>
      <c r="V82" s="43"/>
      <c r="W82" s="43"/>
      <c r="X82" s="43"/>
      <c r="Y82" s="43"/>
      <c r="Z82" s="43"/>
      <c r="AA82" s="43"/>
      <c r="AB82" s="41"/>
      <c r="AD82" s="40"/>
      <c r="AE82" s="43"/>
      <c r="AF82" s="41"/>
      <c r="AG82" s="40"/>
      <c r="AH82" s="43"/>
      <c r="AI82" s="41"/>
    </row>
    <row r="83" spans="1:40" hidden="1" x14ac:dyDescent="0.2">
      <c r="A83" s="6" t="s">
        <v>2</v>
      </c>
      <c r="B83" s="7" t="e">
        <f ca="1">_xll.EVRNG($B$2:$B$10)</f>
        <v>#NAME?</v>
      </c>
      <c r="H83" s="10" t="s">
        <v>667</v>
      </c>
      <c r="I83" s="25" t="e">
        <f ca="1">_xll.EVPRO($B$1,$H83,"STYLE")</f>
        <v>#NAME?</v>
      </c>
      <c r="J83" s="25" t="e">
        <f ca="1">_xll.EVPRO($B$1,$H83,"CALC")</f>
        <v>#NAME?</v>
      </c>
      <c r="K83" s="64" t="e">
        <f ca="1">IF(AND(I83&lt;&gt;"B1",J83="Y"),"&gt;","")</f>
        <v>#NAME?</v>
      </c>
      <c r="L83" s="24" t="e">
        <f ca="1">_xll.EVPRO($B$1,H83,"JDEID")</f>
        <v>#NAME?</v>
      </c>
      <c r="M83" s="24" t="e">
        <f ca="1">IF(AND(I83="N",J83="N"),_xll.EVPRO($B$1,H83,"PSFTID"),"")</f>
        <v>#NAME?</v>
      </c>
      <c r="N83" s="24" t="e">
        <f ca="1">IF(_xll.EVDES(H83,$B$1)="#NODATA","",_xll.EVDES(H83,$B$1))</f>
        <v>#NAME?</v>
      </c>
      <c r="O83" s="19"/>
      <c r="P83" s="19"/>
      <c r="Q83" s="19"/>
      <c r="R83" s="19"/>
      <c r="S83" s="19"/>
      <c r="T83" s="19"/>
      <c r="U83" s="19"/>
      <c r="V83" s="19"/>
      <c r="W83" s="19"/>
      <c r="X83" s="19"/>
      <c r="Y83" s="19"/>
      <c r="Z83" s="19"/>
      <c r="AA83" s="283" t="e">
        <f ca="1">IF($I83="B1","",SUM(O83:Z83))</f>
        <v>#NAME?</v>
      </c>
      <c r="AB83" s="15" t="e">
        <f ca="1">IF(AA83=0,"",IFERROR(AA83/AA$19,""))</f>
        <v>#NAME?</v>
      </c>
      <c r="AD83" s="19"/>
      <c r="AE83" s="15" t="str">
        <f>IF(AD83=0,"",IFERROR(AD83/AD$19,""))</f>
        <v/>
      </c>
      <c r="AF83" s="47" t="e">
        <f ca="1">IF(AND($AA83="",AD83=""),"",$AA83-AD83)</f>
        <v>#NAME?</v>
      </c>
      <c r="AG83" s="19"/>
      <c r="AH83" s="15" t="str">
        <f>IF(AG83=0,"",IFERROR(AG83/AG$19,""))</f>
        <v/>
      </c>
      <c r="AI83" s="47" t="e">
        <f ca="1">IF(AND($AA83="",AG83=""),"",$AA83-AG83)</f>
        <v>#NAME?</v>
      </c>
      <c r="AJ83" s="371">
        <f ca="1">IFERROR(AA83/AA$20,0)</f>
        <v>0</v>
      </c>
      <c r="AK83" s="372">
        <f ca="1">IFERROR(AD83/AD$20,0)</f>
        <v>0</v>
      </c>
      <c r="AL83" s="373">
        <f ca="1">IFERROR(AG83/AG$20,0)</f>
        <v>0</v>
      </c>
      <c r="AM83" s="374">
        <f ca="1">+IFERROR(ROUND(($AB83-AE83)*100,2)&amp;" pts.",0)</f>
        <v>0</v>
      </c>
      <c r="AN83" s="375">
        <f ca="1">+IFERROR(ROUND(($AB83-AH83)*100,2)&amp;" pts.",0)</f>
        <v>0</v>
      </c>
    </row>
    <row r="84" spans="1:40" hidden="1" x14ac:dyDescent="0.2">
      <c r="A84" s="6" t="s">
        <v>3</v>
      </c>
      <c r="B84" s="7" t="e">
        <f ca="1">_xll.EVRNG($O$16:$AN$18)</f>
        <v>#NAME?</v>
      </c>
      <c r="H84" s="10"/>
      <c r="I84" s="25" t="e">
        <f ca="1">_xll.EVPRO($B$1,$H84,"STYLE")</f>
        <v>#NAME?</v>
      </c>
      <c r="J84" s="25" t="e">
        <f ca="1">_xll.EVPRO($B$1,$H84,"CALC")</f>
        <v>#NAME?</v>
      </c>
      <c r="K84" s="64" t="e">
        <f ca="1">IF(AND(I84&lt;&gt;"B1",J84="Y"),"&gt;","")</f>
        <v>#NAME?</v>
      </c>
      <c r="L84" s="24" t="e">
        <f ca="1">_xll.EVPRO($B$1,H84,"JDEID")</f>
        <v>#NAME?</v>
      </c>
      <c r="M84" s="24" t="e">
        <f ca="1">IF(AND(I84="N",J84="N"),_xll.EVPRO($B$1,H84,"PSFTID"),"")</f>
        <v>#NAME?</v>
      </c>
      <c r="N84" s="24" t="e">
        <f ca="1">IF(_xll.EVDES(H84,$B$1)="#NODATA","",_xll.EVDES(H84,$B$1))</f>
        <v>#NAME?</v>
      </c>
      <c r="O84" s="19"/>
      <c r="P84" s="19"/>
      <c r="Q84" s="19"/>
      <c r="R84" s="19"/>
      <c r="S84" s="19"/>
      <c r="T84" s="19"/>
      <c r="U84" s="19"/>
      <c r="V84" s="19"/>
      <c r="W84" s="19"/>
      <c r="X84" s="19"/>
      <c r="Y84" s="19"/>
      <c r="Z84" s="19"/>
      <c r="AA84" s="283" t="e">
        <f ca="1">IF($I84="B1","",SUM(O84:Z84))</f>
        <v>#NAME?</v>
      </c>
      <c r="AB84" s="15" t="e">
        <f ca="1">IF(AA84=0,"",IFERROR(AA84/AA$19,""))</f>
        <v>#NAME?</v>
      </c>
      <c r="AD84" s="19"/>
      <c r="AE84" s="15" t="str">
        <f>IF(AD84=0,"",IFERROR(AD84/AD$19,""))</f>
        <v/>
      </c>
      <c r="AF84" s="47" t="e">
        <f ca="1">IF(AND($AA84="",AD84=""),"",$AA84-AD84)</f>
        <v>#NAME?</v>
      </c>
      <c r="AG84" s="19"/>
      <c r="AH84" s="15" t="str">
        <f>IF(AG84=0,"",IFERROR(AG84/AG$19,""))</f>
        <v/>
      </c>
      <c r="AI84" s="47" t="e">
        <f ca="1">IF(AND($AA84="",AG84=""),"",$AA84-AG84)</f>
        <v>#NAME?</v>
      </c>
      <c r="AJ84" s="371">
        <f ca="1">IFERROR(AA84/AA$20,0)</f>
        <v>0</v>
      </c>
      <c r="AK84" s="372">
        <f ca="1">IFERROR(AD84/AD$20,0)</f>
        <v>0</v>
      </c>
      <c r="AL84" s="373">
        <f ca="1">IFERROR(AG84/AG$20,0)</f>
        <v>0</v>
      </c>
      <c r="AM84" s="374">
        <f ca="1">+IFERROR(ROUND(($AB84-AE84)*100,2)&amp;" pts.",0)</f>
        <v>0</v>
      </c>
      <c r="AN84" s="375">
        <f ca="1">+IFERROR(ROUND(($AB84-AH84)*100,2)&amp;" pts.",0)</f>
        <v>0</v>
      </c>
    </row>
    <row r="85" spans="1:40" x14ac:dyDescent="0.2">
      <c r="A85" s="6" t="s">
        <v>4</v>
      </c>
      <c r="B85" s="7" t="e">
        <f ca="1">_xll.EVRNG(H76:H77,H79:H80,H83:H84)</f>
        <v>#NAME?</v>
      </c>
      <c r="H85" s="10" t="s">
        <v>79</v>
      </c>
      <c r="I85" s="25" t="e">
        <f ca="1">_xll.EVPRO($B$1,$H85,"STYLE")</f>
        <v>#NAME?</v>
      </c>
      <c r="J85" s="25" t="e">
        <f ca="1">_xll.EVPRO($B$1,$H85,"CALC")</f>
        <v>#NAME?</v>
      </c>
      <c r="K85" s="24"/>
      <c r="L85" s="24"/>
      <c r="M85" s="24"/>
      <c r="N85" s="23" t="e">
        <f ca="1">IF(_xll.EVDES(H85,$B$1)="#NODATA","",_xll.EVDES(H85,$B$1))</f>
        <v>#NAME?</v>
      </c>
      <c r="O85" s="30"/>
      <c r="P85" s="30"/>
      <c r="Q85" s="30"/>
      <c r="R85" s="30"/>
      <c r="S85" s="30"/>
      <c r="T85" s="30"/>
      <c r="U85" s="30"/>
      <c r="V85" s="30"/>
      <c r="W85" s="30"/>
      <c r="X85" s="30"/>
      <c r="Y85" s="30"/>
      <c r="Z85" s="30"/>
      <c r="AA85" s="30" t="e">
        <f ca="1">IF($I85="B1","",SUM(O85:Z85))</f>
        <v>#NAME?</v>
      </c>
      <c r="AB85" s="31" t="e">
        <f ca="1">IF(AA85=0,"",IFERROR(AA85/AA$19,""))</f>
        <v>#NAME?</v>
      </c>
      <c r="AD85" s="30"/>
      <c r="AE85" s="31" t="str">
        <f>IF(AD85=0,"",IFERROR(AD85/AD$19,""))</f>
        <v/>
      </c>
      <c r="AF85" s="49" t="e">
        <f ca="1">IF(AND($AA85="",AD85=""),"",$AA85-AD85)</f>
        <v>#NAME?</v>
      </c>
      <c r="AG85" s="30"/>
      <c r="AH85" s="31" t="str">
        <f>IF(AG85=0,"",IFERROR(AG85/AG$19,""))</f>
        <v/>
      </c>
      <c r="AI85" s="49" t="e">
        <f ca="1">IF(AND($AA85="",AG85=""),"",$AA85-AG85)</f>
        <v>#NAME?</v>
      </c>
      <c r="AJ85" s="416">
        <f ca="1">IFERROR(AA85/AA$20,0)</f>
        <v>0</v>
      </c>
      <c r="AK85" s="417">
        <f ca="1">IFERROR(AD85/AD$20,0)</f>
        <v>0</v>
      </c>
      <c r="AL85" s="418">
        <f ca="1">IFERROR(AG85/AG$20,0)</f>
        <v>0</v>
      </c>
      <c r="AM85" s="419">
        <f ca="1">+IFERROR(ROUND(($AB85-AE85)*100,2)&amp;" pts.",0)</f>
        <v>0</v>
      </c>
      <c r="AN85" s="420">
        <f ca="1">+IFERROR(ROUND(($AB85-AH85)*100,2)&amp;" pts.",0)</f>
        <v>0</v>
      </c>
    </row>
    <row r="86" spans="1:40" x14ac:dyDescent="0.2">
      <c r="A86" s="6" t="s">
        <v>5</v>
      </c>
      <c r="B86" s="7"/>
    </row>
    <row r="87" spans="1:40" x14ac:dyDescent="0.2">
      <c r="A87" s="6" t="s">
        <v>6</v>
      </c>
      <c r="B87" s="7"/>
      <c r="H87" s="10" t="s">
        <v>80</v>
      </c>
      <c r="I87" s="25" t="e">
        <f ca="1">_xll.EVPRO($B$1,$H87,"STYLE")</f>
        <v>#NAME?</v>
      </c>
      <c r="J87" s="25" t="e">
        <f ca="1">_xll.EVPRO($B$1,$H87,"CALC")</f>
        <v>#NAME?</v>
      </c>
      <c r="K87" s="23"/>
      <c r="L87" s="23"/>
      <c r="M87" s="23"/>
      <c r="N87" s="23" t="e">
        <f ca="1">IF(_xll.EVDES(H87,$B$1)="#NODATA","",_xll.EVDES(H87,$B$1))</f>
        <v>#NAME?</v>
      </c>
      <c r="O87" s="33"/>
      <c r="P87" s="33"/>
      <c r="Q87" s="33"/>
      <c r="R87" s="33"/>
      <c r="S87" s="33"/>
      <c r="T87" s="33"/>
      <c r="U87" s="33"/>
      <c r="V87" s="33"/>
      <c r="W87" s="33"/>
      <c r="X87" s="33"/>
      <c r="Y87" s="33"/>
      <c r="Z87" s="33"/>
      <c r="AA87" s="33" t="e">
        <f ca="1">IF($I87="B1","",SUM(O87:Z87))</f>
        <v>#NAME?</v>
      </c>
      <c r="AB87" s="34" t="e">
        <f ca="1">IF(AA87=0,"",IFERROR(AA87/AA$19,""))</f>
        <v>#NAME?</v>
      </c>
      <c r="AD87" s="33"/>
      <c r="AE87" s="34" t="str">
        <f>IF(AD87=0,"",IFERROR(AD87/AD$19,""))</f>
        <v/>
      </c>
      <c r="AF87" s="55" t="e">
        <f ca="1">IF(AND($AA87="",AD87=""),"",$AA87-AD87)</f>
        <v>#NAME?</v>
      </c>
      <c r="AG87" s="56"/>
      <c r="AH87" s="57" t="str">
        <f>IF(AG87=0,"",IFERROR(AG87/AG$19,""))</f>
        <v/>
      </c>
      <c r="AI87" s="55" t="e">
        <f ca="1">IF(AND($AA87="",AG87=""),"",$AA87-AG87)</f>
        <v>#NAME?</v>
      </c>
      <c r="AJ87" s="344">
        <f ca="1">IFERROR(AA87/AA$20,0)</f>
        <v>0</v>
      </c>
      <c r="AK87" s="345">
        <f ca="1">IFERROR(AD87/AD$20,0)</f>
        <v>0</v>
      </c>
      <c r="AL87" s="347">
        <f ca="1">IFERROR(AG87/AG$20,0)</f>
        <v>0</v>
      </c>
      <c r="AM87" s="379">
        <f ca="1">+IFERROR(ROUND(($AB87-AE87)*100,2)&amp;" pts.",0)</f>
        <v>0</v>
      </c>
      <c r="AN87" s="380">
        <f ca="1">+IFERROR(ROUND(($AB87-AH87)*100,2)&amp;" pts.",0)</f>
        <v>0</v>
      </c>
    </row>
    <row r="88" spans="1:40" ht="16" thickBot="1" x14ac:dyDescent="0.25">
      <c r="A88" s="6" t="s">
        <v>7</v>
      </c>
      <c r="B88" s="7" t="e">
        <f ca="1">_xll.EVRNG(A102:F108)</f>
        <v>#NAME?</v>
      </c>
      <c r="H88" s="10" t="s">
        <v>81</v>
      </c>
      <c r="I88" s="25" t="e">
        <f ca="1">_xll.EVPRO($B$1,$H88,"STYLE")</f>
        <v>#NAME?</v>
      </c>
      <c r="J88" s="25" t="e">
        <f ca="1">_xll.EVPRO($B$1,$H88,"CALC")</f>
        <v>#NAME?</v>
      </c>
      <c r="K88" s="23"/>
      <c r="L88" s="23"/>
      <c r="M88" s="23"/>
      <c r="N88" s="23" t="e">
        <f ca="1">IF(_xll.EVDES(H88,$B$1)="#NODATA","",_xll.EVDES(H88,$B$1))</f>
        <v>#NAME?</v>
      </c>
      <c r="O88" s="58"/>
      <c r="P88" s="58"/>
      <c r="Q88" s="58"/>
      <c r="R88" s="58"/>
      <c r="S88" s="58"/>
      <c r="T88" s="58"/>
      <c r="U88" s="58"/>
      <c r="V88" s="58"/>
      <c r="W88" s="58"/>
      <c r="X88" s="58"/>
      <c r="Y88" s="58"/>
      <c r="Z88" s="58"/>
      <c r="AA88" s="58" t="e">
        <f ca="1">IF($I88="B1","",SUM(O88:Z88))</f>
        <v>#NAME?</v>
      </c>
      <c r="AB88" s="59" t="e">
        <f ca="1">IF(AA88=0,"",IFERROR(AA88/AA$19,""))</f>
        <v>#NAME?</v>
      </c>
      <c r="AD88" s="58"/>
      <c r="AE88" s="59" t="str">
        <f>IF(AD88=0,"",IFERROR(AD88/AD$19,""))</f>
        <v/>
      </c>
      <c r="AF88" s="60" t="e">
        <f ca="1">IF(AND($AA88="",AD88=""),"",$AA88-AD88)</f>
        <v>#NAME?</v>
      </c>
      <c r="AG88" s="58"/>
      <c r="AH88" s="59" t="str">
        <f>IF(AG88=0,"",IFERROR(AG88/AG$19,""))</f>
        <v/>
      </c>
      <c r="AI88" s="60" t="e">
        <f ca="1">IF(AND($AA88="",AG88=""),"",$AA88-AG88)</f>
        <v>#NAME?</v>
      </c>
      <c r="AJ88" s="402">
        <f ca="1">IFERROR(AA88/AA$20,0)</f>
        <v>0</v>
      </c>
      <c r="AK88" s="403">
        <f ca="1">IFERROR(AD88/AD$20,0)</f>
        <v>0</v>
      </c>
      <c r="AL88" s="404">
        <f ca="1">IFERROR(AG88/AG$20,0)</f>
        <v>0</v>
      </c>
      <c r="AM88" s="405">
        <f ca="1">+IFERROR(ROUND(($AB88-AE88)*100,2)&amp;" pts.",0)</f>
        <v>0</v>
      </c>
      <c r="AN88" s="410">
        <f ca="1">+IFERROR(ROUND(($AB88-AH88)*100,2)&amp;" pts.",0)</f>
        <v>0</v>
      </c>
    </row>
    <row r="89" spans="1:40" ht="16" thickTop="1" x14ac:dyDescent="0.2">
      <c r="A89" s="6" t="s">
        <v>47</v>
      </c>
      <c r="B89" s="7" t="e">
        <f ca="1">_xll.EVRNG($A$125:$B$146)</f>
        <v>#NAME?</v>
      </c>
    </row>
    <row r="90" spans="1:40" x14ac:dyDescent="0.2">
      <c r="A90" s="6" t="s">
        <v>8</v>
      </c>
      <c r="B90" s="7"/>
      <c r="N90" s="24" t="e">
        <f ca="1">N87&amp;" - Check"</f>
        <v>#NAME?</v>
      </c>
      <c r="O90" s="124">
        <f t="shared" ref="O90:AA90" si="23">SUMIF($H$35:$H$88,"600000",O$35:O$88)+SUMIF($H$35:$H$88,"700000",O$35:O$88)-SUMIF($H$35:$H$88,"TOTDEPTEXP",O$35:O$88)</f>
        <v>0</v>
      </c>
      <c r="P90" s="124">
        <f t="shared" si="23"/>
        <v>0</v>
      </c>
      <c r="Q90" s="124">
        <f t="shared" si="23"/>
        <v>0</v>
      </c>
      <c r="R90" s="124">
        <f t="shared" si="23"/>
        <v>0</v>
      </c>
      <c r="S90" s="124">
        <f t="shared" si="23"/>
        <v>0</v>
      </c>
      <c r="T90" s="124">
        <f t="shared" si="23"/>
        <v>0</v>
      </c>
      <c r="U90" s="124">
        <f t="shared" si="23"/>
        <v>0</v>
      </c>
      <c r="V90" s="124">
        <f t="shared" si="23"/>
        <v>0</v>
      </c>
      <c r="W90" s="124">
        <f t="shared" si="23"/>
        <v>0</v>
      </c>
      <c r="X90" s="124">
        <f t="shared" si="23"/>
        <v>0</v>
      </c>
      <c r="Y90" s="124">
        <f t="shared" si="23"/>
        <v>0</v>
      </c>
      <c r="Z90" s="124">
        <f t="shared" si="23"/>
        <v>0</v>
      </c>
      <c r="AA90" s="124" t="e">
        <f t="shared" ca="1" si="23"/>
        <v>#NAME?</v>
      </c>
      <c r="AB90" s="15"/>
      <c r="AD90" s="124">
        <f>SUMIF($H$35:$H$88,"600000",AD$35:AD$88)+SUMIF($H$35:$H$88,"700000",AD$35:AD$88)-SUMIF($H$35:$H$88,"TOTDEPTEXP",AD$35:AD$88)</f>
        <v>0</v>
      </c>
      <c r="AE90" s="15"/>
      <c r="AF90" s="19"/>
      <c r="AG90" s="124">
        <f>SUMIF($H$35:$H$88,"600000",AG$35:AG$88)+SUMIF($H$35:$H$88,"700000",AG$35:AG$88)-SUMIF($H$35:$H$88,"TOTDEPTEXP",AG$35:AG$88)</f>
        <v>0</v>
      </c>
      <c r="AH90" s="15"/>
      <c r="AI90" s="19"/>
    </row>
    <row r="91" spans="1:40" x14ac:dyDescent="0.2">
      <c r="G91" s="13"/>
      <c r="N91" s="24" t="e">
        <f ca="1">N88&amp;" - Check"</f>
        <v>#NAME?</v>
      </c>
      <c r="O91" s="124">
        <f t="shared" ref="O91:AA91" si="24">SUMIF($H$35:$H$88,"KPI_GP",O$35:O$88)-SUMIF($H$35:$H$88,"TOTDEPTEXP",O$35:O$88)-SUMIF($H$35:$H$88,"TOTDEPTPL",O$35:O$88)</f>
        <v>0</v>
      </c>
      <c r="P91" s="124">
        <f t="shared" si="24"/>
        <v>0</v>
      </c>
      <c r="Q91" s="124">
        <f t="shared" si="24"/>
        <v>0</v>
      </c>
      <c r="R91" s="124">
        <f t="shared" si="24"/>
        <v>0</v>
      </c>
      <c r="S91" s="124">
        <f t="shared" si="24"/>
        <v>0</v>
      </c>
      <c r="T91" s="124">
        <f t="shared" si="24"/>
        <v>0</v>
      </c>
      <c r="U91" s="124">
        <f t="shared" si="24"/>
        <v>0</v>
      </c>
      <c r="V91" s="124">
        <f t="shared" si="24"/>
        <v>0</v>
      </c>
      <c r="W91" s="124">
        <f t="shared" si="24"/>
        <v>0</v>
      </c>
      <c r="X91" s="124">
        <f t="shared" si="24"/>
        <v>0</v>
      </c>
      <c r="Y91" s="124">
        <f t="shared" si="24"/>
        <v>0</v>
      </c>
      <c r="Z91" s="124">
        <f t="shared" si="24"/>
        <v>0</v>
      </c>
      <c r="AA91" s="124" t="e">
        <f t="shared" ca="1" si="24"/>
        <v>#NAME?</v>
      </c>
      <c r="AB91" s="15"/>
      <c r="AD91" s="124">
        <f>SUMIF($H$35:$H$88,"KPI_GP",AD$35:AD$88)-SUMIF($H$35:$H$88,"TOTDEPTEXP",AD$35:AD$88)-SUMIF($H$35:$H$88,"TOTDEPTPL",AD$35:AD$88)</f>
        <v>0</v>
      </c>
      <c r="AE91" s="15"/>
      <c r="AF91" s="19"/>
      <c r="AG91" s="124">
        <f>SUMIF($H$35:$H$88,"KPI_GP",AG$35:AG$88)-SUMIF($H$35:$H$88,"TOTDEPTEXP",AG$35:AG$88)-SUMIF($H$35:$H$88,"TOTDEPTPL",AG$35:AG$88)</f>
        <v>0</v>
      </c>
      <c r="AH91" s="15"/>
      <c r="AI91" s="19"/>
    </row>
    <row r="92" spans="1:40" x14ac:dyDescent="0.2">
      <c r="A92" s="3" t="s">
        <v>9</v>
      </c>
      <c r="B92" s="5" t="s">
        <v>10</v>
      </c>
    </row>
    <row r="93" spans="1:40" x14ac:dyDescent="0.2">
      <c r="A93" s="6" t="s">
        <v>11</v>
      </c>
      <c r="B93" s="7" t="s">
        <v>21</v>
      </c>
      <c r="O93" s="147"/>
      <c r="P93" s="147"/>
      <c r="Q93" s="147"/>
      <c r="R93" s="147"/>
      <c r="S93" s="147"/>
      <c r="T93" s="147"/>
      <c r="U93" s="147"/>
      <c r="V93" s="147"/>
      <c r="W93" s="147"/>
      <c r="X93" s="147"/>
      <c r="Y93" s="147"/>
      <c r="Z93" s="147"/>
      <c r="AA93" s="147"/>
      <c r="AD93" s="147"/>
      <c r="AG93" s="147"/>
    </row>
    <row r="94" spans="1:40" x14ac:dyDescent="0.2">
      <c r="A94" s="6" t="s">
        <v>12</v>
      </c>
      <c r="B94" s="7" t="s">
        <v>22</v>
      </c>
    </row>
    <row r="95" spans="1:40" x14ac:dyDescent="0.2">
      <c r="A95" s="6" t="s">
        <v>13</v>
      </c>
      <c r="B95" s="7" t="s">
        <v>737</v>
      </c>
      <c r="O95" s="147"/>
      <c r="P95" s="147"/>
      <c r="Q95" s="147"/>
      <c r="R95" s="147"/>
      <c r="S95" s="147"/>
      <c r="T95" s="147"/>
      <c r="U95" s="147"/>
      <c r="V95" s="147"/>
      <c r="W95" s="147"/>
      <c r="X95" s="147"/>
      <c r="Y95" s="147"/>
      <c r="Z95" s="147"/>
      <c r="AA95" s="147"/>
      <c r="AD95" s="147"/>
      <c r="AG95" s="147"/>
    </row>
    <row r="96" spans="1:40" x14ac:dyDescent="0.2">
      <c r="A96" s="6" t="s">
        <v>14</v>
      </c>
      <c r="B96" s="7"/>
    </row>
    <row r="97" spans="1:10" x14ac:dyDescent="0.2">
      <c r="A97" s="6" t="s">
        <v>15</v>
      </c>
      <c r="B97" s="7"/>
    </row>
    <row r="98" spans="1:10" x14ac:dyDescent="0.2">
      <c r="A98" s="6" t="s">
        <v>16</v>
      </c>
      <c r="B98" s="7" t="s">
        <v>78</v>
      </c>
      <c r="H98" s="11"/>
      <c r="J98" s="1"/>
    </row>
    <row r="99" spans="1:10" x14ac:dyDescent="0.2">
      <c r="A99" s="6" t="s">
        <v>17</v>
      </c>
      <c r="B99" s="7"/>
      <c r="H99" s="11"/>
      <c r="J99" s="1"/>
    </row>
    <row r="100" spans="1:10" x14ac:dyDescent="0.2">
      <c r="H100" s="11"/>
      <c r="J100" s="1"/>
    </row>
    <row r="101" spans="1:10" x14ac:dyDescent="0.2">
      <c r="A101" s="20" t="s">
        <v>92</v>
      </c>
      <c r="B101" s="21" t="s">
        <v>93</v>
      </c>
      <c r="C101" s="21" t="s">
        <v>94</v>
      </c>
      <c r="D101" s="21" t="s">
        <v>95</v>
      </c>
      <c r="E101" s="21" t="s">
        <v>96</v>
      </c>
      <c r="F101" s="22" t="s">
        <v>97</v>
      </c>
      <c r="H101" s="11"/>
      <c r="J101" s="1"/>
    </row>
    <row r="102" spans="1:10" x14ac:dyDescent="0.2">
      <c r="H102" s="11"/>
      <c r="J102" s="1"/>
    </row>
    <row r="103" spans="1:10" x14ac:dyDescent="0.2">
      <c r="A103" s="1" t="s">
        <v>108</v>
      </c>
      <c r="C103" s="24" t="s">
        <v>101</v>
      </c>
      <c r="D103" s="1" t="s">
        <v>106</v>
      </c>
      <c r="F103" s="1" t="s">
        <v>98</v>
      </c>
      <c r="H103" s="11"/>
      <c r="J103" s="1"/>
    </row>
    <row r="104" spans="1:10" x14ac:dyDescent="0.2">
      <c r="A104" s="1" t="s">
        <v>100</v>
      </c>
      <c r="C104" s="8" t="s">
        <v>101</v>
      </c>
      <c r="D104" s="1" t="s">
        <v>106</v>
      </c>
      <c r="F104" s="1" t="s">
        <v>98</v>
      </c>
      <c r="H104" s="11"/>
      <c r="J104" s="1"/>
    </row>
    <row r="105" spans="1:10" x14ac:dyDescent="0.2">
      <c r="A105" s="1" t="s">
        <v>109</v>
      </c>
      <c r="C105" s="23" t="s">
        <v>101</v>
      </c>
      <c r="D105" s="1" t="s">
        <v>106</v>
      </c>
      <c r="F105" s="1" t="s">
        <v>98</v>
      </c>
      <c r="G105" s="13"/>
      <c r="H105" s="11"/>
      <c r="J105" s="1"/>
    </row>
    <row r="106" spans="1:10" x14ac:dyDescent="0.2">
      <c r="A106" s="1" t="s">
        <v>109</v>
      </c>
      <c r="C106" s="135" t="s">
        <v>101</v>
      </c>
      <c r="D106" s="1" t="s">
        <v>107</v>
      </c>
      <c r="F106" s="1" t="s">
        <v>99</v>
      </c>
      <c r="H106" s="11"/>
      <c r="J106" s="1"/>
    </row>
    <row r="107" spans="1:10" x14ac:dyDescent="0.2">
      <c r="A107" s="1" t="s">
        <v>110</v>
      </c>
      <c r="C107" s="23" t="s">
        <v>101</v>
      </c>
      <c r="D107" s="1" t="s">
        <v>106</v>
      </c>
      <c r="F107" s="1" t="s">
        <v>98</v>
      </c>
      <c r="H107" s="11"/>
      <c r="J107" s="1"/>
    </row>
    <row r="108" spans="1:10" x14ac:dyDescent="0.2">
      <c r="A108" s="1" t="s">
        <v>110</v>
      </c>
      <c r="C108" s="27" t="s">
        <v>101</v>
      </c>
      <c r="D108" s="1" t="s">
        <v>107</v>
      </c>
      <c r="F108" s="1" t="s">
        <v>99</v>
      </c>
      <c r="H108" s="11"/>
      <c r="J108" s="1"/>
    </row>
    <row r="109" spans="1:10" x14ac:dyDescent="0.2">
      <c r="C109" s="23"/>
      <c r="H109" s="11"/>
      <c r="J109" s="1"/>
    </row>
    <row r="110" spans="1:10" x14ac:dyDescent="0.2">
      <c r="H110" s="11"/>
      <c r="J110" s="1"/>
    </row>
    <row r="111" spans="1:10" x14ac:dyDescent="0.2">
      <c r="A111" s="4" t="e">
        <f ca="1">_xll.EVDRE($B$1,A114:B121)</f>
        <v>#NAME?</v>
      </c>
      <c r="B111" s="1" t="s">
        <v>736</v>
      </c>
      <c r="G111" s="13"/>
      <c r="H111" s="11"/>
      <c r="J111" s="1"/>
    </row>
    <row r="112" spans="1:10" x14ac:dyDescent="0.2">
      <c r="H112" s="11"/>
      <c r="J112" s="1"/>
    </row>
    <row r="113" spans="1:10" x14ac:dyDescent="0.2">
      <c r="A113" s="3" t="s">
        <v>0</v>
      </c>
      <c r="B113" s="5" t="s">
        <v>1</v>
      </c>
      <c r="H113" s="11"/>
      <c r="J113" s="1"/>
    </row>
    <row r="114" spans="1:10" x14ac:dyDescent="0.2">
      <c r="A114" s="6" t="s">
        <v>2</v>
      </c>
      <c r="B114" s="7" t="e">
        <f ca="1">_xll.EVRNG($B$2:$B$10)</f>
        <v>#NAME?</v>
      </c>
      <c r="H114" s="11"/>
      <c r="J114" s="1"/>
    </row>
    <row r="115" spans="1:10" x14ac:dyDescent="0.2">
      <c r="A115" s="6" t="s">
        <v>3</v>
      </c>
      <c r="B115" s="7" t="e">
        <f ca="1">_xll.EVRNG($O$16:$AN$18)</f>
        <v>#NAME?</v>
      </c>
      <c r="H115" s="11"/>
      <c r="J115" s="1"/>
    </row>
    <row r="116" spans="1:10" x14ac:dyDescent="0.2">
      <c r="A116" s="6" t="s">
        <v>4</v>
      </c>
      <c r="B116" s="7" t="e">
        <f ca="1">_xll.EVRNG(H85:H88)</f>
        <v>#NAME?</v>
      </c>
      <c r="H116" s="11"/>
      <c r="J116" s="1"/>
    </row>
    <row r="117" spans="1:10" x14ac:dyDescent="0.2">
      <c r="A117" s="6" t="s">
        <v>5</v>
      </c>
      <c r="B117" s="7"/>
      <c r="H117" s="11"/>
      <c r="J117" s="1"/>
    </row>
    <row r="118" spans="1:10" x14ac:dyDescent="0.2">
      <c r="A118" s="6" t="s">
        <v>6</v>
      </c>
      <c r="B118" s="7"/>
      <c r="H118" s="11"/>
      <c r="J118" s="1"/>
    </row>
    <row r="119" spans="1:10" x14ac:dyDescent="0.2">
      <c r="A119" s="6" t="s">
        <v>7</v>
      </c>
      <c r="B119" s="7"/>
      <c r="H119" s="11"/>
      <c r="J119" s="1"/>
    </row>
    <row r="120" spans="1:10" x14ac:dyDescent="0.2">
      <c r="A120" s="6" t="s">
        <v>47</v>
      </c>
      <c r="B120" s="7" t="e">
        <f ca="1">_xll.EVRNG($A$125:$B$146)</f>
        <v>#NAME?</v>
      </c>
      <c r="H120" s="11"/>
      <c r="J120" s="1"/>
    </row>
    <row r="121" spans="1:10" x14ac:dyDescent="0.2">
      <c r="A121" s="6" t="s">
        <v>8</v>
      </c>
      <c r="B121" s="7"/>
    </row>
    <row r="124" spans="1:10" x14ac:dyDescent="0.2">
      <c r="A124" s="3" t="s">
        <v>23</v>
      </c>
      <c r="B124" s="5" t="s">
        <v>24</v>
      </c>
    </row>
    <row r="125" spans="1:10" x14ac:dyDescent="0.2">
      <c r="A125" s="6" t="s">
        <v>25</v>
      </c>
      <c r="B125" s="7"/>
    </row>
    <row r="126" spans="1:10" x14ac:dyDescent="0.2">
      <c r="A126" s="6" t="s">
        <v>26</v>
      </c>
      <c r="B126" s="7"/>
    </row>
    <row r="127" spans="1:10" x14ac:dyDescent="0.2">
      <c r="A127" s="6" t="s">
        <v>27</v>
      </c>
      <c r="B127" s="7"/>
    </row>
    <row r="128" spans="1:10" x14ac:dyDescent="0.2">
      <c r="A128" s="6" t="s">
        <v>28</v>
      </c>
      <c r="B128" s="7"/>
    </row>
    <row r="129" spans="1:2" x14ac:dyDescent="0.2">
      <c r="A129" s="6" t="s">
        <v>29</v>
      </c>
      <c r="B129" s="7"/>
    </row>
    <row r="130" spans="1:2" x14ac:dyDescent="0.2">
      <c r="A130" s="6" t="s">
        <v>30</v>
      </c>
      <c r="B130" s="7" t="s">
        <v>78</v>
      </c>
    </row>
    <row r="131" spans="1:2" x14ac:dyDescent="0.2">
      <c r="A131" s="6" t="s">
        <v>31</v>
      </c>
      <c r="B131" s="7" t="s">
        <v>78</v>
      </c>
    </row>
    <row r="132" spans="1:2" x14ac:dyDescent="0.2">
      <c r="A132" s="6" t="s">
        <v>32</v>
      </c>
      <c r="B132" s="7"/>
    </row>
    <row r="133" spans="1:2" x14ac:dyDescent="0.2">
      <c r="A133" s="6" t="s">
        <v>33</v>
      </c>
      <c r="B133" s="7"/>
    </row>
    <row r="134" spans="1:2" x14ac:dyDescent="0.2">
      <c r="A134" s="6" t="s">
        <v>34</v>
      </c>
      <c r="B134" s="7"/>
    </row>
    <row r="135" spans="1:2" x14ac:dyDescent="0.2">
      <c r="A135" s="6" t="s">
        <v>35</v>
      </c>
      <c r="B135" s="7"/>
    </row>
    <row r="136" spans="1:2" x14ac:dyDescent="0.2">
      <c r="A136" s="6" t="s">
        <v>36</v>
      </c>
      <c r="B136" s="7"/>
    </row>
    <row r="137" spans="1:2" x14ac:dyDescent="0.2">
      <c r="A137" s="6" t="s">
        <v>37</v>
      </c>
      <c r="B137" s="7"/>
    </row>
    <row r="138" spans="1:2" x14ac:dyDescent="0.2">
      <c r="A138" s="6" t="s">
        <v>38</v>
      </c>
      <c r="B138" s="7"/>
    </row>
    <row r="139" spans="1:2" x14ac:dyDescent="0.2">
      <c r="A139" s="6" t="s">
        <v>39</v>
      </c>
      <c r="B139" s="7"/>
    </row>
    <row r="140" spans="1:2" x14ac:dyDescent="0.2">
      <c r="A140" s="6" t="s">
        <v>40</v>
      </c>
      <c r="B140" s="7"/>
    </row>
    <row r="141" spans="1:2" x14ac:dyDescent="0.2">
      <c r="A141" s="6" t="s">
        <v>41</v>
      </c>
      <c r="B141" s="7"/>
    </row>
    <row r="142" spans="1:2" x14ac:dyDescent="0.2">
      <c r="A142" s="6" t="s">
        <v>42</v>
      </c>
      <c r="B142" s="7"/>
    </row>
    <row r="143" spans="1:2" x14ac:dyDescent="0.2">
      <c r="A143" s="6" t="s">
        <v>43</v>
      </c>
      <c r="B143" s="7"/>
    </row>
    <row r="144" spans="1:2" x14ac:dyDescent="0.2">
      <c r="A144" s="6" t="s">
        <v>44</v>
      </c>
      <c r="B144" s="7"/>
    </row>
    <row r="145" spans="1:2" x14ac:dyDescent="0.2">
      <c r="A145" s="6" t="s">
        <v>45</v>
      </c>
      <c r="B145" s="7"/>
    </row>
    <row r="146" spans="1:2" x14ac:dyDescent="0.2">
      <c r="A146" s="6" t="s">
        <v>46</v>
      </c>
      <c r="B146" s="7"/>
    </row>
    <row r="161" spans="5:34" x14ac:dyDescent="0.2">
      <c r="I161" s="72"/>
      <c r="J161" s="1"/>
      <c r="K161" s="72"/>
      <c r="L161" s="72"/>
      <c r="M161" s="72"/>
      <c r="O161" s="72"/>
      <c r="P161" s="72"/>
      <c r="Q161" s="72"/>
      <c r="R161" s="72"/>
      <c r="S161" s="72"/>
      <c r="T161" s="72"/>
      <c r="U161" s="72"/>
      <c r="V161" s="72"/>
      <c r="W161" s="72"/>
      <c r="X161" s="72"/>
      <c r="Y161" s="72"/>
      <c r="Z161" s="72"/>
      <c r="AA161" s="72"/>
      <c r="AD161" s="72"/>
      <c r="AF161" s="72"/>
      <c r="AH161" s="72"/>
    </row>
    <row r="163" spans="5:34" x14ac:dyDescent="0.2">
      <c r="E163" s="72"/>
    </row>
    <row r="165" spans="5:34" x14ac:dyDescent="0.2">
      <c r="I165" s="72"/>
      <c r="J165" s="1"/>
      <c r="K165" s="72"/>
      <c r="L165" s="72"/>
      <c r="M165" s="72"/>
      <c r="O165" s="72"/>
      <c r="P165" s="72"/>
      <c r="Q165" s="72"/>
      <c r="R165" s="72"/>
      <c r="S165" s="72"/>
      <c r="T165" s="72"/>
      <c r="U165" s="72"/>
      <c r="V165" s="72"/>
      <c r="W165" s="72"/>
      <c r="X165" s="72"/>
      <c r="Y165" s="72"/>
      <c r="Z165" s="72"/>
      <c r="AA165" s="72"/>
      <c r="AD165" s="72"/>
      <c r="AF165" s="72"/>
      <c r="AH165" s="72"/>
    </row>
    <row r="167" spans="5:34" x14ac:dyDescent="0.2">
      <c r="E167" s="72"/>
    </row>
    <row r="190" spans="7:7" x14ac:dyDescent="0.2">
      <c r="G190" s="72"/>
    </row>
    <row r="194" spans="7:7" x14ac:dyDescent="0.2">
      <c r="G194" s="72"/>
    </row>
  </sheetData>
  <mergeCells count="2">
    <mergeCell ref="AD31:AE31"/>
    <mergeCell ref="AG31:AH31"/>
  </mergeCells>
  <dataValidations count="2">
    <dataValidation type="list" allowBlank="1" sqref="B29 B95 B62" xr:uid="{00000000-0002-0000-1600-000000000000}">
      <formula1>"SELF,ALL,BAS,DEP,BASMEMBERS,MEMBERS,NOEXPAND,GDEP"</formula1>
    </dataValidation>
    <dataValidation type="list" allowBlank="1" sqref="B28 B94 B61" xr:uid="{00000000-0002-0000-16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7">
    <tabColor theme="6" tint="0.39997558519241921"/>
    <pageSetUpPr fitToPage="1"/>
  </sheetPr>
  <dimension ref="A1:AI211"/>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8"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16384" width="9.1640625" style="1"/>
  </cols>
  <sheetData>
    <row r="1" spans="1:35" hidden="1" outlineLevel="1" x14ac:dyDescent="0.2">
      <c r="A1" s="8" t="s">
        <v>48</v>
      </c>
      <c r="B1" s="2" t="s">
        <v>49</v>
      </c>
      <c r="C1" s="8" t="e">
        <f ca="1">_xll.EVAPD($B$1)</f>
        <v>#NAME?</v>
      </c>
      <c r="I1" s="1"/>
      <c r="J1" s="1"/>
      <c r="N1" s="16" t="e">
        <f ca="1">'gfsa23AWLUasHo3IHBY55w=='!N1</f>
        <v>#NAME?</v>
      </c>
      <c r="O1" s="1" t="s">
        <v>731</v>
      </c>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732</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35"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35" hidden="1" outlineLevel="1" x14ac:dyDescent="0.2">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2" t="e">
        <f ca="1">AA11</f>
        <v>#NAME?</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35" hidden="1" outlineLevel="1" x14ac:dyDescent="0.2">
      <c r="A19" s="6" t="s">
        <v>4</v>
      </c>
      <c r="B19" s="7" t="e">
        <f ca="1">_xll.EVRNG(H35:H146)</f>
        <v>#NAME?</v>
      </c>
      <c r="G19" s="16" t="str">
        <f>$B$6</f>
        <v>D2142</v>
      </c>
      <c r="H19" s="16" t="s">
        <v>273</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35" hidden="1" outlineLevel="1" x14ac:dyDescent="0.2">
      <c r="A20" s="6" t="s">
        <v>5</v>
      </c>
      <c r="B20" s="7"/>
      <c r="G20" s="16" t="str">
        <f>$B$6</f>
        <v>D2142</v>
      </c>
      <c r="H20" s="16">
        <v>946000</v>
      </c>
      <c r="I20" s="17"/>
      <c r="J20" s="17"/>
      <c r="K20" s="16"/>
      <c r="L20" s="16"/>
      <c r="M20" s="16"/>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35" hidden="1" outlineLevel="1" x14ac:dyDescent="0.2">
      <c r="A21" s="6" t="s">
        <v>6</v>
      </c>
      <c r="B21" s="7"/>
      <c r="I21" s="1"/>
      <c r="J21" s="1"/>
    </row>
    <row r="22" spans="1:35" hidden="1" outlineLevel="1" x14ac:dyDescent="0.2">
      <c r="A22" s="6" t="s">
        <v>7</v>
      </c>
      <c r="B22" s="7"/>
      <c r="I22" s="1"/>
      <c r="J22" s="1"/>
    </row>
    <row r="23" spans="1:35" hidden="1" outlineLevel="1" x14ac:dyDescent="0.2">
      <c r="A23" s="6" t="s">
        <v>47</v>
      </c>
      <c r="B23" s="7" t="e">
        <f ca="1">_xll.EVRNG($A$37:$B$58)</f>
        <v>#NAME?</v>
      </c>
      <c r="K23" s="53"/>
      <c r="L23" s="53"/>
      <c r="M23" s="53"/>
      <c r="AD23" s="136"/>
    </row>
    <row r="24" spans="1:35" hidden="1" outlineLevel="1" x14ac:dyDescent="0.2">
      <c r="A24" s="6" t="s">
        <v>8</v>
      </c>
      <c r="B24" s="7"/>
    </row>
    <row r="25" spans="1:35" collapsed="1" x14ac:dyDescent="0.2"/>
    <row r="26" spans="1:35" ht="23" x14ac:dyDescent="0.25">
      <c r="A26" s="3" t="s">
        <v>9</v>
      </c>
      <c r="B26" s="5" t="s">
        <v>10</v>
      </c>
      <c r="N26" s="61" t="e">
        <f ca="1">IF(_xll.EVDES(B3,$B$1)="#NODATA","",_xll.EVDES(B3,$B$1))</f>
        <v>#NAME?</v>
      </c>
    </row>
    <row r="27" spans="1:35" ht="18" x14ac:dyDescent="0.2">
      <c r="A27" s="6" t="s">
        <v>11</v>
      </c>
      <c r="B27" s="7" t="s">
        <v>21</v>
      </c>
      <c r="N27" s="66" t="e">
        <f ca="1">IF($N$1="",IF(_xll.EVDES(B6,$B$1)="#NODATA","",_xll.EVDES(B6,$B$1)&amp;" Department"),$N$1)</f>
        <v>#NAME?</v>
      </c>
    </row>
    <row r="28" spans="1:35" ht="16" x14ac:dyDescent="0.2">
      <c r="A28" s="6" t="s">
        <v>12</v>
      </c>
      <c r="B28" s="7" t="s">
        <v>22</v>
      </c>
      <c r="N28" s="67" t="e">
        <f ca="1">"For the Period ended"&amp;" "&amp;IF(_xll.EVDES($B$10,$B$1)="#NODATA","",_xll.EVDES($B$10,$B$1))</f>
        <v>#NAME?</v>
      </c>
    </row>
    <row r="29" spans="1:35" ht="15" customHeight="1" x14ac:dyDescent="0.2">
      <c r="A29" s="6" t="s">
        <v>13</v>
      </c>
      <c r="B29" s="7" t="s">
        <v>293</v>
      </c>
      <c r="N29" s="67" t="e">
        <f ca="1">_xll.EVDES(B9,B1)</f>
        <v>#NAME?</v>
      </c>
      <c r="O29" s="62" t="s">
        <v>344</v>
      </c>
      <c r="P29" s="62"/>
      <c r="Q29" s="62"/>
      <c r="R29" s="62"/>
      <c r="S29" s="62"/>
      <c r="T29" s="62"/>
      <c r="U29" s="62"/>
      <c r="V29" s="62"/>
      <c r="W29" s="62"/>
      <c r="X29" s="62"/>
      <c r="Y29" s="62"/>
      <c r="Z29" s="62"/>
      <c r="AA29" s="62"/>
    </row>
    <row r="30" spans="1:35"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row>
    <row r="31" spans="1:35" x14ac:dyDescent="0.2">
      <c r="A31" s="6" t="s">
        <v>15</v>
      </c>
      <c r="B31" s="7"/>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row>
    <row r="32" spans="1:35" s="232" customFormat="1" ht="30" customHeight="1" x14ac:dyDescent="0.2">
      <c r="A32" s="230" t="s">
        <v>16</v>
      </c>
      <c r="B32" s="231"/>
      <c r="E32" s="1"/>
      <c r="H32" s="233"/>
      <c r="I32" s="234"/>
      <c r="J32" s="234"/>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row>
    <row r="33" spans="1:35" ht="16" x14ac:dyDescent="0.2">
      <c r="A33" s="6" t="s">
        <v>17</v>
      </c>
      <c r="B33" s="7"/>
      <c r="N33" s="155" t="s">
        <v>330</v>
      </c>
      <c r="O33" s="38"/>
      <c r="P33" s="42"/>
      <c r="Q33" s="42"/>
      <c r="R33" s="42"/>
      <c r="S33" s="42"/>
      <c r="T33" s="42"/>
      <c r="U33" s="42"/>
      <c r="V33" s="42"/>
      <c r="W33" s="42"/>
      <c r="X33" s="42"/>
      <c r="Y33" s="42"/>
      <c r="Z33" s="42"/>
      <c r="AA33" s="42"/>
      <c r="AB33" s="39"/>
      <c r="AD33" s="38"/>
      <c r="AE33" s="42"/>
      <c r="AF33" s="39"/>
      <c r="AG33" s="38"/>
      <c r="AH33" s="42"/>
      <c r="AI33" s="39"/>
    </row>
    <row r="34" spans="1:35" x14ac:dyDescent="0.2">
      <c r="L34" s="175" t="s">
        <v>364</v>
      </c>
      <c r="M34" s="175" t="s">
        <v>782</v>
      </c>
      <c r="N34" s="8" t="s">
        <v>312</v>
      </c>
      <c r="O34" s="50"/>
      <c r="AB34" s="51"/>
      <c r="AD34" s="50"/>
      <c r="AF34" s="51"/>
      <c r="AG34" s="50"/>
      <c r="AI34" s="51"/>
    </row>
    <row r="35" spans="1:35" x14ac:dyDescent="0.2">
      <c r="H35" s="10" t="s">
        <v>260</v>
      </c>
      <c r="I35" s="25" t="e">
        <f ca="1">_xll.EVPRO($B$1,$H35,"STYLE")</f>
        <v>#NAME?</v>
      </c>
      <c r="J35" s="25" t="e">
        <f ca="1">_xll.EVPRO($B$1,$H35,"CALC")</f>
        <v>#NAME?</v>
      </c>
      <c r="K35" s="24"/>
      <c r="L35" s="24" t="e">
        <f ca="1">_xll.EVPRO($B$1,H35,"JDEID")</f>
        <v>#NAME?</v>
      </c>
      <c r="M35" s="24" t="e">
        <f ca="1">IF(AND(I35="N",J35="N"),_xll.EVPRO($B$1,H35,"PSFTID"),"")</f>
        <v>#NAME?</v>
      </c>
      <c r="N35" s="24" t="e">
        <f ca="1">IF(_xll.EVDES(H35,$B$1)="#NODATA","",_xll.EVDES(H35,$B$1))</f>
        <v>#NAME?</v>
      </c>
      <c r="O35" s="19"/>
      <c r="P35" s="19"/>
      <c r="Q35" s="19"/>
      <c r="R35" s="19"/>
      <c r="S35" s="19"/>
      <c r="T35" s="19"/>
      <c r="U35" s="19"/>
      <c r="V35" s="19"/>
      <c r="W35" s="19"/>
      <c r="X35" s="19"/>
      <c r="Y35" s="19"/>
      <c r="Z35" s="19"/>
      <c r="AA35" s="19">
        <f t="shared" ref="AA35:AA41" si="0">SUM(O35:Z35)</f>
        <v>0</v>
      </c>
      <c r="AB35" s="15" t="str">
        <f>IF(AA35=0,"",IFERROR(AA35/AA$19,""))</f>
        <v/>
      </c>
      <c r="AD35" s="19"/>
      <c r="AE35" s="15" t="str">
        <f>IF(AD35=0,"",IFERROR(AD35/AD$19,""))</f>
        <v/>
      </c>
      <c r="AF35" s="47">
        <f t="shared" ref="AF35:AF42" si="1">IF(AND($AA35="",AD35=""),"",$AA35-AD35)</f>
        <v>0</v>
      </c>
      <c r="AG35" s="19"/>
      <c r="AH35" s="15" t="str">
        <f>IF(AG35=0,"",IFERROR(AG35/AG$19,""))</f>
        <v/>
      </c>
      <c r="AI35" s="47">
        <f t="shared" ref="AI35:AI42" si="2">IF(AND($AA35="",AG35=""),"",$AA35-AG35)</f>
        <v>0</v>
      </c>
    </row>
    <row r="36" spans="1:35" x14ac:dyDescent="0.2">
      <c r="A36" s="3" t="s">
        <v>23</v>
      </c>
      <c r="B36" s="5" t="s">
        <v>24</v>
      </c>
      <c r="H36" s="10" t="s">
        <v>294</v>
      </c>
      <c r="I36" s="25" t="e">
        <f ca="1">_xll.EVPRO($B$1,$H36,"STYLE")</f>
        <v>#NAME?</v>
      </c>
      <c r="J36" s="25" t="e">
        <f ca="1">_xll.EVPRO($B$1,$H36,"CALC")</f>
        <v>#NAME?</v>
      </c>
      <c r="K36" s="24"/>
      <c r="L36" s="24" t="e">
        <f ca="1">_xll.EVPRO($B$1,H36,"JDEID")</f>
        <v>#NAME?</v>
      </c>
      <c r="M36" s="24" t="e">
        <f ca="1">IF(AND(I36="N",J36="N"),_xll.EVPRO($B$1,H36,"PSFTID"),"")</f>
        <v>#NAME?</v>
      </c>
      <c r="N36" s="24" t="e">
        <f ca="1">IF(_xll.EVDES(H36,$B$1)="#NODATA","",_xll.EVDES(H36,$B$1))</f>
        <v>#NAME?</v>
      </c>
      <c r="O36" s="19"/>
      <c r="P36" s="19"/>
      <c r="Q36" s="19"/>
      <c r="R36" s="19"/>
      <c r="S36" s="19"/>
      <c r="T36" s="19"/>
      <c r="U36" s="19"/>
      <c r="V36" s="19"/>
      <c r="W36" s="19"/>
      <c r="X36" s="19"/>
      <c r="Y36" s="19"/>
      <c r="Z36" s="19"/>
      <c r="AA36" s="19">
        <f t="shared" si="0"/>
        <v>0</v>
      </c>
      <c r="AB36" s="15" t="str">
        <f>IF(AA36=0,"",IFERROR(AA36/AA$19,""))</f>
        <v/>
      </c>
      <c r="AD36" s="19"/>
      <c r="AE36" s="15" t="str">
        <f>IF(AD36=0,"",IFERROR(AD36/AD$19,""))</f>
        <v/>
      </c>
      <c r="AF36" s="47">
        <f t="shared" si="1"/>
        <v>0</v>
      </c>
      <c r="AG36" s="19"/>
      <c r="AH36" s="15" t="str">
        <f t="shared" ref="AH36:AH79" si="3">IF(AG36=0,"",IFERROR(AG36/AG$19,""))</f>
        <v/>
      </c>
      <c r="AI36" s="47">
        <f t="shared" si="2"/>
        <v>0</v>
      </c>
    </row>
    <row r="37" spans="1:35" x14ac:dyDescent="0.2">
      <c r="A37" s="6" t="s">
        <v>25</v>
      </c>
      <c r="B37" s="7"/>
      <c r="H37" s="10" t="s">
        <v>295</v>
      </c>
      <c r="I37" s="25" t="e">
        <f ca="1">_xll.EVPRO($B$1,$H37,"STYLE")</f>
        <v>#NAME?</v>
      </c>
      <c r="J37" s="25" t="e">
        <f ca="1">_xll.EVPRO($B$1,$H37,"CALC")</f>
        <v>#NAME?</v>
      </c>
      <c r="K37" s="24"/>
      <c r="L37" s="24" t="e">
        <f ca="1">_xll.EVPRO($B$1,H37,"JDEID")</f>
        <v>#NAME?</v>
      </c>
      <c r="M37" s="24" t="e">
        <f ca="1">IF(AND(I37="N",J37="N"),_xll.EVPRO($B$1,H37,"PSFTID"),"")</f>
        <v>#NAME?</v>
      </c>
      <c r="N37" s="24" t="e">
        <f ca="1">IF(_xll.EVDES(H37,$B$1)="#NODATA","",_xll.EVDES(H37,$B$1))</f>
        <v>#NAME?</v>
      </c>
      <c r="O37" s="19"/>
      <c r="P37" s="19"/>
      <c r="Q37" s="19"/>
      <c r="R37" s="19"/>
      <c r="S37" s="19"/>
      <c r="T37" s="19"/>
      <c r="U37" s="19"/>
      <c r="V37" s="19"/>
      <c r="W37" s="19"/>
      <c r="X37" s="19"/>
      <c r="Y37" s="19"/>
      <c r="Z37" s="19"/>
      <c r="AA37" s="19">
        <f t="shared" si="0"/>
        <v>0</v>
      </c>
      <c r="AB37" s="15" t="str">
        <f>IF(AA37=0,"",IFERROR(AA37/AA$19,""))</f>
        <v/>
      </c>
      <c r="AD37" s="19"/>
      <c r="AE37" s="15" t="str">
        <f>IF(AD37=0,"",IFERROR(AD37/AD$19,""))</f>
        <v/>
      </c>
      <c r="AF37" s="47">
        <f t="shared" si="1"/>
        <v>0</v>
      </c>
      <c r="AG37" s="19"/>
      <c r="AH37" s="15" t="str">
        <f t="shared" si="3"/>
        <v/>
      </c>
      <c r="AI37" s="47">
        <f t="shared" si="2"/>
        <v>0</v>
      </c>
    </row>
    <row r="38" spans="1:35" x14ac:dyDescent="0.2">
      <c r="A38" s="6" t="s">
        <v>26</v>
      </c>
      <c r="B38" s="7"/>
      <c r="H38" s="10" t="s">
        <v>296</v>
      </c>
      <c r="I38" s="25" t="e">
        <f ca="1">_xll.EVPRO($B$1,$H38,"STYLE")</f>
        <v>#NAME?</v>
      </c>
      <c r="J38" s="25" t="e">
        <f ca="1">_xll.EVPRO($B$1,$H38,"CALC")</f>
        <v>#NAME?</v>
      </c>
      <c r="K38" s="24"/>
      <c r="L38" s="24" t="e">
        <f ca="1">_xll.EVPRO($B$1,H38,"JDEID")</f>
        <v>#NAME?</v>
      </c>
      <c r="M38" s="24" t="e">
        <f ca="1">IF(AND(I38="N",J38="N"),_xll.EVPRO($B$1,H38,"PSFTID"),"")</f>
        <v>#NAME?</v>
      </c>
      <c r="N38" s="24" t="e">
        <f ca="1">IF(_xll.EVDES(H38,$B$1)="#NODATA","",_xll.EVDES(H38,$B$1))</f>
        <v>#NAME?</v>
      </c>
      <c r="O38" s="28"/>
      <c r="P38" s="28"/>
      <c r="Q38" s="28"/>
      <c r="R38" s="28"/>
      <c r="S38" s="28"/>
      <c r="T38" s="28"/>
      <c r="U38" s="28"/>
      <c r="V38" s="28"/>
      <c r="W38" s="28"/>
      <c r="X38" s="28"/>
      <c r="Y38" s="28"/>
      <c r="Z38" s="28"/>
      <c r="AA38" s="28">
        <f t="shared" si="0"/>
        <v>0</v>
      </c>
      <c r="AB38" s="29" t="str">
        <f>IF(AA38=0,"",IFERROR(AA38/AA$19,""))</f>
        <v/>
      </c>
      <c r="AD38" s="28"/>
      <c r="AE38" s="29" t="str">
        <f>IF(AD38=0,"",IFERROR(AD38/AD$19,""))</f>
        <v/>
      </c>
      <c r="AF38" s="48">
        <f t="shared" si="1"/>
        <v>0</v>
      </c>
      <c r="AG38" s="28"/>
      <c r="AH38" s="29" t="str">
        <f t="shared" si="3"/>
        <v/>
      </c>
      <c r="AI38" s="48">
        <f t="shared" si="2"/>
        <v>0</v>
      </c>
    </row>
    <row r="39" spans="1:35" x14ac:dyDescent="0.2">
      <c r="A39" s="6" t="s">
        <v>27</v>
      </c>
      <c r="B39" s="7"/>
      <c r="H39" s="10" t="s">
        <v>318</v>
      </c>
      <c r="I39" s="25" t="e">
        <f ca="1">_xll.EVPRO($B$1,$H39,"STYLE")</f>
        <v>#NAME?</v>
      </c>
      <c r="J39" s="25" t="e">
        <f ca="1">_xll.EVPRO($B$1,$H39,"CALC")</f>
        <v>#NAME?</v>
      </c>
      <c r="K39" s="24"/>
      <c r="L39" s="24" t="e">
        <f ca="1">_xll.EVPRO($B$1,H39,"JDEID")</f>
        <v>#NAME?</v>
      </c>
      <c r="M39" s="24" t="e">
        <f ca="1">IF(AND(I39="N",J39="N"),_xll.EVPRO($B$1,H39,"PSFTID"),"")</f>
        <v>#NAME?</v>
      </c>
      <c r="N39" s="23" t="e">
        <f ca="1">IF(_xll.EVDES(H39,$B$1)="#NODATA","",_xll.EVDES(H39,$B$1))</f>
        <v>#NAME?</v>
      </c>
      <c r="O39" s="145"/>
      <c r="P39" s="145"/>
      <c r="Q39" s="145"/>
      <c r="R39" s="145"/>
      <c r="S39" s="145"/>
      <c r="T39" s="145"/>
      <c r="U39" s="145"/>
      <c r="V39" s="145"/>
      <c r="W39" s="145"/>
      <c r="X39" s="145"/>
      <c r="Y39" s="145"/>
      <c r="Z39" s="145"/>
      <c r="AA39" s="145">
        <f t="shared" si="0"/>
        <v>0</v>
      </c>
      <c r="AB39" s="156" t="str">
        <f>IF(AA39=0,"",IFERROR(AA39/AA$19,""))</f>
        <v/>
      </c>
      <c r="AD39" s="145"/>
      <c r="AE39" s="156" t="str">
        <f>IF(AD39=0,"",IFERROR(AD39/AD$19,""))</f>
        <v/>
      </c>
      <c r="AF39" s="146">
        <f t="shared" si="1"/>
        <v>0</v>
      </c>
      <c r="AG39" s="145"/>
      <c r="AH39" s="156" t="str">
        <f t="shared" si="3"/>
        <v/>
      </c>
      <c r="AI39" s="146">
        <f t="shared" si="2"/>
        <v>0</v>
      </c>
    </row>
    <row r="40" spans="1:35" x14ac:dyDescent="0.2">
      <c r="A40" s="6" t="s">
        <v>28</v>
      </c>
      <c r="B40" s="7"/>
      <c r="H40" s="10" t="s">
        <v>763</v>
      </c>
      <c r="I40" s="25" t="e">
        <f ca="1">_xll.EVPRO($B$1,$H40,"STYLE")</f>
        <v>#NAME?</v>
      </c>
      <c r="J40" s="25" t="e">
        <f ca="1">_xll.EVPRO($B$1,$H40,"CALC")</f>
        <v>#NAME?</v>
      </c>
      <c r="K40" s="24"/>
      <c r="L40" s="24" t="e">
        <f ca="1">_xll.EVPRO($B$1,H40,"JDEID")</f>
        <v>#NAME?</v>
      </c>
      <c r="M40" s="24" t="e">
        <f ca="1">IF(AND(I40="N",J40="N"),_xll.EVPRO($B$1,H40,"PSFTID"),"")</f>
        <v>#NAME?</v>
      </c>
      <c r="N40" s="24" t="e">
        <f ca="1">IF(_xll.EVDES(H40,$B$1)="#NODATA","",_xll.EVDES(H40,$B$1))</f>
        <v>#NAME?</v>
      </c>
      <c r="O40" s="35"/>
      <c r="P40" s="35"/>
      <c r="Q40" s="35"/>
      <c r="R40" s="35"/>
      <c r="S40" s="35"/>
      <c r="T40" s="35"/>
      <c r="U40" s="35"/>
      <c r="V40" s="35"/>
      <c r="W40" s="35"/>
      <c r="X40" s="35"/>
      <c r="Y40" s="35"/>
      <c r="Z40" s="35"/>
      <c r="AA40" s="35">
        <f t="shared" si="0"/>
        <v>0</v>
      </c>
      <c r="AB40" s="36"/>
      <c r="AD40" s="35"/>
      <c r="AE40" s="36"/>
      <c r="AF40" s="118">
        <f t="shared" si="1"/>
        <v>0</v>
      </c>
      <c r="AG40" s="35"/>
      <c r="AH40" s="36"/>
      <c r="AI40" s="118">
        <f t="shared" si="2"/>
        <v>0</v>
      </c>
    </row>
    <row r="41" spans="1:35" x14ac:dyDescent="0.2">
      <c r="A41" s="6" t="s">
        <v>29</v>
      </c>
      <c r="B41" s="7"/>
      <c r="H41" s="10" t="s">
        <v>297</v>
      </c>
      <c r="I41" s="25" t="e">
        <f ca="1">_xll.EVPRO($B$1,$H41,"STYLE")</f>
        <v>#NAME?</v>
      </c>
      <c r="J41" s="25" t="e">
        <f ca="1">_xll.EVPRO($B$1,$H41,"CALC")</f>
        <v>#NAME?</v>
      </c>
      <c r="K41" s="24"/>
      <c r="L41" s="24" t="e">
        <f ca="1">_xll.EVPRO($B$1,H41,"JDEID")</f>
        <v>#NAME?</v>
      </c>
      <c r="M41" s="24" t="e">
        <f ca="1">IF(AND(I41="N",J41="N"),_xll.EVPRO($B$1,H41,"PSFTID"),"")</f>
        <v>#NAME?</v>
      </c>
      <c r="N41" s="24" t="e">
        <f ca="1">IF(_xll.EVDES(H41,$B$1)="#NODATA","",_xll.EVDES(H41,$B$1))</f>
        <v>#NAME?</v>
      </c>
      <c r="O41" s="35"/>
      <c r="P41" s="35"/>
      <c r="Q41" s="35"/>
      <c r="R41" s="35"/>
      <c r="S41" s="35"/>
      <c r="T41" s="35"/>
      <c r="U41" s="35"/>
      <c r="V41" s="35"/>
      <c r="W41" s="35"/>
      <c r="X41" s="35"/>
      <c r="Y41" s="35"/>
      <c r="Z41" s="35"/>
      <c r="AA41" s="35">
        <f t="shared" si="0"/>
        <v>0</v>
      </c>
      <c r="AB41" s="36" t="str">
        <f>IF(AA41=0,"",IFERROR(AA41/AA$87,""))</f>
        <v/>
      </c>
      <c r="AD41" s="35"/>
      <c r="AE41" s="36" t="str">
        <f>IF(AD41=0,"",IFERROR(AD41/AD$87,""))</f>
        <v/>
      </c>
      <c r="AF41" s="118">
        <f t="shared" si="1"/>
        <v>0</v>
      </c>
      <c r="AG41" s="35"/>
      <c r="AH41" s="36" t="str">
        <f>IF(AG41=0,"",IFERROR(AG41/AG$87,""))</f>
        <v/>
      </c>
      <c r="AI41" s="118">
        <f t="shared" si="2"/>
        <v>0</v>
      </c>
    </row>
    <row r="42" spans="1:35" x14ac:dyDescent="0.2">
      <c r="A42" s="6" t="s">
        <v>30</v>
      </c>
      <c r="B42" s="7" t="s">
        <v>78</v>
      </c>
      <c r="H42" s="10" t="s">
        <v>313</v>
      </c>
      <c r="I42" s="25" t="e">
        <f ca="1">_xll.EVPRO($B$1,$H42,"STYLE")</f>
        <v>#NAME?</v>
      </c>
      <c r="J42" s="25" t="e">
        <f ca="1">_xll.EVPRO($B$1,$H42,"CALC")</f>
        <v>#NAME?</v>
      </c>
      <c r="K42" s="24"/>
      <c r="L42" s="24" t="e">
        <f ca="1">_xll.EVPRO($B$1,H42,"JDEID")</f>
        <v>#NAME?</v>
      </c>
      <c r="M42" s="24" t="e">
        <f ca="1">IF(AND(I42="N",J42="N"),_xll.EVPRO($B$1,H42,"PSFTID"),"")</f>
        <v>#NAME?</v>
      </c>
      <c r="N42" s="151" t="e">
        <f ca="1">IF(_xll.EVDES(H42,$B$1)="#NODATA","",_xll.EVDES(H42,$B$1))</f>
        <v>#NAME?</v>
      </c>
      <c r="O42" s="157"/>
      <c r="P42" s="157"/>
      <c r="Q42" s="157"/>
      <c r="R42" s="157"/>
      <c r="S42" s="157"/>
      <c r="T42" s="157"/>
      <c r="U42" s="157"/>
      <c r="V42" s="157"/>
      <c r="W42" s="157"/>
      <c r="X42" s="157"/>
      <c r="Y42" s="157"/>
      <c r="Z42" s="157"/>
      <c r="AA42" s="157" t="str">
        <f>IFERROR(AA39/AA41,"")</f>
        <v/>
      </c>
      <c r="AB42" s="157"/>
      <c r="AD42" s="157"/>
      <c r="AE42" s="157"/>
      <c r="AF42" s="158" t="str">
        <f t="shared" si="1"/>
        <v/>
      </c>
      <c r="AG42" s="157"/>
      <c r="AH42" s="157"/>
      <c r="AI42" s="158" t="str">
        <f t="shared" si="2"/>
        <v/>
      </c>
    </row>
    <row r="43" spans="1:35" x14ac:dyDescent="0.2">
      <c r="A43" s="6" t="s">
        <v>31</v>
      </c>
      <c r="B43" s="7" t="s">
        <v>78</v>
      </c>
      <c r="G43" s="162">
        <f>COUNTIF(O44:AI44,FALSE)</f>
        <v>0</v>
      </c>
      <c r="H43" s="10"/>
      <c r="I43" s="25"/>
      <c r="J43" s="25"/>
      <c r="K43" s="24"/>
      <c r="L43" s="24"/>
      <c r="M43" s="24"/>
      <c r="N43" s="163" t="s">
        <v>345</v>
      </c>
      <c r="O43" s="160">
        <f t="shared" ref="O43:AA43" si="4">ROUND(IFERROR(O39/O41,0),2)</f>
        <v>0</v>
      </c>
      <c r="P43" s="165">
        <f t="shared" si="4"/>
        <v>0</v>
      </c>
      <c r="Q43" s="165">
        <f t="shared" si="4"/>
        <v>0</v>
      </c>
      <c r="R43" s="165">
        <f t="shared" si="4"/>
        <v>0</v>
      </c>
      <c r="S43" s="165">
        <f t="shared" si="4"/>
        <v>0</v>
      </c>
      <c r="T43" s="165">
        <f t="shared" si="4"/>
        <v>0</v>
      </c>
      <c r="U43" s="165">
        <f t="shared" si="4"/>
        <v>0</v>
      </c>
      <c r="V43" s="165">
        <f t="shared" si="4"/>
        <v>0</v>
      </c>
      <c r="W43" s="165">
        <f t="shared" si="4"/>
        <v>0</v>
      </c>
      <c r="X43" s="165">
        <f t="shared" si="4"/>
        <v>0</v>
      </c>
      <c r="Y43" s="165">
        <f t="shared" si="4"/>
        <v>0</v>
      </c>
      <c r="Z43" s="165">
        <f t="shared" si="4"/>
        <v>0</v>
      </c>
      <c r="AA43" s="165">
        <f t="shared" si="4"/>
        <v>0</v>
      </c>
      <c r="AB43" s="164"/>
      <c r="AD43" s="160">
        <f>ROUND(IFERROR(AD39/AD41,0),2)</f>
        <v>0</v>
      </c>
      <c r="AE43" s="165"/>
      <c r="AF43" s="161"/>
      <c r="AG43" s="160">
        <f>ROUND(IFERROR(AG39/AG41,0),2)</f>
        <v>0</v>
      </c>
      <c r="AH43" s="165"/>
      <c r="AI43" s="161"/>
    </row>
    <row r="44" spans="1:35" x14ac:dyDescent="0.2">
      <c r="A44" s="6" t="s">
        <v>32</v>
      </c>
      <c r="B44" s="7"/>
      <c r="H44" s="10"/>
      <c r="I44" s="25"/>
      <c r="J44" s="25"/>
      <c r="K44" s="24"/>
      <c r="L44" s="24"/>
      <c r="M44" s="24"/>
      <c r="N44" s="8" t="s">
        <v>314</v>
      </c>
      <c r="O44" s="292" t="b">
        <f t="shared" ref="O44:AA44" si="5">ROUND(O42,2)=ROUND(O43,2)</f>
        <v>1</v>
      </c>
      <c r="P44" s="293" t="b">
        <f t="shared" si="5"/>
        <v>1</v>
      </c>
      <c r="Q44" s="293" t="b">
        <f t="shared" si="5"/>
        <v>1</v>
      </c>
      <c r="R44" s="293" t="b">
        <f t="shared" si="5"/>
        <v>1</v>
      </c>
      <c r="S44" s="293" t="b">
        <f t="shared" si="5"/>
        <v>1</v>
      </c>
      <c r="T44" s="293" t="b">
        <f t="shared" si="5"/>
        <v>1</v>
      </c>
      <c r="U44" s="293" t="b">
        <f t="shared" si="5"/>
        <v>1</v>
      </c>
      <c r="V44" s="293" t="b">
        <f t="shared" si="5"/>
        <v>1</v>
      </c>
      <c r="W44" s="293" t="b">
        <f t="shared" si="5"/>
        <v>1</v>
      </c>
      <c r="X44" s="293" t="b">
        <f t="shared" si="5"/>
        <v>1</v>
      </c>
      <c r="Y44" s="293" t="b">
        <f t="shared" si="5"/>
        <v>1</v>
      </c>
      <c r="Z44" s="293" t="b">
        <f t="shared" si="5"/>
        <v>1</v>
      </c>
      <c r="AA44" s="293" t="e">
        <f t="shared" si="5"/>
        <v>#VALUE!</v>
      </c>
      <c r="AB44" s="294"/>
      <c r="AC44" s="206"/>
      <c r="AD44" s="292"/>
      <c r="AE44" s="293" t="b">
        <f>ROUND(AD42,2)=ROUND(AD43,2)</f>
        <v>1</v>
      </c>
      <c r="AF44" s="294"/>
      <c r="AG44" s="292"/>
      <c r="AH44" s="293" t="b">
        <f>ROUND(AG42,2)=ROUND(AG43,2)</f>
        <v>1</v>
      </c>
      <c r="AI44" s="294"/>
    </row>
    <row r="45" spans="1:35" x14ac:dyDescent="0.2">
      <c r="A45" s="6" t="s">
        <v>33</v>
      </c>
      <c r="B45" s="7"/>
      <c r="H45" s="10" t="s">
        <v>261</v>
      </c>
      <c r="I45" s="25" t="e">
        <f ca="1">_xll.EVPRO($B$1,$H45,"STYLE")</f>
        <v>#NAME?</v>
      </c>
      <c r="J45" s="25" t="e">
        <f ca="1">_xll.EVPRO($B$1,$H45,"CALC")</f>
        <v>#NAME?</v>
      </c>
      <c r="K45" s="24"/>
      <c r="L45" s="24" t="e">
        <f ca="1">_xll.EVPRO($B$1,H45,"JDEID")</f>
        <v>#NAME?</v>
      </c>
      <c r="M45" s="24" t="e">
        <f ca="1">IF(AND(I45="N",J45="N"),_xll.EVPRO($B$1,H45,"PSFTID"),"")</f>
        <v>#NAME?</v>
      </c>
      <c r="N45" s="24" t="e">
        <f ca="1">IF(_xll.EVDES(H45,$B$1)="#NODATA","",_xll.EVDES(H45,$B$1))</f>
        <v>#NAME?</v>
      </c>
      <c r="O45" s="19"/>
      <c r="P45" s="19"/>
      <c r="Q45" s="19"/>
      <c r="R45" s="19"/>
      <c r="S45" s="19"/>
      <c r="T45" s="19"/>
      <c r="U45" s="19"/>
      <c r="V45" s="19"/>
      <c r="W45" s="19"/>
      <c r="X45" s="19"/>
      <c r="Y45" s="19"/>
      <c r="Z45" s="19"/>
      <c r="AA45" s="19">
        <f t="shared" ref="AA45:AA51" si="6">SUM(O45:Z45)</f>
        <v>0</v>
      </c>
      <c r="AB45" s="15" t="str">
        <f>IF(AA45=0,"",IFERROR(AA45/AA$19,""))</f>
        <v/>
      </c>
      <c r="AD45" s="19"/>
      <c r="AE45" s="15" t="str">
        <f>IF(AD45=0,"",IFERROR(AD45/AD$19,""))</f>
        <v/>
      </c>
      <c r="AF45" s="47">
        <f t="shared" ref="AF45:AF52" si="7">IF(AND($AA45="",AD45=""),"",$AA45-AD45)</f>
        <v>0</v>
      </c>
      <c r="AG45" s="19"/>
      <c r="AH45" s="15" t="str">
        <f t="shared" si="3"/>
        <v/>
      </c>
      <c r="AI45" s="47">
        <f t="shared" ref="AI45:AI52" si="8">IF(AND($AA45="",AG45=""),"",$AA45-AG45)</f>
        <v>0</v>
      </c>
    </row>
    <row r="46" spans="1:35" x14ac:dyDescent="0.2">
      <c r="A46" s="6" t="s">
        <v>34</v>
      </c>
      <c r="B46" s="7"/>
      <c r="H46" s="133" t="s">
        <v>301</v>
      </c>
      <c r="I46" s="25" t="e">
        <f ca="1">_xll.EVPRO($B$1,$H46,"STYLE")</f>
        <v>#NAME?</v>
      </c>
      <c r="J46" s="25" t="e">
        <f ca="1">_xll.EVPRO($B$1,$H46,"CALC")</f>
        <v>#NAME?</v>
      </c>
      <c r="K46" s="24"/>
      <c r="L46" s="24" t="e">
        <f ca="1">_xll.EVPRO($B$1,H46,"JDEID")</f>
        <v>#NAME?</v>
      </c>
      <c r="M46" s="24" t="e">
        <f ca="1">IF(AND(I46="N",J46="N"),_xll.EVPRO($B$1,H46,"PSFTID"),"")</f>
        <v>#NAME?</v>
      </c>
      <c r="N46" s="24" t="e">
        <f ca="1">IF(_xll.EVDES(H46,$B$1)="#NODATA","",_xll.EVDES(H46,$B$1))</f>
        <v>#NAME?</v>
      </c>
      <c r="O46" s="19"/>
      <c r="P46" s="19"/>
      <c r="Q46" s="19"/>
      <c r="R46" s="19"/>
      <c r="S46" s="19"/>
      <c r="T46" s="19"/>
      <c r="U46" s="19"/>
      <c r="V46" s="19"/>
      <c r="W46" s="19"/>
      <c r="X46" s="19"/>
      <c r="Y46" s="19"/>
      <c r="Z46" s="19"/>
      <c r="AA46" s="19">
        <f t="shared" si="6"/>
        <v>0</v>
      </c>
      <c r="AB46" s="15" t="str">
        <f>IF(AA46=0,"",IFERROR(AA46/AA$19,""))</f>
        <v/>
      </c>
      <c r="AD46" s="19"/>
      <c r="AE46" s="15" t="str">
        <f>IF(AD46=0,"",IFERROR(AD46/AD$19,""))</f>
        <v/>
      </c>
      <c r="AF46" s="47">
        <f t="shared" si="7"/>
        <v>0</v>
      </c>
      <c r="AG46" s="19"/>
      <c r="AH46" s="15" t="str">
        <f t="shared" si="3"/>
        <v/>
      </c>
      <c r="AI46" s="47">
        <f t="shared" si="8"/>
        <v>0</v>
      </c>
    </row>
    <row r="47" spans="1:35" x14ac:dyDescent="0.2">
      <c r="A47" s="6" t="s">
        <v>35</v>
      </c>
      <c r="B47" s="7"/>
      <c r="H47" s="133" t="s">
        <v>305</v>
      </c>
      <c r="I47" s="25" t="e">
        <f ca="1">_xll.EVPRO($B$1,$H47,"STYLE")</f>
        <v>#NAME?</v>
      </c>
      <c r="J47" s="25" t="e">
        <f ca="1">_xll.EVPRO($B$1,$H47,"CALC")</f>
        <v>#NAME?</v>
      </c>
      <c r="K47" s="24"/>
      <c r="L47" s="24" t="e">
        <f ca="1">_xll.EVPRO($B$1,H47,"JDEID")</f>
        <v>#NAME?</v>
      </c>
      <c r="M47" s="24" t="e">
        <f ca="1">IF(AND(I47="N",J47="N"),_xll.EVPRO($B$1,H47,"PSFTID"),"")</f>
        <v>#NAME?</v>
      </c>
      <c r="N47" s="24" t="e">
        <f ca="1">IF(_xll.EVDES(H47,$B$1)="#NODATA","",_xll.EVDES(H47,$B$1))</f>
        <v>#NAME?</v>
      </c>
      <c r="O47" s="19"/>
      <c r="P47" s="19"/>
      <c r="Q47" s="19"/>
      <c r="R47" s="19"/>
      <c r="S47" s="19"/>
      <c r="T47" s="19"/>
      <c r="U47" s="19"/>
      <c r="V47" s="19"/>
      <c r="W47" s="19"/>
      <c r="X47" s="19"/>
      <c r="Y47" s="19"/>
      <c r="Z47" s="19"/>
      <c r="AA47" s="19">
        <f t="shared" si="6"/>
        <v>0</v>
      </c>
      <c r="AB47" s="15" t="str">
        <f>IF(AA47=0,"",IFERROR(AA47/AA$19,""))</f>
        <v/>
      </c>
      <c r="AD47" s="19"/>
      <c r="AE47" s="15" t="str">
        <f>IF(AD47=0,"",IFERROR(AD47/AD$19,""))</f>
        <v/>
      </c>
      <c r="AF47" s="47">
        <f t="shared" si="7"/>
        <v>0</v>
      </c>
      <c r="AG47" s="19"/>
      <c r="AH47" s="15" t="str">
        <f t="shared" si="3"/>
        <v/>
      </c>
      <c r="AI47" s="47">
        <f t="shared" si="8"/>
        <v>0</v>
      </c>
    </row>
    <row r="48" spans="1:35" x14ac:dyDescent="0.2">
      <c r="A48" s="6" t="s">
        <v>36</v>
      </c>
      <c r="B48" s="7"/>
      <c r="H48" s="133" t="s">
        <v>303</v>
      </c>
      <c r="I48" s="25" t="e">
        <f ca="1">_xll.EVPRO($B$1,$H48,"STYLE")</f>
        <v>#NAME?</v>
      </c>
      <c r="J48" s="25" t="e">
        <f ca="1">_xll.EVPRO($B$1,$H48,"CALC")</f>
        <v>#NAME?</v>
      </c>
      <c r="K48" s="24"/>
      <c r="L48" s="24" t="e">
        <f ca="1">_xll.EVPRO($B$1,H48,"JDEID")</f>
        <v>#NAME?</v>
      </c>
      <c r="M48" s="24" t="e">
        <f ca="1">IF(AND(I48="N",J48="N"),_xll.EVPRO($B$1,H48,"PSFTID"),"")</f>
        <v>#NAME?</v>
      </c>
      <c r="N48" s="24" t="e">
        <f ca="1">IF(_xll.EVDES(H48,$B$1)="#NODATA","",_xll.EVDES(H48,$B$1))</f>
        <v>#NAME?</v>
      </c>
      <c r="O48" s="28"/>
      <c r="P48" s="28"/>
      <c r="Q48" s="28"/>
      <c r="R48" s="28"/>
      <c r="S48" s="28"/>
      <c r="T48" s="28"/>
      <c r="U48" s="28"/>
      <c r="V48" s="28"/>
      <c r="W48" s="28"/>
      <c r="X48" s="28"/>
      <c r="Y48" s="28"/>
      <c r="Z48" s="28"/>
      <c r="AA48" s="28">
        <f t="shared" si="6"/>
        <v>0</v>
      </c>
      <c r="AB48" s="29" t="str">
        <f>IF(AA48=0,"",IFERROR(AA48/AA$19,""))</f>
        <v/>
      </c>
      <c r="AD48" s="28"/>
      <c r="AE48" s="29" t="str">
        <f>IF(AD48=0,"",IFERROR(AD48/AD$19,""))</f>
        <v/>
      </c>
      <c r="AF48" s="48">
        <f t="shared" si="7"/>
        <v>0</v>
      </c>
      <c r="AG48" s="28"/>
      <c r="AH48" s="29" t="str">
        <f t="shared" si="3"/>
        <v/>
      </c>
      <c r="AI48" s="48">
        <f t="shared" si="8"/>
        <v>0</v>
      </c>
    </row>
    <row r="49" spans="1:35" x14ac:dyDescent="0.2">
      <c r="A49" s="6" t="s">
        <v>37</v>
      </c>
      <c r="B49" s="7"/>
      <c r="H49" s="10" t="s">
        <v>319</v>
      </c>
      <c r="I49" s="25" t="e">
        <f ca="1">_xll.EVPRO($B$1,$H49,"STYLE")</f>
        <v>#NAME?</v>
      </c>
      <c r="J49" s="25" t="e">
        <f ca="1">_xll.EVPRO($B$1,$H49,"CALC")</f>
        <v>#NAME?</v>
      </c>
      <c r="K49" s="24"/>
      <c r="L49" s="24" t="e">
        <f ca="1">_xll.EVPRO($B$1,H49,"JDEID")</f>
        <v>#NAME?</v>
      </c>
      <c r="M49" s="24" t="e">
        <f ca="1">IF(AND(I49="N",J49="N"),_xll.EVPRO($B$1,H49,"PSFTID"),"")</f>
        <v>#NAME?</v>
      </c>
      <c r="N49" s="23" t="e">
        <f ca="1">IF(_xll.EVDES(H49,$B$1)="#NODATA","",_xll.EVDES(H49,$B$1))</f>
        <v>#NAME?</v>
      </c>
      <c r="O49" s="145"/>
      <c r="P49" s="145"/>
      <c r="Q49" s="145"/>
      <c r="R49" s="145"/>
      <c r="S49" s="145"/>
      <c r="T49" s="145"/>
      <c r="U49" s="145"/>
      <c r="V49" s="145"/>
      <c r="W49" s="145"/>
      <c r="X49" s="145"/>
      <c r="Y49" s="145"/>
      <c r="Z49" s="145"/>
      <c r="AA49" s="145">
        <f t="shared" si="6"/>
        <v>0</v>
      </c>
      <c r="AB49" s="156" t="str">
        <f>IF(AA49=0,"",IFERROR(AA49/AA$19,""))</f>
        <v/>
      </c>
      <c r="AD49" s="145"/>
      <c r="AE49" s="156" t="str">
        <f>IF(AD49=0,"",IFERROR(AD49/AD$19,""))</f>
        <v/>
      </c>
      <c r="AF49" s="146">
        <f t="shared" si="7"/>
        <v>0</v>
      </c>
      <c r="AG49" s="145"/>
      <c r="AH49" s="156" t="str">
        <f t="shared" si="3"/>
        <v/>
      </c>
      <c r="AI49" s="146">
        <f t="shared" si="8"/>
        <v>0</v>
      </c>
    </row>
    <row r="50" spans="1:35" x14ac:dyDescent="0.2">
      <c r="A50" s="6" t="s">
        <v>38</v>
      </c>
      <c r="B50" s="7"/>
      <c r="H50" s="10" t="s">
        <v>764</v>
      </c>
      <c r="I50" s="25" t="e">
        <f ca="1">_xll.EVPRO($B$1,$H50,"STYLE")</f>
        <v>#NAME?</v>
      </c>
      <c r="J50" s="25" t="e">
        <f ca="1">_xll.EVPRO($B$1,$H50,"CALC")</f>
        <v>#NAME?</v>
      </c>
      <c r="K50" s="24"/>
      <c r="L50" s="24" t="e">
        <f ca="1">_xll.EVPRO($B$1,H50,"JDEID")</f>
        <v>#NAME?</v>
      </c>
      <c r="M50" s="24" t="e">
        <f ca="1">IF(AND(I50="N",J50="N"),_xll.EVPRO($B$1,H50,"PSFTID"),"")</f>
        <v>#NAME?</v>
      </c>
      <c r="N50" s="24" t="e">
        <f ca="1">IF(_xll.EVDES(H50,$B$1)="#NODATA","",_xll.EVDES(H50,$B$1))</f>
        <v>#NAME?</v>
      </c>
      <c r="O50" s="35"/>
      <c r="P50" s="35"/>
      <c r="Q50" s="35"/>
      <c r="R50" s="35"/>
      <c r="S50" s="35"/>
      <c r="T50" s="35"/>
      <c r="U50" s="35"/>
      <c r="V50" s="35"/>
      <c r="W50" s="35"/>
      <c r="X50" s="35"/>
      <c r="Y50" s="35"/>
      <c r="Z50" s="35"/>
      <c r="AA50" s="35">
        <f t="shared" si="6"/>
        <v>0</v>
      </c>
      <c r="AB50" s="36"/>
      <c r="AD50" s="35"/>
      <c r="AE50" s="36"/>
      <c r="AF50" s="118">
        <f t="shared" si="7"/>
        <v>0</v>
      </c>
      <c r="AG50" s="35"/>
      <c r="AH50" s="36"/>
      <c r="AI50" s="118">
        <f t="shared" si="8"/>
        <v>0</v>
      </c>
    </row>
    <row r="51" spans="1:35" x14ac:dyDescent="0.2">
      <c r="A51" s="6" t="s">
        <v>39</v>
      </c>
      <c r="B51" s="7"/>
      <c r="H51" s="10" t="s">
        <v>298</v>
      </c>
      <c r="I51" s="25" t="e">
        <f ca="1">_xll.EVPRO($B$1,$H51,"STYLE")</f>
        <v>#NAME?</v>
      </c>
      <c r="J51" s="25" t="e">
        <f ca="1">_xll.EVPRO($B$1,$H51,"CALC")</f>
        <v>#NAME?</v>
      </c>
      <c r="K51" s="24"/>
      <c r="L51" s="24" t="e">
        <f ca="1">_xll.EVPRO($B$1,H51,"JDEID")</f>
        <v>#NAME?</v>
      </c>
      <c r="M51" s="24" t="e">
        <f ca="1">IF(AND(I51="N",J51="N"),_xll.EVPRO($B$1,H51,"PSFTID"),"")</f>
        <v>#NAME?</v>
      </c>
      <c r="N51" s="24" t="e">
        <f ca="1">IF(_xll.EVDES(H51,$B$1)="#NODATA","",_xll.EVDES(H51,$B$1))</f>
        <v>#NAME?</v>
      </c>
      <c r="O51" s="35"/>
      <c r="P51" s="35"/>
      <c r="Q51" s="35"/>
      <c r="R51" s="35"/>
      <c r="S51" s="35"/>
      <c r="T51" s="35"/>
      <c r="U51" s="35"/>
      <c r="V51" s="35"/>
      <c r="W51" s="35"/>
      <c r="X51" s="35"/>
      <c r="Y51" s="35"/>
      <c r="Z51" s="35"/>
      <c r="AA51" s="35">
        <f t="shared" si="6"/>
        <v>0</v>
      </c>
      <c r="AB51" s="36" t="str">
        <f>IF(AA51=0,"",IFERROR(AA51/AA$87,""))</f>
        <v/>
      </c>
      <c r="AD51" s="35"/>
      <c r="AE51" s="36" t="str">
        <f>IF(AD51=0,"",IFERROR(AD51/AD$87,""))</f>
        <v/>
      </c>
      <c r="AF51" s="118">
        <f t="shared" si="7"/>
        <v>0</v>
      </c>
      <c r="AG51" s="35"/>
      <c r="AH51" s="36" t="str">
        <f>IF(AG51=0,"",IFERROR(AG51/AG$87,""))</f>
        <v/>
      </c>
      <c r="AI51" s="118">
        <f t="shared" si="8"/>
        <v>0</v>
      </c>
    </row>
    <row r="52" spans="1:35" x14ac:dyDescent="0.2">
      <c r="A52" s="6" t="s">
        <v>40</v>
      </c>
      <c r="B52" s="7"/>
      <c r="H52" s="10" t="s">
        <v>315</v>
      </c>
      <c r="I52" s="25" t="e">
        <f ca="1">_xll.EVPRO($B$1,$H52,"STYLE")</f>
        <v>#NAME?</v>
      </c>
      <c r="J52" s="25" t="e">
        <f ca="1">_xll.EVPRO($B$1,$H52,"CALC")</f>
        <v>#NAME?</v>
      </c>
      <c r="K52" s="24"/>
      <c r="L52" s="24" t="e">
        <f ca="1">_xll.EVPRO($B$1,H52,"JDEID")</f>
        <v>#NAME?</v>
      </c>
      <c r="M52" s="24" t="e">
        <f ca="1">IF(AND(I52="N",J52="N"),_xll.EVPRO($B$1,H52,"PSFTID"),"")</f>
        <v>#NAME?</v>
      </c>
      <c r="N52" s="151" t="e">
        <f ca="1">IF(_xll.EVDES(H52,$B$1)="#NODATA","",_xll.EVDES(H52,$B$1))</f>
        <v>#NAME?</v>
      </c>
      <c r="O52" s="157"/>
      <c r="P52" s="157"/>
      <c r="Q52" s="157"/>
      <c r="R52" s="157"/>
      <c r="S52" s="157"/>
      <c r="T52" s="157"/>
      <c r="U52" s="157"/>
      <c r="V52" s="157"/>
      <c r="W52" s="157"/>
      <c r="X52" s="157"/>
      <c r="Y52" s="157"/>
      <c r="Z52" s="157"/>
      <c r="AA52" s="157" t="str">
        <f>IFERROR(AA49/AA51,"")</f>
        <v/>
      </c>
      <c r="AB52" s="157"/>
      <c r="AD52" s="157"/>
      <c r="AE52" s="157"/>
      <c r="AF52" s="158" t="str">
        <f t="shared" si="7"/>
        <v/>
      </c>
      <c r="AG52" s="157"/>
      <c r="AH52" s="157"/>
      <c r="AI52" s="158" t="str">
        <f t="shared" si="8"/>
        <v/>
      </c>
    </row>
    <row r="53" spans="1:35" x14ac:dyDescent="0.2">
      <c r="A53" s="6" t="s">
        <v>41</v>
      </c>
      <c r="B53" s="7"/>
      <c r="G53" s="162">
        <f>COUNTIF(O54:AI54,FALSE)</f>
        <v>0</v>
      </c>
      <c r="H53" s="10"/>
      <c r="I53" s="25"/>
      <c r="J53" s="25"/>
      <c r="K53" s="24"/>
      <c r="L53" s="24"/>
      <c r="M53" s="24"/>
      <c r="N53" s="163" t="s">
        <v>345</v>
      </c>
      <c r="O53" s="160">
        <f t="shared" ref="O53:AA53" si="9">ROUND(IFERROR(O49/O51,0),2)</f>
        <v>0</v>
      </c>
      <c r="P53" s="165">
        <f t="shared" si="9"/>
        <v>0</v>
      </c>
      <c r="Q53" s="165">
        <f t="shared" si="9"/>
        <v>0</v>
      </c>
      <c r="R53" s="165">
        <f t="shared" si="9"/>
        <v>0</v>
      </c>
      <c r="S53" s="165">
        <f t="shared" si="9"/>
        <v>0</v>
      </c>
      <c r="T53" s="165">
        <f t="shared" si="9"/>
        <v>0</v>
      </c>
      <c r="U53" s="165">
        <f t="shared" si="9"/>
        <v>0</v>
      </c>
      <c r="V53" s="165">
        <f t="shared" si="9"/>
        <v>0</v>
      </c>
      <c r="W53" s="165">
        <f t="shared" si="9"/>
        <v>0</v>
      </c>
      <c r="X53" s="165">
        <f t="shared" si="9"/>
        <v>0</v>
      </c>
      <c r="Y53" s="165">
        <f t="shared" si="9"/>
        <v>0</v>
      </c>
      <c r="Z53" s="165">
        <f t="shared" si="9"/>
        <v>0</v>
      </c>
      <c r="AA53" s="165">
        <f t="shared" si="9"/>
        <v>0</v>
      </c>
      <c r="AB53" s="164"/>
      <c r="AD53" s="160">
        <f>ROUND(IFERROR(AD49/AD51,0),2)</f>
        <v>0</v>
      </c>
      <c r="AE53" s="165"/>
      <c r="AF53" s="161"/>
      <c r="AG53" s="160">
        <f>ROUND(IFERROR(AG49/AG51,0),2)</f>
        <v>0</v>
      </c>
      <c r="AH53" s="165"/>
      <c r="AI53" s="161"/>
    </row>
    <row r="54" spans="1:35" x14ac:dyDescent="0.2">
      <c r="A54" s="6" t="s">
        <v>42</v>
      </c>
      <c r="B54" s="7"/>
      <c r="H54" s="10"/>
      <c r="I54" s="25"/>
      <c r="J54" s="25"/>
      <c r="K54" s="24"/>
      <c r="L54" s="24"/>
      <c r="M54" s="24"/>
      <c r="N54" s="8" t="s">
        <v>316</v>
      </c>
      <c r="O54" s="292" t="b">
        <f t="shared" ref="O54:AA54" si="10">ROUND(O52,2)=ROUND(O53,2)</f>
        <v>1</v>
      </c>
      <c r="P54" s="293" t="b">
        <f t="shared" si="10"/>
        <v>1</v>
      </c>
      <c r="Q54" s="293" t="b">
        <f t="shared" si="10"/>
        <v>1</v>
      </c>
      <c r="R54" s="293" t="b">
        <f t="shared" si="10"/>
        <v>1</v>
      </c>
      <c r="S54" s="293" t="b">
        <f t="shared" si="10"/>
        <v>1</v>
      </c>
      <c r="T54" s="293" t="b">
        <f t="shared" si="10"/>
        <v>1</v>
      </c>
      <c r="U54" s="293" t="b">
        <f t="shared" si="10"/>
        <v>1</v>
      </c>
      <c r="V54" s="293" t="b">
        <f t="shared" si="10"/>
        <v>1</v>
      </c>
      <c r="W54" s="293" t="b">
        <f t="shared" si="10"/>
        <v>1</v>
      </c>
      <c r="X54" s="293" t="b">
        <f t="shared" si="10"/>
        <v>1</v>
      </c>
      <c r="Y54" s="293" t="b">
        <f t="shared" si="10"/>
        <v>1</v>
      </c>
      <c r="Z54" s="293" t="b">
        <f t="shared" si="10"/>
        <v>1</v>
      </c>
      <c r="AA54" s="293" t="e">
        <f t="shared" si="10"/>
        <v>#VALUE!</v>
      </c>
      <c r="AB54" s="294"/>
      <c r="AC54" s="206"/>
      <c r="AD54" s="292"/>
      <c r="AE54" s="293" t="b">
        <f>ROUND(AD52,2)=ROUND(AD53,2)</f>
        <v>1</v>
      </c>
      <c r="AF54" s="294"/>
      <c r="AG54" s="292"/>
      <c r="AH54" s="293" t="b">
        <f>ROUND(AG52,2)=ROUND(AG53,2)</f>
        <v>1</v>
      </c>
      <c r="AI54" s="294"/>
    </row>
    <row r="55" spans="1:35" x14ac:dyDescent="0.2">
      <c r="A55" s="6" t="s">
        <v>43</v>
      </c>
      <c r="B55" s="7"/>
      <c r="H55" s="10" t="s">
        <v>262</v>
      </c>
      <c r="I55" s="25" t="e">
        <f ca="1">_xll.EVPRO($B$1,$H55,"STYLE")</f>
        <v>#NAME?</v>
      </c>
      <c r="J55" s="25" t="e">
        <f ca="1">_xll.EVPRO($B$1,$H55,"CALC")</f>
        <v>#NAME?</v>
      </c>
      <c r="K55" s="24"/>
      <c r="L55" s="24" t="e">
        <f ca="1">_xll.EVPRO($B$1,H55,"JDEID")</f>
        <v>#NAME?</v>
      </c>
      <c r="M55" s="24" t="e">
        <f ca="1">IF(AND(I55="N",J55="N"),_xll.EVPRO($B$1,H55,"PSFTID"),"")</f>
        <v>#NAME?</v>
      </c>
      <c r="N55" s="24" t="e">
        <f ca="1">IF(_xll.EVDES(H55,$B$1)="#NODATA","",_xll.EVDES(H55,$B$1))</f>
        <v>#NAME?</v>
      </c>
      <c r="O55" s="19"/>
      <c r="P55" s="19"/>
      <c r="Q55" s="19"/>
      <c r="R55" s="19"/>
      <c r="S55" s="19"/>
      <c r="T55" s="19"/>
      <c r="U55" s="19"/>
      <c r="V55" s="19"/>
      <c r="W55" s="19"/>
      <c r="X55" s="19"/>
      <c r="Y55" s="19"/>
      <c r="Z55" s="19"/>
      <c r="AA55" s="19">
        <f t="shared" ref="AA55:AA61" si="11">SUM(O55:Z55)</f>
        <v>0</v>
      </c>
      <c r="AB55" s="15" t="str">
        <f>IF(AA55=0,"",IFERROR(AA55/AA$19,""))</f>
        <v/>
      </c>
      <c r="AD55" s="19"/>
      <c r="AE55" s="15" t="str">
        <f>IF(AD55=0,"",IFERROR(AD55/AD$19,""))</f>
        <v/>
      </c>
      <c r="AF55" s="47">
        <f t="shared" ref="AF55:AF62" si="12">IF(AND($AA55="",AD55=""),"",$AA55-AD55)</f>
        <v>0</v>
      </c>
      <c r="AG55" s="19"/>
      <c r="AH55" s="15" t="str">
        <f t="shared" si="3"/>
        <v/>
      </c>
      <c r="AI55" s="47">
        <f t="shared" ref="AI55:AI62" si="13">IF(AND($AA55="",AG55=""),"",$AA55-AG55)</f>
        <v>0</v>
      </c>
    </row>
    <row r="56" spans="1:35" x14ac:dyDescent="0.2">
      <c r="A56" s="6" t="s">
        <v>44</v>
      </c>
      <c r="B56" s="7"/>
      <c r="H56" s="10" t="s">
        <v>302</v>
      </c>
      <c r="I56" s="25" t="e">
        <f ca="1">_xll.EVPRO($B$1,$H56,"STYLE")</f>
        <v>#NAME?</v>
      </c>
      <c r="J56" s="25" t="e">
        <f ca="1">_xll.EVPRO($B$1,$H56,"CALC")</f>
        <v>#NAME?</v>
      </c>
      <c r="K56" s="24"/>
      <c r="L56" s="24" t="e">
        <f ca="1">_xll.EVPRO($B$1,H56,"JDEID")</f>
        <v>#NAME?</v>
      </c>
      <c r="M56" s="24" t="e">
        <f ca="1">IF(AND(I56="N",J56="N"),_xll.EVPRO($B$1,H56,"PSFTID"),"")</f>
        <v>#NAME?</v>
      </c>
      <c r="N56" s="24" t="e">
        <f ca="1">IF(_xll.EVDES(H56,$B$1)="#NODATA","",_xll.EVDES(H56,$B$1))</f>
        <v>#NAME?</v>
      </c>
      <c r="O56" s="19"/>
      <c r="P56" s="19"/>
      <c r="Q56" s="19"/>
      <c r="R56" s="19"/>
      <c r="S56" s="19"/>
      <c r="T56" s="19"/>
      <c r="U56" s="19"/>
      <c r="V56" s="19"/>
      <c r="W56" s="19"/>
      <c r="X56" s="19"/>
      <c r="Y56" s="19"/>
      <c r="Z56" s="19"/>
      <c r="AA56" s="19">
        <f t="shared" si="11"/>
        <v>0</v>
      </c>
      <c r="AB56" s="15" t="str">
        <f>IF(AA56=0,"",IFERROR(AA56/AA$19,""))</f>
        <v/>
      </c>
      <c r="AD56" s="19"/>
      <c r="AE56" s="15" t="str">
        <f>IF(AD56=0,"",IFERROR(AD56/AD$19,""))</f>
        <v/>
      </c>
      <c r="AF56" s="47">
        <f t="shared" si="12"/>
        <v>0</v>
      </c>
      <c r="AG56" s="19"/>
      <c r="AH56" s="15" t="str">
        <f t="shared" si="3"/>
        <v/>
      </c>
      <c r="AI56" s="47">
        <f t="shared" si="13"/>
        <v>0</v>
      </c>
    </row>
    <row r="57" spans="1:35" x14ac:dyDescent="0.2">
      <c r="A57" s="6" t="s">
        <v>45</v>
      </c>
      <c r="B57" s="7"/>
      <c r="H57" s="10" t="s">
        <v>306</v>
      </c>
      <c r="I57" s="25" t="e">
        <f ca="1">_xll.EVPRO($B$1,$H57,"STYLE")</f>
        <v>#NAME?</v>
      </c>
      <c r="J57" s="25" t="e">
        <f ca="1">_xll.EVPRO($B$1,$H57,"CALC")</f>
        <v>#NAME?</v>
      </c>
      <c r="K57" s="24"/>
      <c r="L57" s="24" t="e">
        <f ca="1">_xll.EVPRO($B$1,H57,"JDEID")</f>
        <v>#NAME?</v>
      </c>
      <c r="M57" s="24" t="e">
        <f ca="1">IF(AND(I57="N",J57="N"),_xll.EVPRO($B$1,H57,"PSFTID"),"")</f>
        <v>#NAME?</v>
      </c>
      <c r="N57" s="24" t="e">
        <f ca="1">IF(_xll.EVDES(H57,$B$1)="#NODATA","",_xll.EVDES(H57,$B$1))</f>
        <v>#NAME?</v>
      </c>
      <c r="O57" s="19"/>
      <c r="P57" s="19"/>
      <c r="Q57" s="19"/>
      <c r="R57" s="19"/>
      <c r="S57" s="19"/>
      <c r="T57" s="19"/>
      <c r="U57" s="19"/>
      <c r="V57" s="19"/>
      <c r="W57" s="19"/>
      <c r="X57" s="19"/>
      <c r="Y57" s="19"/>
      <c r="Z57" s="19"/>
      <c r="AA57" s="19">
        <f t="shared" si="11"/>
        <v>0</v>
      </c>
      <c r="AB57" s="15" t="str">
        <f>IF(AA57=0,"",IFERROR(AA57/AA$19,""))</f>
        <v/>
      </c>
      <c r="AD57" s="19"/>
      <c r="AE57" s="15" t="str">
        <f>IF(AD57=0,"",IFERROR(AD57/AD$19,""))</f>
        <v/>
      </c>
      <c r="AF57" s="47">
        <f t="shared" si="12"/>
        <v>0</v>
      </c>
      <c r="AG57" s="19"/>
      <c r="AH57" s="15" t="str">
        <f t="shared" si="3"/>
        <v/>
      </c>
      <c r="AI57" s="47">
        <f t="shared" si="13"/>
        <v>0</v>
      </c>
    </row>
    <row r="58" spans="1:35" x14ac:dyDescent="0.2">
      <c r="A58" s="6" t="s">
        <v>46</v>
      </c>
      <c r="B58" s="7"/>
      <c r="H58" s="10" t="s">
        <v>304</v>
      </c>
      <c r="I58" s="25" t="e">
        <f ca="1">_xll.EVPRO($B$1,$H58,"STYLE")</f>
        <v>#NAME?</v>
      </c>
      <c r="J58" s="25" t="e">
        <f ca="1">_xll.EVPRO($B$1,$H58,"CALC")</f>
        <v>#NAME?</v>
      </c>
      <c r="K58" s="24"/>
      <c r="L58" s="24" t="e">
        <f ca="1">_xll.EVPRO($B$1,H58,"JDEID")</f>
        <v>#NAME?</v>
      </c>
      <c r="M58" s="24" t="e">
        <f ca="1">IF(AND(I58="N",J58="N"),_xll.EVPRO($B$1,H58,"PSFTID"),"")</f>
        <v>#NAME?</v>
      </c>
      <c r="N58" s="24" t="e">
        <f ca="1">IF(_xll.EVDES(H58,$B$1)="#NODATA","",_xll.EVDES(H58,$B$1))</f>
        <v>#NAME?</v>
      </c>
      <c r="O58" s="28"/>
      <c r="P58" s="28"/>
      <c r="Q58" s="28"/>
      <c r="R58" s="28"/>
      <c r="S58" s="28"/>
      <c r="T58" s="28"/>
      <c r="U58" s="28"/>
      <c r="V58" s="28"/>
      <c r="W58" s="28"/>
      <c r="X58" s="28"/>
      <c r="Y58" s="28"/>
      <c r="Z58" s="28"/>
      <c r="AA58" s="28">
        <f t="shared" si="11"/>
        <v>0</v>
      </c>
      <c r="AB58" s="29" t="str">
        <f>IF(AA58=0,"",IFERROR(AA58/AA$19,""))</f>
        <v/>
      </c>
      <c r="AD58" s="28"/>
      <c r="AE58" s="29" t="str">
        <f>IF(AD58=0,"",IFERROR(AD58/AD$19,""))</f>
        <v/>
      </c>
      <c r="AF58" s="48">
        <f t="shared" si="12"/>
        <v>0</v>
      </c>
      <c r="AG58" s="28"/>
      <c r="AH58" s="29" t="str">
        <f t="shared" si="3"/>
        <v/>
      </c>
      <c r="AI58" s="48">
        <f t="shared" si="13"/>
        <v>0</v>
      </c>
    </row>
    <row r="59" spans="1:35" x14ac:dyDescent="0.2">
      <c r="H59" s="10" t="s">
        <v>320</v>
      </c>
      <c r="I59" s="25" t="e">
        <f ca="1">_xll.EVPRO($B$1,$H59,"STYLE")</f>
        <v>#NAME?</v>
      </c>
      <c r="J59" s="25" t="e">
        <f ca="1">_xll.EVPRO($B$1,$H59,"CALC")</f>
        <v>#NAME?</v>
      </c>
      <c r="K59" s="24"/>
      <c r="L59" s="24" t="e">
        <f ca="1">_xll.EVPRO($B$1,H59,"JDEID")</f>
        <v>#NAME?</v>
      </c>
      <c r="M59" s="24" t="e">
        <f ca="1">IF(AND(I59="N",J59="N"),_xll.EVPRO($B$1,H59,"PSFTID"),"")</f>
        <v>#NAME?</v>
      </c>
      <c r="N59" s="23" t="e">
        <f ca="1">IF(_xll.EVDES(H59,$B$1)="#NODATA","",_xll.EVDES(H59,$B$1))</f>
        <v>#NAME?</v>
      </c>
      <c r="O59" s="145"/>
      <c r="P59" s="145"/>
      <c r="Q59" s="145"/>
      <c r="R59" s="145"/>
      <c r="S59" s="145"/>
      <c r="T59" s="145"/>
      <c r="U59" s="145"/>
      <c r="V59" s="145"/>
      <c r="W59" s="145"/>
      <c r="X59" s="145"/>
      <c r="Y59" s="145"/>
      <c r="Z59" s="145"/>
      <c r="AA59" s="145">
        <f t="shared" si="11"/>
        <v>0</v>
      </c>
      <c r="AB59" s="156" t="str">
        <f>IF(AA59=0,"",IFERROR(AA59/AA$19,""))</f>
        <v/>
      </c>
      <c r="AD59" s="145"/>
      <c r="AE59" s="156" t="str">
        <f>IF(AD59=0,"",IFERROR(AD59/AD$19,""))</f>
        <v/>
      </c>
      <c r="AF59" s="146">
        <f t="shared" si="12"/>
        <v>0</v>
      </c>
      <c r="AG59" s="145"/>
      <c r="AH59" s="156" t="str">
        <f t="shared" si="3"/>
        <v/>
      </c>
      <c r="AI59" s="146">
        <f t="shared" si="13"/>
        <v>0</v>
      </c>
    </row>
    <row r="60" spans="1:35" x14ac:dyDescent="0.2">
      <c r="H60" s="10" t="s">
        <v>765</v>
      </c>
      <c r="I60" s="25" t="e">
        <f ca="1">_xll.EVPRO($B$1,$H60,"STYLE")</f>
        <v>#NAME?</v>
      </c>
      <c r="J60" s="25" t="e">
        <f ca="1">_xll.EVPRO($B$1,$H60,"CALC")</f>
        <v>#NAME?</v>
      </c>
      <c r="K60" s="24"/>
      <c r="L60" s="24" t="e">
        <f ca="1">_xll.EVPRO($B$1,H60,"JDEID")</f>
        <v>#NAME?</v>
      </c>
      <c r="M60" s="24" t="e">
        <f ca="1">IF(AND(I60="N",J60="N"),_xll.EVPRO($B$1,H60,"PSFTID"),"")</f>
        <v>#NAME?</v>
      </c>
      <c r="N60" s="24" t="e">
        <f ca="1">IF(_xll.EVDES(H60,$B$1)="#NODATA","",_xll.EVDES(H60,$B$1))</f>
        <v>#NAME?</v>
      </c>
      <c r="O60" s="35"/>
      <c r="P60" s="35"/>
      <c r="Q60" s="35"/>
      <c r="R60" s="35"/>
      <c r="S60" s="35"/>
      <c r="T60" s="35"/>
      <c r="U60" s="35"/>
      <c r="V60" s="35"/>
      <c r="W60" s="35"/>
      <c r="X60" s="35"/>
      <c r="Y60" s="35"/>
      <c r="Z60" s="35"/>
      <c r="AA60" s="35">
        <f t="shared" si="11"/>
        <v>0</v>
      </c>
      <c r="AB60" s="36"/>
      <c r="AD60" s="35"/>
      <c r="AE60" s="36"/>
      <c r="AF60" s="118">
        <f t="shared" si="12"/>
        <v>0</v>
      </c>
      <c r="AG60" s="35"/>
      <c r="AH60" s="36"/>
      <c r="AI60" s="118">
        <f t="shared" si="13"/>
        <v>0</v>
      </c>
    </row>
    <row r="61" spans="1:35" x14ac:dyDescent="0.2">
      <c r="H61" s="10" t="s">
        <v>299</v>
      </c>
      <c r="I61" s="25" t="e">
        <f ca="1">_xll.EVPRO($B$1,$H61,"STYLE")</f>
        <v>#NAME?</v>
      </c>
      <c r="J61" s="25" t="e">
        <f ca="1">_xll.EVPRO($B$1,$H61,"CALC")</f>
        <v>#NAME?</v>
      </c>
      <c r="K61" s="24"/>
      <c r="L61" s="24" t="e">
        <f ca="1">_xll.EVPRO($B$1,H61,"JDEID")</f>
        <v>#NAME?</v>
      </c>
      <c r="M61" s="24" t="e">
        <f ca="1">IF(AND(I61="N",J61="N"),_xll.EVPRO($B$1,H61,"PSFTID"),"")</f>
        <v>#NAME?</v>
      </c>
      <c r="N61" s="24" t="e">
        <f ca="1">IF(_xll.EVDES(H61,$B$1)="#NODATA","",_xll.EVDES(H61,$B$1))</f>
        <v>#NAME?</v>
      </c>
      <c r="O61" s="35"/>
      <c r="P61" s="35"/>
      <c r="Q61" s="35"/>
      <c r="R61" s="35"/>
      <c r="S61" s="35"/>
      <c r="T61" s="35"/>
      <c r="U61" s="35"/>
      <c r="V61" s="35"/>
      <c r="W61" s="35"/>
      <c r="X61" s="35"/>
      <c r="Y61" s="35"/>
      <c r="Z61" s="35"/>
      <c r="AA61" s="35">
        <f t="shared" si="11"/>
        <v>0</v>
      </c>
      <c r="AB61" s="36" t="str">
        <f>IF(AA61=0,"",IFERROR(AA61/AA$87,""))</f>
        <v/>
      </c>
      <c r="AD61" s="35"/>
      <c r="AE61" s="36" t="str">
        <f>IF(AD61=0,"",IFERROR(AD61/AD$87,""))</f>
        <v/>
      </c>
      <c r="AF61" s="118">
        <f t="shared" si="12"/>
        <v>0</v>
      </c>
      <c r="AG61" s="35"/>
      <c r="AH61" s="36" t="str">
        <f>IF(AG61=0,"",IFERROR(AG61/AG$87,""))</f>
        <v/>
      </c>
      <c r="AI61" s="118">
        <f t="shared" si="13"/>
        <v>0</v>
      </c>
    </row>
    <row r="62" spans="1:35" x14ac:dyDescent="0.2">
      <c r="H62" s="133" t="s">
        <v>317</v>
      </c>
      <c r="I62" s="25" t="e">
        <f ca="1">_xll.EVPRO($B$1,$H62,"STYLE")</f>
        <v>#NAME?</v>
      </c>
      <c r="J62" s="25" t="e">
        <f ca="1">_xll.EVPRO($B$1,$H62,"CALC")</f>
        <v>#NAME?</v>
      </c>
      <c r="K62" s="24"/>
      <c r="L62" s="24" t="e">
        <f ca="1">_xll.EVPRO($B$1,H62,"JDEID")</f>
        <v>#NAME?</v>
      </c>
      <c r="M62" s="24" t="e">
        <f ca="1">IF(AND(I62="N",J62="N"),_xll.EVPRO($B$1,H62,"PSFTID"),"")</f>
        <v>#NAME?</v>
      </c>
      <c r="N62" s="151" t="e">
        <f ca="1">IF(_xll.EVDES(H62,$B$1)="#NODATA","",_xll.EVDES(H62,$B$1))</f>
        <v>#NAME?</v>
      </c>
      <c r="O62" s="157"/>
      <c r="P62" s="157"/>
      <c r="Q62" s="157"/>
      <c r="R62" s="157"/>
      <c r="S62" s="157"/>
      <c r="T62" s="157"/>
      <c r="U62" s="157"/>
      <c r="V62" s="157"/>
      <c r="W62" s="157"/>
      <c r="X62" s="157"/>
      <c r="Y62" s="157"/>
      <c r="Z62" s="157"/>
      <c r="AA62" s="157" t="str">
        <f>IFERROR(AA59/AA61,"")</f>
        <v/>
      </c>
      <c r="AB62" s="157"/>
      <c r="AD62" s="157"/>
      <c r="AE62" s="157"/>
      <c r="AF62" s="158" t="str">
        <f t="shared" si="12"/>
        <v/>
      </c>
      <c r="AG62" s="157"/>
      <c r="AH62" s="157"/>
      <c r="AI62" s="158" t="str">
        <f t="shared" si="13"/>
        <v/>
      </c>
    </row>
    <row r="63" spans="1:35" x14ac:dyDescent="0.2">
      <c r="G63" s="162">
        <f>COUNTIF(O64:AI64,FALSE)</f>
        <v>0</v>
      </c>
      <c r="H63" s="10"/>
      <c r="I63" s="25"/>
      <c r="J63" s="25"/>
      <c r="K63" s="24"/>
      <c r="L63" s="24"/>
      <c r="M63" s="24"/>
      <c r="N63" s="163" t="s">
        <v>345</v>
      </c>
      <c r="O63" s="160">
        <f t="shared" ref="O63:AA63" si="14">ROUND(IFERROR(O59/O61,0),2)</f>
        <v>0</v>
      </c>
      <c r="P63" s="165">
        <f t="shared" si="14"/>
        <v>0</v>
      </c>
      <c r="Q63" s="165">
        <f t="shared" si="14"/>
        <v>0</v>
      </c>
      <c r="R63" s="165">
        <f t="shared" si="14"/>
        <v>0</v>
      </c>
      <c r="S63" s="165">
        <f t="shared" si="14"/>
        <v>0</v>
      </c>
      <c r="T63" s="165">
        <f t="shared" si="14"/>
        <v>0</v>
      </c>
      <c r="U63" s="165">
        <f t="shared" si="14"/>
        <v>0</v>
      </c>
      <c r="V63" s="165">
        <f t="shared" si="14"/>
        <v>0</v>
      </c>
      <c r="W63" s="165">
        <f t="shared" si="14"/>
        <v>0</v>
      </c>
      <c r="X63" s="165">
        <f t="shared" si="14"/>
        <v>0</v>
      </c>
      <c r="Y63" s="165">
        <f t="shared" si="14"/>
        <v>0</v>
      </c>
      <c r="Z63" s="165">
        <f t="shared" si="14"/>
        <v>0</v>
      </c>
      <c r="AA63" s="165">
        <f t="shared" si="14"/>
        <v>0</v>
      </c>
      <c r="AB63" s="164"/>
      <c r="AD63" s="160">
        <f>ROUND(IFERROR(AD59/AD61,0),2)</f>
        <v>0</v>
      </c>
      <c r="AE63" s="165"/>
      <c r="AF63" s="161"/>
      <c r="AG63" s="160">
        <f>ROUND(IFERROR(AG59/AG61,0),2)</f>
        <v>0</v>
      </c>
      <c r="AH63" s="165"/>
      <c r="AI63" s="161"/>
    </row>
    <row r="64" spans="1:35" x14ac:dyDescent="0.2">
      <c r="H64" s="133"/>
      <c r="I64" s="25"/>
      <c r="J64" s="25"/>
      <c r="K64" s="24"/>
      <c r="L64" s="24"/>
      <c r="M64" s="24"/>
      <c r="N64" s="8" t="s">
        <v>307</v>
      </c>
      <c r="O64" s="292" t="b">
        <f t="shared" ref="O64:AA64" si="15">ROUND(O62,2)=ROUND(O63,2)</f>
        <v>1</v>
      </c>
      <c r="P64" s="293" t="b">
        <f t="shared" si="15"/>
        <v>1</v>
      </c>
      <c r="Q64" s="293" t="b">
        <f t="shared" si="15"/>
        <v>1</v>
      </c>
      <c r="R64" s="293" t="b">
        <f t="shared" si="15"/>
        <v>1</v>
      </c>
      <c r="S64" s="293" t="b">
        <f t="shared" si="15"/>
        <v>1</v>
      </c>
      <c r="T64" s="293" t="b">
        <f t="shared" si="15"/>
        <v>1</v>
      </c>
      <c r="U64" s="293" t="b">
        <f t="shared" si="15"/>
        <v>1</v>
      </c>
      <c r="V64" s="293" t="b">
        <f t="shared" si="15"/>
        <v>1</v>
      </c>
      <c r="W64" s="293" t="b">
        <f t="shared" si="15"/>
        <v>1</v>
      </c>
      <c r="X64" s="293" t="b">
        <f t="shared" si="15"/>
        <v>1</v>
      </c>
      <c r="Y64" s="293" t="b">
        <f t="shared" si="15"/>
        <v>1</v>
      </c>
      <c r="Z64" s="293" t="b">
        <f t="shared" si="15"/>
        <v>1</v>
      </c>
      <c r="AA64" s="293" t="e">
        <f t="shared" si="15"/>
        <v>#VALUE!</v>
      </c>
      <c r="AB64" s="294"/>
      <c r="AC64" s="206"/>
      <c r="AD64" s="292"/>
      <c r="AE64" s="293" t="b">
        <f>ROUND(AD62,2)=ROUND(AD63,2)</f>
        <v>1</v>
      </c>
      <c r="AF64" s="294"/>
      <c r="AG64" s="292"/>
      <c r="AH64" s="293" t="b">
        <f>ROUND(AG62,2)=ROUND(AG63,2)</f>
        <v>1</v>
      </c>
      <c r="AI64" s="294"/>
    </row>
    <row r="65" spans="3:35" x14ac:dyDescent="0.2">
      <c r="H65" s="133" t="s">
        <v>263</v>
      </c>
      <c r="I65" s="25" t="e">
        <f ca="1">_xll.EVPRO($B$1,$H65,"STYLE")</f>
        <v>#NAME?</v>
      </c>
      <c r="J65" s="25" t="e">
        <f ca="1">_xll.EVPRO($B$1,$H65,"CALC")</f>
        <v>#NAME?</v>
      </c>
      <c r="K65" s="24"/>
      <c r="L65" s="24" t="e">
        <f ca="1">_xll.EVPRO($B$1,H65,"JDEID")</f>
        <v>#NAME?</v>
      </c>
      <c r="M65" s="24" t="e">
        <f ca="1">IF(AND(I65="N",J65="N"),_xll.EVPRO($B$1,H65,"PSFTID"),"")</f>
        <v>#NAME?</v>
      </c>
      <c r="N65" s="24" t="e">
        <f ca="1">IF(_xll.EVDES(H65,$B$1)="#NODATA","",_xll.EVDES(H65,$B$1))</f>
        <v>#NAME?</v>
      </c>
      <c r="O65" s="19"/>
      <c r="P65" s="19"/>
      <c r="Q65" s="19"/>
      <c r="R65" s="19"/>
      <c r="S65" s="19"/>
      <c r="T65" s="19"/>
      <c r="U65" s="19"/>
      <c r="V65" s="19"/>
      <c r="W65" s="19"/>
      <c r="X65" s="19"/>
      <c r="Y65" s="19"/>
      <c r="Z65" s="19"/>
      <c r="AA65" s="19">
        <f t="shared" ref="AA65:AA71" si="16">SUM(O65:Z65)</f>
        <v>0</v>
      </c>
      <c r="AB65" s="15" t="str">
        <f>IF(AA65=0,"",IFERROR(AA65/AA$19,""))</f>
        <v/>
      </c>
      <c r="AD65" s="19"/>
      <c r="AE65" s="15" t="str">
        <f>IF(AD65=0,"",IFERROR(AD65/AD$19,""))</f>
        <v/>
      </c>
      <c r="AF65" s="47">
        <f t="shared" ref="AF65:AF72" si="17">IF(AND($AA65="",AD65=""),"",$AA65-AD65)</f>
        <v>0</v>
      </c>
      <c r="AG65" s="19"/>
      <c r="AH65" s="15" t="str">
        <f t="shared" si="3"/>
        <v/>
      </c>
      <c r="AI65" s="47">
        <f t="shared" ref="AI65:AI72" si="18">IF(AND($AA65="",AG65=""),"",$AA65-AG65)</f>
        <v>0</v>
      </c>
    </row>
    <row r="66" spans="3:35" x14ac:dyDescent="0.2">
      <c r="H66" s="133" t="s">
        <v>308</v>
      </c>
      <c r="I66" s="25" t="e">
        <f ca="1">_xll.EVPRO($B$1,$H66,"STYLE")</f>
        <v>#NAME?</v>
      </c>
      <c r="J66" s="25" t="e">
        <f ca="1">_xll.EVPRO($B$1,$H66,"CALC")</f>
        <v>#NAME?</v>
      </c>
      <c r="K66" s="24"/>
      <c r="L66" s="24" t="e">
        <f ca="1">_xll.EVPRO($B$1,H66,"JDEID")</f>
        <v>#NAME?</v>
      </c>
      <c r="M66" s="24" t="e">
        <f ca="1">IF(AND(I66="N",J66="N"),_xll.EVPRO($B$1,H66,"PSFTID"),"")</f>
        <v>#NAME?</v>
      </c>
      <c r="N66" s="24" t="e">
        <f ca="1">IF(_xll.EVDES(H66,$B$1)="#NODATA","",_xll.EVDES(H66,$B$1))</f>
        <v>#NAME?</v>
      </c>
      <c r="O66" s="19"/>
      <c r="P66" s="19"/>
      <c r="Q66" s="19"/>
      <c r="R66" s="19"/>
      <c r="S66" s="19"/>
      <c r="T66" s="19"/>
      <c r="U66" s="19"/>
      <c r="V66" s="19"/>
      <c r="W66" s="19"/>
      <c r="X66" s="19"/>
      <c r="Y66" s="19"/>
      <c r="Z66" s="19"/>
      <c r="AA66" s="19">
        <f t="shared" si="16"/>
        <v>0</v>
      </c>
      <c r="AB66" s="15" t="str">
        <f>IF(AA66=0,"",IFERROR(AA66/AA$19,""))</f>
        <v/>
      </c>
      <c r="AD66" s="19"/>
      <c r="AE66" s="15" t="str">
        <f>IF(AD66=0,"",IFERROR(AD66/AD$19,""))</f>
        <v/>
      </c>
      <c r="AF66" s="47">
        <f t="shared" si="17"/>
        <v>0</v>
      </c>
      <c r="AG66" s="19"/>
      <c r="AH66" s="15" t="str">
        <f t="shared" si="3"/>
        <v/>
      </c>
      <c r="AI66" s="47">
        <f t="shared" si="18"/>
        <v>0</v>
      </c>
    </row>
    <row r="67" spans="3:35" x14ac:dyDescent="0.2">
      <c r="H67" s="133" t="s">
        <v>310</v>
      </c>
      <c r="I67" s="25" t="e">
        <f ca="1">_xll.EVPRO($B$1,$H67,"STYLE")</f>
        <v>#NAME?</v>
      </c>
      <c r="J67" s="25" t="e">
        <f ca="1">_xll.EVPRO($B$1,$H67,"CALC")</f>
        <v>#NAME?</v>
      </c>
      <c r="K67" s="24"/>
      <c r="L67" s="24" t="e">
        <f ca="1">_xll.EVPRO($B$1,H67,"JDEID")</f>
        <v>#NAME?</v>
      </c>
      <c r="M67" s="24" t="e">
        <f ca="1">IF(AND(I67="N",J67="N"),_xll.EVPRO($B$1,H67,"PSFTID"),"")</f>
        <v>#NAME?</v>
      </c>
      <c r="N67" s="24" t="e">
        <f ca="1">IF(_xll.EVDES(H67,$B$1)="#NODATA","",_xll.EVDES(H67,$B$1))</f>
        <v>#NAME?</v>
      </c>
      <c r="O67" s="19"/>
      <c r="P67" s="19"/>
      <c r="Q67" s="19"/>
      <c r="R67" s="19"/>
      <c r="S67" s="19"/>
      <c r="T67" s="19"/>
      <c r="U67" s="19"/>
      <c r="V67" s="19"/>
      <c r="W67" s="19"/>
      <c r="X67" s="19"/>
      <c r="Y67" s="19"/>
      <c r="Z67" s="19"/>
      <c r="AA67" s="19">
        <f t="shared" si="16"/>
        <v>0</v>
      </c>
      <c r="AB67" s="15" t="str">
        <f>IF(AA67=0,"",IFERROR(AA67/AA$19,""))</f>
        <v/>
      </c>
      <c r="AD67" s="19"/>
      <c r="AE67" s="15" t="str">
        <f>IF(AD67=0,"",IFERROR(AD67/AD$19,""))</f>
        <v/>
      </c>
      <c r="AF67" s="47">
        <f t="shared" si="17"/>
        <v>0</v>
      </c>
      <c r="AG67" s="19"/>
      <c r="AH67" s="15" t="str">
        <f t="shared" si="3"/>
        <v/>
      </c>
      <c r="AI67" s="47">
        <f t="shared" si="18"/>
        <v>0</v>
      </c>
    </row>
    <row r="68" spans="3:35" x14ac:dyDescent="0.2">
      <c r="H68" s="133" t="s">
        <v>309</v>
      </c>
      <c r="I68" s="25" t="e">
        <f ca="1">_xll.EVPRO($B$1,$H68,"STYLE")</f>
        <v>#NAME?</v>
      </c>
      <c r="J68" s="25" t="e">
        <f ca="1">_xll.EVPRO($B$1,$H68,"CALC")</f>
        <v>#NAME?</v>
      </c>
      <c r="K68" s="24"/>
      <c r="L68" s="24" t="e">
        <f ca="1">_xll.EVPRO($B$1,H68,"JDEID")</f>
        <v>#NAME?</v>
      </c>
      <c r="M68" s="24" t="e">
        <f ca="1">IF(AND(I68="N",J68="N"),_xll.EVPRO($B$1,H68,"PSFTID"),"")</f>
        <v>#NAME?</v>
      </c>
      <c r="N68" s="24" t="e">
        <f ca="1">IF(_xll.EVDES(H68,$B$1)="#NODATA","",_xll.EVDES(H68,$B$1))</f>
        <v>#NAME?</v>
      </c>
      <c r="O68" s="28"/>
      <c r="P68" s="28"/>
      <c r="Q68" s="28"/>
      <c r="R68" s="28"/>
      <c r="S68" s="28"/>
      <c r="T68" s="28"/>
      <c r="U68" s="28"/>
      <c r="V68" s="28"/>
      <c r="W68" s="28"/>
      <c r="X68" s="28"/>
      <c r="Y68" s="28"/>
      <c r="Z68" s="28"/>
      <c r="AA68" s="28">
        <f t="shared" si="16"/>
        <v>0</v>
      </c>
      <c r="AB68" s="29" t="str">
        <f>IF(AA68=0,"",IFERROR(AA68/AA$19,""))</f>
        <v/>
      </c>
      <c r="AD68" s="28"/>
      <c r="AE68" s="29" t="str">
        <f>IF(AD68=0,"",IFERROR(AD68/AD$19,""))</f>
        <v/>
      </c>
      <c r="AF68" s="48">
        <f t="shared" si="17"/>
        <v>0</v>
      </c>
      <c r="AG68" s="28"/>
      <c r="AH68" s="29" t="str">
        <f t="shared" si="3"/>
        <v/>
      </c>
      <c r="AI68" s="48">
        <f t="shared" si="18"/>
        <v>0</v>
      </c>
    </row>
    <row r="69" spans="3:35" x14ac:dyDescent="0.2">
      <c r="H69" s="133" t="s">
        <v>327</v>
      </c>
      <c r="I69" s="25" t="e">
        <f ca="1">_xll.EVPRO($B$1,$H69,"STYLE")</f>
        <v>#NAME?</v>
      </c>
      <c r="J69" s="25" t="e">
        <f ca="1">_xll.EVPRO($B$1,$H69,"CALC")</f>
        <v>#NAME?</v>
      </c>
      <c r="K69" s="24"/>
      <c r="L69" s="24" t="e">
        <f ca="1">_xll.EVPRO($B$1,H69,"JDEID")</f>
        <v>#NAME?</v>
      </c>
      <c r="M69" s="24" t="e">
        <f ca="1">IF(AND(I69="N",J69="N"),_xll.EVPRO($B$1,H69,"PSFTID"),"")</f>
        <v>#NAME?</v>
      </c>
      <c r="N69" s="23" t="e">
        <f ca="1">IF(_xll.EVDES(H69,$B$1)="#NODATA","",_xll.EVDES(H69,$B$1))</f>
        <v>#NAME?</v>
      </c>
      <c r="O69" s="145"/>
      <c r="P69" s="145"/>
      <c r="Q69" s="145"/>
      <c r="R69" s="145"/>
      <c r="S69" s="145"/>
      <c r="T69" s="145"/>
      <c r="U69" s="145"/>
      <c r="V69" s="145"/>
      <c r="W69" s="145"/>
      <c r="X69" s="145"/>
      <c r="Y69" s="145"/>
      <c r="Z69" s="145"/>
      <c r="AA69" s="145">
        <f t="shared" si="16"/>
        <v>0</v>
      </c>
      <c r="AB69" s="156" t="str">
        <f>IF(AA69=0,"",IFERROR(AA69/AA$19,""))</f>
        <v/>
      </c>
      <c r="AD69" s="145"/>
      <c r="AE69" s="156" t="str">
        <f>IF(AD69=0,"",IFERROR(AD69/AD$19,""))</f>
        <v/>
      </c>
      <c r="AF69" s="146">
        <f t="shared" si="17"/>
        <v>0</v>
      </c>
      <c r="AG69" s="145"/>
      <c r="AH69" s="156" t="str">
        <f t="shared" si="3"/>
        <v/>
      </c>
      <c r="AI69" s="146">
        <f t="shared" si="18"/>
        <v>0</v>
      </c>
    </row>
    <row r="70" spans="3:35" x14ac:dyDescent="0.2">
      <c r="H70" s="133" t="s">
        <v>766</v>
      </c>
      <c r="I70" s="25" t="e">
        <f ca="1">_xll.EVPRO($B$1,$H70,"STYLE")</f>
        <v>#NAME?</v>
      </c>
      <c r="J70" s="25" t="e">
        <f ca="1">_xll.EVPRO($B$1,$H70,"CALC")</f>
        <v>#NAME?</v>
      </c>
      <c r="K70" s="24"/>
      <c r="L70" s="24" t="e">
        <f ca="1">_xll.EVPRO($B$1,H70,"JDEID")</f>
        <v>#NAME?</v>
      </c>
      <c r="M70" s="24" t="e">
        <f ca="1">IF(AND(I70="N",J70="N"),_xll.EVPRO($B$1,H70,"PSFTID"),"")</f>
        <v>#NAME?</v>
      </c>
      <c r="N70" s="24" t="e">
        <f ca="1">IF(_xll.EVDES(H70,$B$1)="#NODATA","",_xll.EVDES(H70,$B$1))</f>
        <v>#NAME?</v>
      </c>
      <c r="O70" s="35"/>
      <c r="P70" s="35"/>
      <c r="Q70" s="35"/>
      <c r="R70" s="35"/>
      <c r="S70" s="35"/>
      <c r="T70" s="35"/>
      <c r="U70" s="35"/>
      <c r="V70" s="35"/>
      <c r="W70" s="35"/>
      <c r="X70" s="35"/>
      <c r="Y70" s="35"/>
      <c r="Z70" s="35"/>
      <c r="AA70" s="35">
        <f t="shared" si="16"/>
        <v>0</v>
      </c>
      <c r="AB70" s="36"/>
      <c r="AD70" s="35"/>
      <c r="AE70" s="36"/>
      <c r="AF70" s="118">
        <f t="shared" si="17"/>
        <v>0</v>
      </c>
      <c r="AG70" s="35"/>
      <c r="AH70" s="36"/>
      <c r="AI70" s="118">
        <f t="shared" si="18"/>
        <v>0</v>
      </c>
    </row>
    <row r="71" spans="3:35" x14ac:dyDescent="0.2">
      <c r="H71" s="133" t="s">
        <v>326</v>
      </c>
      <c r="I71" s="25" t="e">
        <f ca="1">_xll.EVPRO($B$1,$H71,"STYLE")</f>
        <v>#NAME?</v>
      </c>
      <c r="J71" s="25" t="e">
        <f ca="1">_xll.EVPRO($B$1,$H71,"CALC")</f>
        <v>#NAME?</v>
      </c>
      <c r="K71" s="24"/>
      <c r="L71" s="24" t="e">
        <f ca="1">_xll.EVPRO($B$1,H71,"JDEID")</f>
        <v>#NAME?</v>
      </c>
      <c r="M71" s="24" t="e">
        <f ca="1">IF(AND(I71="N",J71="N"),_xll.EVPRO($B$1,H71,"PSFTID"),"")</f>
        <v>#NAME?</v>
      </c>
      <c r="N71" s="24" t="e">
        <f ca="1">IF(_xll.EVDES(H71,$B$1)="#NODATA","",_xll.EVDES(H71,$B$1))</f>
        <v>#NAME?</v>
      </c>
      <c r="O71" s="35"/>
      <c r="P71" s="35"/>
      <c r="Q71" s="35"/>
      <c r="R71" s="35"/>
      <c r="S71" s="35"/>
      <c r="T71" s="35"/>
      <c r="U71" s="35"/>
      <c r="V71" s="35"/>
      <c r="W71" s="35"/>
      <c r="X71" s="35"/>
      <c r="Y71" s="35"/>
      <c r="Z71" s="35"/>
      <c r="AA71" s="35">
        <f t="shared" si="16"/>
        <v>0</v>
      </c>
      <c r="AB71" s="36" t="str">
        <f>IF(AA71=0,"",IFERROR(AA71/AA$87,""))</f>
        <v/>
      </c>
      <c r="AD71" s="35"/>
      <c r="AE71" s="36" t="str">
        <f>IF(AD71=0,"",IFERROR(AD71/AD$87,""))</f>
        <v/>
      </c>
      <c r="AF71" s="118">
        <f t="shared" si="17"/>
        <v>0</v>
      </c>
      <c r="AG71" s="35"/>
      <c r="AH71" s="36" t="str">
        <f>IF(AG71=0,"",IFERROR(AG71/AG$87,""))</f>
        <v/>
      </c>
      <c r="AI71" s="118">
        <f t="shared" si="18"/>
        <v>0</v>
      </c>
    </row>
    <row r="72" spans="3:35" x14ac:dyDescent="0.2">
      <c r="H72" s="133" t="s">
        <v>328</v>
      </c>
      <c r="I72" s="25" t="e">
        <f ca="1">_xll.EVPRO($B$1,$H72,"STYLE")</f>
        <v>#NAME?</v>
      </c>
      <c r="J72" s="25" t="e">
        <f ca="1">_xll.EVPRO($B$1,$H72,"CALC")</f>
        <v>#NAME?</v>
      </c>
      <c r="K72" s="24"/>
      <c r="L72" s="24" t="e">
        <f ca="1">_xll.EVPRO($B$1,H72,"JDEID")</f>
        <v>#NAME?</v>
      </c>
      <c r="M72" s="24" t="e">
        <f ca="1">IF(AND(I72="N",J72="N"),_xll.EVPRO($B$1,H72,"PSFTID"),"")</f>
        <v>#NAME?</v>
      </c>
      <c r="N72" s="151" t="e">
        <f ca="1">IF(_xll.EVDES(H72,$B$1)="#NODATA","",_xll.EVDES(H72,$B$1))</f>
        <v>#NAME?</v>
      </c>
      <c r="O72" s="157"/>
      <c r="P72" s="157"/>
      <c r="Q72" s="157"/>
      <c r="R72" s="157"/>
      <c r="S72" s="157"/>
      <c r="T72" s="157"/>
      <c r="U72" s="157"/>
      <c r="V72" s="157"/>
      <c r="W72" s="157"/>
      <c r="X72" s="157"/>
      <c r="Y72" s="157"/>
      <c r="Z72" s="157"/>
      <c r="AA72" s="157" t="str">
        <f>IFERROR(AA69/AA71,"")</f>
        <v/>
      </c>
      <c r="AB72" s="157"/>
      <c r="AD72" s="157"/>
      <c r="AE72" s="157"/>
      <c r="AF72" s="158" t="str">
        <f t="shared" si="17"/>
        <v/>
      </c>
      <c r="AG72" s="157"/>
      <c r="AH72" s="157"/>
      <c r="AI72" s="158" t="str">
        <f t="shared" si="18"/>
        <v/>
      </c>
    </row>
    <row r="73" spans="3:35" x14ac:dyDescent="0.2">
      <c r="G73" s="162">
        <f>COUNTIF(O74:AI74,FALSE)</f>
        <v>0</v>
      </c>
      <c r="H73" s="10"/>
      <c r="I73" s="25"/>
      <c r="J73" s="25"/>
      <c r="K73" s="24"/>
      <c r="L73" s="24"/>
      <c r="M73" s="24"/>
      <c r="N73" s="163" t="s">
        <v>345</v>
      </c>
      <c r="O73" s="160">
        <f t="shared" ref="O73:AA73" si="19">ROUND(IFERROR(O69/O71,0),2)</f>
        <v>0</v>
      </c>
      <c r="P73" s="165">
        <f t="shared" si="19"/>
        <v>0</v>
      </c>
      <c r="Q73" s="165">
        <f t="shared" si="19"/>
        <v>0</v>
      </c>
      <c r="R73" s="165">
        <f t="shared" si="19"/>
        <v>0</v>
      </c>
      <c r="S73" s="165">
        <f t="shared" si="19"/>
        <v>0</v>
      </c>
      <c r="T73" s="165">
        <f t="shared" si="19"/>
        <v>0</v>
      </c>
      <c r="U73" s="165">
        <f t="shared" si="19"/>
        <v>0</v>
      </c>
      <c r="V73" s="165">
        <f t="shared" si="19"/>
        <v>0</v>
      </c>
      <c r="W73" s="165">
        <f t="shared" si="19"/>
        <v>0</v>
      </c>
      <c r="X73" s="165">
        <f t="shared" si="19"/>
        <v>0</v>
      </c>
      <c r="Y73" s="165">
        <f t="shared" si="19"/>
        <v>0</v>
      </c>
      <c r="Z73" s="165">
        <f t="shared" si="19"/>
        <v>0</v>
      </c>
      <c r="AA73" s="165">
        <f t="shared" si="19"/>
        <v>0</v>
      </c>
      <c r="AB73" s="164"/>
      <c r="AD73" s="160">
        <f>ROUND(IFERROR(AD69/AD71,0),2)</f>
        <v>0</v>
      </c>
      <c r="AE73" s="165"/>
      <c r="AF73" s="161"/>
      <c r="AG73" s="160">
        <f>ROUND(IFERROR(AG69/AG71,0),2)</f>
        <v>0</v>
      </c>
      <c r="AH73" s="165"/>
      <c r="AI73" s="161"/>
    </row>
    <row r="74" spans="3:35" x14ac:dyDescent="0.2">
      <c r="H74" s="133"/>
      <c r="I74" s="25"/>
      <c r="J74" s="25"/>
      <c r="K74" s="24"/>
      <c r="L74" s="24"/>
      <c r="M74" s="24"/>
      <c r="N74" s="8" t="s">
        <v>324</v>
      </c>
      <c r="O74" s="292" t="b">
        <f t="shared" ref="O74:AA74" si="20">ROUND(O72,2)=ROUND(O73,2)</f>
        <v>1</v>
      </c>
      <c r="P74" s="293" t="b">
        <f t="shared" si="20"/>
        <v>1</v>
      </c>
      <c r="Q74" s="293" t="b">
        <f t="shared" si="20"/>
        <v>1</v>
      </c>
      <c r="R74" s="293" t="b">
        <f t="shared" si="20"/>
        <v>1</v>
      </c>
      <c r="S74" s="293" t="b">
        <f t="shared" si="20"/>
        <v>1</v>
      </c>
      <c r="T74" s="293" t="b">
        <f t="shared" si="20"/>
        <v>1</v>
      </c>
      <c r="U74" s="293" t="b">
        <f t="shared" si="20"/>
        <v>1</v>
      </c>
      <c r="V74" s="293" t="b">
        <f t="shared" si="20"/>
        <v>1</v>
      </c>
      <c r="W74" s="293" t="b">
        <f t="shared" si="20"/>
        <v>1</v>
      </c>
      <c r="X74" s="293" t="b">
        <f t="shared" si="20"/>
        <v>1</v>
      </c>
      <c r="Y74" s="293" t="b">
        <f t="shared" si="20"/>
        <v>1</v>
      </c>
      <c r="Z74" s="293" t="b">
        <f t="shared" si="20"/>
        <v>1</v>
      </c>
      <c r="AA74" s="293" t="e">
        <f t="shared" si="20"/>
        <v>#VALUE!</v>
      </c>
      <c r="AB74" s="294"/>
      <c r="AC74" s="206"/>
      <c r="AD74" s="292"/>
      <c r="AE74" s="293" t="b">
        <f>ROUND(AD72,2)=ROUND(AD73,2)</f>
        <v>1</v>
      </c>
      <c r="AF74" s="294"/>
      <c r="AG74" s="292"/>
      <c r="AH74" s="293" t="b">
        <f>ROUND(AG72,2)=ROUND(AG73,2)</f>
        <v>1</v>
      </c>
      <c r="AI74" s="294"/>
    </row>
    <row r="75" spans="3:35" x14ac:dyDescent="0.2">
      <c r="H75" s="133" t="s">
        <v>264</v>
      </c>
      <c r="I75" s="25" t="e">
        <f ca="1">_xll.EVPRO($B$1,$H75,"STYLE")</f>
        <v>#NAME?</v>
      </c>
      <c r="J75" s="25" t="e">
        <f ca="1">_xll.EVPRO($B$1,$H75,"CALC")</f>
        <v>#NAME?</v>
      </c>
      <c r="K75" s="24"/>
      <c r="L75" s="24" t="e">
        <f ca="1">_xll.EVPRO($B$1,H75,"JDEID")</f>
        <v>#NAME?</v>
      </c>
      <c r="M75" s="24" t="e">
        <f ca="1">IF(AND(I75="N",J75="N"),_xll.EVPRO($B$1,H75,"PSFTID"),"")</f>
        <v>#NAME?</v>
      </c>
      <c r="N75" s="24" t="e">
        <f ca="1">IF(_xll.EVDES(H75,$B$1)="#NODATA","",_xll.EVDES(H75,$B$1))</f>
        <v>#NAME?</v>
      </c>
      <c r="O75" s="19"/>
      <c r="P75" s="19"/>
      <c r="Q75" s="19"/>
      <c r="R75" s="19"/>
      <c r="S75" s="19"/>
      <c r="T75" s="19"/>
      <c r="U75" s="19"/>
      <c r="V75" s="19"/>
      <c r="W75" s="19"/>
      <c r="X75" s="19"/>
      <c r="Y75" s="19"/>
      <c r="Z75" s="19"/>
      <c r="AA75" s="19">
        <f t="shared" ref="AA75:AA80" si="21">SUM(O75:Z75)</f>
        <v>0</v>
      </c>
      <c r="AB75" s="15" t="str">
        <f>IF(AA75=0,"",IFERROR(AA75/AA$19,""))</f>
        <v/>
      </c>
      <c r="AD75" s="19"/>
      <c r="AE75" s="15" t="str">
        <f>IF(AD75=0,"",IFERROR(AD75/AD$19,""))</f>
        <v/>
      </c>
      <c r="AF75" s="47">
        <f t="shared" ref="AF75:AF81" si="22">IF(AND($AA75="",AD75=""),"",$AA75-AD75)</f>
        <v>0</v>
      </c>
      <c r="AG75" s="19"/>
      <c r="AH75" s="15" t="str">
        <f t="shared" si="3"/>
        <v/>
      </c>
      <c r="AI75" s="47">
        <f t="shared" ref="AI75:AI81" si="23">IF(AND($AA75="",AG75=""),"",$AA75-AG75)</f>
        <v>0</v>
      </c>
    </row>
    <row r="76" spans="3:35" x14ac:dyDescent="0.2">
      <c r="H76" s="133" t="s">
        <v>321</v>
      </c>
      <c r="I76" s="25" t="e">
        <f ca="1">_xll.EVPRO($B$1,$H76,"STYLE")</f>
        <v>#NAME?</v>
      </c>
      <c r="J76" s="25" t="e">
        <f ca="1">_xll.EVPRO($B$1,$H76,"CALC")</f>
        <v>#NAME?</v>
      </c>
      <c r="K76" s="24"/>
      <c r="L76" s="24" t="e">
        <f ca="1">_xll.EVPRO($B$1,H76,"JDEID")</f>
        <v>#NAME?</v>
      </c>
      <c r="M76" s="24" t="e">
        <f ca="1">IF(AND(I76="N",J76="N"),_xll.EVPRO($B$1,H76,"PSFTID"),"")</f>
        <v>#NAME?</v>
      </c>
      <c r="N76" s="24" t="e">
        <f ca="1">IF(_xll.EVDES(H76,$B$1)="#NODATA","",_xll.EVDES(H76,$B$1))</f>
        <v>#NAME?</v>
      </c>
      <c r="O76" s="19"/>
      <c r="P76" s="19"/>
      <c r="Q76" s="19"/>
      <c r="R76" s="19"/>
      <c r="S76" s="19"/>
      <c r="T76" s="19"/>
      <c r="U76" s="19"/>
      <c r="V76" s="19"/>
      <c r="W76" s="19"/>
      <c r="X76" s="19"/>
      <c r="Y76" s="19"/>
      <c r="Z76" s="19"/>
      <c r="AA76" s="19">
        <f t="shared" si="21"/>
        <v>0</v>
      </c>
      <c r="AB76" s="15" t="str">
        <f>IF(AA76=0,"",IFERROR(AA76/AA$19,""))</f>
        <v/>
      </c>
      <c r="AD76" s="19"/>
      <c r="AE76" s="15" t="str">
        <f>IF(AD76=0,"",IFERROR(AD76/AD$19,""))</f>
        <v/>
      </c>
      <c r="AF76" s="47">
        <f t="shared" si="22"/>
        <v>0</v>
      </c>
      <c r="AG76" s="19"/>
      <c r="AH76" s="15" t="str">
        <f t="shared" si="3"/>
        <v/>
      </c>
      <c r="AI76" s="47">
        <f t="shared" si="23"/>
        <v>0</v>
      </c>
    </row>
    <row r="77" spans="3:35" x14ac:dyDescent="0.2">
      <c r="H77" s="133" t="s">
        <v>323</v>
      </c>
      <c r="I77" s="25" t="e">
        <f ca="1">_xll.EVPRO($B$1,$H77,"STYLE")</f>
        <v>#NAME?</v>
      </c>
      <c r="J77" s="25" t="e">
        <f ca="1">_xll.EVPRO($B$1,$H77,"CALC")</f>
        <v>#NAME?</v>
      </c>
      <c r="K77" s="24"/>
      <c r="L77" s="24" t="e">
        <f ca="1">_xll.EVPRO($B$1,H77,"JDEID")</f>
        <v>#NAME?</v>
      </c>
      <c r="M77" s="24" t="e">
        <f ca="1">IF(AND(I77="N",J77="N"),_xll.EVPRO($B$1,H77,"PSFTID"),"")</f>
        <v>#NAME?</v>
      </c>
      <c r="N77" s="24" t="e">
        <f ca="1">IF(_xll.EVDES(H77,$B$1)="#NODATA","",_xll.EVDES(H77,$B$1))</f>
        <v>#NAME?</v>
      </c>
      <c r="O77" s="19"/>
      <c r="P77" s="19"/>
      <c r="Q77" s="19"/>
      <c r="R77" s="19"/>
      <c r="S77" s="19"/>
      <c r="T77" s="19"/>
      <c r="U77" s="19"/>
      <c r="V77" s="19"/>
      <c r="W77" s="19"/>
      <c r="X77" s="19"/>
      <c r="Y77" s="19"/>
      <c r="Z77" s="19"/>
      <c r="AA77" s="19">
        <f t="shared" si="21"/>
        <v>0</v>
      </c>
      <c r="AB77" s="15" t="str">
        <f>IF(AA77=0,"",IFERROR(AA77/AA$19,""))</f>
        <v/>
      </c>
      <c r="AD77" s="19"/>
      <c r="AE77" s="15" t="str">
        <f>IF(AD77=0,"",IFERROR(AD77/AD$19,""))</f>
        <v/>
      </c>
      <c r="AF77" s="47">
        <f t="shared" si="22"/>
        <v>0</v>
      </c>
      <c r="AG77" s="19"/>
      <c r="AH77" s="15" t="str">
        <f t="shared" si="3"/>
        <v/>
      </c>
      <c r="AI77" s="47">
        <f t="shared" si="23"/>
        <v>0</v>
      </c>
    </row>
    <row r="78" spans="3:35" x14ac:dyDescent="0.2">
      <c r="C78" s="23"/>
      <c r="H78" s="133" t="s">
        <v>322</v>
      </c>
      <c r="I78" s="25" t="e">
        <f ca="1">_xll.EVPRO($B$1,$H78,"STYLE")</f>
        <v>#NAME?</v>
      </c>
      <c r="J78" s="25" t="e">
        <f ca="1">_xll.EVPRO($B$1,$H78,"CALC")</f>
        <v>#NAME?</v>
      </c>
      <c r="K78" s="24"/>
      <c r="L78" s="24" t="e">
        <f ca="1">_xll.EVPRO($B$1,H78,"JDEID")</f>
        <v>#NAME?</v>
      </c>
      <c r="M78" s="24" t="e">
        <f ca="1">IF(AND(I78="N",J78="N"),_xll.EVPRO($B$1,H78,"PSFTID"),"")</f>
        <v>#NAME?</v>
      </c>
      <c r="N78" s="24" t="e">
        <f ca="1">IF(_xll.EVDES(H78,$B$1)="#NODATA","",_xll.EVDES(H78,$B$1))</f>
        <v>#NAME?</v>
      </c>
      <c r="O78" s="28"/>
      <c r="P78" s="28"/>
      <c r="Q78" s="28"/>
      <c r="R78" s="28"/>
      <c r="S78" s="28"/>
      <c r="T78" s="28"/>
      <c r="U78" s="28"/>
      <c r="V78" s="28"/>
      <c r="W78" s="28"/>
      <c r="X78" s="28"/>
      <c r="Y78" s="28"/>
      <c r="Z78" s="28"/>
      <c r="AA78" s="28">
        <f t="shared" si="21"/>
        <v>0</v>
      </c>
      <c r="AB78" s="29" t="str">
        <f>IF(AA78=0,"",IFERROR(AA78/AA$19,""))</f>
        <v/>
      </c>
      <c r="AD78" s="28"/>
      <c r="AE78" s="29" t="str">
        <f>IF(AD78=0,"",IFERROR(AD78/AD$19,""))</f>
        <v/>
      </c>
      <c r="AF78" s="48">
        <f t="shared" si="22"/>
        <v>0</v>
      </c>
      <c r="AG78" s="28"/>
      <c r="AH78" s="29" t="str">
        <f t="shared" si="3"/>
        <v/>
      </c>
      <c r="AI78" s="48">
        <f t="shared" si="23"/>
        <v>0</v>
      </c>
    </row>
    <row r="79" spans="3:35" x14ac:dyDescent="0.2">
      <c r="C79" s="23"/>
      <c r="H79" s="133" t="s">
        <v>329</v>
      </c>
      <c r="I79" s="25" t="e">
        <f ca="1">_xll.EVPRO($B$1,$H79,"STYLE")</f>
        <v>#NAME?</v>
      </c>
      <c r="J79" s="25" t="e">
        <f ca="1">_xll.EVPRO($B$1,$H79,"CALC")</f>
        <v>#NAME?</v>
      </c>
      <c r="K79" s="24"/>
      <c r="L79" s="24" t="e">
        <f ca="1">_xll.EVPRO($B$1,H79,"JDEID")</f>
        <v>#NAME?</v>
      </c>
      <c r="M79" s="24" t="e">
        <f ca="1">IF(AND(I79="N",J79="N"),_xll.EVPRO($B$1,H79,"PSFTID"),"")</f>
        <v>#NAME?</v>
      </c>
      <c r="N79" s="23" t="e">
        <f ca="1">IF(_xll.EVDES(H79,$B$1)="#NODATA","",_xll.EVDES(H79,$B$1))</f>
        <v>#NAME?</v>
      </c>
      <c r="O79" s="145"/>
      <c r="P79" s="145"/>
      <c r="Q79" s="145"/>
      <c r="R79" s="145"/>
      <c r="S79" s="145"/>
      <c r="T79" s="145"/>
      <c r="U79" s="145"/>
      <c r="V79" s="145"/>
      <c r="W79" s="145"/>
      <c r="X79" s="145"/>
      <c r="Y79" s="145"/>
      <c r="Z79" s="145"/>
      <c r="AA79" s="145">
        <f t="shared" si="21"/>
        <v>0</v>
      </c>
      <c r="AB79" s="156" t="str">
        <f>IF(AA79=0,"",IFERROR(AA79/AA$19,""))</f>
        <v/>
      </c>
      <c r="AD79" s="145"/>
      <c r="AE79" s="156" t="str">
        <f>IF(AD79=0,"",IFERROR(AD79/AD$19,""))</f>
        <v/>
      </c>
      <c r="AF79" s="146">
        <f t="shared" si="22"/>
        <v>0</v>
      </c>
      <c r="AG79" s="145"/>
      <c r="AH79" s="156" t="str">
        <f t="shared" si="3"/>
        <v/>
      </c>
      <c r="AI79" s="146">
        <f t="shared" si="23"/>
        <v>0</v>
      </c>
    </row>
    <row r="80" spans="3:35" x14ac:dyDescent="0.2">
      <c r="C80" s="23"/>
      <c r="H80" s="133" t="s">
        <v>300</v>
      </c>
      <c r="I80" s="25" t="e">
        <f ca="1">_xll.EVPRO($B$1,$H80,"STYLE")</f>
        <v>#NAME?</v>
      </c>
      <c r="J80" s="25" t="e">
        <f ca="1">_xll.EVPRO($B$1,$H80,"CALC")</f>
        <v>#NAME?</v>
      </c>
      <c r="K80" s="24"/>
      <c r="L80" s="24" t="e">
        <f ca="1">_xll.EVPRO($B$1,H80,"JDEID")</f>
        <v>#NAME?</v>
      </c>
      <c r="M80" s="24" t="e">
        <f ca="1">IF(AND(I80="N",J80="N"),_xll.EVPRO($B$1,H80,"PSFTID"),"")</f>
        <v>#NAME?</v>
      </c>
      <c r="N80" s="24" t="e">
        <f ca="1">IF(_xll.EVDES(H80,$B$1)="#NODATA","",_xll.EVDES(H80,$B$1))</f>
        <v>#NAME?</v>
      </c>
      <c r="O80" s="35"/>
      <c r="P80" s="35"/>
      <c r="Q80" s="35"/>
      <c r="R80" s="35"/>
      <c r="S80" s="35"/>
      <c r="T80" s="35"/>
      <c r="U80" s="35"/>
      <c r="V80" s="35"/>
      <c r="W80" s="35"/>
      <c r="X80" s="35"/>
      <c r="Y80" s="35"/>
      <c r="Z80" s="35"/>
      <c r="AA80" s="35">
        <f t="shared" si="21"/>
        <v>0</v>
      </c>
      <c r="AB80" s="36" t="str">
        <f>IF(AA80=0,"",IFERROR(AA80/AA$87,""))</f>
        <v/>
      </c>
      <c r="AD80" s="35"/>
      <c r="AE80" s="36" t="str">
        <f>IF(AD80=0,"",IFERROR(AD80/AD$87,""))</f>
        <v/>
      </c>
      <c r="AF80" s="118">
        <f t="shared" si="22"/>
        <v>0</v>
      </c>
      <c r="AG80" s="35"/>
      <c r="AH80" s="36" t="str">
        <f>IF(AG80=0,"",IFERROR(AG80/AG$87,""))</f>
        <v/>
      </c>
      <c r="AI80" s="118">
        <f t="shared" si="23"/>
        <v>0</v>
      </c>
    </row>
    <row r="81" spans="3:35" x14ac:dyDescent="0.2">
      <c r="C81" s="23"/>
      <c r="H81" s="133" t="s">
        <v>325</v>
      </c>
      <c r="I81" s="25" t="e">
        <f ca="1">_xll.EVPRO($B$1,$H81,"STYLE")</f>
        <v>#NAME?</v>
      </c>
      <c r="J81" s="25" t="e">
        <f ca="1">_xll.EVPRO($B$1,$H81,"CALC")</f>
        <v>#NAME?</v>
      </c>
      <c r="K81" s="24"/>
      <c r="L81" s="24" t="e">
        <f ca="1">_xll.EVPRO($B$1,H81,"JDEID")</f>
        <v>#NAME?</v>
      </c>
      <c r="M81" s="24" t="e">
        <f ca="1">IF(AND(I81="N",J81="N"),_xll.EVPRO($B$1,H81,"PSFTID"),"")</f>
        <v>#NAME?</v>
      </c>
      <c r="N81" s="151" t="e">
        <f ca="1">IF(_xll.EVDES(H81,$B$1)="#NODATA","",_xll.EVDES(H81,$B$1))</f>
        <v>#NAME?</v>
      </c>
      <c r="O81" s="157"/>
      <c r="P81" s="157"/>
      <c r="Q81" s="157"/>
      <c r="R81" s="157"/>
      <c r="S81" s="157"/>
      <c r="T81" s="157"/>
      <c r="U81" s="157"/>
      <c r="V81" s="157"/>
      <c r="W81" s="157"/>
      <c r="X81" s="157"/>
      <c r="Y81" s="157"/>
      <c r="Z81" s="157"/>
      <c r="AA81" s="157" t="str">
        <f>IFERROR(AA79/AA80,"")</f>
        <v/>
      </c>
      <c r="AB81" s="157"/>
      <c r="AD81" s="157"/>
      <c r="AE81" s="157"/>
      <c r="AF81" s="158" t="str">
        <f t="shared" si="22"/>
        <v/>
      </c>
      <c r="AG81" s="157"/>
      <c r="AH81" s="157"/>
      <c r="AI81" s="158" t="str">
        <f t="shared" si="23"/>
        <v/>
      </c>
    </row>
    <row r="82" spans="3:35" x14ac:dyDescent="0.2">
      <c r="C82" s="23"/>
      <c r="G82" s="162">
        <f>COUNTIF(O84:AI84,FALSE)</f>
        <v>0</v>
      </c>
      <c r="H82" s="10"/>
      <c r="I82" s="25"/>
      <c r="J82" s="25"/>
      <c r="K82" s="24"/>
      <c r="L82" s="24"/>
      <c r="M82" s="24"/>
      <c r="N82" s="163" t="s">
        <v>345</v>
      </c>
      <c r="O82" s="160">
        <f t="shared" ref="O82:AA82" si="24">ROUND(IFERROR(O79/O80,0),2)</f>
        <v>0</v>
      </c>
      <c r="P82" s="165">
        <f t="shared" si="24"/>
        <v>0</v>
      </c>
      <c r="Q82" s="165">
        <f t="shared" si="24"/>
        <v>0</v>
      </c>
      <c r="R82" s="165">
        <f t="shared" si="24"/>
        <v>0</v>
      </c>
      <c r="S82" s="165">
        <f t="shared" si="24"/>
        <v>0</v>
      </c>
      <c r="T82" s="165">
        <f t="shared" si="24"/>
        <v>0</v>
      </c>
      <c r="U82" s="165">
        <f t="shared" si="24"/>
        <v>0</v>
      </c>
      <c r="V82" s="165">
        <f t="shared" si="24"/>
        <v>0</v>
      </c>
      <c r="W82" s="165">
        <f t="shared" si="24"/>
        <v>0</v>
      </c>
      <c r="X82" s="165">
        <f t="shared" si="24"/>
        <v>0</v>
      </c>
      <c r="Y82" s="165">
        <f t="shared" si="24"/>
        <v>0</v>
      </c>
      <c r="Z82" s="165">
        <f t="shared" si="24"/>
        <v>0</v>
      </c>
      <c r="AA82" s="165">
        <f t="shared" si="24"/>
        <v>0</v>
      </c>
      <c r="AB82" s="164"/>
      <c r="AD82" s="160">
        <f>ROUND(IFERROR(AD79/AD80,0),2)</f>
        <v>0</v>
      </c>
      <c r="AE82" s="165"/>
      <c r="AF82" s="161"/>
      <c r="AG82" s="160">
        <f>ROUND(IFERROR(AG79/AG80,0),2)</f>
        <v>0</v>
      </c>
      <c r="AH82" s="165"/>
      <c r="AI82" s="161"/>
    </row>
    <row r="83" spans="3:35" x14ac:dyDescent="0.2">
      <c r="C83" s="23"/>
      <c r="H83" s="10" t="s">
        <v>486</v>
      </c>
      <c r="I83" s="25" t="e">
        <f ca="1">_xll.EVPRO($B$1,$H83,"STYLE")</f>
        <v>#NAME?</v>
      </c>
      <c r="J83" s="25" t="e">
        <f ca="1">_xll.EVPRO($B$1,$H83,"CALC")</f>
        <v>#NAME?</v>
      </c>
      <c r="K83" s="24"/>
      <c r="L83" s="24" t="e">
        <f ca="1">_xll.EVPRO($B$1,H83,"JDEID")</f>
        <v>#NAME?</v>
      </c>
      <c r="M83" s="24" t="e">
        <f ca="1">IF(AND(I83="N",J83="N"),_xll.EVPRO($B$1,H83,"PSFTID"),"")</f>
        <v>#NAME?</v>
      </c>
      <c r="N83" s="24" t="e">
        <f ca="1">IF(_xll.EVDES(H83,$B$1)="#NODATA","",_xll.EVDES(H83,$B$1))</f>
        <v>#NAME?</v>
      </c>
      <c r="O83" s="19"/>
      <c r="P83" s="19"/>
      <c r="Q83" s="19"/>
      <c r="R83" s="19"/>
      <c r="S83" s="19"/>
      <c r="T83" s="19"/>
      <c r="U83" s="19"/>
      <c r="V83" s="19"/>
      <c r="W83" s="19"/>
      <c r="X83" s="19"/>
      <c r="Y83" s="19"/>
      <c r="Z83" s="19"/>
      <c r="AA83" s="19">
        <f>SUM(O83:Z83)</f>
        <v>0</v>
      </c>
      <c r="AB83" s="15" t="str">
        <f>IF(AA83=0,"",IFERROR(AA83/AA$19,""))</f>
        <v/>
      </c>
      <c r="AD83" s="19"/>
      <c r="AE83" s="15" t="str">
        <f>IF(AD83=0,"",IFERROR(AD83/AD$19,""))</f>
        <v/>
      </c>
      <c r="AF83" s="47">
        <f>IF(AND($AA83="",AD83=""),"",$AA83-AD83)</f>
        <v>0</v>
      </c>
      <c r="AG83" s="19"/>
      <c r="AH83" s="15" t="str">
        <f>IF(AG83=0,"",IFERROR(AG83/AG$19,""))</f>
        <v/>
      </c>
      <c r="AI83" s="47">
        <f>IF(AND($AA83="",AG83=""),"",$AA83-AG83)</f>
        <v>0</v>
      </c>
    </row>
    <row r="84" spans="3:35" x14ac:dyDescent="0.2">
      <c r="C84" s="23"/>
      <c r="H84" s="10"/>
      <c r="I84" s="25"/>
      <c r="J84" s="25"/>
      <c r="K84" s="24"/>
      <c r="L84" s="24"/>
      <c r="M84" s="24"/>
      <c r="N84" s="8" t="s">
        <v>348</v>
      </c>
      <c r="O84" s="292" t="b">
        <f t="shared" ref="O84:AA84" si="25">ROUND(O81,2)=ROUND(O82,2)</f>
        <v>1</v>
      </c>
      <c r="P84" s="293" t="b">
        <f t="shared" si="25"/>
        <v>1</v>
      </c>
      <c r="Q84" s="293" t="b">
        <f t="shared" si="25"/>
        <v>1</v>
      </c>
      <c r="R84" s="293" t="b">
        <f t="shared" si="25"/>
        <v>1</v>
      </c>
      <c r="S84" s="293" t="b">
        <f t="shared" si="25"/>
        <v>1</v>
      </c>
      <c r="T84" s="293" t="b">
        <f t="shared" si="25"/>
        <v>1</v>
      </c>
      <c r="U84" s="293" t="b">
        <f t="shared" si="25"/>
        <v>1</v>
      </c>
      <c r="V84" s="293" t="b">
        <f t="shared" si="25"/>
        <v>1</v>
      </c>
      <c r="W84" s="293" t="b">
        <f t="shared" si="25"/>
        <v>1</v>
      </c>
      <c r="X84" s="293" t="b">
        <f t="shared" si="25"/>
        <v>1</v>
      </c>
      <c r="Y84" s="293" t="b">
        <f t="shared" si="25"/>
        <v>1</v>
      </c>
      <c r="Z84" s="293" t="b">
        <f t="shared" si="25"/>
        <v>1</v>
      </c>
      <c r="AA84" s="293" t="e">
        <f t="shared" si="25"/>
        <v>#VALUE!</v>
      </c>
      <c r="AB84" s="294"/>
      <c r="AC84" s="206"/>
      <c r="AD84" s="292"/>
      <c r="AE84" s="293" t="b">
        <f>ROUND(AD81,2)=ROUND(AD82,2)</f>
        <v>1</v>
      </c>
      <c r="AF84" s="294"/>
      <c r="AG84" s="292"/>
      <c r="AH84" s="293" t="b">
        <f>ROUND(AG81,2)=ROUND(AG82,2)</f>
        <v>1</v>
      </c>
      <c r="AI84" s="294"/>
    </row>
    <row r="85" spans="3:35" x14ac:dyDescent="0.2">
      <c r="C85" s="23"/>
      <c r="H85" s="133" t="s">
        <v>273</v>
      </c>
      <c r="I85" s="25" t="e">
        <f ca="1">_xll.EVPRO($B$1,$H85,"STYLE")</f>
        <v>#NAME?</v>
      </c>
      <c r="J85" s="25" t="e">
        <f ca="1">_xll.EVPRO($B$1,$H85,"CALC")</f>
        <v>#NAME?</v>
      </c>
      <c r="L85" s="24" t="e">
        <f ca="1">_xll.EVPRO($B$1,H85,"JDEID")</f>
        <v>#NAME?</v>
      </c>
      <c r="M85" s="24" t="e">
        <f ca="1">IF(AND(I85="N",J85="N"),_xll.EVPRO($B$1,H85,"PSFTID"),"")</f>
        <v>#NAME?</v>
      </c>
      <c r="N85" s="24" t="e">
        <f ca="1">IF(_xll.EVDES(H85,$B$1)="#NODATA","",_xll.EVDES(H85,$B$1))</f>
        <v>#NAME?</v>
      </c>
      <c r="O85" s="152"/>
      <c r="P85" s="152"/>
      <c r="Q85" s="152"/>
      <c r="R85" s="152"/>
      <c r="S85" s="152"/>
      <c r="T85" s="152"/>
      <c r="U85" s="152"/>
      <c r="V85" s="152"/>
      <c r="W85" s="152"/>
      <c r="X85" s="152"/>
      <c r="Y85" s="152"/>
      <c r="Z85" s="152"/>
      <c r="AA85" s="152">
        <f>SUM(O85:Z85)</f>
        <v>0</v>
      </c>
      <c r="AB85" s="153" t="str">
        <f>IF(AA85=0,"",IFERROR(AA85/AA$19,""))</f>
        <v/>
      </c>
      <c r="AD85" s="152"/>
      <c r="AE85" s="153" t="str">
        <f>IF(AD85=0,"",IFERROR(AD85/AD$19,""))</f>
        <v/>
      </c>
      <c r="AF85" s="154">
        <f>IF(AND($AA85="",AD85=""),"",$AA85-AD85)</f>
        <v>0</v>
      </c>
      <c r="AG85" s="152"/>
      <c r="AH85" s="153" t="str">
        <f>IF(AG85=0,"",IFERROR(AG85/AG$19,""))</f>
        <v/>
      </c>
      <c r="AI85" s="154">
        <f>IF(AND($AA85="",AG85=""),"",$AA85-AG85)</f>
        <v>0</v>
      </c>
    </row>
    <row r="86" spans="3:35" x14ac:dyDescent="0.2">
      <c r="C86" s="23"/>
      <c r="H86" s="133" t="s">
        <v>767</v>
      </c>
      <c r="I86" s="25" t="e">
        <f ca="1">_xll.EVPRO($B$1,$H86,"STYLE")</f>
        <v>#NAME?</v>
      </c>
      <c r="J86" s="25" t="e">
        <f ca="1">_xll.EVPRO($B$1,$H86,"CALC")</f>
        <v>#NAME?</v>
      </c>
      <c r="L86" s="24" t="e">
        <f ca="1">_xll.EVPRO($B$1,H86,"JDEID")</f>
        <v>#NAME?</v>
      </c>
      <c r="M86" s="24" t="e">
        <f ca="1">IF(AND(I86="N",J86="N"),_xll.EVPRO($B$1,H86,"PSFTID"),"")</f>
        <v>#NAME?</v>
      </c>
      <c r="N86" s="24" t="e">
        <f ca="1">IF(_xll.EVDES(H86,$B$1)="#NODATA","",_xll.EVDES(H86,$B$1))</f>
        <v>#NAME?</v>
      </c>
      <c r="O86" s="152"/>
      <c r="P86" s="152"/>
      <c r="Q86" s="152"/>
      <c r="R86" s="152"/>
      <c r="S86" s="152"/>
      <c r="T86" s="152"/>
      <c r="U86" s="152"/>
      <c r="V86" s="152"/>
      <c r="W86" s="152"/>
      <c r="X86" s="152"/>
      <c r="Y86" s="152"/>
      <c r="Z86" s="152"/>
      <c r="AA86" s="152">
        <f>SUM(O86:Z86)</f>
        <v>0</v>
      </c>
      <c r="AB86" s="153"/>
      <c r="AD86" s="152"/>
      <c r="AE86" s="153"/>
      <c r="AF86" s="154">
        <f>IF(AND($AA86="",AD86=""),"",$AA86-AD86)</f>
        <v>0</v>
      </c>
      <c r="AG86" s="152"/>
      <c r="AH86" s="153"/>
      <c r="AI86" s="154">
        <f>IF(AND($AA86="",AG86=""),"",$AA86-AG86)</f>
        <v>0</v>
      </c>
    </row>
    <row r="87" spans="3:35" x14ac:dyDescent="0.2">
      <c r="C87" s="23"/>
      <c r="H87" s="133" t="s">
        <v>331</v>
      </c>
      <c r="I87" s="25" t="e">
        <f ca="1">_xll.EVPRO($B$1,$H87,"STYLE")</f>
        <v>#NAME?</v>
      </c>
      <c r="J87" s="25" t="e">
        <f ca="1">_xll.EVPRO($B$1,$H87,"CALC")</f>
        <v>#NAME?</v>
      </c>
      <c r="L87" s="24" t="e">
        <f ca="1">_xll.EVPRO($B$1,H87,"JDEID")</f>
        <v>#NAME?</v>
      </c>
      <c r="M87" s="24" t="e">
        <f ca="1">IF(AND(I87="N",J87="N"),_xll.EVPRO($B$1,H87,"PSFTID"),"")</f>
        <v>#NAME?</v>
      </c>
      <c r="N87" s="24" t="e">
        <f ca="1">IF(_xll.EVDES(H87,$B$1)="#NODATA","",_xll.EVDES(H87,$B$1))</f>
        <v>#NAME?</v>
      </c>
      <c r="O87" s="152"/>
      <c r="P87" s="152"/>
      <c r="Q87" s="152"/>
      <c r="R87" s="152"/>
      <c r="S87" s="152"/>
      <c r="T87" s="152"/>
      <c r="U87" s="152"/>
      <c r="V87" s="152"/>
      <c r="W87" s="152"/>
      <c r="X87" s="152"/>
      <c r="Y87" s="152"/>
      <c r="Z87" s="152"/>
      <c r="AA87" s="152">
        <f>SUM(O87:Z87)</f>
        <v>0</v>
      </c>
      <c r="AB87" s="153" t="str">
        <f>IF(AA87=0,"",IFERROR(AA87/AA$20,""))</f>
        <v/>
      </c>
      <c r="AD87" s="152"/>
      <c r="AE87" s="153" t="str">
        <f>IF(AD87=0,"",IFERROR(AD87/AD$20,""))</f>
        <v/>
      </c>
      <c r="AF87" s="154">
        <f>IF(AND($AA87="",AD87=""),"",$AA87-AD87)</f>
        <v>0</v>
      </c>
      <c r="AG87" s="152"/>
      <c r="AH87" s="153" t="str">
        <f>IF(AG87=0,"",IFERROR(AG87/AG$20,""))</f>
        <v/>
      </c>
      <c r="AI87" s="154">
        <f>IF(AND($AA87="",AG87=""),"",$AA87-AG87)</f>
        <v>0</v>
      </c>
    </row>
    <row r="88" spans="3:35" x14ac:dyDescent="0.2">
      <c r="C88" s="23"/>
      <c r="H88" s="133" t="s">
        <v>311</v>
      </c>
      <c r="I88" s="25" t="e">
        <f ca="1">_xll.EVPRO($B$1,$H88,"STYLE")</f>
        <v>#NAME?</v>
      </c>
      <c r="J88" s="25" t="e">
        <f ca="1">_xll.EVPRO($B$1,$H88,"CALC")</f>
        <v>#NAME?</v>
      </c>
      <c r="L88" s="24"/>
      <c r="M88" s="24"/>
      <c r="N88" s="24" t="e">
        <f ca="1">IF(_xll.EVDES(H88,$B$1)="#NODATA","",_xll.EVDES(H88,$B$1))</f>
        <v>#NAME?</v>
      </c>
      <c r="O88" s="157"/>
      <c r="P88" s="157"/>
      <c r="Q88" s="157"/>
      <c r="R88" s="157"/>
      <c r="S88" s="157"/>
      <c r="T88" s="157"/>
      <c r="U88" s="157"/>
      <c r="V88" s="157"/>
      <c r="W88" s="157"/>
      <c r="X88" s="157"/>
      <c r="Y88" s="157"/>
      <c r="Z88" s="157"/>
      <c r="AA88" s="157" t="str">
        <f>IFERROR(AA85/AA87,"")</f>
        <v/>
      </c>
      <c r="AB88" s="157"/>
      <c r="AD88" s="157"/>
      <c r="AE88" s="157"/>
      <c r="AF88" s="158" t="str">
        <f>IF(AND($AA88="",AD88=""),"",$AA88-AD88)</f>
        <v/>
      </c>
      <c r="AG88" s="157"/>
      <c r="AH88" s="157"/>
      <c r="AI88" s="158" t="str">
        <f>IF(AND($AA88="",AG88=""),"",$AA88-AG88)</f>
        <v/>
      </c>
    </row>
    <row r="89" spans="3:35" x14ac:dyDescent="0.2">
      <c r="C89" s="23"/>
      <c r="H89" s="133"/>
      <c r="I89" s="25"/>
      <c r="J89" s="25"/>
      <c r="L89" s="24"/>
      <c r="M89" s="24"/>
      <c r="N89" s="24"/>
      <c r="O89" s="38"/>
      <c r="P89" s="42"/>
      <c r="Q89" s="42"/>
      <c r="R89" s="42"/>
      <c r="S89" s="42"/>
      <c r="T89" s="42"/>
      <c r="U89" s="42"/>
      <c r="V89" s="42"/>
      <c r="W89" s="42"/>
      <c r="X89" s="42"/>
      <c r="Y89" s="42"/>
      <c r="Z89" s="42"/>
      <c r="AA89" s="42"/>
      <c r="AB89" s="39"/>
      <c r="AD89" s="38"/>
      <c r="AE89" s="42"/>
      <c r="AF89" s="39"/>
      <c r="AG89" s="38"/>
      <c r="AH89" s="42"/>
      <c r="AI89" s="39"/>
    </row>
    <row r="90" spans="3:35" x14ac:dyDescent="0.2">
      <c r="C90" s="23"/>
      <c r="H90" s="133"/>
      <c r="I90" s="25"/>
      <c r="J90" s="25"/>
      <c r="L90" s="24"/>
      <c r="M90" s="24"/>
      <c r="N90" s="8" t="s">
        <v>334</v>
      </c>
      <c r="O90" s="40"/>
      <c r="P90" s="43"/>
      <c r="Q90" s="43"/>
      <c r="R90" s="43"/>
      <c r="S90" s="43"/>
      <c r="T90" s="43"/>
      <c r="U90" s="43"/>
      <c r="V90" s="43"/>
      <c r="W90" s="43"/>
      <c r="X90" s="43"/>
      <c r="Y90" s="43"/>
      <c r="Z90" s="43"/>
      <c r="AA90" s="43"/>
      <c r="AB90" s="41"/>
      <c r="AD90" s="40"/>
      <c r="AE90" s="43"/>
      <c r="AF90" s="41"/>
      <c r="AG90" s="40"/>
      <c r="AH90" s="43"/>
      <c r="AI90" s="41"/>
    </row>
    <row r="91" spans="3:35" hidden="1" outlineLevel="1" x14ac:dyDescent="0.2">
      <c r="C91" s="23"/>
      <c r="H91" s="133" t="s">
        <v>332</v>
      </c>
      <c r="I91" s="25" t="e">
        <f ca="1">_xll.EVPRO($B$1,$H91,"STYLE")</f>
        <v>#NAME?</v>
      </c>
      <c r="J91" s="25" t="e">
        <f ca="1">_xll.EVPRO($B$1,$H91,"CALC")</f>
        <v>#NAME?</v>
      </c>
      <c r="L91" s="24"/>
      <c r="M91" s="24"/>
      <c r="N91" s="24" t="e">
        <f ca="1">IF(_xll.EVDES(H91,$B$1)="#NODATA","",_xll.EVDES(H91,$B$1))</f>
        <v>#NAME?</v>
      </c>
      <c r="O91" s="19"/>
      <c r="P91" s="19"/>
      <c r="Q91" s="19"/>
      <c r="R91" s="19"/>
      <c r="S91" s="19"/>
      <c r="T91" s="19"/>
      <c r="U91" s="19"/>
      <c r="V91" s="19"/>
      <c r="W91" s="19"/>
      <c r="X91" s="19"/>
      <c r="Y91" s="19"/>
      <c r="Z91" s="19"/>
      <c r="AA91" s="19">
        <f>SUM(O91:Z91)</f>
        <v>0</v>
      </c>
      <c r="AB91" s="15"/>
      <c r="AD91" s="19"/>
      <c r="AE91" s="15"/>
      <c r="AF91" s="47">
        <f>IF(AND($AA91="",AD91=""),"",$AA91-AD91)</f>
        <v>0</v>
      </c>
      <c r="AG91" s="19"/>
      <c r="AH91" s="15"/>
      <c r="AI91" s="47">
        <f>IF(AND($AA91="",AG91=""),"",$AA91-AG91)</f>
        <v>0</v>
      </c>
    </row>
    <row r="92" spans="3:35" hidden="1" outlineLevel="1" x14ac:dyDescent="0.2">
      <c r="C92" s="23"/>
      <c r="H92" s="133" t="s">
        <v>333</v>
      </c>
      <c r="I92" s="25" t="e">
        <f ca="1">_xll.EVPRO($B$1,$H92,"STYLE")</f>
        <v>#NAME?</v>
      </c>
      <c r="J92" s="25" t="e">
        <f ca="1">_xll.EVPRO($B$1,$H92,"CALC")</f>
        <v>#NAME?</v>
      </c>
      <c r="L92" s="24"/>
      <c r="M92" s="24"/>
      <c r="N92" s="24" t="e">
        <f ca="1">IF(_xll.EVDES(H92,$B$1)="#NODATA","",_xll.EVDES(H92,$B$1))</f>
        <v>#NAME?</v>
      </c>
      <c r="O92" s="19"/>
      <c r="P92" s="19"/>
      <c r="Q92" s="19"/>
      <c r="R92" s="19"/>
      <c r="S92" s="19"/>
      <c r="T92" s="19"/>
      <c r="U92" s="19"/>
      <c r="V92" s="19"/>
      <c r="W92" s="19"/>
      <c r="X92" s="19"/>
      <c r="Y92" s="19"/>
      <c r="Z92" s="19"/>
      <c r="AA92" s="19">
        <f>SUM(O92:Z92)</f>
        <v>0</v>
      </c>
      <c r="AB92" s="15"/>
      <c r="AD92" s="19"/>
      <c r="AE92" s="15"/>
      <c r="AF92" s="47">
        <f>IF(AND($AA92="",AD92=""),"",$AA92-AD92)</f>
        <v>0</v>
      </c>
      <c r="AG92" s="19"/>
      <c r="AH92" s="15"/>
      <c r="AI92" s="47">
        <f>IF(AND($AA92="",AG92=""),"",$AA92-AG92)</f>
        <v>0</v>
      </c>
    </row>
    <row r="93" spans="3:35" collapsed="1" x14ac:dyDescent="0.2">
      <c r="C93" s="23"/>
      <c r="H93" s="133"/>
      <c r="I93" s="25"/>
      <c r="J93" s="25"/>
      <c r="L93" s="24"/>
      <c r="M93" s="24"/>
      <c r="N93" s="24" t="s">
        <v>335</v>
      </c>
      <c r="O93" s="159" t="str">
        <f t="shared" ref="O93:AA93" si="26">IFERROR(O$87/O91,"")</f>
        <v/>
      </c>
      <c r="P93" s="159" t="str">
        <f t="shared" si="26"/>
        <v/>
      </c>
      <c r="Q93" s="159" t="str">
        <f t="shared" si="26"/>
        <v/>
      </c>
      <c r="R93" s="159" t="str">
        <f t="shared" si="26"/>
        <v/>
      </c>
      <c r="S93" s="159" t="str">
        <f t="shared" si="26"/>
        <v/>
      </c>
      <c r="T93" s="159" t="str">
        <f t="shared" si="26"/>
        <v/>
      </c>
      <c r="U93" s="159" t="str">
        <f t="shared" si="26"/>
        <v/>
      </c>
      <c r="V93" s="159" t="str">
        <f t="shared" si="26"/>
        <v/>
      </c>
      <c r="W93" s="159" t="str">
        <f t="shared" si="26"/>
        <v/>
      </c>
      <c r="X93" s="159" t="str">
        <f t="shared" si="26"/>
        <v/>
      </c>
      <c r="Y93" s="159" t="str">
        <f t="shared" si="26"/>
        <v/>
      </c>
      <c r="Z93" s="159" t="str">
        <f t="shared" si="26"/>
        <v/>
      </c>
      <c r="AA93" s="159" t="str">
        <f t="shared" si="26"/>
        <v/>
      </c>
      <c r="AB93" s="124"/>
      <c r="AD93" s="159" t="str">
        <f>IFERROR(AD$87/AD91,"")</f>
        <v/>
      </c>
      <c r="AE93" s="124"/>
      <c r="AF93" s="125" t="str">
        <f>IF(AND($AA93="",AD93=""),"",$AA93-AD93)</f>
        <v/>
      </c>
      <c r="AG93" s="159" t="str">
        <f>IFERROR(AG$87/AG91,"")</f>
        <v/>
      </c>
      <c r="AH93" s="124"/>
      <c r="AI93" s="125" t="str">
        <f>IF(AND($AA93="",AG93=""),"",$AA93-AG93)</f>
        <v/>
      </c>
    </row>
    <row r="94" spans="3:35" x14ac:dyDescent="0.2">
      <c r="C94" s="23"/>
      <c r="H94" s="133"/>
      <c r="I94" s="25"/>
      <c r="J94" s="25"/>
      <c r="L94" s="24"/>
      <c r="M94" s="24"/>
      <c r="N94" s="24" t="s">
        <v>336</v>
      </c>
      <c r="O94" s="159" t="str">
        <f t="shared" ref="O94:AA94" si="27">IFERROR(O$87/O92,"")</f>
        <v/>
      </c>
      <c r="P94" s="159" t="str">
        <f t="shared" si="27"/>
        <v/>
      </c>
      <c r="Q94" s="159" t="str">
        <f t="shared" si="27"/>
        <v/>
      </c>
      <c r="R94" s="159" t="str">
        <f t="shared" si="27"/>
        <v/>
      </c>
      <c r="S94" s="159" t="str">
        <f t="shared" si="27"/>
        <v/>
      </c>
      <c r="T94" s="159" t="str">
        <f t="shared" si="27"/>
        <v/>
      </c>
      <c r="U94" s="159" t="str">
        <f t="shared" si="27"/>
        <v/>
      </c>
      <c r="V94" s="159" t="str">
        <f t="shared" si="27"/>
        <v/>
      </c>
      <c r="W94" s="159" t="str">
        <f t="shared" si="27"/>
        <v/>
      </c>
      <c r="X94" s="159" t="str">
        <f t="shared" si="27"/>
        <v/>
      </c>
      <c r="Y94" s="159" t="str">
        <f t="shared" si="27"/>
        <v/>
      </c>
      <c r="Z94" s="159" t="str">
        <f t="shared" si="27"/>
        <v/>
      </c>
      <c r="AA94" s="159" t="str">
        <f t="shared" si="27"/>
        <v/>
      </c>
      <c r="AB94" s="124"/>
      <c r="AD94" s="159" t="str">
        <f>IFERROR(AD$87/AD92,"")</f>
        <v/>
      </c>
      <c r="AE94" s="124"/>
      <c r="AF94" s="125" t="str">
        <f>IF(AND($AA94="",AD94=""),"",$AA94-AD94)</f>
        <v/>
      </c>
      <c r="AG94" s="159" t="str">
        <f>IFERROR(AG$87/AG92,"")</f>
        <v/>
      </c>
      <c r="AH94" s="124"/>
      <c r="AI94" s="125" t="str">
        <f>IF(AND($AA94="",AG94=""),"",$AA94-AG94)</f>
        <v/>
      </c>
    </row>
    <row r="95" spans="3:35" x14ac:dyDescent="0.2">
      <c r="C95" s="23"/>
      <c r="H95" s="133"/>
      <c r="I95" s="25"/>
      <c r="J95" s="25"/>
      <c r="L95" s="24"/>
      <c r="M95" s="24"/>
      <c r="N95" s="24"/>
      <c r="O95" s="144"/>
      <c r="P95" s="147"/>
      <c r="Q95" s="147"/>
      <c r="R95" s="147"/>
      <c r="S95" s="147"/>
      <c r="T95" s="147"/>
      <c r="U95" s="147"/>
      <c r="V95" s="147"/>
      <c r="W95" s="147"/>
      <c r="X95" s="147"/>
      <c r="Y95" s="147"/>
      <c r="Z95" s="147"/>
      <c r="AA95" s="147"/>
      <c r="AB95" s="51"/>
      <c r="AD95" s="50"/>
      <c r="AF95" s="51"/>
      <c r="AI95" s="51"/>
    </row>
    <row r="96" spans="3:35" x14ac:dyDescent="0.2">
      <c r="C96" s="23"/>
      <c r="H96" s="133"/>
      <c r="I96" s="25"/>
      <c r="J96" s="25"/>
      <c r="L96" s="24"/>
      <c r="M96" s="24"/>
      <c r="N96" s="8" t="s">
        <v>343</v>
      </c>
      <c r="O96" s="50"/>
      <c r="AB96" s="149"/>
      <c r="AD96" s="148"/>
      <c r="AE96" s="150"/>
      <c r="AF96" s="51"/>
      <c r="AH96" s="150"/>
      <c r="AI96" s="51"/>
    </row>
    <row r="97" spans="3:35" x14ac:dyDescent="0.2">
      <c r="C97" s="23"/>
      <c r="H97" s="133"/>
      <c r="I97" s="25"/>
      <c r="J97" s="25"/>
      <c r="L97" s="24"/>
      <c r="M97" s="24"/>
      <c r="N97" s="8" t="s">
        <v>337</v>
      </c>
      <c r="O97" s="40"/>
      <c r="P97" s="43"/>
      <c r="Q97" s="43"/>
      <c r="R97" s="43"/>
      <c r="S97" s="43"/>
      <c r="T97" s="43"/>
      <c r="U97" s="43"/>
      <c r="V97" s="43"/>
      <c r="W97" s="43"/>
      <c r="X97" s="43"/>
      <c r="Y97" s="43"/>
      <c r="Z97" s="43"/>
      <c r="AA97" s="43"/>
      <c r="AB97" s="41"/>
      <c r="AD97" s="40"/>
      <c r="AE97" s="43"/>
      <c r="AF97" s="41"/>
      <c r="AG97" s="43"/>
      <c r="AH97" s="43"/>
      <c r="AI97" s="41"/>
    </row>
    <row r="98" spans="3:35" x14ac:dyDescent="0.2">
      <c r="C98" s="23"/>
      <c r="H98" s="133" t="s">
        <v>294</v>
      </c>
      <c r="I98" s="25"/>
      <c r="J98" s="25"/>
      <c r="L98" s="24" t="e">
        <f ca="1">_xll.EVPRO($B$1,H98,"JDEID")</f>
        <v>#NAME?</v>
      </c>
      <c r="M98" s="24" t="str">
        <f>IF(AND(I98="N",J98="N"),_xll.EVPRO($B$1,H98,"PSFTID"),"")</f>
        <v/>
      </c>
      <c r="N98" s="24" t="e">
        <f ca="1">IF(_xll.EVDES(H98,$B$1)="#NODATA","",_xll.EVDES(H98,$B$1))</f>
        <v>#NAME?</v>
      </c>
      <c r="O98" s="19"/>
      <c r="P98" s="19"/>
      <c r="Q98" s="19"/>
      <c r="R98" s="19"/>
      <c r="S98" s="19"/>
      <c r="T98" s="19"/>
      <c r="U98" s="19"/>
      <c r="V98" s="19"/>
      <c r="W98" s="19"/>
      <c r="X98" s="19"/>
      <c r="Y98" s="19"/>
      <c r="Z98" s="19"/>
      <c r="AA98" s="19">
        <f t="shared" ref="AA98:AA103" si="28">SUM(O98:Z98)</f>
        <v>0</v>
      </c>
      <c r="AB98" s="15" t="str">
        <f t="shared" ref="AB98:AB103" si="29">IF(AA98=0,"",IFERROR(AA98/AA$19,""))</f>
        <v/>
      </c>
      <c r="AD98" s="19"/>
      <c r="AE98" s="15" t="str">
        <f t="shared" ref="AE98:AE103" si="30">IF(AD98=0,"",IFERROR(AD98/AD$19,""))</f>
        <v/>
      </c>
      <c r="AF98" s="47">
        <f t="shared" ref="AF98:AF103" si="31">IF(AND($AA98="",AD98=""),"",$AA98-AD98)</f>
        <v>0</v>
      </c>
      <c r="AG98" s="19"/>
      <c r="AH98" s="15" t="str">
        <f t="shared" ref="AH98:AH103" si="32">IF(AG98=0,"",IFERROR(AG98/AG$19,""))</f>
        <v/>
      </c>
      <c r="AI98" s="47">
        <f t="shared" ref="AI98:AI103" si="33">IF(AND($AA98="",AG98=""),"",$AA98-AG98)</f>
        <v>0</v>
      </c>
    </row>
    <row r="99" spans="3:35" x14ac:dyDescent="0.2">
      <c r="C99" s="23"/>
      <c r="H99" s="133" t="s">
        <v>301</v>
      </c>
      <c r="I99" s="25"/>
      <c r="J99" s="25"/>
      <c r="L99" s="24" t="e">
        <f ca="1">_xll.EVPRO($B$1,H99,"JDEID")</f>
        <v>#NAME?</v>
      </c>
      <c r="M99" s="24" t="str">
        <f>IF(AND(I99="N",J99="N"),_xll.EVPRO($B$1,H99,"PSFTID"),"")</f>
        <v/>
      </c>
      <c r="N99" s="24" t="e">
        <f ca="1">IF(_xll.EVDES(H99,$B$1)="#NODATA","",_xll.EVDES(H99,$B$1))</f>
        <v>#NAME?</v>
      </c>
      <c r="O99" s="19"/>
      <c r="P99" s="19"/>
      <c r="Q99" s="19"/>
      <c r="R99" s="19"/>
      <c r="S99" s="19"/>
      <c r="T99" s="19"/>
      <c r="U99" s="19"/>
      <c r="V99" s="19"/>
      <c r="W99" s="19"/>
      <c r="X99" s="19"/>
      <c r="Y99" s="19"/>
      <c r="Z99" s="19"/>
      <c r="AA99" s="19">
        <f t="shared" si="28"/>
        <v>0</v>
      </c>
      <c r="AB99" s="15" t="str">
        <f t="shared" si="29"/>
        <v/>
      </c>
      <c r="AD99" s="19"/>
      <c r="AE99" s="15" t="str">
        <f t="shared" si="30"/>
        <v/>
      </c>
      <c r="AF99" s="47">
        <f t="shared" si="31"/>
        <v>0</v>
      </c>
      <c r="AG99" s="19"/>
      <c r="AH99" s="15" t="str">
        <f t="shared" si="32"/>
        <v/>
      </c>
      <c r="AI99" s="47">
        <f t="shared" si="33"/>
        <v>0</v>
      </c>
    </row>
    <row r="100" spans="3:35" x14ac:dyDescent="0.2">
      <c r="C100" s="23"/>
      <c r="H100" s="133" t="s">
        <v>302</v>
      </c>
      <c r="I100" s="25"/>
      <c r="J100" s="25"/>
      <c r="L100" s="24" t="e">
        <f ca="1">_xll.EVPRO($B$1,H100,"JDEID")</f>
        <v>#NAME?</v>
      </c>
      <c r="M100" s="24" t="str">
        <f>IF(AND(I100="N",J100="N"),_xll.EVPRO($B$1,H100,"PSFTID"),"")</f>
        <v/>
      </c>
      <c r="N100" s="24" t="e">
        <f ca="1">IF(_xll.EVDES(H100,$B$1)="#NODATA","",_xll.EVDES(H100,$B$1))</f>
        <v>#NAME?</v>
      </c>
      <c r="O100" s="19"/>
      <c r="P100" s="19"/>
      <c r="Q100" s="19"/>
      <c r="R100" s="19"/>
      <c r="S100" s="19"/>
      <c r="T100" s="19"/>
      <c r="U100" s="19"/>
      <c r="V100" s="19"/>
      <c r="W100" s="19"/>
      <c r="X100" s="19"/>
      <c r="Y100" s="19"/>
      <c r="Z100" s="19"/>
      <c r="AA100" s="19">
        <f t="shared" si="28"/>
        <v>0</v>
      </c>
      <c r="AB100" s="15" t="str">
        <f t="shared" si="29"/>
        <v/>
      </c>
      <c r="AD100" s="19"/>
      <c r="AE100" s="15" t="str">
        <f t="shared" si="30"/>
        <v/>
      </c>
      <c r="AF100" s="47">
        <f t="shared" si="31"/>
        <v>0</v>
      </c>
      <c r="AG100" s="19"/>
      <c r="AH100" s="15" t="str">
        <f t="shared" si="32"/>
        <v/>
      </c>
      <c r="AI100" s="47">
        <f t="shared" si="33"/>
        <v>0</v>
      </c>
    </row>
    <row r="101" spans="3:35" x14ac:dyDescent="0.2">
      <c r="C101" s="23"/>
      <c r="H101" s="133" t="s">
        <v>308</v>
      </c>
      <c r="I101" s="25"/>
      <c r="J101" s="25"/>
      <c r="L101" s="24" t="e">
        <f ca="1">_xll.EVPRO($B$1,H101,"JDEID")</f>
        <v>#NAME?</v>
      </c>
      <c r="M101" s="24" t="str">
        <f>IF(AND(I101="N",J101="N"),_xll.EVPRO($B$1,H101,"PSFTID"),"")</f>
        <v/>
      </c>
      <c r="N101" s="24" t="e">
        <f ca="1">IF(_xll.EVDES(H101,$B$1)="#NODATA","",_xll.EVDES(H101,$B$1))</f>
        <v>#NAME?</v>
      </c>
      <c r="O101" s="19"/>
      <c r="P101" s="19"/>
      <c r="Q101" s="19"/>
      <c r="R101" s="19"/>
      <c r="S101" s="19"/>
      <c r="T101" s="19"/>
      <c r="U101" s="19"/>
      <c r="V101" s="19"/>
      <c r="W101" s="19"/>
      <c r="X101" s="19"/>
      <c r="Y101" s="19"/>
      <c r="Z101" s="19"/>
      <c r="AA101" s="19">
        <f t="shared" si="28"/>
        <v>0</v>
      </c>
      <c r="AB101" s="15" t="str">
        <f t="shared" si="29"/>
        <v/>
      </c>
      <c r="AD101" s="19"/>
      <c r="AE101" s="15" t="str">
        <f t="shared" si="30"/>
        <v/>
      </c>
      <c r="AF101" s="47">
        <f t="shared" si="31"/>
        <v>0</v>
      </c>
      <c r="AG101" s="19"/>
      <c r="AH101" s="15" t="str">
        <f t="shared" si="32"/>
        <v/>
      </c>
      <c r="AI101" s="47">
        <f t="shared" si="33"/>
        <v>0</v>
      </c>
    </row>
    <row r="102" spans="3:35" x14ac:dyDescent="0.2">
      <c r="C102" s="23"/>
      <c r="H102" s="133" t="s">
        <v>321</v>
      </c>
      <c r="I102" s="25"/>
      <c r="J102" s="25"/>
      <c r="L102" s="24" t="e">
        <f ca="1">_xll.EVPRO($B$1,H102,"JDEID")</f>
        <v>#NAME?</v>
      </c>
      <c r="M102" s="24" t="str">
        <f>IF(AND(I102="N",J102="N"),_xll.EVPRO($B$1,H102,"PSFTID"),"")</f>
        <v/>
      </c>
      <c r="N102" s="24" t="e">
        <f ca="1">IF(_xll.EVDES(H102,$B$1)="#NODATA","",_xll.EVDES(H102,$B$1))</f>
        <v>#NAME?</v>
      </c>
      <c r="O102" s="19"/>
      <c r="P102" s="19"/>
      <c r="Q102" s="19"/>
      <c r="R102" s="19"/>
      <c r="S102" s="19"/>
      <c r="T102" s="19"/>
      <c r="U102" s="19"/>
      <c r="V102" s="19"/>
      <c r="W102" s="19"/>
      <c r="X102" s="19"/>
      <c r="Y102" s="19"/>
      <c r="Z102" s="19"/>
      <c r="AA102" s="19">
        <f t="shared" si="28"/>
        <v>0</v>
      </c>
      <c r="AB102" s="15" t="str">
        <f t="shared" si="29"/>
        <v/>
      </c>
      <c r="AD102" s="19"/>
      <c r="AE102" s="15" t="str">
        <f t="shared" si="30"/>
        <v/>
      </c>
      <c r="AF102" s="47">
        <f t="shared" si="31"/>
        <v>0</v>
      </c>
      <c r="AG102" s="19"/>
      <c r="AH102" s="15" t="str">
        <f t="shared" si="32"/>
        <v/>
      </c>
      <c r="AI102" s="47">
        <f t="shared" si="33"/>
        <v>0</v>
      </c>
    </row>
    <row r="103" spans="3:35" x14ac:dyDescent="0.2">
      <c r="C103" s="23"/>
      <c r="H103" s="133" t="s">
        <v>340</v>
      </c>
      <c r="I103" s="25"/>
      <c r="J103" s="25"/>
      <c r="L103" s="24" t="e">
        <f ca="1">_xll.EVPRO($B$1,H103,"JDEID")</f>
        <v>#NAME?</v>
      </c>
      <c r="M103" s="24" t="str">
        <f>IF(AND(I103="N",J103="N"),_xll.EVPRO($B$1,H103,"PSFTID"),"")</f>
        <v/>
      </c>
      <c r="N103" s="23" t="e">
        <f ca="1">IF(_xll.EVDES(H103,$B$1)="#NODATA","",_xll.EVDES(H103,$B$1))</f>
        <v>#NAME?</v>
      </c>
      <c r="O103" s="145"/>
      <c r="P103" s="145"/>
      <c r="Q103" s="145"/>
      <c r="R103" s="145"/>
      <c r="S103" s="145"/>
      <c r="T103" s="145"/>
      <c r="U103" s="145"/>
      <c r="V103" s="145"/>
      <c r="W103" s="145"/>
      <c r="X103" s="145"/>
      <c r="Y103" s="145"/>
      <c r="Z103" s="145"/>
      <c r="AA103" s="145">
        <f t="shared" si="28"/>
        <v>0</v>
      </c>
      <c r="AB103" s="156" t="str">
        <f t="shared" si="29"/>
        <v/>
      </c>
      <c r="AD103" s="145"/>
      <c r="AE103" s="156" t="str">
        <f t="shared" si="30"/>
        <v/>
      </c>
      <c r="AF103" s="146">
        <f t="shared" si="31"/>
        <v>0</v>
      </c>
      <c r="AG103" s="145"/>
      <c r="AH103" s="156" t="str">
        <f t="shared" si="32"/>
        <v/>
      </c>
      <c r="AI103" s="146">
        <f t="shared" si="33"/>
        <v>0</v>
      </c>
    </row>
    <row r="104" spans="3:35" x14ac:dyDescent="0.2">
      <c r="C104" s="23"/>
      <c r="H104" s="133"/>
      <c r="I104" s="25"/>
      <c r="J104" s="25"/>
      <c r="L104" s="24"/>
      <c r="M104" s="24"/>
      <c r="N104" s="8"/>
      <c r="O104" s="38"/>
      <c r="P104" s="42"/>
      <c r="Q104" s="42"/>
      <c r="R104" s="42"/>
      <c r="S104" s="42"/>
      <c r="T104" s="42"/>
      <c r="U104" s="42"/>
      <c r="V104" s="42"/>
      <c r="W104" s="42"/>
      <c r="X104" s="42"/>
      <c r="Y104" s="42"/>
      <c r="Z104" s="42"/>
      <c r="AA104" s="42"/>
      <c r="AB104" s="39"/>
      <c r="AD104" s="38"/>
      <c r="AE104" s="42"/>
      <c r="AF104" s="39"/>
      <c r="AG104" s="38"/>
      <c r="AH104" s="42"/>
      <c r="AI104" s="39"/>
    </row>
    <row r="105" spans="3:35" x14ac:dyDescent="0.2">
      <c r="C105" s="23"/>
      <c r="H105" s="133"/>
      <c r="I105" s="25"/>
      <c r="J105" s="25"/>
      <c r="L105" s="24"/>
      <c r="M105" s="24"/>
      <c r="N105" s="8" t="s">
        <v>339</v>
      </c>
      <c r="O105" s="40"/>
      <c r="P105" s="43"/>
      <c r="Q105" s="43"/>
      <c r="R105" s="43"/>
      <c r="S105" s="43"/>
      <c r="T105" s="43"/>
      <c r="U105" s="43"/>
      <c r="V105" s="43"/>
      <c r="W105" s="43"/>
      <c r="X105" s="43"/>
      <c r="Y105" s="43"/>
      <c r="Z105" s="43"/>
      <c r="AA105" s="43"/>
      <c r="AB105" s="41"/>
      <c r="AD105" s="40"/>
      <c r="AE105" s="43"/>
      <c r="AF105" s="41"/>
      <c r="AG105" s="40"/>
      <c r="AH105" s="43"/>
      <c r="AI105" s="41"/>
    </row>
    <row r="106" spans="3:35" x14ac:dyDescent="0.2">
      <c r="C106" s="23"/>
      <c r="H106" s="133" t="s">
        <v>295</v>
      </c>
      <c r="I106" s="25"/>
      <c r="J106" s="25"/>
      <c r="L106" s="24" t="e">
        <f ca="1">_xll.EVPRO($B$1,H106,"JDEID")</f>
        <v>#NAME?</v>
      </c>
      <c r="M106" s="24" t="str">
        <f>IF(AND(I106="N",J106="N"),_xll.EVPRO($B$1,H106,"PSFTID"),"")</f>
        <v/>
      </c>
      <c r="N106" s="24" t="e">
        <f ca="1">IF(_xll.EVDES(H106,$B$1)="#NODATA","",_xll.EVDES(H106,$B$1))</f>
        <v>#NAME?</v>
      </c>
      <c r="O106" s="19"/>
      <c r="P106" s="19"/>
      <c r="Q106" s="19"/>
      <c r="R106" s="19"/>
      <c r="S106" s="19"/>
      <c r="T106" s="19"/>
      <c r="U106" s="19"/>
      <c r="V106" s="19"/>
      <c r="W106" s="19"/>
      <c r="X106" s="19"/>
      <c r="Y106" s="19"/>
      <c r="Z106" s="19"/>
      <c r="AA106" s="19">
        <f t="shared" ref="AA106:AA111" si="34">SUM(O106:Z106)</f>
        <v>0</v>
      </c>
      <c r="AB106" s="15" t="str">
        <f t="shared" ref="AB106:AB111" si="35">IF(AA106=0,"",IFERROR(AA106/AA$19,""))</f>
        <v/>
      </c>
      <c r="AD106" s="19"/>
      <c r="AE106" s="15" t="str">
        <f t="shared" ref="AE106:AE111" si="36">IF(AD106=0,"",IFERROR(AD106/AD$19,""))</f>
        <v/>
      </c>
      <c r="AF106" s="47">
        <f t="shared" ref="AF106:AF111" si="37">IF(AND($AA106="",AD106=""),"",$AA106-AD106)</f>
        <v>0</v>
      </c>
      <c r="AG106" s="19"/>
      <c r="AH106" s="15" t="str">
        <f t="shared" ref="AH106:AH111" si="38">IF(AG106=0,"",IFERROR(AG106/AG$19,""))</f>
        <v/>
      </c>
      <c r="AI106" s="47">
        <f t="shared" ref="AI106:AI111" si="39">IF(AND($AA106="",AG106=""),"",$AA106-AG106)</f>
        <v>0</v>
      </c>
    </row>
    <row r="107" spans="3:35" x14ac:dyDescent="0.2">
      <c r="C107" s="23"/>
      <c r="H107" s="133" t="s">
        <v>305</v>
      </c>
      <c r="I107" s="25"/>
      <c r="J107" s="25"/>
      <c r="L107" s="24" t="e">
        <f ca="1">_xll.EVPRO($B$1,H107,"JDEID")</f>
        <v>#NAME?</v>
      </c>
      <c r="M107" s="24" t="str">
        <f>IF(AND(I107="N",J107="N"),_xll.EVPRO($B$1,H107,"PSFTID"),"")</f>
        <v/>
      </c>
      <c r="N107" s="24" t="e">
        <f ca="1">IF(_xll.EVDES(H107,$B$1)="#NODATA","",_xll.EVDES(H107,$B$1))</f>
        <v>#NAME?</v>
      </c>
      <c r="O107" s="19"/>
      <c r="P107" s="19"/>
      <c r="Q107" s="19"/>
      <c r="R107" s="19"/>
      <c r="S107" s="19"/>
      <c r="T107" s="19"/>
      <c r="U107" s="19"/>
      <c r="V107" s="19"/>
      <c r="W107" s="19"/>
      <c r="X107" s="19"/>
      <c r="Y107" s="19"/>
      <c r="Z107" s="19"/>
      <c r="AA107" s="19">
        <f t="shared" si="34"/>
        <v>0</v>
      </c>
      <c r="AB107" s="15" t="str">
        <f t="shared" si="35"/>
        <v/>
      </c>
      <c r="AD107" s="19"/>
      <c r="AE107" s="15" t="str">
        <f t="shared" si="36"/>
        <v/>
      </c>
      <c r="AF107" s="47">
        <f t="shared" si="37"/>
        <v>0</v>
      </c>
      <c r="AG107" s="19"/>
      <c r="AH107" s="15" t="str">
        <f t="shared" si="38"/>
        <v/>
      </c>
      <c r="AI107" s="47">
        <f t="shared" si="39"/>
        <v>0</v>
      </c>
    </row>
    <row r="108" spans="3:35" x14ac:dyDescent="0.2">
      <c r="C108" s="23"/>
      <c r="H108" s="133" t="s">
        <v>306</v>
      </c>
      <c r="I108" s="25"/>
      <c r="J108" s="25"/>
      <c r="L108" s="24" t="e">
        <f ca="1">_xll.EVPRO($B$1,H108,"JDEID")</f>
        <v>#NAME?</v>
      </c>
      <c r="M108" s="24" t="str">
        <f>IF(AND(I108="N",J108="N"),_xll.EVPRO($B$1,H108,"PSFTID"),"")</f>
        <v/>
      </c>
      <c r="N108" s="24" t="e">
        <f ca="1">IF(_xll.EVDES(H108,$B$1)="#NODATA","",_xll.EVDES(H108,$B$1))</f>
        <v>#NAME?</v>
      </c>
      <c r="O108" s="19"/>
      <c r="P108" s="19"/>
      <c r="Q108" s="19"/>
      <c r="R108" s="19"/>
      <c r="S108" s="19"/>
      <c r="T108" s="19"/>
      <c r="U108" s="19"/>
      <c r="V108" s="19"/>
      <c r="W108" s="19"/>
      <c r="X108" s="19"/>
      <c r="Y108" s="19"/>
      <c r="Z108" s="19"/>
      <c r="AA108" s="19">
        <f t="shared" si="34"/>
        <v>0</v>
      </c>
      <c r="AB108" s="15" t="str">
        <f t="shared" si="35"/>
        <v/>
      </c>
      <c r="AD108" s="19"/>
      <c r="AE108" s="15" t="str">
        <f t="shared" si="36"/>
        <v/>
      </c>
      <c r="AF108" s="47">
        <f t="shared" si="37"/>
        <v>0</v>
      </c>
      <c r="AG108" s="19"/>
      <c r="AH108" s="15" t="str">
        <f t="shared" si="38"/>
        <v/>
      </c>
      <c r="AI108" s="47">
        <f t="shared" si="39"/>
        <v>0</v>
      </c>
    </row>
    <row r="109" spans="3:35" x14ac:dyDescent="0.2">
      <c r="C109" s="23"/>
      <c r="H109" s="133" t="s">
        <v>310</v>
      </c>
      <c r="I109" s="25"/>
      <c r="J109" s="25"/>
      <c r="L109" s="24" t="e">
        <f ca="1">_xll.EVPRO($B$1,H109,"JDEID")</f>
        <v>#NAME?</v>
      </c>
      <c r="M109" s="24" t="str">
        <f>IF(AND(I109="N",J109="N"),_xll.EVPRO($B$1,H109,"PSFTID"),"")</f>
        <v/>
      </c>
      <c r="N109" s="24" t="e">
        <f ca="1">IF(_xll.EVDES(H109,$B$1)="#NODATA","",_xll.EVDES(H109,$B$1))</f>
        <v>#NAME?</v>
      </c>
      <c r="O109" s="19"/>
      <c r="P109" s="19"/>
      <c r="Q109" s="19"/>
      <c r="R109" s="19"/>
      <c r="S109" s="19"/>
      <c r="T109" s="19"/>
      <c r="U109" s="19"/>
      <c r="V109" s="19"/>
      <c r="W109" s="19"/>
      <c r="X109" s="19"/>
      <c r="Y109" s="19"/>
      <c r="Z109" s="19"/>
      <c r="AA109" s="19">
        <f t="shared" si="34"/>
        <v>0</v>
      </c>
      <c r="AB109" s="15" t="str">
        <f t="shared" si="35"/>
        <v/>
      </c>
      <c r="AD109" s="19"/>
      <c r="AE109" s="15" t="str">
        <f t="shared" si="36"/>
        <v/>
      </c>
      <c r="AF109" s="47">
        <f t="shared" si="37"/>
        <v>0</v>
      </c>
      <c r="AG109" s="19"/>
      <c r="AH109" s="15" t="str">
        <f t="shared" si="38"/>
        <v/>
      </c>
      <c r="AI109" s="47">
        <f t="shared" si="39"/>
        <v>0</v>
      </c>
    </row>
    <row r="110" spans="3:35" x14ac:dyDescent="0.2">
      <c r="C110" s="23"/>
      <c r="H110" s="133" t="s">
        <v>323</v>
      </c>
      <c r="I110" s="25"/>
      <c r="J110" s="25"/>
      <c r="L110" s="24" t="e">
        <f ca="1">_xll.EVPRO($B$1,H110,"JDEID")</f>
        <v>#NAME?</v>
      </c>
      <c r="M110" s="24" t="str">
        <f>IF(AND(I110="N",J110="N"),_xll.EVPRO($B$1,H110,"PSFTID"),"")</f>
        <v/>
      </c>
      <c r="N110" s="24" t="e">
        <f ca="1">IF(_xll.EVDES(H110,$B$1)="#NODATA","",_xll.EVDES(H110,$B$1))</f>
        <v>#NAME?</v>
      </c>
      <c r="O110" s="19"/>
      <c r="P110" s="19"/>
      <c r="Q110" s="19"/>
      <c r="R110" s="19"/>
      <c r="S110" s="19"/>
      <c r="T110" s="19"/>
      <c r="U110" s="19"/>
      <c r="V110" s="19"/>
      <c r="W110" s="19"/>
      <c r="X110" s="19"/>
      <c r="Y110" s="19"/>
      <c r="Z110" s="19"/>
      <c r="AA110" s="19">
        <f t="shared" si="34"/>
        <v>0</v>
      </c>
      <c r="AB110" s="15" t="str">
        <f t="shared" si="35"/>
        <v/>
      </c>
      <c r="AD110" s="19"/>
      <c r="AE110" s="15" t="str">
        <f t="shared" si="36"/>
        <v/>
      </c>
      <c r="AF110" s="47">
        <f t="shared" si="37"/>
        <v>0</v>
      </c>
      <c r="AG110" s="19"/>
      <c r="AH110" s="15" t="str">
        <f t="shared" si="38"/>
        <v/>
      </c>
      <c r="AI110" s="47">
        <f t="shared" si="39"/>
        <v>0</v>
      </c>
    </row>
    <row r="111" spans="3:35" x14ac:dyDescent="0.2">
      <c r="C111" s="23"/>
      <c r="H111" s="133" t="s">
        <v>342</v>
      </c>
      <c r="I111" s="25"/>
      <c r="J111" s="25"/>
      <c r="L111" s="24" t="e">
        <f ca="1">_xll.EVPRO($B$1,H111,"JDEID")</f>
        <v>#NAME?</v>
      </c>
      <c r="M111" s="24" t="str">
        <f>IF(AND(I111="N",J111="N"),_xll.EVPRO($B$1,H111,"PSFTID"),"")</f>
        <v/>
      </c>
      <c r="N111" s="23" t="e">
        <f ca="1">IF(_xll.EVDES(H111,$B$1)="#NODATA","",_xll.EVDES(H111,$B$1))</f>
        <v>#NAME?</v>
      </c>
      <c r="O111" s="145"/>
      <c r="P111" s="145"/>
      <c r="Q111" s="145"/>
      <c r="R111" s="145"/>
      <c r="S111" s="145"/>
      <c r="T111" s="145"/>
      <c r="U111" s="145"/>
      <c r="V111" s="145"/>
      <c r="W111" s="145"/>
      <c r="X111" s="145"/>
      <c r="Y111" s="145"/>
      <c r="Z111" s="145"/>
      <c r="AA111" s="145">
        <f t="shared" si="34"/>
        <v>0</v>
      </c>
      <c r="AB111" s="156" t="str">
        <f t="shared" si="35"/>
        <v/>
      </c>
      <c r="AD111" s="145"/>
      <c r="AE111" s="156" t="str">
        <f t="shared" si="36"/>
        <v/>
      </c>
      <c r="AF111" s="146">
        <f t="shared" si="37"/>
        <v>0</v>
      </c>
      <c r="AG111" s="145"/>
      <c r="AH111" s="156" t="str">
        <f t="shared" si="38"/>
        <v/>
      </c>
      <c r="AI111" s="146">
        <f t="shared" si="39"/>
        <v>0</v>
      </c>
    </row>
    <row r="112" spans="3:35" x14ac:dyDescent="0.2">
      <c r="C112" s="23"/>
      <c r="H112" s="133"/>
      <c r="I112" s="25"/>
      <c r="J112" s="25"/>
      <c r="L112" s="24"/>
      <c r="M112" s="24"/>
      <c r="N112" s="8"/>
      <c r="O112" s="38"/>
      <c r="P112" s="42"/>
      <c r="Q112" s="42"/>
      <c r="R112" s="42"/>
      <c r="S112" s="42"/>
      <c r="T112" s="42"/>
      <c r="U112" s="42"/>
      <c r="V112" s="42"/>
      <c r="W112" s="42"/>
      <c r="X112" s="42"/>
      <c r="Y112" s="42"/>
      <c r="Z112" s="42"/>
      <c r="AA112" s="42"/>
      <c r="AB112" s="39"/>
      <c r="AD112" s="38"/>
      <c r="AE112" s="42"/>
      <c r="AF112" s="39"/>
      <c r="AG112" s="38"/>
      <c r="AH112" s="42"/>
      <c r="AI112" s="39"/>
    </row>
    <row r="113" spans="3:35" x14ac:dyDescent="0.2">
      <c r="C113" s="23"/>
      <c r="H113" s="133"/>
      <c r="I113" s="25"/>
      <c r="J113" s="25"/>
      <c r="L113" s="24"/>
      <c r="M113" s="24"/>
      <c r="N113" s="8" t="s">
        <v>338</v>
      </c>
      <c r="O113" s="40"/>
      <c r="P113" s="43"/>
      <c r="Q113" s="43"/>
      <c r="R113" s="43"/>
      <c r="S113" s="43"/>
      <c r="T113" s="43"/>
      <c r="U113" s="43"/>
      <c r="V113" s="43"/>
      <c r="W113" s="43"/>
      <c r="X113" s="43"/>
      <c r="Y113" s="43"/>
      <c r="Z113" s="43"/>
      <c r="AA113" s="43"/>
      <c r="AB113" s="41"/>
      <c r="AD113" s="40"/>
      <c r="AE113" s="43"/>
      <c r="AF113" s="41"/>
      <c r="AG113" s="40"/>
      <c r="AH113" s="43"/>
      <c r="AI113" s="41"/>
    </row>
    <row r="114" spans="3:35" x14ac:dyDescent="0.2">
      <c r="C114" s="23"/>
      <c r="H114" s="133" t="s">
        <v>296</v>
      </c>
      <c r="I114" s="25"/>
      <c r="J114" s="25"/>
      <c r="L114" s="24" t="e">
        <f ca="1">_xll.EVPRO($B$1,H114,"JDEID")</f>
        <v>#NAME?</v>
      </c>
      <c r="M114" s="24" t="str">
        <f>IF(AND(I114="N",J114="N"),_xll.EVPRO($B$1,H114,"PSFTID"),"")</f>
        <v/>
      </c>
      <c r="N114" s="24" t="e">
        <f ca="1">IF(_xll.EVDES(H114,$B$1)="#NODATA","",_xll.EVDES(H114,$B$1))</f>
        <v>#NAME?</v>
      </c>
      <c r="O114" s="19"/>
      <c r="P114" s="19"/>
      <c r="Q114" s="19"/>
      <c r="R114" s="19"/>
      <c r="S114" s="19"/>
      <c r="T114" s="19"/>
      <c r="U114" s="19"/>
      <c r="V114" s="19"/>
      <c r="W114" s="19"/>
      <c r="X114" s="19"/>
      <c r="Y114" s="19"/>
      <c r="Z114" s="19"/>
      <c r="AA114" s="19">
        <f t="shared" ref="AA114:AA119" si="40">SUM(O114:Z114)</f>
        <v>0</v>
      </c>
      <c r="AB114" s="15" t="str">
        <f t="shared" ref="AB114:AB119" si="41">IF(AA114=0,"",IFERROR(AA114/AA$19,""))</f>
        <v/>
      </c>
      <c r="AD114" s="19"/>
      <c r="AE114" s="15" t="str">
        <f t="shared" ref="AE114:AE119" si="42">IF(AD114=0,"",IFERROR(AD114/AD$19,""))</f>
        <v/>
      </c>
      <c r="AF114" s="47">
        <f t="shared" ref="AF114:AF119" si="43">IF(AND($AA114="",AD114=""),"",$AA114-AD114)</f>
        <v>0</v>
      </c>
      <c r="AG114" s="19"/>
      <c r="AH114" s="15" t="str">
        <f t="shared" ref="AH114:AH119" si="44">IF(AG114=0,"",IFERROR(AG114/AG$19,""))</f>
        <v/>
      </c>
      <c r="AI114" s="47">
        <f t="shared" ref="AI114:AI119" si="45">IF(AND($AA114="",AG114=""),"",$AA114-AG114)</f>
        <v>0</v>
      </c>
    </row>
    <row r="115" spans="3:35" x14ac:dyDescent="0.2">
      <c r="C115" s="23"/>
      <c r="H115" s="133" t="s">
        <v>303</v>
      </c>
      <c r="I115" s="25"/>
      <c r="J115" s="25"/>
      <c r="L115" s="24" t="e">
        <f ca="1">_xll.EVPRO($B$1,H115,"JDEID")</f>
        <v>#NAME?</v>
      </c>
      <c r="M115" s="24" t="str">
        <f>IF(AND(I115="N",J115="N"),_xll.EVPRO($B$1,H115,"PSFTID"),"")</f>
        <v/>
      </c>
      <c r="N115" s="24" t="e">
        <f ca="1">IF(_xll.EVDES(H115,$B$1)="#NODATA","",_xll.EVDES(H115,$B$1))</f>
        <v>#NAME?</v>
      </c>
      <c r="O115" s="19"/>
      <c r="P115" s="19"/>
      <c r="Q115" s="19"/>
      <c r="R115" s="19"/>
      <c r="S115" s="19"/>
      <c r="T115" s="19"/>
      <c r="U115" s="19"/>
      <c r="V115" s="19"/>
      <c r="W115" s="19"/>
      <c r="X115" s="19"/>
      <c r="Y115" s="19"/>
      <c r="Z115" s="19"/>
      <c r="AA115" s="19">
        <f t="shared" si="40"/>
        <v>0</v>
      </c>
      <c r="AB115" s="15" t="str">
        <f t="shared" si="41"/>
        <v/>
      </c>
      <c r="AD115" s="19"/>
      <c r="AE115" s="15" t="str">
        <f t="shared" si="42"/>
        <v/>
      </c>
      <c r="AF115" s="47">
        <f t="shared" si="43"/>
        <v>0</v>
      </c>
      <c r="AG115" s="19"/>
      <c r="AH115" s="15" t="str">
        <f t="shared" si="44"/>
        <v/>
      </c>
      <c r="AI115" s="47">
        <f t="shared" si="45"/>
        <v>0</v>
      </c>
    </row>
    <row r="116" spans="3:35" x14ac:dyDescent="0.2">
      <c r="C116" s="23"/>
      <c r="H116" s="133" t="s">
        <v>304</v>
      </c>
      <c r="I116" s="25"/>
      <c r="J116" s="25"/>
      <c r="L116" s="24" t="e">
        <f ca="1">_xll.EVPRO($B$1,H116,"JDEID")</f>
        <v>#NAME?</v>
      </c>
      <c r="M116" s="24" t="str">
        <f>IF(AND(I116="N",J116="N"),_xll.EVPRO($B$1,H116,"PSFTID"),"")</f>
        <v/>
      </c>
      <c r="N116" s="24" t="e">
        <f ca="1">IF(_xll.EVDES(H116,$B$1)="#NODATA","",_xll.EVDES(H116,$B$1))</f>
        <v>#NAME?</v>
      </c>
      <c r="O116" s="19"/>
      <c r="P116" s="19"/>
      <c r="Q116" s="19"/>
      <c r="R116" s="19"/>
      <c r="S116" s="19"/>
      <c r="T116" s="19"/>
      <c r="U116" s="19"/>
      <c r="V116" s="19"/>
      <c r="W116" s="19"/>
      <c r="X116" s="19"/>
      <c r="Y116" s="19"/>
      <c r="Z116" s="19"/>
      <c r="AA116" s="19">
        <f t="shared" si="40"/>
        <v>0</v>
      </c>
      <c r="AB116" s="15" t="str">
        <f t="shared" si="41"/>
        <v/>
      </c>
      <c r="AD116" s="19"/>
      <c r="AE116" s="15" t="str">
        <f t="shared" si="42"/>
        <v/>
      </c>
      <c r="AF116" s="47">
        <f t="shared" si="43"/>
        <v>0</v>
      </c>
      <c r="AG116" s="19"/>
      <c r="AH116" s="15" t="str">
        <f t="shared" si="44"/>
        <v/>
      </c>
      <c r="AI116" s="47">
        <f t="shared" si="45"/>
        <v>0</v>
      </c>
    </row>
    <row r="117" spans="3:35" x14ac:dyDescent="0.2">
      <c r="C117" s="23"/>
      <c r="H117" s="133" t="s">
        <v>309</v>
      </c>
      <c r="I117" s="25"/>
      <c r="J117" s="25"/>
      <c r="L117" s="24" t="e">
        <f ca="1">_xll.EVPRO($B$1,H117,"JDEID")</f>
        <v>#NAME?</v>
      </c>
      <c r="M117" s="24" t="str">
        <f>IF(AND(I117="N",J117="N"),_xll.EVPRO($B$1,H117,"PSFTID"),"")</f>
        <v/>
      </c>
      <c r="N117" s="24" t="e">
        <f ca="1">IF(_xll.EVDES(H117,$B$1)="#NODATA","",_xll.EVDES(H117,$B$1))</f>
        <v>#NAME?</v>
      </c>
      <c r="O117" s="19"/>
      <c r="P117" s="19"/>
      <c r="Q117" s="19"/>
      <c r="R117" s="19"/>
      <c r="S117" s="19"/>
      <c r="T117" s="19"/>
      <c r="U117" s="19"/>
      <c r="V117" s="19"/>
      <c r="W117" s="19"/>
      <c r="X117" s="19"/>
      <c r="Y117" s="19"/>
      <c r="Z117" s="19"/>
      <c r="AA117" s="19">
        <f t="shared" si="40"/>
        <v>0</v>
      </c>
      <c r="AB117" s="15" t="str">
        <f t="shared" si="41"/>
        <v/>
      </c>
      <c r="AD117" s="19"/>
      <c r="AE117" s="15" t="str">
        <f t="shared" si="42"/>
        <v/>
      </c>
      <c r="AF117" s="47">
        <f t="shared" si="43"/>
        <v>0</v>
      </c>
      <c r="AG117" s="19"/>
      <c r="AH117" s="15" t="str">
        <f t="shared" si="44"/>
        <v/>
      </c>
      <c r="AI117" s="47">
        <f t="shared" si="45"/>
        <v>0</v>
      </c>
    </row>
    <row r="118" spans="3:35" x14ac:dyDescent="0.2">
      <c r="C118" s="23"/>
      <c r="H118" s="133" t="s">
        <v>322</v>
      </c>
      <c r="I118" s="25"/>
      <c r="J118" s="25"/>
      <c r="L118" s="24" t="e">
        <f ca="1">_xll.EVPRO($B$1,H118,"JDEID")</f>
        <v>#NAME?</v>
      </c>
      <c r="M118" s="24" t="str">
        <f>IF(AND(I118="N",J118="N"),_xll.EVPRO($B$1,H118,"PSFTID"),"")</f>
        <v/>
      </c>
      <c r="N118" s="24" t="e">
        <f ca="1">IF(_xll.EVDES(H118,$B$1)="#NODATA","",_xll.EVDES(H118,$B$1))</f>
        <v>#NAME?</v>
      </c>
      <c r="O118" s="19"/>
      <c r="P118" s="19"/>
      <c r="Q118" s="19"/>
      <c r="R118" s="19"/>
      <c r="S118" s="19"/>
      <c r="T118" s="19"/>
      <c r="U118" s="19"/>
      <c r="V118" s="19"/>
      <c r="W118" s="19"/>
      <c r="X118" s="19"/>
      <c r="Y118" s="19"/>
      <c r="Z118" s="19"/>
      <c r="AA118" s="19">
        <f t="shared" si="40"/>
        <v>0</v>
      </c>
      <c r="AB118" s="15" t="str">
        <f t="shared" si="41"/>
        <v/>
      </c>
      <c r="AD118" s="19"/>
      <c r="AE118" s="15" t="str">
        <f t="shared" si="42"/>
        <v/>
      </c>
      <c r="AF118" s="47">
        <f t="shared" si="43"/>
        <v>0</v>
      </c>
      <c r="AG118" s="19"/>
      <c r="AH118" s="15" t="str">
        <f t="shared" si="44"/>
        <v/>
      </c>
      <c r="AI118" s="47">
        <f t="shared" si="45"/>
        <v>0</v>
      </c>
    </row>
    <row r="119" spans="3:35" x14ac:dyDescent="0.2">
      <c r="C119" s="23"/>
      <c r="H119" s="133" t="s">
        <v>341</v>
      </c>
      <c r="I119" s="25"/>
      <c r="J119" s="25"/>
      <c r="L119" s="24" t="e">
        <f ca="1">_xll.EVPRO($B$1,H119,"JDEID")</f>
        <v>#NAME?</v>
      </c>
      <c r="M119" s="24" t="str">
        <f>IF(AND(I119="N",J119="N"),_xll.EVPRO($B$1,H119,"PSFTID"),"")</f>
        <v/>
      </c>
      <c r="N119" s="23" t="e">
        <f ca="1">IF(_xll.EVDES(H119,$B$1)="#NODATA","",_xll.EVDES(H119,$B$1))</f>
        <v>#NAME?</v>
      </c>
      <c r="O119" s="145"/>
      <c r="P119" s="145"/>
      <c r="Q119" s="145"/>
      <c r="R119" s="145"/>
      <c r="S119" s="145"/>
      <c r="T119" s="145"/>
      <c r="U119" s="145"/>
      <c r="V119" s="145"/>
      <c r="W119" s="145"/>
      <c r="X119" s="145"/>
      <c r="Y119" s="145"/>
      <c r="Z119" s="145"/>
      <c r="AA119" s="145">
        <f t="shared" si="40"/>
        <v>0</v>
      </c>
      <c r="AB119" s="156" t="str">
        <f t="shared" si="41"/>
        <v/>
      </c>
      <c r="AD119" s="145"/>
      <c r="AE119" s="156" t="str">
        <f t="shared" si="42"/>
        <v/>
      </c>
      <c r="AF119" s="146">
        <f t="shared" si="43"/>
        <v>0</v>
      </c>
      <c r="AG119" s="145"/>
      <c r="AH119" s="156" t="str">
        <f t="shared" si="44"/>
        <v/>
      </c>
      <c r="AI119" s="146">
        <f t="shared" si="45"/>
        <v>0</v>
      </c>
    </row>
    <row r="120" spans="3:35" x14ac:dyDescent="0.2">
      <c r="C120" s="23"/>
      <c r="H120" s="133"/>
      <c r="I120" s="25"/>
      <c r="J120" s="25"/>
      <c r="L120" s="24"/>
      <c r="M120" s="24"/>
      <c r="O120" s="38"/>
      <c r="P120" s="42"/>
      <c r="Q120" s="42"/>
      <c r="R120" s="42"/>
      <c r="S120" s="42"/>
      <c r="T120" s="42"/>
      <c r="U120" s="42"/>
      <c r="V120" s="42"/>
      <c r="W120" s="42"/>
      <c r="X120" s="42"/>
      <c r="Y120" s="42"/>
      <c r="Z120" s="42"/>
      <c r="AA120" s="42"/>
      <c r="AB120" s="39"/>
      <c r="AD120" s="38"/>
      <c r="AE120" s="42"/>
      <c r="AF120" s="39"/>
      <c r="AG120" s="38"/>
      <c r="AH120" s="42"/>
      <c r="AI120" s="39"/>
    </row>
    <row r="121" spans="3:35" x14ac:dyDescent="0.2">
      <c r="C121" s="23"/>
      <c r="H121" s="10" t="s">
        <v>267</v>
      </c>
      <c r="I121" s="25"/>
      <c r="J121" s="25"/>
      <c r="L121" s="24" t="e">
        <f ca="1">_xll.EVPRO($B$1,H121,"JDEID")</f>
        <v>#NAME?</v>
      </c>
      <c r="M121" s="24" t="str">
        <f>IF(AND(I121="N",J121="N"),_xll.EVPRO($B$1,H121,"PSFTID"),"")</f>
        <v/>
      </c>
      <c r="N121" s="24" t="e">
        <f ca="1">IF(_xll.EVDES(H121,$B$1)="#NODATA","",_xll.EVDES(H121,$B$1))</f>
        <v>#NAME?</v>
      </c>
      <c r="O121" s="19">
        <f t="shared" ref="O121:Z121" si="46">O98+O106+O114</f>
        <v>0</v>
      </c>
      <c r="P121" s="19">
        <f t="shared" si="46"/>
        <v>0</v>
      </c>
      <c r="Q121" s="19">
        <f t="shared" si="46"/>
        <v>0</v>
      </c>
      <c r="R121" s="19">
        <f t="shared" si="46"/>
        <v>0</v>
      </c>
      <c r="S121" s="19">
        <f t="shared" si="46"/>
        <v>0</v>
      </c>
      <c r="T121" s="19">
        <f t="shared" si="46"/>
        <v>0</v>
      </c>
      <c r="U121" s="19">
        <f t="shared" si="46"/>
        <v>0</v>
      </c>
      <c r="V121" s="19">
        <f t="shared" si="46"/>
        <v>0</v>
      </c>
      <c r="W121" s="19">
        <f t="shared" si="46"/>
        <v>0</v>
      </c>
      <c r="X121" s="19">
        <f t="shared" si="46"/>
        <v>0</v>
      </c>
      <c r="Y121" s="19">
        <f t="shared" si="46"/>
        <v>0</v>
      </c>
      <c r="Z121" s="19">
        <f t="shared" si="46"/>
        <v>0</v>
      </c>
      <c r="AA121" s="19">
        <f t="shared" ref="AA121:AA126" si="47">SUM(O121:Z121)</f>
        <v>0</v>
      </c>
      <c r="AB121" s="15" t="str">
        <f t="shared" ref="AB121:AB126" si="48">IF(AA121=0,"",IFERROR(AA121/AA$19,""))</f>
        <v/>
      </c>
      <c r="AD121" s="19">
        <f>AD98+AD106+AD114</f>
        <v>0</v>
      </c>
      <c r="AE121" s="15" t="str">
        <f t="shared" ref="AE121:AE126" si="49">IF(AD121=0,"",IFERROR(AD121/AD$19,""))</f>
        <v/>
      </c>
      <c r="AF121" s="47">
        <f t="shared" ref="AF121:AF126" si="50">IF(AND($AA121="",AD121=""),"",$AA121-AD121)</f>
        <v>0</v>
      </c>
      <c r="AG121" s="19">
        <f>AG98+AG106+AG114</f>
        <v>0</v>
      </c>
      <c r="AH121" s="15" t="str">
        <f t="shared" ref="AH121:AH126" si="51">IF(AG121=0,"",IFERROR(AG121/AG$19,""))</f>
        <v/>
      </c>
      <c r="AI121" s="47">
        <f t="shared" ref="AI121:AI126" si="52">IF(AND($AA121="",AG121=""),"",$AA121-AG121)</f>
        <v>0</v>
      </c>
    </row>
    <row r="122" spans="3:35" x14ac:dyDescent="0.2">
      <c r="C122" s="23"/>
      <c r="H122" s="10" t="s">
        <v>268</v>
      </c>
      <c r="I122" s="25"/>
      <c r="J122" s="25"/>
      <c r="L122" s="24" t="e">
        <f ca="1">_xll.EVPRO($B$1,H122,"JDEID")</f>
        <v>#NAME?</v>
      </c>
      <c r="M122" s="24" t="str">
        <f>IF(AND(I122="N",J122="N"),_xll.EVPRO($B$1,H122,"PSFTID"),"")</f>
        <v/>
      </c>
      <c r="N122" s="24" t="e">
        <f ca="1">IF(_xll.EVDES(H122,$B$1)="#NODATA","",_xll.EVDES(H122,$B$1))</f>
        <v>#NAME?</v>
      </c>
      <c r="O122" s="19">
        <f t="shared" ref="O122:Z122" si="53">O99+O107+O115</f>
        <v>0</v>
      </c>
      <c r="P122" s="19">
        <f t="shared" si="53"/>
        <v>0</v>
      </c>
      <c r="Q122" s="19">
        <f t="shared" si="53"/>
        <v>0</v>
      </c>
      <c r="R122" s="19">
        <f t="shared" si="53"/>
        <v>0</v>
      </c>
      <c r="S122" s="19">
        <f t="shared" si="53"/>
        <v>0</v>
      </c>
      <c r="T122" s="19">
        <f t="shared" si="53"/>
        <v>0</v>
      </c>
      <c r="U122" s="19">
        <f t="shared" si="53"/>
        <v>0</v>
      </c>
      <c r="V122" s="19">
        <f t="shared" si="53"/>
        <v>0</v>
      </c>
      <c r="W122" s="19">
        <f t="shared" si="53"/>
        <v>0</v>
      </c>
      <c r="X122" s="19">
        <f t="shared" si="53"/>
        <v>0</v>
      </c>
      <c r="Y122" s="19">
        <f t="shared" si="53"/>
        <v>0</v>
      </c>
      <c r="Z122" s="19">
        <f t="shared" si="53"/>
        <v>0</v>
      </c>
      <c r="AA122" s="19">
        <f t="shared" si="47"/>
        <v>0</v>
      </c>
      <c r="AB122" s="15" t="str">
        <f t="shared" si="48"/>
        <v/>
      </c>
      <c r="AD122" s="19">
        <f>AD99+AD107+AD115</f>
        <v>0</v>
      </c>
      <c r="AE122" s="15" t="str">
        <f t="shared" si="49"/>
        <v/>
      </c>
      <c r="AF122" s="47">
        <f t="shared" si="50"/>
        <v>0</v>
      </c>
      <c r="AG122" s="19">
        <f>AG99+AG107+AG115</f>
        <v>0</v>
      </c>
      <c r="AH122" s="15" t="str">
        <f t="shared" si="51"/>
        <v/>
      </c>
      <c r="AI122" s="47">
        <f t="shared" si="52"/>
        <v>0</v>
      </c>
    </row>
    <row r="123" spans="3:35" x14ac:dyDescent="0.2">
      <c r="C123" s="23"/>
      <c r="H123" s="133" t="s">
        <v>269</v>
      </c>
      <c r="I123" s="25"/>
      <c r="J123" s="25"/>
      <c r="L123" s="24" t="e">
        <f ca="1">_xll.EVPRO($B$1,H123,"JDEID")</f>
        <v>#NAME?</v>
      </c>
      <c r="M123" s="24" t="str">
        <f>IF(AND(I123="N",J123="N"),_xll.EVPRO($B$1,H123,"PSFTID"),"")</f>
        <v/>
      </c>
      <c r="N123" s="24" t="e">
        <f ca="1">IF(_xll.EVDES(H123,$B$1)="#NODATA","",_xll.EVDES(H123,$B$1))</f>
        <v>#NAME?</v>
      </c>
      <c r="O123" s="19">
        <f t="shared" ref="O123:Z123" si="54">O100+O108+O116</f>
        <v>0</v>
      </c>
      <c r="P123" s="19">
        <f t="shared" si="54"/>
        <v>0</v>
      </c>
      <c r="Q123" s="19">
        <f t="shared" si="54"/>
        <v>0</v>
      </c>
      <c r="R123" s="19">
        <f t="shared" si="54"/>
        <v>0</v>
      </c>
      <c r="S123" s="19">
        <f t="shared" si="54"/>
        <v>0</v>
      </c>
      <c r="T123" s="19">
        <f t="shared" si="54"/>
        <v>0</v>
      </c>
      <c r="U123" s="19">
        <f t="shared" si="54"/>
        <v>0</v>
      </c>
      <c r="V123" s="19">
        <f t="shared" si="54"/>
        <v>0</v>
      </c>
      <c r="W123" s="19">
        <f t="shared" si="54"/>
        <v>0</v>
      </c>
      <c r="X123" s="19">
        <f t="shared" si="54"/>
        <v>0</v>
      </c>
      <c r="Y123" s="19">
        <f t="shared" si="54"/>
        <v>0</v>
      </c>
      <c r="Z123" s="19">
        <f t="shared" si="54"/>
        <v>0</v>
      </c>
      <c r="AA123" s="19">
        <f t="shared" si="47"/>
        <v>0</v>
      </c>
      <c r="AB123" s="15" t="str">
        <f t="shared" si="48"/>
        <v/>
      </c>
      <c r="AD123" s="19">
        <f>AD100+AD108+AD116</f>
        <v>0</v>
      </c>
      <c r="AE123" s="15" t="str">
        <f t="shared" si="49"/>
        <v/>
      </c>
      <c r="AF123" s="47">
        <f t="shared" si="50"/>
        <v>0</v>
      </c>
      <c r="AG123" s="19">
        <f>AG100+AG108+AG116</f>
        <v>0</v>
      </c>
      <c r="AH123" s="15" t="str">
        <f t="shared" si="51"/>
        <v/>
      </c>
      <c r="AI123" s="47">
        <f t="shared" si="52"/>
        <v>0</v>
      </c>
    </row>
    <row r="124" spans="3:35" x14ac:dyDescent="0.2">
      <c r="C124" s="23"/>
      <c r="H124" s="133" t="s">
        <v>270</v>
      </c>
      <c r="I124" s="25"/>
      <c r="J124" s="25"/>
      <c r="L124" s="24" t="e">
        <f ca="1">_xll.EVPRO($B$1,H124,"JDEID")</f>
        <v>#NAME?</v>
      </c>
      <c r="M124" s="24" t="str">
        <f>IF(AND(I124="N",J124="N"),_xll.EVPRO($B$1,H124,"PSFTID"),"")</f>
        <v/>
      </c>
      <c r="N124" s="24" t="e">
        <f ca="1">IF(_xll.EVDES(H124,$B$1)="#NODATA","",_xll.EVDES(H124,$B$1))</f>
        <v>#NAME?</v>
      </c>
      <c r="O124" s="19">
        <f t="shared" ref="O124:Z124" si="55">O101+O109+O117</f>
        <v>0</v>
      </c>
      <c r="P124" s="19">
        <f t="shared" si="55"/>
        <v>0</v>
      </c>
      <c r="Q124" s="19">
        <f t="shared" si="55"/>
        <v>0</v>
      </c>
      <c r="R124" s="19">
        <f t="shared" si="55"/>
        <v>0</v>
      </c>
      <c r="S124" s="19">
        <f t="shared" si="55"/>
        <v>0</v>
      </c>
      <c r="T124" s="19">
        <f t="shared" si="55"/>
        <v>0</v>
      </c>
      <c r="U124" s="19">
        <f t="shared" si="55"/>
        <v>0</v>
      </c>
      <c r="V124" s="19">
        <f t="shared" si="55"/>
        <v>0</v>
      </c>
      <c r="W124" s="19">
        <f t="shared" si="55"/>
        <v>0</v>
      </c>
      <c r="X124" s="19">
        <f t="shared" si="55"/>
        <v>0</v>
      </c>
      <c r="Y124" s="19">
        <f t="shared" si="55"/>
        <v>0</v>
      </c>
      <c r="Z124" s="19">
        <f t="shared" si="55"/>
        <v>0</v>
      </c>
      <c r="AA124" s="19">
        <f t="shared" si="47"/>
        <v>0</v>
      </c>
      <c r="AB124" s="15" t="str">
        <f t="shared" si="48"/>
        <v/>
      </c>
      <c r="AD124" s="19">
        <f>AD101+AD109+AD117</f>
        <v>0</v>
      </c>
      <c r="AE124" s="15" t="str">
        <f t="shared" si="49"/>
        <v/>
      </c>
      <c r="AF124" s="47">
        <f t="shared" si="50"/>
        <v>0</v>
      </c>
      <c r="AG124" s="19">
        <f>AG101+AG109+AG117</f>
        <v>0</v>
      </c>
      <c r="AH124" s="15" t="str">
        <f t="shared" si="51"/>
        <v/>
      </c>
      <c r="AI124" s="47">
        <f t="shared" si="52"/>
        <v>0</v>
      </c>
    </row>
    <row r="125" spans="3:35" x14ac:dyDescent="0.2">
      <c r="C125" s="23"/>
      <c r="H125" s="133" t="s">
        <v>271</v>
      </c>
      <c r="I125" s="25"/>
      <c r="J125" s="25"/>
      <c r="L125" s="24" t="e">
        <f ca="1">_xll.EVPRO($B$1,H125,"JDEID")</f>
        <v>#NAME?</v>
      </c>
      <c r="M125" s="24" t="str">
        <f>IF(AND(I125="N",J125="N"),_xll.EVPRO($B$1,H125,"PSFTID"),"")</f>
        <v/>
      </c>
      <c r="N125" s="24" t="e">
        <f ca="1">IF(_xll.EVDES(H125,$B$1)="#NODATA","",_xll.EVDES(H125,$B$1))</f>
        <v>#NAME?</v>
      </c>
      <c r="O125" s="19">
        <f t="shared" ref="O125:Z125" si="56">O102+O110+O118</f>
        <v>0</v>
      </c>
      <c r="P125" s="19">
        <f t="shared" si="56"/>
        <v>0</v>
      </c>
      <c r="Q125" s="19">
        <f t="shared" si="56"/>
        <v>0</v>
      </c>
      <c r="R125" s="19">
        <f t="shared" si="56"/>
        <v>0</v>
      </c>
      <c r="S125" s="19">
        <f t="shared" si="56"/>
        <v>0</v>
      </c>
      <c r="T125" s="19">
        <f t="shared" si="56"/>
        <v>0</v>
      </c>
      <c r="U125" s="19">
        <f t="shared" si="56"/>
        <v>0</v>
      </c>
      <c r="V125" s="19">
        <f t="shared" si="56"/>
        <v>0</v>
      </c>
      <c r="W125" s="19">
        <f t="shared" si="56"/>
        <v>0</v>
      </c>
      <c r="X125" s="19">
        <f t="shared" si="56"/>
        <v>0</v>
      </c>
      <c r="Y125" s="19">
        <f t="shared" si="56"/>
        <v>0</v>
      </c>
      <c r="Z125" s="19">
        <f t="shared" si="56"/>
        <v>0</v>
      </c>
      <c r="AA125" s="19">
        <f t="shared" si="47"/>
        <v>0</v>
      </c>
      <c r="AB125" s="15" t="str">
        <f t="shared" si="48"/>
        <v/>
      </c>
      <c r="AD125" s="19">
        <f>AD102+AD110+AD118</f>
        <v>0</v>
      </c>
      <c r="AE125" s="15" t="str">
        <f t="shared" si="49"/>
        <v/>
      </c>
      <c r="AF125" s="47">
        <f t="shared" si="50"/>
        <v>0</v>
      </c>
      <c r="AG125" s="19">
        <f>AG102+AG110+AG118</f>
        <v>0</v>
      </c>
      <c r="AH125" s="15" t="str">
        <f t="shared" si="51"/>
        <v/>
      </c>
      <c r="AI125" s="47">
        <f t="shared" si="52"/>
        <v>0</v>
      </c>
    </row>
    <row r="126" spans="3:35" x14ac:dyDescent="0.2">
      <c r="C126" s="23"/>
      <c r="H126" s="10" t="s">
        <v>272</v>
      </c>
      <c r="I126" s="25"/>
      <c r="J126" s="25"/>
      <c r="L126" s="24" t="e">
        <f ca="1">_xll.EVPRO($B$1,H126,"JDEID")</f>
        <v>#NAME?</v>
      </c>
      <c r="M126" s="24" t="str">
        <f>IF(AND(I126="N",J126="N"),_xll.EVPRO($B$1,H126,"PSFTID"),"")</f>
        <v/>
      </c>
      <c r="N126" s="23" t="e">
        <f ca="1">IF(_xll.EVDES(H126,$B$1)="#NODATA","",_xll.EVDES(H126,$B$1))</f>
        <v>#NAME?</v>
      </c>
      <c r="O126" s="145">
        <f t="shared" ref="O126:Z126" si="57">SUM(O121:O125)</f>
        <v>0</v>
      </c>
      <c r="P126" s="145">
        <f t="shared" si="57"/>
        <v>0</v>
      </c>
      <c r="Q126" s="145">
        <f t="shared" si="57"/>
        <v>0</v>
      </c>
      <c r="R126" s="145">
        <f t="shared" si="57"/>
        <v>0</v>
      </c>
      <c r="S126" s="145">
        <f t="shared" si="57"/>
        <v>0</v>
      </c>
      <c r="T126" s="145">
        <f t="shared" si="57"/>
        <v>0</v>
      </c>
      <c r="U126" s="145">
        <f t="shared" si="57"/>
        <v>0</v>
      </c>
      <c r="V126" s="145">
        <f t="shared" si="57"/>
        <v>0</v>
      </c>
      <c r="W126" s="145">
        <f t="shared" si="57"/>
        <v>0</v>
      </c>
      <c r="X126" s="145">
        <f t="shared" si="57"/>
        <v>0</v>
      </c>
      <c r="Y126" s="145">
        <f t="shared" si="57"/>
        <v>0</v>
      </c>
      <c r="Z126" s="145">
        <f t="shared" si="57"/>
        <v>0</v>
      </c>
      <c r="AA126" s="145">
        <f t="shared" si="47"/>
        <v>0</v>
      </c>
      <c r="AB126" s="156" t="str">
        <f t="shared" si="48"/>
        <v/>
      </c>
      <c r="AD126" s="145">
        <f>SUM(AD121:AD125)</f>
        <v>0</v>
      </c>
      <c r="AE126" s="156" t="str">
        <f t="shared" si="49"/>
        <v/>
      </c>
      <c r="AF126" s="146">
        <f t="shared" si="50"/>
        <v>0</v>
      </c>
      <c r="AG126" s="145">
        <f>SUM(AG121:AG125)</f>
        <v>0</v>
      </c>
      <c r="AH126" s="156" t="str">
        <f t="shared" si="51"/>
        <v/>
      </c>
      <c r="AI126" s="146">
        <f t="shared" si="52"/>
        <v>0</v>
      </c>
    </row>
    <row r="127" spans="3:35" x14ac:dyDescent="0.2">
      <c r="C127" s="23"/>
      <c r="H127" s="133"/>
      <c r="I127" s="25"/>
      <c r="J127" s="25"/>
      <c r="O127" s="124">
        <f t="shared" ref="O127:AA127" si="58">O103+O111+O119-O126</f>
        <v>0</v>
      </c>
      <c r="P127" s="124">
        <f t="shared" si="58"/>
        <v>0</v>
      </c>
      <c r="Q127" s="124">
        <f t="shared" si="58"/>
        <v>0</v>
      </c>
      <c r="R127" s="124">
        <f t="shared" si="58"/>
        <v>0</v>
      </c>
      <c r="S127" s="124">
        <f t="shared" si="58"/>
        <v>0</v>
      </c>
      <c r="T127" s="124">
        <f t="shared" si="58"/>
        <v>0</v>
      </c>
      <c r="U127" s="124">
        <f t="shared" si="58"/>
        <v>0</v>
      </c>
      <c r="V127" s="124">
        <f t="shared" si="58"/>
        <v>0</v>
      </c>
      <c r="W127" s="124">
        <f t="shared" si="58"/>
        <v>0</v>
      </c>
      <c r="X127" s="124">
        <f t="shared" si="58"/>
        <v>0</v>
      </c>
      <c r="Y127" s="124">
        <f t="shared" si="58"/>
        <v>0</v>
      </c>
      <c r="Z127" s="124">
        <f t="shared" si="58"/>
        <v>0</v>
      </c>
      <c r="AA127" s="124">
        <f t="shared" si="58"/>
        <v>0</v>
      </c>
      <c r="AB127" s="15"/>
      <c r="AD127" s="124">
        <f>AD103+AD111+AD119-AD126</f>
        <v>0</v>
      </c>
      <c r="AE127" s="15"/>
      <c r="AF127" s="19"/>
      <c r="AG127" s="124">
        <f>AG103+AG111+AG119-AG126</f>
        <v>0</v>
      </c>
      <c r="AH127" s="15"/>
      <c r="AI127" s="19"/>
    </row>
    <row r="128" spans="3:35" x14ac:dyDescent="0.2">
      <c r="C128" s="23"/>
      <c r="H128" s="133"/>
      <c r="I128" s="25"/>
      <c r="J128" s="25"/>
      <c r="O128" s="38"/>
      <c r="P128" s="42"/>
      <c r="Q128" s="42"/>
      <c r="R128" s="42"/>
      <c r="S128" s="42"/>
      <c r="T128" s="42"/>
      <c r="U128" s="42"/>
      <c r="V128" s="42"/>
      <c r="W128" s="42"/>
      <c r="X128" s="42"/>
      <c r="Y128" s="42"/>
      <c r="Z128" s="42"/>
      <c r="AA128" s="42"/>
      <c r="AB128" s="39"/>
      <c r="AD128" s="38"/>
      <c r="AE128" s="42"/>
      <c r="AF128" s="39"/>
      <c r="AG128" s="38"/>
      <c r="AH128" s="42"/>
      <c r="AI128" s="39"/>
    </row>
    <row r="129" spans="3:35" ht="16" x14ac:dyDescent="0.2">
      <c r="C129" s="23"/>
      <c r="H129" s="133" t="s">
        <v>281</v>
      </c>
      <c r="I129" s="25"/>
      <c r="J129" s="25"/>
      <c r="N129" s="155" t="e">
        <f ca="1">IF(_xll.EVDES(H129,$B$1)="#NODATA","",_xll.EVDES(H129,$B$1))</f>
        <v>#NAME?</v>
      </c>
      <c r="O129" s="436"/>
      <c r="P129" s="438"/>
      <c r="Q129" s="438"/>
      <c r="R129" s="438"/>
      <c r="S129" s="438"/>
      <c r="T129" s="438"/>
      <c r="U129" s="438"/>
      <c r="V129" s="438"/>
      <c r="W129" s="438"/>
      <c r="X129" s="438"/>
      <c r="Y129" s="438"/>
      <c r="Z129" s="438"/>
      <c r="AA129" s="438"/>
      <c r="AB129" s="437"/>
      <c r="AD129" s="436"/>
      <c r="AE129" s="438"/>
      <c r="AF129" s="438"/>
      <c r="AG129" s="438"/>
      <c r="AH129" s="438"/>
      <c r="AI129" s="437"/>
    </row>
    <row r="130" spans="3:35" x14ac:dyDescent="0.2">
      <c r="C130" s="23"/>
      <c r="H130" s="133">
        <v>561100</v>
      </c>
      <c r="I130" s="25"/>
      <c r="J130" s="25"/>
      <c r="L130" s="24" t="e">
        <f ca="1">_xll.EVPRO($B$1,H130,"JDEID")</f>
        <v>#NAME?</v>
      </c>
      <c r="M130" s="24" t="str">
        <f>IF(AND(I130="N",J130="N"),_xll.EVPRO($B$1,H130,"PSFTID"),"")</f>
        <v/>
      </c>
      <c r="N130" s="24" t="e">
        <f ca="1">IF(_xll.EVDES(H130,$B$1)="#NODATA","",_xll.EVDES(H130,$B$1))</f>
        <v>#NAME?</v>
      </c>
      <c r="O130" s="19"/>
      <c r="P130" s="19"/>
      <c r="Q130" s="19"/>
      <c r="R130" s="19"/>
      <c r="S130" s="19"/>
      <c r="T130" s="19"/>
      <c r="U130" s="19"/>
      <c r="V130" s="19"/>
      <c r="W130" s="19"/>
      <c r="X130" s="19"/>
      <c r="Y130" s="19"/>
      <c r="Z130" s="19"/>
      <c r="AA130" s="19">
        <f>SUM(O130:Z130)</f>
        <v>0</v>
      </c>
      <c r="AB130" s="284" t="str">
        <f>IF(AA130=0,"",IFERROR(AA130/_xll.EVGTS($B$1,1,_xll.EVPRO($B$1,$H130,"COSBASIS"),$B$3,$B$5,$B$6,$B$7,$B$9,AA$16,AA$17,AA$11),""))</f>
        <v/>
      </c>
      <c r="AD130" s="19"/>
      <c r="AE130" s="284" t="str">
        <f>IF(AD130=0,"",IFERROR(AD130/_xll.EVGTS($B$1,1,_xll.EVPRO($B$1,$H130,"COSBASIS"),$B$3,$B$5,$B$6,$B$7,$B$9,AD$16,AD$17,AD$18),""))</f>
        <v/>
      </c>
      <c r="AF130" s="47">
        <f t="shared" ref="AF130:AF140" si="59">IF(AND($AA130="",AD130=""),"",$AA130-AD130)</f>
        <v>0</v>
      </c>
      <c r="AG130" s="19"/>
      <c r="AH130" s="284" t="str">
        <f>IF(AG130=0,"",IFERROR(AG130/_xll.EVGTS($B$1,1,_xll.EVPRO($B$1,$H130,"COSBASIS"),$B$3,$B$5,$B$6,$B$7,$B$9,AG$16,AG$17,AG$18),""))</f>
        <v/>
      </c>
      <c r="AI130" s="47">
        <f t="shared" ref="AI130:AI141" si="60">IF(AND($AA130="",AG130=""),"",$AA130-AG130)</f>
        <v>0</v>
      </c>
    </row>
    <row r="131" spans="3:35" x14ac:dyDescent="0.2">
      <c r="C131" s="23"/>
      <c r="H131" s="133" t="s">
        <v>756</v>
      </c>
      <c r="I131" s="25"/>
      <c r="J131" s="25"/>
      <c r="L131" s="24" t="e">
        <f ca="1">_xll.EVPRO($B$1,H131,"JDEID")</f>
        <v>#NAME?</v>
      </c>
      <c r="M131" s="24" t="str">
        <f>IF(AND(I131="N",J131="N"),_xll.EVPRO($B$1,H131,"PSFTID"),"")</f>
        <v/>
      </c>
      <c r="N131" s="439" t="e">
        <f ca="1">IF(_xll.EVDES(H131,$B$1)="#NODATA","",_xll.EVDES(H131,$B$1))</f>
        <v>#NAME?</v>
      </c>
      <c r="O131" s="153"/>
      <c r="P131" s="153"/>
      <c r="Q131" s="153"/>
      <c r="R131" s="153"/>
      <c r="S131" s="153"/>
      <c r="T131" s="153"/>
      <c r="U131" s="153"/>
      <c r="V131" s="153"/>
      <c r="W131" s="153"/>
      <c r="X131" s="153"/>
      <c r="Y131" s="153"/>
      <c r="Z131" s="153"/>
      <c r="AA131" s="153"/>
      <c r="AB131" s="284"/>
      <c r="AD131" s="153"/>
      <c r="AE131" s="284"/>
      <c r="AF131" s="440" t="str">
        <f t="shared" si="59"/>
        <v/>
      </c>
      <c r="AG131" s="153"/>
      <c r="AH131" s="284"/>
      <c r="AI131" s="440" t="str">
        <f t="shared" si="60"/>
        <v/>
      </c>
    </row>
    <row r="132" spans="3:35" x14ac:dyDescent="0.2">
      <c r="C132" s="23"/>
      <c r="H132" s="133" t="s">
        <v>636</v>
      </c>
      <c r="I132" s="25"/>
      <c r="J132" s="25"/>
      <c r="L132" s="24" t="e">
        <f ca="1">_xll.EVPRO($B$1,H132,"JDEID")</f>
        <v>#NAME?</v>
      </c>
      <c r="M132" s="24" t="str">
        <f>IF(AND(I132="N",J132="N"),_xll.EVPRO($B$1,H132,"PSFTID"),"")</f>
        <v/>
      </c>
      <c r="N132" s="24" t="e">
        <f ca="1">IF(_xll.EVDES(H132,$B$1)="#NODATA","",_xll.EVDES(H132,$B$1))</f>
        <v>#NAME?</v>
      </c>
      <c r="O132" s="19"/>
      <c r="P132" s="19"/>
      <c r="Q132" s="19"/>
      <c r="R132" s="19"/>
      <c r="S132" s="19"/>
      <c r="T132" s="19"/>
      <c r="U132" s="19"/>
      <c r="V132" s="19"/>
      <c r="W132" s="19"/>
      <c r="X132" s="19"/>
      <c r="Y132" s="19"/>
      <c r="Z132" s="19"/>
      <c r="AA132" s="19">
        <f>SUM(O132:Z132)</f>
        <v>0</v>
      </c>
      <c r="AB132" s="284" t="str">
        <f>IF(AA132=0,"",IFERROR(AA132/_xll.EVGTS($B$1,1,_xll.EVPRO($B$1,$H132,"COSBASIS"),$B$3,$B$5,$B$6,$B$7,$B$9,AA$16,AA$17,AA$11),""))</f>
        <v/>
      </c>
      <c r="AD132" s="19"/>
      <c r="AE132" s="284" t="str">
        <f>IF(AD132=0,"",IFERROR(AD132/_xll.EVGTS($B$1,1,_xll.EVPRO($B$1,$H132,"COSBASIS"),$B$3,$B$5,$B$6,$B$7,$B$9,AD$16,AD$17,AD$18),""))</f>
        <v/>
      </c>
      <c r="AF132" s="47">
        <f t="shared" si="59"/>
        <v>0</v>
      </c>
      <c r="AG132" s="19"/>
      <c r="AH132" s="284" t="str">
        <f>IF(AG132=0,"",IFERROR(AG132/_xll.EVGTS($B$1,1,_xll.EVPRO($B$1,$H132,"COSBASIS"),$B$3,$B$5,$B$6,$B$7,$B$9,AG$16,AG$17,AG$18),""))</f>
        <v/>
      </c>
      <c r="AI132" s="47">
        <f t="shared" si="60"/>
        <v>0</v>
      </c>
    </row>
    <row r="133" spans="3:35" x14ac:dyDescent="0.2">
      <c r="C133" s="23"/>
      <c r="H133" s="133" t="s">
        <v>757</v>
      </c>
      <c r="I133" s="25"/>
      <c r="J133" s="25"/>
      <c r="L133" s="24" t="e">
        <f ca="1">_xll.EVPRO($B$1,H133,"JDEID")</f>
        <v>#NAME?</v>
      </c>
      <c r="M133" s="24" t="str">
        <f>IF(AND(I133="N",J133="N"),_xll.EVPRO($B$1,H133,"PSFTID"),"")</f>
        <v/>
      </c>
      <c r="N133" s="439" t="e">
        <f ca="1">IF(_xll.EVDES(H133,$B$1)="#NODATA","",_xll.EVDES(H133,$B$1))</f>
        <v>#NAME?</v>
      </c>
      <c r="O133" s="153"/>
      <c r="P133" s="153"/>
      <c r="Q133" s="153"/>
      <c r="R133" s="153"/>
      <c r="S133" s="153"/>
      <c r="T133" s="153"/>
      <c r="U133" s="153"/>
      <c r="V133" s="153"/>
      <c r="W133" s="153"/>
      <c r="X133" s="153"/>
      <c r="Y133" s="153"/>
      <c r="Z133" s="153"/>
      <c r="AA133" s="153"/>
      <c r="AB133" s="284"/>
      <c r="AD133" s="153"/>
      <c r="AE133" s="284"/>
      <c r="AF133" s="440" t="str">
        <f t="shared" si="59"/>
        <v/>
      </c>
      <c r="AG133" s="153"/>
      <c r="AH133" s="284"/>
      <c r="AI133" s="440" t="str">
        <f t="shared" si="60"/>
        <v/>
      </c>
    </row>
    <row r="134" spans="3:35" x14ac:dyDescent="0.2">
      <c r="C134" s="23"/>
      <c r="H134" s="133" t="s">
        <v>755</v>
      </c>
      <c r="I134" s="25"/>
      <c r="J134" s="25"/>
      <c r="L134" s="24" t="e">
        <f ca="1">_xll.EVPRO($B$1,H134,"JDEID")</f>
        <v>#NAME?</v>
      </c>
      <c r="M134" s="24" t="str">
        <f>IF(AND(I134="N",J134="N"),_xll.EVPRO($B$1,H134,"PSFTID"),"")</f>
        <v/>
      </c>
      <c r="N134" s="24" t="e">
        <f ca="1">IF(_xll.EVDES(H134,$B$1)="#NODATA","",_xll.EVDES(H134,$B$1))</f>
        <v>#NAME?</v>
      </c>
      <c r="O134" s="19"/>
      <c r="P134" s="19"/>
      <c r="Q134" s="19"/>
      <c r="R134" s="19"/>
      <c r="S134" s="19"/>
      <c r="T134" s="19"/>
      <c r="U134" s="19"/>
      <c r="V134" s="19"/>
      <c r="W134" s="19"/>
      <c r="X134" s="19"/>
      <c r="Y134" s="19"/>
      <c r="Z134" s="19"/>
      <c r="AA134" s="19">
        <f>SUM(O134:Z134)</f>
        <v>0</v>
      </c>
      <c r="AB134" s="284" t="str">
        <f>IF(AA134=0,"",IFERROR(AA134/_xll.EVGTS($B$1,1,_xll.EVPRO($B$1,$H134,"COSBASIS"),$B$3,$B$5,$B$6,$B$7,$B$9,AA$16,AA$17,AA$11),""))</f>
        <v/>
      </c>
      <c r="AD134" s="19"/>
      <c r="AE134" s="284" t="str">
        <f>IF(AD134=0,"",IFERROR(AD134/_xll.EVGTS($B$1,1,_xll.EVPRO($B$1,$H134,"COSBASIS"),$B$3,$B$5,$B$6,$B$7,$B$9,AD$16,AD$17,AD$18),""))</f>
        <v/>
      </c>
      <c r="AF134" s="47">
        <f t="shared" si="59"/>
        <v>0</v>
      </c>
      <c r="AG134" s="19"/>
      <c r="AH134" s="284" t="str">
        <f>IF(AG134=0,"",IFERROR(AG134/_xll.EVGTS($B$1,1,_xll.EVPRO($B$1,$H134,"COSBASIS"),$B$3,$B$5,$B$6,$B$7,$B$9,AG$16,AG$17,AG$18),""))</f>
        <v/>
      </c>
      <c r="AI134" s="47">
        <f t="shared" si="60"/>
        <v>0</v>
      </c>
    </row>
    <row r="135" spans="3:35" x14ac:dyDescent="0.2">
      <c r="C135" s="23"/>
      <c r="H135" s="133" t="s">
        <v>758</v>
      </c>
      <c r="I135" s="25"/>
      <c r="J135" s="25"/>
      <c r="L135" s="24" t="e">
        <f ca="1">_xll.EVPRO($B$1,H135,"JDEID")</f>
        <v>#NAME?</v>
      </c>
      <c r="M135" s="24" t="str">
        <f>IF(AND(I135="N",J135="N"),_xll.EVPRO($B$1,H135,"PSFTID"),"")</f>
        <v/>
      </c>
      <c r="N135" s="439" t="e">
        <f ca="1">IF(_xll.EVDES(H135,$B$1)="#NODATA","",_xll.EVDES(H135,$B$1))</f>
        <v>#NAME?</v>
      </c>
      <c r="O135" s="153"/>
      <c r="P135" s="153"/>
      <c r="Q135" s="153"/>
      <c r="R135" s="153"/>
      <c r="S135" s="153"/>
      <c r="T135" s="153"/>
      <c r="U135" s="153"/>
      <c r="V135" s="153"/>
      <c r="W135" s="153"/>
      <c r="X135" s="153"/>
      <c r="Y135" s="153"/>
      <c r="Z135" s="153"/>
      <c r="AA135" s="153"/>
      <c r="AB135" s="284"/>
      <c r="AD135" s="153"/>
      <c r="AE135" s="284"/>
      <c r="AF135" s="440" t="str">
        <f t="shared" si="59"/>
        <v/>
      </c>
      <c r="AG135" s="153"/>
      <c r="AH135" s="284"/>
      <c r="AI135" s="440" t="str">
        <f t="shared" si="60"/>
        <v/>
      </c>
    </row>
    <row r="136" spans="3:35" x14ac:dyDescent="0.2">
      <c r="C136" s="23"/>
      <c r="H136" s="133">
        <v>561400</v>
      </c>
      <c r="I136" s="25"/>
      <c r="J136" s="25"/>
      <c r="L136" s="24" t="e">
        <f ca="1">_xll.EVPRO($B$1,H136,"JDEID")</f>
        <v>#NAME?</v>
      </c>
      <c r="M136" s="24" t="str">
        <f>IF(AND(I136="N",J136="N"),_xll.EVPRO($B$1,H136,"PSFTID"),"")</f>
        <v/>
      </c>
      <c r="N136" s="24" t="e">
        <f ca="1">IF(_xll.EVDES(H136,$B$1)="#NODATA","",_xll.EVDES(H136,$B$1))</f>
        <v>#NAME?</v>
      </c>
      <c r="O136" s="19"/>
      <c r="P136" s="19"/>
      <c r="Q136" s="19"/>
      <c r="R136" s="19"/>
      <c r="S136" s="19"/>
      <c r="T136" s="19"/>
      <c r="U136" s="19"/>
      <c r="V136" s="19"/>
      <c r="W136" s="19"/>
      <c r="X136" s="19"/>
      <c r="Y136" s="19"/>
      <c r="Z136" s="19"/>
      <c r="AA136" s="19">
        <f>SUM(O136:Z136)</f>
        <v>0</v>
      </c>
      <c r="AB136" s="284" t="str">
        <f>IF(AA136=0,"",IFERROR(AA136/_xll.EVGTS($B$1,1,_xll.EVPRO($B$1,$H136,"COSBASIS"),$B$3,$B$5,$B$6,$B$7,$B$9,AA$16,AA$17,AA$11),""))</f>
        <v/>
      </c>
      <c r="AD136" s="19"/>
      <c r="AE136" s="284" t="str">
        <f>IF(AD136=0,"",IFERROR(AD136/_xll.EVGTS($B$1,1,_xll.EVPRO($B$1,$H136,"COSBASIS"),$B$3,$B$5,$B$6,$B$7,$B$9,AD$16,AD$17,AD$18),""))</f>
        <v/>
      </c>
      <c r="AF136" s="47">
        <f t="shared" si="59"/>
        <v>0</v>
      </c>
      <c r="AG136" s="19"/>
      <c r="AH136" s="284" t="str">
        <f>IF(AG136=0,"",IFERROR(AG136/_xll.EVGTS($B$1,1,_xll.EVPRO($B$1,$H136,"COSBASIS"),$B$3,$B$5,$B$6,$B$7,$B$9,AG$16,AG$17,AG$18),""))</f>
        <v/>
      </c>
      <c r="AI136" s="47">
        <f t="shared" si="60"/>
        <v>0</v>
      </c>
    </row>
    <row r="137" spans="3:35" x14ac:dyDescent="0.2">
      <c r="C137" s="23"/>
      <c r="H137" s="133" t="s">
        <v>759</v>
      </c>
      <c r="I137" s="25"/>
      <c r="J137" s="25"/>
      <c r="L137" s="24" t="e">
        <f ca="1">_xll.EVPRO($B$1,H137,"JDEID")</f>
        <v>#NAME?</v>
      </c>
      <c r="M137" s="24" t="str">
        <f>IF(AND(I137="N",J137="N"),_xll.EVPRO($B$1,H137,"PSFTID"),"")</f>
        <v/>
      </c>
      <c r="N137" s="439" t="e">
        <f ca="1">IF(_xll.EVDES(H137,$B$1)="#NODATA","",_xll.EVDES(H137,$B$1))</f>
        <v>#NAME?</v>
      </c>
      <c r="O137" s="153"/>
      <c r="P137" s="153"/>
      <c r="Q137" s="153"/>
      <c r="R137" s="153"/>
      <c r="S137" s="153"/>
      <c r="T137" s="153"/>
      <c r="U137" s="153"/>
      <c r="V137" s="153"/>
      <c r="W137" s="153"/>
      <c r="X137" s="153"/>
      <c r="Y137" s="153"/>
      <c r="Z137" s="153"/>
      <c r="AA137" s="153"/>
      <c r="AB137" s="284"/>
      <c r="AD137" s="153"/>
      <c r="AE137" s="284"/>
      <c r="AF137" s="440" t="str">
        <f t="shared" si="59"/>
        <v/>
      </c>
      <c r="AG137" s="153"/>
      <c r="AH137" s="284"/>
      <c r="AI137" s="440" t="str">
        <f t="shared" si="60"/>
        <v/>
      </c>
    </row>
    <row r="138" spans="3:35" x14ac:dyDescent="0.2">
      <c r="H138" s="133">
        <v>561500</v>
      </c>
      <c r="I138" s="25"/>
      <c r="J138" s="25"/>
      <c r="L138" s="24" t="e">
        <f ca="1">_xll.EVPRO($B$1,H138,"JDEID")</f>
        <v>#NAME?</v>
      </c>
      <c r="M138" s="24" t="str">
        <f>IF(AND(I138="N",J138="N"),_xll.EVPRO($B$1,H138,"PSFTID"),"")</f>
        <v/>
      </c>
      <c r="N138" s="24" t="e">
        <f ca="1">IF(_xll.EVDES(H138,$B$1)="#NODATA","",_xll.EVDES(H138,$B$1))</f>
        <v>#NAME?</v>
      </c>
      <c r="O138" s="19"/>
      <c r="P138" s="19"/>
      <c r="Q138" s="19"/>
      <c r="R138" s="19"/>
      <c r="S138" s="19"/>
      <c r="T138" s="19"/>
      <c r="U138" s="19"/>
      <c r="V138" s="19"/>
      <c r="W138" s="19"/>
      <c r="X138" s="19"/>
      <c r="Y138" s="19"/>
      <c r="Z138" s="19"/>
      <c r="AA138" s="19">
        <f>SUM(O138:Z138)</f>
        <v>0</v>
      </c>
      <c r="AB138" s="284" t="str">
        <f>IF(AA138=0,"",IFERROR(AA138/_xll.EVGTS($B$1,1,_xll.EVPRO($B$1,$H138,"COSBASIS"),$B$3,$B$5,$B$6,$B$7,$B$9,AA$16,AA$17,AA$11),""))</f>
        <v/>
      </c>
      <c r="AD138" s="19"/>
      <c r="AE138" s="284" t="str">
        <f>IF(AD138=0,"",IFERROR(AD138/_xll.EVGTS($B$1,1,_xll.EVPRO($B$1,$H138,"COSBASIS"),$B$3,$B$5,$B$6,$B$7,$B$9,AD$16,AD$17,AD$18),""))</f>
        <v/>
      </c>
      <c r="AF138" s="47">
        <f t="shared" si="59"/>
        <v>0</v>
      </c>
      <c r="AG138" s="19"/>
      <c r="AH138" s="284" t="str">
        <f>IF(AG138=0,"",IFERROR(AG138/_xll.EVGTS($B$1,1,_xll.EVPRO($B$1,$H138,"COSBASIS"),$B$3,$B$5,$B$6,$B$7,$B$9,AG$16,AG$17,AG$18),""))</f>
        <v/>
      </c>
      <c r="AI138" s="47">
        <f t="shared" si="60"/>
        <v>0</v>
      </c>
    </row>
    <row r="139" spans="3:35" x14ac:dyDescent="0.2">
      <c r="C139" s="23"/>
      <c r="H139" s="133" t="s">
        <v>760</v>
      </c>
      <c r="I139" s="25"/>
      <c r="J139" s="25"/>
      <c r="L139" s="24" t="e">
        <f ca="1">_xll.EVPRO($B$1,H139,"JDEID")</f>
        <v>#NAME?</v>
      </c>
      <c r="M139" s="24" t="str">
        <f>IF(AND(I139="N",J139="N"),_xll.EVPRO($B$1,H139,"PSFTID"),"")</f>
        <v/>
      </c>
      <c r="N139" s="439" t="e">
        <f ca="1">IF(_xll.EVDES(H139,$B$1)="#NODATA","",_xll.EVDES(H139,$B$1))</f>
        <v>#NAME?</v>
      </c>
      <c r="O139" s="153"/>
      <c r="P139" s="153"/>
      <c r="Q139" s="153"/>
      <c r="R139" s="153"/>
      <c r="S139" s="153"/>
      <c r="T139" s="153"/>
      <c r="U139" s="153"/>
      <c r="V139" s="153"/>
      <c r="W139" s="153"/>
      <c r="X139" s="153"/>
      <c r="Y139" s="153"/>
      <c r="Z139" s="153"/>
      <c r="AA139" s="153"/>
      <c r="AB139" s="284"/>
      <c r="AD139" s="153"/>
      <c r="AE139" s="284"/>
      <c r="AF139" s="440" t="str">
        <f t="shared" si="59"/>
        <v/>
      </c>
      <c r="AG139" s="153"/>
      <c r="AH139" s="284"/>
      <c r="AI139" s="440" t="str">
        <f t="shared" si="60"/>
        <v/>
      </c>
    </row>
    <row r="140" spans="3:35" x14ac:dyDescent="0.2">
      <c r="C140" s="23"/>
      <c r="H140" s="133" t="s">
        <v>286</v>
      </c>
      <c r="I140" s="25"/>
      <c r="J140" s="25"/>
      <c r="L140" s="24" t="e">
        <f ca="1">_xll.EVPRO($B$1,H140,"JDEID")</f>
        <v>#NAME?</v>
      </c>
      <c r="M140" s="24" t="str">
        <f>IF(AND(I140="N",J140="N"),_xll.EVPRO($B$1,H140,"PSFTID"),"")</f>
        <v/>
      </c>
      <c r="N140" s="24" t="e">
        <f ca="1">IF(_xll.EVDES(H140,$B$1)="#NODATA","",_xll.EVDES(H140,$B$1))</f>
        <v>#NAME?</v>
      </c>
      <c r="O140" s="19"/>
      <c r="P140" s="19"/>
      <c r="Q140" s="19"/>
      <c r="R140" s="19"/>
      <c r="S140" s="19"/>
      <c r="T140" s="19"/>
      <c r="U140" s="19"/>
      <c r="V140" s="19"/>
      <c r="W140" s="19"/>
      <c r="X140" s="19"/>
      <c r="Y140" s="19"/>
      <c r="Z140" s="19"/>
      <c r="AA140" s="19">
        <f>SUM(O140:Z140)</f>
        <v>0</v>
      </c>
      <c r="AB140" s="284" t="str">
        <f>IF(AA140=0,"",IFERROR(AA140/_xll.EVGTS($B$1,1,_xll.EVPRO($B$1,$H140,"COSBASIS"),$B$3,$B$5,$B$6,$B$7,$B$9,AA$16,AA$17,AA$11),""))</f>
        <v/>
      </c>
      <c r="AD140" s="19"/>
      <c r="AE140" s="284" t="str">
        <f>IF(AD140=0,"",IFERROR(AD140/_xll.EVGTS($B$1,1,_xll.EVPRO($B$1,$H140,"COSBASIS"),$B$3,$B$5,$B$6,$B$7,$B$9,AD$16,AD$17,AD$18),""))</f>
        <v/>
      </c>
      <c r="AF140" s="47">
        <f t="shared" si="59"/>
        <v>0</v>
      </c>
      <c r="AG140" s="19"/>
      <c r="AH140" s="284" t="str">
        <f>IF(AG140=0,"",IFERROR(AG140/_xll.EVGTS($B$1,1,_xll.EVPRO($B$1,$H140,"COSBASIS"),$B$3,$B$5,$B$6,$B$7,$B$9,AG$16,AG$17,AG$18),""))</f>
        <v/>
      </c>
      <c r="AI140" s="47">
        <f t="shared" si="60"/>
        <v>0</v>
      </c>
    </row>
    <row r="141" spans="3:35" x14ac:dyDescent="0.2">
      <c r="C141" s="23"/>
      <c r="H141" s="133"/>
      <c r="I141" s="25"/>
      <c r="J141" s="25"/>
      <c r="L141" s="24"/>
      <c r="M141" s="24"/>
      <c r="N141" s="439" t="s">
        <v>762</v>
      </c>
      <c r="O141" s="153" t="str">
        <f>IFERROR(O140/O85,"")</f>
        <v/>
      </c>
      <c r="P141" s="153" t="str">
        <f t="shared" ref="P141:AA141" si="61">IFERROR(P140/P85,"")</f>
        <v/>
      </c>
      <c r="Q141" s="153" t="str">
        <f t="shared" si="61"/>
        <v/>
      </c>
      <c r="R141" s="153" t="str">
        <f t="shared" si="61"/>
        <v/>
      </c>
      <c r="S141" s="153" t="str">
        <f t="shared" si="61"/>
        <v/>
      </c>
      <c r="T141" s="153" t="str">
        <f t="shared" si="61"/>
        <v/>
      </c>
      <c r="U141" s="153" t="str">
        <f t="shared" si="61"/>
        <v/>
      </c>
      <c r="V141" s="153" t="str">
        <f t="shared" si="61"/>
        <v/>
      </c>
      <c r="W141" s="153" t="str">
        <f t="shared" si="61"/>
        <v/>
      </c>
      <c r="X141" s="153" t="str">
        <f t="shared" si="61"/>
        <v/>
      </c>
      <c r="Y141" s="153" t="str">
        <f t="shared" si="61"/>
        <v/>
      </c>
      <c r="Z141" s="153" t="str">
        <f t="shared" si="61"/>
        <v/>
      </c>
      <c r="AA141" s="153" t="str">
        <f t="shared" si="61"/>
        <v/>
      </c>
      <c r="AB141" s="284"/>
      <c r="AD141" s="153" t="str">
        <f>IFERROR(AD140/AD85,"")</f>
        <v/>
      </c>
      <c r="AE141" s="284"/>
      <c r="AF141" s="440" t="str">
        <f t="shared" ref="AF141" si="62">IF(AND($AA141="",AD141=""),"",$AA141-AD141)</f>
        <v/>
      </c>
      <c r="AG141" s="153" t="str">
        <f>IFERROR(AG140/AG85,"")</f>
        <v/>
      </c>
      <c r="AH141" s="284"/>
      <c r="AI141" s="440" t="str">
        <f t="shared" si="60"/>
        <v/>
      </c>
    </row>
    <row r="142" spans="3:35" x14ac:dyDescent="0.2">
      <c r="C142" s="23"/>
    </row>
    <row r="143" spans="3:35" x14ac:dyDescent="0.2">
      <c r="C143" s="23"/>
      <c r="H143" s="133"/>
      <c r="I143" s="25"/>
      <c r="J143" s="25"/>
      <c r="N143" s="24" t="e">
        <f ca="1">N85&amp;" - Check"</f>
        <v>#NAME?</v>
      </c>
      <c r="O143" s="124">
        <f t="shared" ref="O143:AA143" si="63">O39+O49+O59+O69+O79+O83-O85</f>
        <v>0</v>
      </c>
      <c r="P143" s="124">
        <f t="shared" si="63"/>
        <v>0</v>
      </c>
      <c r="Q143" s="124">
        <f t="shared" si="63"/>
        <v>0</v>
      </c>
      <c r="R143" s="124">
        <f t="shared" si="63"/>
        <v>0</v>
      </c>
      <c r="S143" s="124">
        <f t="shared" si="63"/>
        <v>0</v>
      </c>
      <c r="T143" s="124">
        <f t="shared" si="63"/>
        <v>0</v>
      </c>
      <c r="U143" s="124">
        <f t="shared" si="63"/>
        <v>0</v>
      </c>
      <c r="V143" s="124">
        <f t="shared" si="63"/>
        <v>0</v>
      </c>
      <c r="W143" s="124">
        <f t="shared" si="63"/>
        <v>0</v>
      </c>
      <c r="X143" s="124">
        <f t="shared" si="63"/>
        <v>0</v>
      </c>
      <c r="Y143" s="124">
        <f t="shared" si="63"/>
        <v>0</v>
      </c>
      <c r="Z143" s="124">
        <f t="shared" si="63"/>
        <v>0</v>
      </c>
      <c r="AA143" s="124">
        <f t="shared" si="63"/>
        <v>0</v>
      </c>
      <c r="AB143" s="15"/>
      <c r="AD143" s="124">
        <f>AD39+AD49+AD59+AD69+AD79+AD83-AD85</f>
        <v>0</v>
      </c>
      <c r="AE143" s="15"/>
      <c r="AF143" s="19"/>
      <c r="AG143" s="124">
        <f>AG39+AG49+AG59+AG69+AG79+AG83-AG85</f>
        <v>0</v>
      </c>
      <c r="AH143" s="15"/>
      <c r="AI143" s="19"/>
    </row>
    <row r="144" spans="3:35" x14ac:dyDescent="0.2">
      <c r="C144" s="23"/>
      <c r="H144" s="133"/>
      <c r="I144" s="25"/>
      <c r="J144" s="25"/>
      <c r="N144" s="24" t="e">
        <f ca="1">N87&amp;" - Check"</f>
        <v>#NAME?</v>
      </c>
      <c r="O144" s="124">
        <f t="shared" ref="O144:AA144" si="64">O41+O51+O61+O71+O80-O87</f>
        <v>0</v>
      </c>
      <c r="P144" s="124">
        <f t="shared" si="64"/>
        <v>0</v>
      </c>
      <c r="Q144" s="124">
        <f t="shared" si="64"/>
        <v>0</v>
      </c>
      <c r="R144" s="124">
        <f t="shared" si="64"/>
        <v>0</v>
      </c>
      <c r="S144" s="124">
        <f t="shared" si="64"/>
        <v>0</v>
      </c>
      <c r="T144" s="124">
        <f t="shared" si="64"/>
        <v>0</v>
      </c>
      <c r="U144" s="124">
        <f t="shared" si="64"/>
        <v>0</v>
      </c>
      <c r="V144" s="124">
        <f t="shared" si="64"/>
        <v>0</v>
      </c>
      <c r="W144" s="124">
        <f t="shared" si="64"/>
        <v>0</v>
      </c>
      <c r="X144" s="124">
        <f t="shared" si="64"/>
        <v>0</v>
      </c>
      <c r="Y144" s="124">
        <f t="shared" si="64"/>
        <v>0</v>
      </c>
      <c r="Z144" s="124">
        <f t="shared" si="64"/>
        <v>0</v>
      </c>
      <c r="AA144" s="124">
        <f t="shared" si="64"/>
        <v>0</v>
      </c>
      <c r="AB144" s="15"/>
      <c r="AD144" s="124">
        <f>AD41+AD51+AD61+AD71+AD80-AD87</f>
        <v>0</v>
      </c>
      <c r="AE144" s="15"/>
      <c r="AF144" s="19"/>
      <c r="AG144" s="124">
        <f>AG41+AG51+AG61+AG71+AG80-AG87</f>
        <v>0</v>
      </c>
      <c r="AH144" s="15"/>
      <c r="AI144" s="19"/>
    </row>
    <row r="145" spans="3:35" x14ac:dyDescent="0.2">
      <c r="C145" s="23"/>
      <c r="H145" s="133"/>
      <c r="I145" s="25"/>
      <c r="J145" s="25"/>
      <c r="N145" s="24" t="e">
        <f ca="1">N88&amp;" - Check"</f>
        <v>#NAME?</v>
      </c>
      <c r="O145" s="159" t="e">
        <f>IFERROR(O$85/O87,"")-O88</f>
        <v>#VALUE!</v>
      </c>
      <c r="P145" s="159" t="e">
        <f t="shared" ref="P145:Z145" si="65">IFERROR(P$85/P87,"")-P88</f>
        <v>#VALUE!</v>
      </c>
      <c r="Q145" s="159" t="e">
        <f t="shared" si="65"/>
        <v>#VALUE!</v>
      </c>
      <c r="R145" s="159" t="e">
        <f t="shared" si="65"/>
        <v>#VALUE!</v>
      </c>
      <c r="S145" s="159" t="e">
        <f t="shared" si="65"/>
        <v>#VALUE!</v>
      </c>
      <c r="T145" s="159" t="e">
        <f t="shared" si="65"/>
        <v>#VALUE!</v>
      </c>
      <c r="U145" s="159" t="e">
        <f t="shared" si="65"/>
        <v>#VALUE!</v>
      </c>
      <c r="V145" s="159" t="e">
        <f t="shared" si="65"/>
        <v>#VALUE!</v>
      </c>
      <c r="W145" s="159" t="e">
        <f t="shared" si="65"/>
        <v>#VALUE!</v>
      </c>
      <c r="X145" s="159" t="e">
        <f t="shared" si="65"/>
        <v>#VALUE!</v>
      </c>
      <c r="Y145" s="159" t="e">
        <f t="shared" si="65"/>
        <v>#VALUE!</v>
      </c>
      <c r="Z145" s="159" t="e">
        <f t="shared" si="65"/>
        <v>#VALUE!</v>
      </c>
      <c r="AA145" s="159" t="e">
        <f>IFERROR(AA$85/AA87,"")-AA88</f>
        <v>#VALUE!</v>
      </c>
      <c r="AB145" s="15"/>
      <c r="AD145" s="159" t="e">
        <f>IFERROR(AD$85/AD87,"")-AD88</f>
        <v>#VALUE!</v>
      </c>
      <c r="AE145" s="15"/>
      <c r="AF145" s="19"/>
      <c r="AG145" s="159" t="e">
        <f>IFERROR(AG$85/AG87,"")-AG88</f>
        <v>#VALUE!</v>
      </c>
      <c r="AH145" s="15"/>
      <c r="AI145" s="19"/>
    </row>
    <row r="146" spans="3:35" x14ac:dyDescent="0.2">
      <c r="C146" s="23"/>
      <c r="H146" s="133"/>
      <c r="I146" s="25"/>
      <c r="J146" s="25"/>
      <c r="N146" s="24" t="s">
        <v>768</v>
      </c>
      <c r="O146" s="124">
        <f>(O130+O132)-O140</f>
        <v>0</v>
      </c>
      <c r="P146" s="124">
        <f t="shared" ref="P146:AA146" si="66">(P130+P132)-P140</f>
        <v>0</v>
      </c>
      <c r="Q146" s="124">
        <f t="shared" si="66"/>
        <v>0</v>
      </c>
      <c r="R146" s="124">
        <f t="shared" si="66"/>
        <v>0</v>
      </c>
      <c r="S146" s="124">
        <f t="shared" si="66"/>
        <v>0</v>
      </c>
      <c r="T146" s="124">
        <f t="shared" si="66"/>
        <v>0</v>
      </c>
      <c r="U146" s="124">
        <f t="shared" si="66"/>
        <v>0</v>
      </c>
      <c r="V146" s="124">
        <f t="shared" si="66"/>
        <v>0</v>
      </c>
      <c r="W146" s="124">
        <f t="shared" si="66"/>
        <v>0</v>
      </c>
      <c r="X146" s="124">
        <f t="shared" si="66"/>
        <v>0</v>
      </c>
      <c r="Y146" s="124">
        <f t="shared" si="66"/>
        <v>0</v>
      </c>
      <c r="Z146" s="124">
        <f t="shared" si="66"/>
        <v>0</v>
      </c>
      <c r="AA146" s="124">
        <f t="shared" si="66"/>
        <v>0</v>
      </c>
      <c r="AB146" s="15"/>
      <c r="AD146" s="124">
        <f>(AD130+AD132)-AD140</f>
        <v>0</v>
      </c>
      <c r="AE146" s="15"/>
      <c r="AF146" s="19"/>
      <c r="AG146" s="124">
        <f>(AG130+AG132)-AG140</f>
        <v>0</v>
      </c>
      <c r="AH146" s="15"/>
      <c r="AI146" s="19"/>
    </row>
    <row r="147" spans="3:35" x14ac:dyDescent="0.2">
      <c r="C147" s="23"/>
    </row>
    <row r="148" spans="3:35" x14ac:dyDescent="0.2">
      <c r="C148" s="23"/>
    </row>
    <row r="149" spans="3:35" x14ac:dyDescent="0.2">
      <c r="C149" s="23"/>
    </row>
    <row r="150" spans="3:35" x14ac:dyDescent="0.2">
      <c r="C150" s="23"/>
    </row>
    <row r="151" spans="3:35" x14ac:dyDescent="0.2">
      <c r="C151" s="23"/>
    </row>
    <row r="152" spans="3:35" x14ac:dyDescent="0.2">
      <c r="C152" s="23"/>
    </row>
    <row r="153" spans="3:35" x14ac:dyDescent="0.2">
      <c r="C153" s="23"/>
    </row>
    <row r="169" spans="9:34" x14ac:dyDescent="0.2">
      <c r="I169" s="72"/>
      <c r="J169" s="1"/>
      <c r="K169" s="72"/>
      <c r="L169" s="72"/>
      <c r="M169" s="72"/>
      <c r="O169" s="72"/>
      <c r="P169" s="72"/>
      <c r="Q169" s="72"/>
      <c r="R169" s="72"/>
      <c r="S169" s="72"/>
      <c r="T169" s="72"/>
      <c r="U169" s="72"/>
      <c r="V169" s="72"/>
      <c r="W169" s="72"/>
      <c r="X169" s="72"/>
      <c r="Y169" s="72"/>
      <c r="Z169" s="72"/>
      <c r="AA169" s="72"/>
      <c r="AD169" s="72"/>
      <c r="AF169" s="72"/>
      <c r="AH169" s="72"/>
    </row>
    <row r="173" spans="9:34" x14ac:dyDescent="0.2">
      <c r="I173" s="72"/>
      <c r="J173" s="1"/>
      <c r="K173" s="72"/>
      <c r="L173" s="72"/>
      <c r="M173" s="72"/>
      <c r="O173" s="72"/>
      <c r="P173" s="72"/>
      <c r="Q173" s="72"/>
      <c r="R173" s="72"/>
      <c r="S173" s="72"/>
      <c r="T173" s="72"/>
      <c r="U173" s="72"/>
      <c r="V173" s="72"/>
      <c r="W173" s="72"/>
      <c r="X173" s="72"/>
      <c r="Y173" s="72"/>
      <c r="Z173" s="72"/>
      <c r="AA173" s="72"/>
      <c r="AD173" s="72"/>
      <c r="AF173" s="72"/>
      <c r="AH173" s="72"/>
    </row>
    <row r="207" spans="5:5" x14ac:dyDescent="0.2">
      <c r="E207" s="72"/>
    </row>
    <row r="211" spans="5:5" x14ac:dyDescent="0.2">
      <c r="E211" s="72"/>
    </row>
  </sheetData>
  <mergeCells count="2">
    <mergeCell ref="AD31:AE31"/>
    <mergeCell ref="AG31:AH31"/>
  </mergeCells>
  <conditionalFormatting sqref="N43">
    <cfRule type="expression" dxfId="125" priority="14">
      <formula>$G43&lt;&gt;0</formula>
    </cfRule>
  </conditionalFormatting>
  <conditionalFormatting sqref="N53">
    <cfRule type="expression" dxfId="124" priority="12">
      <formula>$G53&lt;&gt;0</formula>
    </cfRule>
  </conditionalFormatting>
  <conditionalFormatting sqref="N63">
    <cfRule type="expression" dxfId="123" priority="10">
      <formula>$G63&lt;&gt;0</formula>
    </cfRule>
  </conditionalFormatting>
  <conditionalFormatting sqref="N73">
    <cfRule type="expression" dxfId="122" priority="8">
      <formula>$G73&lt;&gt;0</formula>
    </cfRule>
  </conditionalFormatting>
  <conditionalFormatting sqref="N82">
    <cfRule type="expression" dxfId="121" priority="7">
      <formula>$G82&lt;&gt;0</formula>
    </cfRule>
  </conditionalFormatting>
  <conditionalFormatting sqref="O43:AA43 AD43 AF43:AG43">
    <cfRule type="expression" dxfId="120" priority="15">
      <formula>ROUND(O42,2)&lt;&gt;ROUND(O43,2)</formula>
    </cfRule>
  </conditionalFormatting>
  <conditionalFormatting sqref="O53:AA53 AD53 AF53:AG53">
    <cfRule type="expression" dxfId="119" priority="13">
      <formula>ROUND(O52,2)&lt;&gt;ROUND(O53,2)</formula>
    </cfRule>
  </conditionalFormatting>
  <conditionalFormatting sqref="O63:AA63 AD63 AF63:AG63">
    <cfRule type="expression" dxfId="118" priority="11">
      <formula>ROUND(O62,2)&lt;&gt;ROUND(O63,2)</formula>
    </cfRule>
  </conditionalFormatting>
  <conditionalFormatting sqref="O73:AA73 AD73 AF73:AG73">
    <cfRule type="expression" dxfId="117" priority="9">
      <formula>ROUND(O72,2)&lt;&gt;ROUND(O73,2)</formula>
    </cfRule>
  </conditionalFormatting>
  <conditionalFormatting sqref="O82:AA82 AD82 AF82:AG82">
    <cfRule type="expression" dxfId="116" priority="6">
      <formula>ROUND(O81,2)&lt;&gt;ROUND(O82,2)</formula>
    </cfRule>
  </conditionalFormatting>
  <conditionalFormatting sqref="AI43">
    <cfRule type="expression" dxfId="115" priority="5">
      <formula>ROUND(AI42,2)&lt;&gt;ROUND(AI43,2)</formula>
    </cfRule>
  </conditionalFormatting>
  <conditionalFormatting sqref="AI53">
    <cfRule type="expression" dxfId="114" priority="4">
      <formula>ROUND(AI52,2)&lt;&gt;ROUND(AI53,2)</formula>
    </cfRule>
  </conditionalFormatting>
  <conditionalFormatting sqref="AI63">
    <cfRule type="expression" dxfId="113" priority="3">
      <formula>ROUND(AI62,2)&lt;&gt;ROUND(AI63,2)</formula>
    </cfRule>
  </conditionalFormatting>
  <conditionalFormatting sqref="AI73">
    <cfRule type="expression" dxfId="112" priority="2">
      <formula>ROUND(AI72,2)&lt;&gt;ROUND(AI73,2)</formula>
    </cfRule>
  </conditionalFormatting>
  <conditionalFormatting sqref="AI82">
    <cfRule type="expression" dxfId="111" priority="1">
      <formula>ROUND(AI81,2)&lt;&gt;ROUND(AI82,2)</formula>
    </cfRule>
  </conditionalFormatting>
  <dataValidations count="2">
    <dataValidation type="list" allowBlank="1" sqref="B29" xr:uid="{00000000-0002-0000-1800-000000000000}">
      <formula1>"SELF,ALL,BAS,DEP,BASMEMBERS,MEMBERS,NOEXPAND,GDEP"</formula1>
    </dataValidation>
    <dataValidation type="list" allowBlank="1" sqref="B28" xr:uid="{00000000-0002-0000-18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4">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0"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G1" s="319" t="s">
        <v>22</v>
      </c>
      <c r="H1" s="46" t="s">
        <v>728</v>
      </c>
      <c r="I1" s="1"/>
      <c r="J1" s="1"/>
      <c r="N1" s="16" t="e">
        <f ca="1">IF(OR(_xll.EVCGT($B$1,$B$6,$H$1,$H$2,$H$3,$H$4,$H$5,$H$6,$H$7,$H$8)="#RFR",_xll.EVCGT($B$1,$B$6,$H$1,$H$2,$H$3,$H$4,$H$5,$H$6,$H$7,$H$8)="#NODATA"),"",_xll.EVCGT($B$1,$B$6,$H$1,$H$2,$H$3,$H$4,$H$5,$H$6,$H$7,$H$8))</f>
        <v>#NAME?</v>
      </c>
      <c r="O1" s="1" t="s">
        <v>731</v>
      </c>
    </row>
    <row r="2" spans="1:35" hidden="1" outlineLevel="1" x14ac:dyDescent="0.2">
      <c r="A2" s="8" t="s">
        <v>22</v>
      </c>
      <c r="B2" s="12" t="s">
        <v>56</v>
      </c>
      <c r="C2" s="1" t="e">
        <f ca="1">_xll.EVDES(B2,$B$1)</f>
        <v>#NAME?</v>
      </c>
      <c r="G2" s="319" t="s">
        <v>50</v>
      </c>
      <c r="H2" s="46" t="e">
        <f ca="1">"BU"&amp;RIGHT(B3,4)</f>
        <v>#NAME?</v>
      </c>
      <c r="I2" s="1"/>
      <c r="J2" s="1"/>
    </row>
    <row r="3" spans="1:35" hidden="1" outlineLevel="1" x14ac:dyDescent="0.2">
      <c r="A3" s="8" t="s">
        <v>50</v>
      </c>
      <c r="B3" s="9" t="e">
        <f ca="1">_xll.EVCVW($B$1,A3)</f>
        <v>#NAME?</v>
      </c>
      <c r="C3" s="1" t="e">
        <f ca="1">_xll.EVDES(B3,$B$1)</f>
        <v>#NAME?</v>
      </c>
      <c r="G3" s="319" t="s">
        <v>19</v>
      </c>
      <c r="H3" s="46" t="s">
        <v>683</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c r="G4" s="319" t="s">
        <v>51</v>
      </c>
      <c r="H4" s="46" t="s">
        <v>730</v>
      </c>
    </row>
    <row r="5" spans="1:35" hidden="1" outlineLevel="1" x14ac:dyDescent="0.2">
      <c r="A5" s="8" t="s">
        <v>51</v>
      </c>
      <c r="B5" s="12" t="s">
        <v>59</v>
      </c>
      <c r="C5" s="1" t="e">
        <f ca="1">_xll.EVDES(B5,$B$1)</f>
        <v>#NAME?</v>
      </c>
      <c r="G5" s="319" t="s">
        <v>53</v>
      </c>
      <c r="H5" s="46" t="s">
        <v>729</v>
      </c>
    </row>
    <row r="6" spans="1:35" hidden="1" outlineLevel="1" x14ac:dyDescent="0.2">
      <c r="A6" s="8" t="s">
        <v>52</v>
      </c>
      <c r="B6" s="12" t="s">
        <v>733</v>
      </c>
      <c r="C6" s="1" t="e">
        <f ca="1">_xll.EVDES(B6,$B$1)</f>
        <v>#NAME?</v>
      </c>
      <c r="E6" s="46" t="e">
        <f ca="1">_xll.EVPRO($B$1,$B$6,$F$6)</f>
        <v>#NAME?</v>
      </c>
      <c r="F6" s="1" t="s">
        <v>278</v>
      </c>
      <c r="G6" s="319" t="s">
        <v>20</v>
      </c>
      <c r="H6" s="46" t="s">
        <v>55</v>
      </c>
    </row>
    <row r="7" spans="1:35" hidden="1" outlineLevel="1" x14ac:dyDescent="0.2">
      <c r="A7" s="8" t="s">
        <v>53</v>
      </c>
      <c r="B7" s="12" t="s">
        <v>61</v>
      </c>
      <c r="C7" s="1" t="e">
        <f ca="1">_xll.EVDES(B7,$B$1)</f>
        <v>#NAME?</v>
      </c>
      <c r="G7" s="319" t="s">
        <v>54</v>
      </c>
      <c r="H7" s="46" t="s">
        <v>62</v>
      </c>
    </row>
    <row r="8" spans="1:35" hidden="1" outlineLevel="1" x14ac:dyDescent="0.2">
      <c r="A8" s="8" t="s">
        <v>20</v>
      </c>
      <c r="B8" s="12" t="s">
        <v>63</v>
      </c>
      <c r="C8" s="1" t="e">
        <f ca="1">_xll.EVDES(B8,$B$1)</f>
        <v>#NAME?</v>
      </c>
      <c r="G8" s="319" t="s">
        <v>18</v>
      </c>
      <c r="H8" s="46" t="s">
        <v>727</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_xll.EVRNG(H35:H58)</f>
        <v>#NAME?</v>
      </c>
      <c r="G19" s="16" t="str">
        <f>$B$6</f>
        <v>D2145</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tr">
        <f>$B$6</f>
        <v>D2145</v>
      </c>
      <c r="H20" s="16">
        <v>946000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I21" s="1"/>
      <c r="J21" s="1"/>
    </row>
    <row r="22" spans="1:40" hidden="1" outlineLevel="1" x14ac:dyDescent="0.2">
      <c r="A22" s="6" t="s">
        <v>7</v>
      </c>
      <c r="B22" s="7" t="e">
        <f ca="1">_xll.EVRNG(A36:F44)</f>
        <v>#NAME?</v>
      </c>
      <c r="I22" s="1"/>
      <c r="J22" s="1"/>
    </row>
    <row r="23" spans="1:40" hidden="1" outlineLevel="1" x14ac:dyDescent="0.2">
      <c r="A23" s="6" t="s">
        <v>47</v>
      </c>
      <c r="B23" s="7" t="e">
        <f ca="1">_xll.EVRNG($A$125:$B$146)</f>
        <v>#NAME?</v>
      </c>
      <c r="K23" s="53"/>
      <c r="L23" s="53"/>
      <c r="M23" s="53"/>
      <c r="AD23" s="136"/>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IF($N$1="",IF(_xll.EVDES(B6,$B$1)="#NODATA","",_xll.EVDES(B6,$B$1)&amp;" Department"),$N$1)</f>
        <v>#NAME?</v>
      </c>
    </row>
    <row r="28" spans="1:40" ht="16" x14ac:dyDescent="0.2">
      <c r="A28" s="6" t="s">
        <v>12</v>
      </c>
      <c r="B28" s="7" t="s">
        <v>22</v>
      </c>
      <c r="N28" s="67" t="e">
        <f ca="1">"For the Period ended"&amp;" "&amp;IF(_xll.EVDES($B$10,$B$1)="#NODATA","",_xll.EVDES($B$10,$B$1))</f>
        <v>#NAME?</v>
      </c>
    </row>
    <row r="29" spans="1:40" ht="15" customHeight="1" x14ac:dyDescent="0.2">
      <c r="A29" s="6" t="s">
        <v>13</v>
      </c>
      <c r="B29" s="7" t="e">
        <f ca="1">"DEP(REV_F) AND "&amp;$E$6&amp;"=Y,REV_F,BEV,DEP(REV_BEV) AND "&amp;$E$6&amp;"=Y,REV_BEV,ALLOW_FB,REV_FB,OTHR_REV,DEP(REV_OTHR) AND "&amp;$E$6&amp;"=Y,REV_OTHR,400000"</f>
        <v>#NAME?</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751</v>
      </c>
      <c r="AK30" s="209"/>
      <c r="AL30" s="210"/>
      <c r="AM30" s="209" t="s">
        <v>750</v>
      </c>
      <c r="AN30" s="209"/>
    </row>
    <row r="31" spans="1:40" x14ac:dyDescent="0.2">
      <c r="A31" s="6" t="s">
        <v>15</v>
      </c>
      <c r="B31" s="7"/>
      <c r="G31" s="13"/>
      <c r="K31" s="11"/>
      <c r="L31" s="11"/>
      <c r="M31" s="1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69</v>
      </c>
      <c r="I33" s="11" t="e">
        <f ca="1">_xll.EVPRO($B$1,$H33,"STYLE")</f>
        <v>#NAME?</v>
      </c>
      <c r="J33" s="11" t="e">
        <f ca="1">_xll.EVPRO($B$1,$H33,"CALC")</f>
        <v>#NAME?</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0" x14ac:dyDescent="0.2">
      <c r="H34" s="1" t="s">
        <v>259</v>
      </c>
      <c r="I34" s="11" t="e">
        <f ca="1">_xll.EVPRO($B$1,$H34,"STYLE")</f>
        <v>#NAME?</v>
      </c>
      <c r="J34" s="11" t="e">
        <f ca="1">_xll.EVPRO($B$1,$H34,"CALC")</f>
        <v>#NAME?</v>
      </c>
      <c r="L34" s="175" t="s">
        <v>364</v>
      </c>
      <c r="M34" s="175" t="s">
        <v>782</v>
      </c>
      <c r="N34" s="8" t="e">
        <f ca="1">IF(_xll.EVDES(H34,$B$1)="#NODATA","",_xll.EVDES(H34,$B$1))</f>
        <v>#NAME?</v>
      </c>
      <c r="O34" s="50"/>
      <c r="AB34" s="51"/>
      <c r="AD34" s="50"/>
      <c r="AF34" s="51"/>
      <c r="AG34" s="50"/>
      <c r="AI34" s="51"/>
    </row>
    <row r="35" spans="1:40" x14ac:dyDescent="0.2">
      <c r="A35" s="20" t="s">
        <v>92</v>
      </c>
      <c r="B35" s="21" t="s">
        <v>93</v>
      </c>
      <c r="C35" s="21" t="s">
        <v>94</v>
      </c>
      <c r="D35" s="21" t="s">
        <v>95</v>
      </c>
      <c r="E35" s="21" t="s">
        <v>96</v>
      </c>
      <c r="F35" s="22" t="s">
        <v>97</v>
      </c>
      <c r="H35" s="10" t="s">
        <v>260</v>
      </c>
      <c r="I35" s="25" t="e">
        <f ca="1">_xll.EVPRO($B$1,$H35,"STYLE")</f>
        <v>#NAME?</v>
      </c>
      <c r="J35" s="25" t="e">
        <f ca="1">_xll.EVPRO($B$1,$H35,"CALC")</f>
        <v>#NAME?</v>
      </c>
      <c r="K35" s="64" t="e">
        <f ca="1">IF(AND(I35&gt;="T5"),"&gt;","")</f>
        <v>#NAME?</v>
      </c>
      <c r="L35" s="24" t="e">
        <f ca="1">_xll.EVPRO($B$1,H35,"JDEID")</f>
        <v>#NAME?</v>
      </c>
      <c r="M35" s="24" t="e">
        <f ca="1">IF(AND(I35="N",J35="N"),_xll.EVPRO($B$1,H35,"PSFTID"),"")</f>
        <v>#NAME?</v>
      </c>
      <c r="N35" s="24" t="e">
        <f ca="1">IF(_xll.EVDES(H35,$B$1)="#NODATA","",_xll.EVDES(H35,$B$1))</f>
        <v>#NAME?</v>
      </c>
      <c r="O35" s="282"/>
      <c r="P35" s="283"/>
      <c r="Q35" s="283"/>
      <c r="R35" s="283"/>
      <c r="S35" s="283"/>
      <c r="T35" s="283"/>
      <c r="U35" s="283"/>
      <c r="V35" s="283"/>
      <c r="W35" s="283"/>
      <c r="X35" s="283"/>
      <c r="Y35" s="283"/>
      <c r="Z35" s="283"/>
      <c r="AA35" s="283" t="e">
        <f t="shared" ref="AA35:AA58" ca="1" si="0">IF($I35="B1","",SUM(O35:Z35))</f>
        <v>#NAME?</v>
      </c>
      <c r="AB35" s="284" t="e">
        <f t="shared" ref="AB35:AB58" ca="1" si="1">IF(AA35=0,"",IFERROR(AA35/AA$19,""))</f>
        <v>#NAME?</v>
      </c>
      <c r="AC35" s="300"/>
      <c r="AD35" s="283"/>
      <c r="AE35" s="284" t="str">
        <f t="shared" ref="AE35:AE58" si="2">IF(AD35=0,"",IFERROR(AD35/AD$19,""))</f>
        <v/>
      </c>
      <c r="AF35" s="285" t="e">
        <f t="shared" ref="AF35:AF58" ca="1" si="3">IF(AND($AA35="",AD35=""),"",$AA35-AD35)</f>
        <v>#NAME?</v>
      </c>
      <c r="AG35" s="283"/>
      <c r="AH35" s="284" t="str">
        <f>IF(AG35=0,"",IFERROR(AG35/AG$19,""))</f>
        <v/>
      </c>
      <c r="AI35" s="286" t="e">
        <f ca="1">IF(AND($AA35="",AG35=""),"",$AA35-AG35)</f>
        <v>#NAME?</v>
      </c>
      <c r="AJ35" s="371">
        <f ca="1">IFERROR(AA35/AA$20,0)</f>
        <v>0</v>
      </c>
      <c r="AK35" s="372">
        <f ca="1">IFERROR(AD35/AD$20,0)</f>
        <v>0</v>
      </c>
      <c r="AL35" s="373">
        <f ca="1">IFERROR(AG35/AG$20,0)</f>
        <v>0</v>
      </c>
      <c r="AM35" s="374">
        <f ca="1">+IFERROR(ROUND(($AB35-AE35)*100,2)&amp;" pts.",0)</f>
        <v>0</v>
      </c>
      <c r="AN35" s="375">
        <f ca="1">+IFERROR(ROUND(($AB35-AH35)*100,2)&amp;" pts.",0)</f>
        <v>0</v>
      </c>
    </row>
    <row r="36" spans="1:40" x14ac:dyDescent="0.2">
      <c r="H36" s="10" t="s">
        <v>261</v>
      </c>
      <c r="I36" s="25" t="e">
        <f ca="1">_xll.EVPRO($B$1,$H36,"STYLE")</f>
        <v>#NAME?</v>
      </c>
      <c r="J36" s="25" t="e">
        <f ca="1">_xll.EVPRO($B$1,$H36,"CALC")</f>
        <v>#NAME?</v>
      </c>
      <c r="K36" s="64" t="e">
        <f t="shared" ref="K36:K58" ca="1" si="4">IF(AND(I36&gt;="T5"),"&gt;","")</f>
        <v>#NAME?</v>
      </c>
      <c r="L36" s="24" t="e">
        <f ca="1">_xll.EVPRO($B$1,H36,"JDEID")</f>
        <v>#NAME?</v>
      </c>
      <c r="M36" s="24" t="e">
        <f ca="1">IF(AND(I36="N",J36="N"),_xll.EVPRO($B$1,H36,"PSFTID"),"")</f>
        <v>#NAME?</v>
      </c>
      <c r="N36" s="24" t="e">
        <f ca="1">IF(_xll.EVDES(H36,$B$1)="#NODATA","",_xll.EVDES(H36,$B$1))</f>
        <v>#NAME?</v>
      </c>
      <c r="O36" s="282"/>
      <c r="P36" s="283"/>
      <c r="Q36" s="283"/>
      <c r="R36" s="283"/>
      <c r="S36" s="283"/>
      <c r="T36" s="283"/>
      <c r="U36" s="283"/>
      <c r="V36" s="283"/>
      <c r="W36" s="283"/>
      <c r="X36" s="283"/>
      <c r="Y36" s="283"/>
      <c r="Z36" s="283"/>
      <c r="AA36" s="283" t="e">
        <f t="shared" ca="1" si="0"/>
        <v>#NAME?</v>
      </c>
      <c r="AB36" s="284" t="e">
        <f t="shared" ca="1" si="1"/>
        <v>#NAME?</v>
      </c>
      <c r="AC36" s="300"/>
      <c r="AD36" s="283"/>
      <c r="AE36" s="284" t="str">
        <f t="shared" si="2"/>
        <v/>
      </c>
      <c r="AF36" s="285" t="e">
        <f t="shared" ca="1" si="3"/>
        <v>#NAME?</v>
      </c>
      <c r="AG36" s="283"/>
      <c r="AH36" s="284" t="str">
        <f t="shared" ref="AH36:AH58" si="5">IF(AG36=0,"",IFERROR(AG36/AG$19,""))</f>
        <v/>
      </c>
      <c r="AI36" s="286" t="e">
        <f t="shared" ref="AI36:AI58" ca="1" si="6">IF(AND($AA36="",AG36=""),"",$AA36-AG36)</f>
        <v>#NAME?</v>
      </c>
      <c r="AJ36" s="371">
        <f t="shared" ref="AJ36:AJ58" ca="1" si="7">IFERROR(AA36/AA$20,0)</f>
        <v>0</v>
      </c>
      <c r="AK36" s="372">
        <f t="shared" ref="AK36:AK58" ca="1" si="8">IFERROR(AD36/AD$20,0)</f>
        <v>0</v>
      </c>
      <c r="AL36" s="373">
        <f t="shared" ref="AL36:AL58" ca="1" si="9">IFERROR(AG36/AG$20,0)</f>
        <v>0</v>
      </c>
      <c r="AM36" s="374">
        <f t="shared" ref="AM36:AM58" ca="1" si="10">+IFERROR(ROUND(($AB36-AE36)*100,2)&amp;" pts.",0)</f>
        <v>0</v>
      </c>
      <c r="AN36" s="375">
        <f t="shared" ref="AN36:AN58" ca="1" si="11">+IFERROR(ROUND(($AB36-AH36)*100,2)&amp;" pts.",0)</f>
        <v>0</v>
      </c>
    </row>
    <row r="37" spans="1:40" x14ac:dyDescent="0.2">
      <c r="A37" s="1" t="s">
        <v>209</v>
      </c>
      <c r="B37" s="1" t="s">
        <v>21</v>
      </c>
      <c r="C37" s="70"/>
      <c r="D37" s="1" t="s">
        <v>590</v>
      </c>
      <c r="F37" s="1" t="s">
        <v>99</v>
      </c>
      <c r="H37" s="10" t="s">
        <v>262</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282"/>
      <c r="P37" s="283"/>
      <c r="Q37" s="283"/>
      <c r="R37" s="283"/>
      <c r="S37" s="283"/>
      <c r="T37" s="283"/>
      <c r="U37" s="283"/>
      <c r="V37" s="283"/>
      <c r="W37" s="283"/>
      <c r="X37" s="283"/>
      <c r="Y37" s="283"/>
      <c r="Z37" s="283"/>
      <c r="AA37" s="283" t="e">
        <f t="shared" ca="1" si="0"/>
        <v>#NAME?</v>
      </c>
      <c r="AB37" s="284" t="e">
        <f t="shared" ca="1" si="1"/>
        <v>#NAME?</v>
      </c>
      <c r="AC37" s="300"/>
      <c r="AD37" s="283"/>
      <c r="AE37" s="284" t="str">
        <f t="shared" si="2"/>
        <v/>
      </c>
      <c r="AF37" s="285" t="e">
        <f t="shared" ca="1" si="3"/>
        <v>#NAME?</v>
      </c>
      <c r="AG37" s="283"/>
      <c r="AH37" s="284" t="str">
        <f t="shared" si="5"/>
        <v/>
      </c>
      <c r="AI37" s="286" t="e">
        <f t="shared" ca="1" si="6"/>
        <v>#NAME?</v>
      </c>
      <c r="AJ37" s="371">
        <f t="shared" ca="1" si="7"/>
        <v>0</v>
      </c>
      <c r="AK37" s="372">
        <f t="shared" ca="1" si="8"/>
        <v>0</v>
      </c>
      <c r="AL37" s="373">
        <f t="shared" ca="1" si="9"/>
        <v>0</v>
      </c>
      <c r="AM37" s="374">
        <f t="shared" ca="1" si="10"/>
        <v>0</v>
      </c>
      <c r="AN37" s="375">
        <f t="shared" ca="1" si="11"/>
        <v>0</v>
      </c>
    </row>
    <row r="38" spans="1:40" x14ac:dyDescent="0.2">
      <c r="A38" s="1" t="s">
        <v>105</v>
      </c>
      <c r="C38" s="24" t="s">
        <v>101</v>
      </c>
      <c r="D38" s="1" t="s">
        <v>106</v>
      </c>
      <c r="F38" s="1" t="s">
        <v>98</v>
      </c>
      <c r="H38" s="10" t="s">
        <v>263</v>
      </c>
      <c r="I38" s="25" t="e">
        <f ca="1">_xll.EVPRO($B$1,$H38,"STYLE")</f>
        <v>#NAME?</v>
      </c>
      <c r="J38" s="25" t="e">
        <f ca="1">_xll.EVPRO($B$1,$H38,"CALC")</f>
        <v>#NAME?</v>
      </c>
      <c r="K38" s="64" t="e">
        <f t="shared" ca="1" si="4"/>
        <v>#NAME?</v>
      </c>
      <c r="L38" s="24" t="e">
        <f ca="1">_xll.EVPRO($B$1,H38,"JDEID")</f>
        <v>#NAME?</v>
      </c>
      <c r="M38" s="24" t="e">
        <f ca="1">IF(AND(I38="N",J38="N"),_xll.EVPRO($B$1,H38,"PSFTID"),"")</f>
        <v>#NAME?</v>
      </c>
      <c r="N38" s="24" t="e">
        <f ca="1">IF(_xll.EVDES(H38,$B$1)="#NODATA","",_xll.EVDES(H38,$B$1))</f>
        <v>#NAME?</v>
      </c>
      <c r="O38" s="282"/>
      <c r="P38" s="283"/>
      <c r="Q38" s="283"/>
      <c r="R38" s="283"/>
      <c r="S38" s="283"/>
      <c r="T38" s="283"/>
      <c r="U38" s="283"/>
      <c r="V38" s="283"/>
      <c r="W38" s="283"/>
      <c r="X38" s="283"/>
      <c r="Y38" s="283"/>
      <c r="Z38" s="283"/>
      <c r="AA38" s="283" t="e">
        <f t="shared" ca="1" si="0"/>
        <v>#NAME?</v>
      </c>
      <c r="AB38" s="284" t="e">
        <f t="shared" ca="1" si="1"/>
        <v>#NAME?</v>
      </c>
      <c r="AC38" s="300"/>
      <c r="AD38" s="283"/>
      <c r="AE38" s="284" t="str">
        <f t="shared" si="2"/>
        <v/>
      </c>
      <c r="AF38" s="285" t="e">
        <f t="shared" ca="1" si="3"/>
        <v>#NAME?</v>
      </c>
      <c r="AG38" s="283"/>
      <c r="AH38" s="284" t="str">
        <f t="shared" si="5"/>
        <v/>
      </c>
      <c r="AI38" s="286" t="e">
        <f t="shared" ca="1" si="6"/>
        <v>#NAME?</v>
      </c>
      <c r="AJ38" s="371">
        <f t="shared" ca="1" si="7"/>
        <v>0</v>
      </c>
      <c r="AK38" s="372">
        <f t="shared" ca="1" si="8"/>
        <v>0</v>
      </c>
      <c r="AL38" s="373">
        <f t="shared" ca="1" si="9"/>
        <v>0</v>
      </c>
      <c r="AM38" s="374">
        <f t="shared" ca="1" si="10"/>
        <v>0</v>
      </c>
      <c r="AN38" s="375">
        <f t="shared" ca="1" si="11"/>
        <v>0</v>
      </c>
    </row>
    <row r="39" spans="1:40" x14ac:dyDescent="0.2">
      <c r="A39" s="1" t="s">
        <v>104</v>
      </c>
      <c r="C39" s="24" t="s">
        <v>101</v>
      </c>
      <c r="D39" s="1" t="s">
        <v>106</v>
      </c>
      <c r="F39" s="1" t="s">
        <v>98</v>
      </c>
      <c r="H39" s="10" t="s">
        <v>264</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295"/>
      <c r="P39" s="296"/>
      <c r="Q39" s="296"/>
      <c r="R39" s="296"/>
      <c r="S39" s="296"/>
      <c r="T39" s="296"/>
      <c r="U39" s="296"/>
      <c r="V39" s="296"/>
      <c r="W39" s="296"/>
      <c r="X39" s="296"/>
      <c r="Y39" s="296"/>
      <c r="Z39" s="296"/>
      <c r="AA39" s="296" t="e">
        <f t="shared" ca="1" si="0"/>
        <v>#NAME?</v>
      </c>
      <c r="AB39" s="297" t="e">
        <f t="shared" ca="1" si="1"/>
        <v>#NAME?</v>
      </c>
      <c r="AC39" s="263"/>
      <c r="AD39" s="296"/>
      <c r="AE39" s="297" t="str">
        <f t="shared" si="2"/>
        <v/>
      </c>
      <c r="AF39" s="298" t="e">
        <f t="shared" ca="1" si="3"/>
        <v>#NAME?</v>
      </c>
      <c r="AG39" s="296"/>
      <c r="AH39" s="297" t="str">
        <f t="shared" si="5"/>
        <v/>
      </c>
      <c r="AI39" s="299" t="e">
        <f t="shared" ca="1" si="6"/>
        <v>#NAME?</v>
      </c>
      <c r="AJ39" s="381">
        <f t="shared" ca="1" si="7"/>
        <v>0</v>
      </c>
      <c r="AK39" s="382">
        <f t="shared" ca="1" si="8"/>
        <v>0</v>
      </c>
      <c r="AL39" s="383">
        <f t="shared" ca="1" si="9"/>
        <v>0</v>
      </c>
      <c r="AM39" s="384">
        <f t="shared" ca="1" si="10"/>
        <v>0</v>
      </c>
      <c r="AN39" s="385">
        <f t="shared" ca="1" si="11"/>
        <v>0</v>
      </c>
    </row>
    <row r="40" spans="1:40" x14ac:dyDescent="0.2">
      <c r="A40" s="1" t="s">
        <v>100</v>
      </c>
      <c r="C40" s="8" t="s">
        <v>101</v>
      </c>
      <c r="D40" s="1" t="s">
        <v>106</v>
      </c>
      <c r="F40" s="1" t="s">
        <v>98</v>
      </c>
      <c r="H40" s="10" t="s">
        <v>265</v>
      </c>
      <c r="I40" s="447" t="e">
        <f ca="1">_xll.EVPRO($B$1,$H40,"STYLE")</f>
        <v>#NAME?</v>
      </c>
      <c r="J40" s="447" t="e">
        <f ca="1">_xll.EVPRO($B$1,$H40,"CALC")</f>
        <v>#NAME?</v>
      </c>
      <c r="K40" s="448" t="e">
        <f t="shared" ca="1" si="4"/>
        <v>#NAME?</v>
      </c>
      <c r="L40" s="151" t="e">
        <f ca="1">_xll.EVPRO($B$1,H40,"JDEID")</f>
        <v>#NAME?</v>
      </c>
      <c r="M40" s="151" t="e">
        <f ca="1">IF(AND(I40="N",J40="N"),_xll.EVPRO($B$1,H40,"PSFTID"),"")</f>
        <v>#NAME?</v>
      </c>
      <c r="N40" s="151" t="e">
        <f ca="1">IF(_xll.EVDES(H40,$B$1)="#NODATA","",_xll.EVDES(H40,$B$1))</f>
        <v>#NAME?</v>
      </c>
      <c r="O40" s="202"/>
      <c r="P40" s="120"/>
      <c r="Q40" s="120"/>
      <c r="R40" s="120"/>
      <c r="S40" s="120"/>
      <c r="T40" s="120"/>
      <c r="U40" s="120"/>
      <c r="V40" s="120"/>
      <c r="W40" s="120"/>
      <c r="X40" s="120"/>
      <c r="Y40" s="120"/>
      <c r="Z40" s="120"/>
      <c r="AA40" s="120" t="e">
        <f t="shared" ca="1" si="0"/>
        <v>#NAME?</v>
      </c>
      <c r="AB40" s="121" t="e">
        <f t="shared" ca="1" si="1"/>
        <v>#NAME?</v>
      </c>
      <c r="AC40" s="123"/>
      <c r="AD40" s="120"/>
      <c r="AE40" s="121" t="str">
        <f t="shared" si="2"/>
        <v/>
      </c>
      <c r="AF40" s="122" t="e">
        <f t="shared" ca="1" si="3"/>
        <v>#NAME?</v>
      </c>
      <c r="AG40" s="120"/>
      <c r="AH40" s="121" t="str">
        <f t="shared" si="5"/>
        <v/>
      </c>
      <c r="AI40" s="264" t="e">
        <f t="shared" ca="1" si="6"/>
        <v>#NAME?</v>
      </c>
      <c r="AJ40" s="332">
        <f t="shared" ca="1" si="7"/>
        <v>0</v>
      </c>
      <c r="AK40" s="333">
        <f t="shared" ca="1" si="8"/>
        <v>0</v>
      </c>
      <c r="AL40" s="335">
        <f t="shared" ca="1" si="9"/>
        <v>0</v>
      </c>
      <c r="AM40" s="377">
        <f t="shared" ca="1" si="10"/>
        <v>0</v>
      </c>
      <c r="AN40" s="378">
        <f t="shared" ca="1" si="11"/>
        <v>0</v>
      </c>
    </row>
    <row r="41" spans="1:40" x14ac:dyDescent="0.2">
      <c r="A41" s="1" t="s">
        <v>102</v>
      </c>
      <c r="C41" s="23" t="s">
        <v>101</v>
      </c>
      <c r="D41" s="1" t="s">
        <v>106</v>
      </c>
      <c r="F41" s="1" t="s">
        <v>98</v>
      </c>
      <c r="H41" s="10" t="s">
        <v>266</v>
      </c>
      <c r="I41" s="447" t="e">
        <f ca="1">_xll.EVPRO($B$1,$H41,"STYLE")</f>
        <v>#NAME?</v>
      </c>
      <c r="J41" s="447" t="e">
        <f ca="1">_xll.EVPRO($B$1,$H41,"CALC")</f>
        <v>#NAME?</v>
      </c>
      <c r="K41" s="448" t="e">
        <f t="shared" ca="1" si="4"/>
        <v>#NAME?</v>
      </c>
      <c r="L41" s="151" t="e">
        <f ca="1">_xll.EVPRO($B$1,H41,"JDEID")</f>
        <v>#NAME?</v>
      </c>
      <c r="M41" s="151" t="e">
        <f ca="1">IF(AND(I41="N",J41="N"),_xll.EVPRO($B$1,H41,"PSFTID"),"")</f>
        <v>#NAME?</v>
      </c>
      <c r="N41" s="151" t="e">
        <f ca="1">IF(_xll.EVDES(H41,$B$1)="#NODATA","",_xll.EVDES(H41,$B$1))</f>
        <v>#NAME?</v>
      </c>
      <c r="O41" s="287"/>
      <c r="P41" s="288"/>
      <c r="Q41" s="288"/>
      <c r="R41" s="288"/>
      <c r="S41" s="288"/>
      <c r="T41" s="288"/>
      <c r="U41" s="288"/>
      <c r="V41" s="288"/>
      <c r="W41" s="288"/>
      <c r="X41" s="288"/>
      <c r="Y41" s="288"/>
      <c r="Z41" s="288"/>
      <c r="AA41" s="288" t="e">
        <f t="shared" ca="1" si="0"/>
        <v>#NAME?</v>
      </c>
      <c r="AB41" s="289" t="e">
        <f t="shared" ca="1" si="1"/>
        <v>#NAME?</v>
      </c>
      <c r="AC41" s="301"/>
      <c r="AD41" s="288"/>
      <c r="AE41" s="289" t="str">
        <f t="shared" si="2"/>
        <v/>
      </c>
      <c r="AF41" s="290" t="e">
        <f t="shared" ca="1" si="3"/>
        <v>#NAME?</v>
      </c>
      <c r="AG41" s="288"/>
      <c r="AH41" s="289" t="str">
        <f t="shared" si="5"/>
        <v/>
      </c>
      <c r="AI41" s="291" t="e">
        <f t="shared" ca="1" si="6"/>
        <v>#NAME?</v>
      </c>
      <c r="AJ41" s="325">
        <f t="shared" ca="1" si="7"/>
        <v>0</v>
      </c>
      <c r="AK41" s="326">
        <f t="shared" ca="1" si="8"/>
        <v>0</v>
      </c>
      <c r="AL41" s="328">
        <f t="shared" ca="1" si="9"/>
        <v>0</v>
      </c>
      <c r="AM41" s="362">
        <f t="shared" ca="1" si="10"/>
        <v>0</v>
      </c>
      <c r="AN41" s="376">
        <f t="shared" ca="1" si="11"/>
        <v>0</v>
      </c>
    </row>
    <row r="42" spans="1:40" x14ac:dyDescent="0.2">
      <c r="A42" s="1" t="s">
        <v>102</v>
      </c>
      <c r="C42" s="135" t="s">
        <v>101</v>
      </c>
      <c r="D42" s="1" t="s">
        <v>107</v>
      </c>
      <c r="F42" s="1" t="s">
        <v>99</v>
      </c>
      <c r="H42" s="10" t="s">
        <v>267</v>
      </c>
      <c r="I42" s="25" t="e">
        <f ca="1">_xll.EVPRO($B$1,$H42,"STYLE")</f>
        <v>#NAME?</v>
      </c>
      <c r="J42" s="25" t="e">
        <f ca="1">_xll.EVPRO($B$1,$H42,"CALC")</f>
        <v>#NAME?</v>
      </c>
      <c r="K42" s="64" t="e">
        <f t="shared" ca="1" si="4"/>
        <v>#NAME?</v>
      </c>
      <c r="L42" s="24" t="e">
        <f ca="1">_xll.EVPRO($B$1,H42,"JDEID")</f>
        <v>#NAME?</v>
      </c>
      <c r="M42" s="24" t="e">
        <f ca="1">IF(AND(I42="N",J42="N"),_xll.EVPRO($B$1,H42,"PSFTID"),"")</f>
        <v>#NAME?</v>
      </c>
      <c r="N42" s="24" t="e">
        <f ca="1">IF(_xll.EVDES(H42,$B$1)="#NODATA","",_xll.EVDES(H42,$B$1))</f>
        <v>#NAME?</v>
      </c>
      <c r="O42" s="282"/>
      <c r="P42" s="283"/>
      <c r="Q42" s="283"/>
      <c r="R42" s="283"/>
      <c r="S42" s="283"/>
      <c r="T42" s="283"/>
      <c r="U42" s="283"/>
      <c r="V42" s="283"/>
      <c r="W42" s="283"/>
      <c r="X42" s="283"/>
      <c r="Y42" s="283"/>
      <c r="Z42" s="283"/>
      <c r="AA42" s="283" t="e">
        <f t="shared" ca="1" si="0"/>
        <v>#NAME?</v>
      </c>
      <c r="AB42" s="284" t="e">
        <f t="shared" ca="1" si="1"/>
        <v>#NAME?</v>
      </c>
      <c r="AC42" s="300"/>
      <c r="AD42" s="283"/>
      <c r="AE42" s="284" t="str">
        <f t="shared" si="2"/>
        <v/>
      </c>
      <c r="AF42" s="285" t="e">
        <f t="shared" ca="1" si="3"/>
        <v>#NAME?</v>
      </c>
      <c r="AG42" s="283"/>
      <c r="AH42" s="284" t="str">
        <f t="shared" si="5"/>
        <v/>
      </c>
      <c r="AI42" s="286" t="e">
        <f t="shared" ca="1" si="6"/>
        <v>#NAME?</v>
      </c>
      <c r="AJ42" s="371">
        <f t="shared" ca="1" si="7"/>
        <v>0</v>
      </c>
      <c r="AK42" s="372">
        <f t="shared" ca="1" si="8"/>
        <v>0</v>
      </c>
      <c r="AL42" s="373">
        <f t="shared" ca="1" si="9"/>
        <v>0</v>
      </c>
      <c r="AM42" s="374">
        <f t="shared" ca="1" si="10"/>
        <v>0</v>
      </c>
      <c r="AN42" s="375">
        <f t="shared" ca="1" si="11"/>
        <v>0</v>
      </c>
    </row>
    <row r="43" spans="1:40" x14ac:dyDescent="0.2">
      <c r="A43" s="1" t="s">
        <v>108</v>
      </c>
      <c r="C43" s="23" t="s">
        <v>101</v>
      </c>
      <c r="D43" s="1" t="s">
        <v>106</v>
      </c>
      <c r="F43" s="1" t="s">
        <v>98</v>
      </c>
      <c r="H43" s="10" t="s">
        <v>268</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282"/>
      <c r="P43" s="283"/>
      <c r="Q43" s="283"/>
      <c r="R43" s="283"/>
      <c r="S43" s="283"/>
      <c r="T43" s="283"/>
      <c r="U43" s="283"/>
      <c r="V43" s="283"/>
      <c r="W43" s="283"/>
      <c r="X43" s="283"/>
      <c r="Y43" s="283"/>
      <c r="Z43" s="283"/>
      <c r="AA43" s="283" t="e">
        <f t="shared" ca="1" si="0"/>
        <v>#NAME?</v>
      </c>
      <c r="AB43" s="284" t="e">
        <f t="shared" ca="1" si="1"/>
        <v>#NAME?</v>
      </c>
      <c r="AC43" s="300"/>
      <c r="AD43" s="283"/>
      <c r="AE43" s="284" t="str">
        <f t="shared" si="2"/>
        <v/>
      </c>
      <c r="AF43" s="285" t="e">
        <f t="shared" ca="1" si="3"/>
        <v>#NAME?</v>
      </c>
      <c r="AG43" s="283"/>
      <c r="AH43" s="284" t="str">
        <f t="shared" si="5"/>
        <v/>
      </c>
      <c r="AI43" s="286" t="e">
        <f t="shared" ca="1" si="6"/>
        <v>#NAME?</v>
      </c>
      <c r="AJ43" s="371">
        <f t="shared" ca="1" si="7"/>
        <v>0</v>
      </c>
      <c r="AK43" s="372">
        <f t="shared" ca="1" si="8"/>
        <v>0</v>
      </c>
      <c r="AL43" s="373">
        <f t="shared" ca="1" si="9"/>
        <v>0</v>
      </c>
      <c r="AM43" s="374">
        <f t="shared" ca="1" si="10"/>
        <v>0</v>
      </c>
      <c r="AN43" s="375">
        <f t="shared" ca="1" si="11"/>
        <v>0</v>
      </c>
    </row>
    <row r="44" spans="1:40" x14ac:dyDescent="0.2">
      <c r="A44" s="1" t="s">
        <v>108</v>
      </c>
      <c r="C44" s="135" t="s">
        <v>101</v>
      </c>
      <c r="D44" s="1" t="s">
        <v>107</v>
      </c>
      <c r="F44" s="1" t="s">
        <v>99</v>
      </c>
      <c r="H44" s="10" t="s">
        <v>269</v>
      </c>
      <c r="I44" s="25" t="e">
        <f ca="1">_xll.EVPRO($B$1,$H44,"STYLE")</f>
        <v>#NAME?</v>
      </c>
      <c r="J44" s="25" t="e">
        <f ca="1">_xll.EVPRO($B$1,$H44,"CALC")</f>
        <v>#NAME?</v>
      </c>
      <c r="K44" s="64" t="e">
        <f t="shared" ca="1" si="4"/>
        <v>#NAME?</v>
      </c>
      <c r="L44" s="24" t="e">
        <f ca="1">_xll.EVPRO($B$1,H44,"JDEID")</f>
        <v>#NAME?</v>
      </c>
      <c r="M44" s="24" t="e">
        <f ca="1">IF(AND(I44="N",J44="N"),_xll.EVPRO($B$1,H44,"PSFTID"),"")</f>
        <v>#NAME?</v>
      </c>
      <c r="N44" s="24" t="e">
        <f ca="1">IF(_xll.EVDES(H44,$B$1)="#NODATA","",_xll.EVDES(H44,$B$1))</f>
        <v>#NAME?</v>
      </c>
      <c r="O44" s="282"/>
      <c r="P44" s="283"/>
      <c r="Q44" s="283"/>
      <c r="R44" s="283"/>
      <c r="S44" s="283"/>
      <c r="T44" s="283"/>
      <c r="U44" s="283"/>
      <c r="V44" s="283"/>
      <c r="W44" s="283"/>
      <c r="X44" s="283"/>
      <c r="Y44" s="283"/>
      <c r="Z44" s="283"/>
      <c r="AA44" s="283" t="e">
        <f t="shared" ca="1" si="0"/>
        <v>#NAME?</v>
      </c>
      <c r="AB44" s="284" t="e">
        <f t="shared" ca="1" si="1"/>
        <v>#NAME?</v>
      </c>
      <c r="AC44" s="300"/>
      <c r="AD44" s="283"/>
      <c r="AE44" s="284" t="str">
        <f t="shared" si="2"/>
        <v/>
      </c>
      <c r="AF44" s="285" t="e">
        <f t="shared" ca="1" si="3"/>
        <v>#NAME?</v>
      </c>
      <c r="AG44" s="283"/>
      <c r="AH44" s="284" t="str">
        <f t="shared" si="5"/>
        <v/>
      </c>
      <c r="AI44" s="286" t="e">
        <f t="shared" ca="1" si="6"/>
        <v>#NAME?</v>
      </c>
      <c r="AJ44" s="371">
        <f t="shared" ca="1" si="7"/>
        <v>0</v>
      </c>
      <c r="AK44" s="372">
        <f t="shared" ca="1" si="8"/>
        <v>0</v>
      </c>
      <c r="AL44" s="373">
        <f t="shared" ca="1" si="9"/>
        <v>0</v>
      </c>
      <c r="AM44" s="374">
        <f t="shared" ca="1" si="10"/>
        <v>0</v>
      </c>
      <c r="AN44" s="375">
        <f t="shared" ca="1" si="11"/>
        <v>0</v>
      </c>
    </row>
    <row r="45" spans="1:40" x14ac:dyDescent="0.2">
      <c r="H45" s="10" t="s">
        <v>270</v>
      </c>
      <c r="I45" s="25" t="e">
        <f ca="1">_xll.EVPRO($B$1,$H45,"STYLE")</f>
        <v>#NAME?</v>
      </c>
      <c r="J45" s="25" t="e">
        <f ca="1">_xll.EVPRO($B$1,$H45,"CALC")</f>
        <v>#NAME?</v>
      </c>
      <c r="K45" s="64" t="e">
        <f t="shared" ca="1" si="4"/>
        <v>#NAME?</v>
      </c>
      <c r="L45" s="24" t="e">
        <f ca="1">_xll.EVPRO($B$1,H45,"JDEID")</f>
        <v>#NAME?</v>
      </c>
      <c r="M45" s="24" t="e">
        <f ca="1">IF(AND(I45="N",J45="N"),_xll.EVPRO($B$1,H45,"PSFTID"),"")</f>
        <v>#NAME?</v>
      </c>
      <c r="N45" s="24" t="e">
        <f ca="1">IF(_xll.EVDES(H45,$B$1)="#NODATA","",_xll.EVDES(H45,$B$1))</f>
        <v>#NAME?</v>
      </c>
      <c r="O45" s="282"/>
      <c r="P45" s="283"/>
      <c r="Q45" s="283"/>
      <c r="R45" s="283"/>
      <c r="S45" s="283"/>
      <c r="T45" s="283"/>
      <c r="U45" s="283"/>
      <c r="V45" s="283"/>
      <c r="W45" s="283"/>
      <c r="X45" s="283"/>
      <c r="Y45" s="283"/>
      <c r="Z45" s="283"/>
      <c r="AA45" s="283" t="e">
        <f t="shared" ca="1" si="0"/>
        <v>#NAME?</v>
      </c>
      <c r="AB45" s="284" t="e">
        <f t="shared" ca="1" si="1"/>
        <v>#NAME?</v>
      </c>
      <c r="AC45" s="300"/>
      <c r="AD45" s="283"/>
      <c r="AE45" s="284" t="str">
        <f t="shared" si="2"/>
        <v/>
      </c>
      <c r="AF45" s="285" t="e">
        <f t="shared" ca="1" si="3"/>
        <v>#NAME?</v>
      </c>
      <c r="AG45" s="283"/>
      <c r="AH45" s="284" t="str">
        <f t="shared" si="5"/>
        <v/>
      </c>
      <c r="AI45" s="286" t="e">
        <f t="shared" ca="1" si="6"/>
        <v>#NAME?</v>
      </c>
      <c r="AJ45" s="371">
        <f t="shared" ca="1" si="7"/>
        <v>0</v>
      </c>
      <c r="AK45" s="372">
        <f t="shared" ca="1" si="8"/>
        <v>0</v>
      </c>
      <c r="AL45" s="373">
        <f t="shared" ca="1" si="9"/>
        <v>0</v>
      </c>
      <c r="AM45" s="374">
        <f t="shared" ca="1" si="10"/>
        <v>0</v>
      </c>
      <c r="AN45" s="375">
        <f t="shared" ca="1" si="11"/>
        <v>0</v>
      </c>
    </row>
    <row r="46" spans="1:40" x14ac:dyDescent="0.2">
      <c r="H46" s="10" t="s">
        <v>271</v>
      </c>
      <c r="I46" s="25" t="e">
        <f ca="1">_xll.EVPRO($B$1,$H46,"STYLE")</f>
        <v>#NAME?</v>
      </c>
      <c r="J46" s="25" t="e">
        <f ca="1">_xll.EVPRO($B$1,$H46,"CALC")</f>
        <v>#NAME?</v>
      </c>
      <c r="K46" s="64" t="e">
        <f t="shared" ca="1" si="4"/>
        <v>#NAME?</v>
      </c>
      <c r="L46" s="24" t="e">
        <f ca="1">_xll.EVPRO($B$1,H46,"JDEID")</f>
        <v>#NAME?</v>
      </c>
      <c r="M46" s="24" t="e">
        <f ca="1">IF(AND(I46="N",J46="N"),_xll.EVPRO($B$1,H46,"PSFTID"),"")</f>
        <v>#NAME?</v>
      </c>
      <c r="N46" s="24" t="e">
        <f ca="1">IF(_xll.EVDES(H46,$B$1)="#NODATA","",_xll.EVDES(H46,$B$1))</f>
        <v>#NAME?</v>
      </c>
      <c r="O46" s="295"/>
      <c r="P46" s="296"/>
      <c r="Q46" s="296"/>
      <c r="R46" s="296"/>
      <c r="S46" s="296"/>
      <c r="T46" s="296"/>
      <c r="U46" s="296"/>
      <c r="V46" s="296"/>
      <c r="W46" s="296"/>
      <c r="X46" s="296"/>
      <c r="Y46" s="296"/>
      <c r="Z46" s="296"/>
      <c r="AA46" s="296" t="e">
        <f t="shared" ca="1" si="0"/>
        <v>#NAME?</v>
      </c>
      <c r="AB46" s="297" t="e">
        <f t="shared" ca="1" si="1"/>
        <v>#NAME?</v>
      </c>
      <c r="AC46" s="263"/>
      <c r="AD46" s="296"/>
      <c r="AE46" s="297" t="str">
        <f t="shared" si="2"/>
        <v/>
      </c>
      <c r="AF46" s="298" t="e">
        <f t="shared" ca="1" si="3"/>
        <v>#NAME?</v>
      </c>
      <c r="AG46" s="296"/>
      <c r="AH46" s="297" t="str">
        <f t="shared" si="5"/>
        <v/>
      </c>
      <c r="AI46" s="299" t="e">
        <f t="shared" ca="1" si="6"/>
        <v>#NAME?</v>
      </c>
      <c r="AJ46" s="381">
        <f t="shared" ca="1" si="7"/>
        <v>0</v>
      </c>
      <c r="AK46" s="382">
        <f t="shared" ca="1" si="8"/>
        <v>0</v>
      </c>
      <c r="AL46" s="383">
        <f t="shared" ca="1" si="9"/>
        <v>0</v>
      </c>
      <c r="AM46" s="384">
        <f t="shared" ca="1" si="10"/>
        <v>0</v>
      </c>
      <c r="AN46" s="385">
        <f t="shared" ca="1" si="11"/>
        <v>0</v>
      </c>
    </row>
    <row r="47" spans="1:40" x14ac:dyDescent="0.2">
      <c r="A47" s="4" t="e">
        <f ca="1">_xll.EVDRE($B$1,A50:B57,A60:B66)</f>
        <v>#NAME?</v>
      </c>
      <c r="H47" s="10" t="s">
        <v>272</v>
      </c>
      <c r="I47" s="447" t="e">
        <f ca="1">_xll.EVPRO($B$1,$H47,"STYLE")</f>
        <v>#NAME?</v>
      </c>
      <c r="J47" s="447" t="e">
        <f ca="1">_xll.EVPRO($B$1,$H47,"CALC")</f>
        <v>#NAME?</v>
      </c>
      <c r="K47" s="448" t="e">
        <f t="shared" ca="1" si="4"/>
        <v>#NAME?</v>
      </c>
      <c r="L47" s="151" t="e">
        <f ca="1">_xll.EVPRO($B$1,H47,"JDEID")</f>
        <v>#NAME?</v>
      </c>
      <c r="M47" s="151" t="e">
        <f ca="1">IF(AND(I47="N",J47="N"),_xll.EVPRO($B$1,H47,"PSFTID"),"")</f>
        <v>#NAME?</v>
      </c>
      <c r="N47" s="151" t="e">
        <f ca="1">IF(_xll.EVDES(H47,$B$1)="#NODATA","",_xll.EVDES(H47,$B$1))</f>
        <v>#NAME?</v>
      </c>
      <c r="O47" s="202"/>
      <c r="P47" s="120"/>
      <c r="Q47" s="120"/>
      <c r="R47" s="120"/>
      <c r="S47" s="120"/>
      <c r="T47" s="120"/>
      <c r="U47" s="120"/>
      <c r="V47" s="120"/>
      <c r="W47" s="120"/>
      <c r="X47" s="120"/>
      <c r="Y47" s="120"/>
      <c r="Z47" s="120"/>
      <c r="AA47" s="120" t="e">
        <f t="shared" ca="1" si="0"/>
        <v>#NAME?</v>
      </c>
      <c r="AB47" s="121" t="e">
        <f t="shared" ca="1" si="1"/>
        <v>#NAME?</v>
      </c>
      <c r="AC47" s="123"/>
      <c r="AD47" s="120"/>
      <c r="AE47" s="121" t="str">
        <f t="shared" si="2"/>
        <v/>
      </c>
      <c r="AF47" s="122" t="e">
        <f t="shared" ca="1" si="3"/>
        <v>#NAME?</v>
      </c>
      <c r="AG47" s="120"/>
      <c r="AH47" s="121" t="str">
        <f t="shared" si="5"/>
        <v/>
      </c>
      <c r="AI47" s="264" t="e">
        <f t="shared" ca="1" si="6"/>
        <v>#NAME?</v>
      </c>
      <c r="AJ47" s="332">
        <f t="shared" ca="1" si="7"/>
        <v>0</v>
      </c>
      <c r="AK47" s="333">
        <f t="shared" ca="1" si="8"/>
        <v>0</v>
      </c>
      <c r="AL47" s="335">
        <f t="shared" ca="1" si="9"/>
        <v>0</v>
      </c>
      <c r="AM47" s="377">
        <f t="shared" ca="1" si="10"/>
        <v>0</v>
      </c>
      <c r="AN47" s="378">
        <f t="shared" ca="1" si="11"/>
        <v>0</v>
      </c>
    </row>
    <row r="48" spans="1:40" x14ac:dyDescent="0.2">
      <c r="H48" s="10" t="s">
        <v>486</v>
      </c>
      <c r="I48" s="25" t="e">
        <f ca="1">_xll.EVPRO($B$1,$H48,"STYLE")</f>
        <v>#NAME?</v>
      </c>
      <c r="J48" s="25" t="e">
        <f ca="1">_xll.EVPRO($B$1,$H48,"CALC")</f>
        <v>#NAME?</v>
      </c>
      <c r="K48" s="64" t="e">
        <f t="shared" ca="1" si="4"/>
        <v>#NAME?</v>
      </c>
      <c r="L48" s="24" t="e">
        <f ca="1">_xll.EVPRO($B$1,H48,"JDEID")</f>
        <v>#NAME?</v>
      </c>
      <c r="M48" s="24" t="e">
        <f ca="1">IF(AND(I48="N",J48="N"),_xll.EVPRO($B$1,H48,"PSFTID"),"")</f>
        <v>#NAME?</v>
      </c>
      <c r="N48" s="24" t="e">
        <f ca="1">IF(_xll.EVDES(H48,$B$1)="#NODATA","",_xll.EVDES(H48,$B$1))</f>
        <v>#NAME?</v>
      </c>
      <c r="O48" s="302"/>
      <c r="P48" s="44"/>
      <c r="Q48" s="44"/>
      <c r="R48" s="44"/>
      <c r="S48" s="44"/>
      <c r="T48" s="44"/>
      <c r="U48" s="44"/>
      <c r="V48" s="44"/>
      <c r="W48" s="44"/>
      <c r="X48" s="44"/>
      <c r="Y48" s="44"/>
      <c r="Z48" s="44"/>
      <c r="AA48" s="44" t="e">
        <f t="shared" ca="1" si="0"/>
        <v>#NAME?</v>
      </c>
      <c r="AB48" s="45" t="e">
        <f t="shared" ca="1" si="1"/>
        <v>#NAME?</v>
      </c>
      <c r="AD48" s="44"/>
      <c r="AE48" s="45" t="str">
        <f t="shared" si="2"/>
        <v/>
      </c>
      <c r="AF48" s="134" t="e">
        <f t="shared" ca="1" si="3"/>
        <v>#NAME?</v>
      </c>
      <c r="AG48" s="44"/>
      <c r="AH48" s="45" t="str">
        <f t="shared" si="5"/>
        <v/>
      </c>
      <c r="AI48" s="303" t="e">
        <f t="shared" ca="1" si="6"/>
        <v>#NAME?</v>
      </c>
      <c r="AJ48" s="392">
        <f t="shared" ca="1" si="7"/>
        <v>0</v>
      </c>
      <c r="AK48" s="393">
        <f t="shared" ca="1" si="8"/>
        <v>0</v>
      </c>
      <c r="AL48" s="394">
        <f t="shared" ca="1" si="9"/>
        <v>0</v>
      </c>
      <c r="AM48" s="395">
        <f t="shared" ca="1" si="10"/>
        <v>0</v>
      </c>
      <c r="AN48" s="396">
        <f t="shared" ca="1" si="11"/>
        <v>0</v>
      </c>
    </row>
    <row r="49" spans="1:40" x14ac:dyDescent="0.2">
      <c r="A49" s="3" t="s">
        <v>0</v>
      </c>
      <c r="B49" s="5" t="s">
        <v>1</v>
      </c>
      <c r="H49" s="10" t="s">
        <v>273</v>
      </c>
      <c r="I49" s="447" t="e">
        <f ca="1">_xll.EVPRO($B$1,$H49,"STYLE")</f>
        <v>#NAME?</v>
      </c>
      <c r="J49" s="447" t="e">
        <f ca="1">_xll.EVPRO($B$1,$H49,"CALC")</f>
        <v>#NAME?</v>
      </c>
      <c r="K49" s="448" t="e">
        <f t="shared" ca="1" si="4"/>
        <v>#NAME?</v>
      </c>
      <c r="L49" s="151" t="e">
        <f ca="1">_xll.EVPRO($B$1,H49,"JDEID")</f>
        <v>#NAME?</v>
      </c>
      <c r="M49" s="151" t="e">
        <f ca="1">IF(AND(I49="N",J49="N"),_xll.EVPRO($B$1,H49,"PSFTID"),"")</f>
        <v>#NAME?</v>
      </c>
      <c r="N49" s="151" t="e">
        <f ca="1">IF(_xll.EVDES(H49,$B$1)="#NODATA","",_xll.EVDES(H49,$B$1))</f>
        <v>#NAME?</v>
      </c>
      <c r="O49" s="202"/>
      <c r="P49" s="120"/>
      <c r="Q49" s="120"/>
      <c r="R49" s="120"/>
      <c r="S49" s="120"/>
      <c r="T49" s="120"/>
      <c r="U49" s="120"/>
      <c r="V49" s="120"/>
      <c r="W49" s="120"/>
      <c r="X49" s="120"/>
      <c r="Y49" s="120"/>
      <c r="Z49" s="120"/>
      <c r="AA49" s="120" t="e">
        <f t="shared" ca="1" si="0"/>
        <v>#NAME?</v>
      </c>
      <c r="AB49" s="121" t="e">
        <f t="shared" ca="1" si="1"/>
        <v>#NAME?</v>
      </c>
      <c r="AC49" s="123"/>
      <c r="AD49" s="120"/>
      <c r="AE49" s="121" t="str">
        <f t="shared" si="2"/>
        <v/>
      </c>
      <c r="AF49" s="122" t="e">
        <f t="shared" ca="1" si="3"/>
        <v>#NAME?</v>
      </c>
      <c r="AG49" s="120"/>
      <c r="AH49" s="121" t="str">
        <f t="shared" si="5"/>
        <v/>
      </c>
      <c r="AI49" s="264" t="e">
        <f t="shared" ca="1" si="6"/>
        <v>#NAME?</v>
      </c>
      <c r="AJ49" s="332">
        <f t="shared" ca="1" si="7"/>
        <v>0</v>
      </c>
      <c r="AK49" s="333">
        <f t="shared" ca="1" si="8"/>
        <v>0</v>
      </c>
      <c r="AL49" s="335">
        <f t="shared" ca="1" si="9"/>
        <v>0</v>
      </c>
      <c r="AM49" s="377">
        <f t="shared" ca="1" si="10"/>
        <v>0</v>
      </c>
      <c r="AN49" s="378">
        <f t="shared" ca="1" si="11"/>
        <v>0</v>
      </c>
    </row>
    <row r="50" spans="1:40" x14ac:dyDescent="0.2">
      <c r="A50" s="6" t="s">
        <v>2</v>
      </c>
      <c r="B50" s="7" t="e">
        <f ca="1">_xll.EVRNG($B$2:$B$10)</f>
        <v>#NAME?</v>
      </c>
      <c r="H50" s="10" t="s">
        <v>279</v>
      </c>
      <c r="I50" s="447" t="e">
        <f ca="1">_xll.EVPRO($B$1,$H50,"STYLE")</f>
        <v>#NAME?</v>
      </c>
      <c r="J50" s="447" t="e">
        <f ca="1">_xll.EVPRO($B$1,$H50,"CALC")</f>
        <v>#NAME?</v>
      </c>
      <c r="K50" s="448" t="e">
        <f t="shared" ca="1" si="4"/>
        <v>#NAME?</v>
      </c>
      <c r="L50" s="151" t="e">
        <f ca="1">_xll.EVPRO($B$1,H50,"JDEID")</f>
        <v>#NAME?</v>
      </c>
      <c r="M50" s="151" t="e">
        <f ca="1">IF(AND(I50="N",J50="N"),_xll.EVPRO($B$1,H50,"PSFTID"),"")</f>
        <v>#NAME?</v>
      </c>
      <c r="N50" s="151" t="e">
        <f ca="1">IF(_xll.EVDES(H50,$B$1)="#NODATA","",_xll.EVDES(H50,$B$1))</f>
        <v>#NAME?</v>
      </c>
      <c r="O50" s="287"/>
      <c r="P50" s="288"/>
      <c r="Q50" s="288"/>
      <c r="R50" s="288"/>
      <c r="S50" s="288"/>
      <c r="T50" s="288"/>
      <c r="U50" s="288"/>
      <c r="V50" s="288"/>
      <c r="W50" s="288"/>
      <c r="X50" s="288"/>
      <c r="Y50" s="288"/>
      <c r="Z50" s="288"/>
      <c r="AA50" s="288" t="e">
        <f t="shared" ca="1" si="0"/>
        <v>#NAME?</v>
      </c>
      <c r="AB50" s="289" t="e">
        <f t="shared" ca="1" si="1"/>
        <v>#NAME?</v>
      </c>
      <c r="AC50" s="301"/>
      <c r="AD50" s="288"/>
      <c r="AE50" s="289" t="str">
        <f t="shared" si="2"/>
        <v/>
      </c>
      <c r="AF50" s="290" t="e">
        <f t="shared" ca="1" si="3"/>
        <v>#NAME?</v>
      </c>
      <c r="AG50" s="288"/>
      <c r="AH50" s="289" t="str">
        <f t="shared" si="5"/>
        <v/>
      </c>
      <c r="AI50" s="291" t="e">
        <f t="shared" ca="1" si="6"/>
        <v>#NAME?</v>
      </c>
      <c r="AJ50" s="325">
        <f t="shared" ca="1" si="7"/>
        <v>0</v>
      </c>
      <c r="AK50" s="326">
        <f t="shared" ca="1" si="8"/>
        <v>0</v>
      </c>
      <c r="AL50" s="328">
        <f t="shared" ca="1" si="9"/>
        <v>0</v>
      </c>
      <c r="AM50" s="362">
        <f t="shared" ca="1" si="10"/>
        <v>0</v>
      </c>
      <c r="AN50" s="376">
        <f t="shared" ca="1" si="11"/>
        <v>0</v>
      </c>
    </row>
    <row r="51" spans="1:40" x14ac:dyDescent="0.2">
      <c r="A51" s="6" t="s">
        <v>3</v>
      </c>
      <c r="B51" s="7" t="e">
        <f ca="1">_xll.EVRNG($O$16:$AN$18)</f>
        <v>#NAME?</v>
      </c>
      <c r="H51" s="10" t="s">
        <v>274</v>
      </c>
      <c r="I51" s="25" t="e">
        <f ca="1">_xll.EVPRO($B$1,$H51,"STYLE")</f>
        <v>#NAME?</v>
      </c>
      <c r="J51" s="25" t="e">
        <f ca="1">_xll.EVPRO($B$1,$H51,"CALC")</f>
        <v>#NAME?</v>
      </c>
      <c r="K51" s="64" t="e">
        <f t="shared" ca="1" si="4"/>
        <v>#NAME?</v>
      </c>
      <c r="L51" s="24" t="e">
        <f ca="1">_xll.EVPRO($B$1,H51,"JDEID")</f>
        <v>#NAME?</v>
      </c>
      <c r="M51" s="24" t="e">
        <f ca="1">IF(AND(I51="N",J51="N"),_xll.EVPRO($B$1,H51,"PSFTID"),"")</f>
        <v>#NAME?</v>
      </c>
      <c r="N51" s="24" t="e">
        <f ca="1">IF(_xll.EVDES(H51,$B$1)="#NODATA","",_xll.EVDES(H51,$B$1))</f>
        <v>#NAME?</v>
      </c>
      <c r="O51" s="282"/>
      <c r="P51" s="283"/>
      <c r="Q51" s="283"/>
      <c r="R51" s="283"/>
      <c r="S51" s="283"/>
      <c r="T51" s="283"/>
      <c r="U51" s="283"/>
      <c r="V51" s="283"/>
      <c r="W51" s="283"/>
      <c r="X51" s="283"/>
      <c r="Y51" s="283"/>
      <c r="Z51" s="283"/>
      <c r="AA51" s="283" t="e">
        <f t="shared" ca="1" si="0"/>
        <v>#NAME?</v>
      </c>
      <c r="AB51" s="284" t="e">
        <f t="shared" ca="1" si="1"/>
        <v>#NAME?</v>
      </c>
      <c r="AC51" s="300"/>
      <c r="AD51" s="283"/>
      <c r="AE51" s="284" t="str">
        <f t="shared" si="2"/>
        <v/>
      </c>
      <c r="AF51" s="285" t="e">
        <f t="shared" ca="1" si="3"/>
        <v>#NAME?</v>
      </c>
      <c r="AG51" s="283"/>
      <c r="AH51" s="284" t="str">
        <f t="shared" si="5"/>
        <v/>
      </c>
      <c r="AI51" s="286" t="e">
        <f t="shared" ca="1" si="6"/>
        <v>#NAME?</v>
      </c>
      <c r="AJ51" s="371">
        <f t="shared" ca="1" si="7"/>
        <v>0</v>
      </c>
      <c r="AK51" s="372">
        <f t="shared" ca="1" si="8"/>
        <v>0</v>
      </c>
      <c r="AL51" s="373">
        <f t="shared" ca="1" si="9"/>
        <v>0</v>
      </c>
      <c r="AM51" s="374">
        <f t="shared" ca="1" si="10"/>
        <v>0</v>
      </c>
      <c r="AN51" s="375">
        <f t="shared" ca="1" si="11"/>
        <v>0</v>
      </c>
    </row>
    <row r="52" spans="1:40" x14ac:dyDescent="0.2">
      <c r="A52" s="6" t="s">
        <v>4</v>
      </c>
      <c r="B52" s="7" t="e">
        <f ca="1">_xll.EVRNG(H62:H70)</f>
        <v>#NAME?</v>
      </c>
      <c r="H52" s="10" t="s">
        <v>275</v>
      </c>
      <c r="I52" s="25" t="e">
        <f ca="1">_xll.EVPRO($B$1,$H52,"STYLE")</f>
        <v>#NAME?</v>
      </c>
      <c r="J52" s="25" t="e">
        <f ca="1">_xll.EVPRO($B$1,$H52,"CALC")</f>
        <v>#NAME?</v>
      </c>
      <c r="K52" s="64" t="e">
        <f t="shared" ca="1" si="4"/>
        <v>#NAME?</v>
      </c>
      <c r="L52" s="24" t="e">
        <f ca="1">_xll.EVPRO($B$1,H52,"JDEID")</f>
        <v>#NAME?</v>
      </c>
      <c r="M52" s="24" t="e">
        <f ca="1">IF(AND(I52="N",J52="N"),_xll.EVPRO($B$1,H52,"PSFTID"),"")</f>
        <v>#NAME?</v>
      </c>
      <c r="N52" s="24" t="e">
        <f ca="1">IF(_xll.EVDES(H52,$B$1)="#NODATA","",_xll.EVDES(H52,$B$1))</f>
        <v>#NAME?</v>
      </c>
      <c r="O52" s="282"/>
      <c r="P52" s="283"/>
      <c r="Q52" s="283"/>
      <c r="R52" s="283"/>
      <c r="S52" s="283"/>
      <c r="T52" s="283"/>
      <c r="U52" s="283"/>
      <c r="V52" s="283"/>
      <c r="W52" s="283"/>
      <c r="X52" s="283"/>
      <c r="Y52" s="283"/>
      <c r="Z52" s="283"/>
      <c r="AA52" s="283" t="e">
        <f t="shared" ca="1" si="0"/>
        <v>#NAME?</v>
      </c>
      <c r="AB52" s="284" t="e">
        <f t="shared" ca="1" si="1"/>
        <v>#NAME?</v>
      </c>
      <c r="AC52" s="300"/>
      <c r="AD52" s="283"/>
      <c r="AE52" s="284" t="str">
        <f t="shared" si="2"/>
        <v/>
      </c>
      <c r="AF52" s="285" t="e">
        <f t="shared" ca="1" si="3"/>
        <v>#NAME?</v>
      </c>
      <c r="AG52" s="283"/>
      <c r="AH52" s="284" t="str">
        <f t="shared" si="5"/>
        <v/>
      </c>
      <c r="AI52" s="286" t="e">
        <f t="shared" ca="1" si="6"/>
        <v>#NAME?</v>
      </c>
      <c r="AJ52" s="371">
        <f t="shared" ca="1" si="7"/>
        <v>0</v>
      </c>
      <c r="AK52" s="372">
        <f t="shared" ca="1" si="8"/>
        <v>0</v>
      </c>
      <c r="AL52" s="373">
        <f t="shared" ca="1" si="9"/>
        <v>0</v>
      </c>
      <c r="AM52" s="374">
        <f t="shared" ca="1" si="10"/>
        <v>0</v>
      </c>
      <c r="AN52" s="375">
        <f t="shared" ca="1" si="11"/>
        <v>0</v>
      </c>
    </row>
    <row r="53" spans="1:40" x14ac:dyDescent="0.2">
      <c r="A53" s="6" t="s">
        <v>5</v>
      </c>
      <c r="B53" s="7"/>
      <c r="F53" s="136"/>
      <c r="H53" s="10" t="s">
        <v>276</v>
      </c>
      <c r="I53" s="25" t="e">
        <f ca="1">_xll.EVPRO($B$1,$H53,"STYLE")</f>
        <v>#NAME?</v>
      </c>
      <c r="J53" s="25" t="e">
        <f ca="1">_xll.EVPRO($B$1,$H53,"CALC")</f>
        <v>#NAME?</v>
      </c>
      <c r="K53" s="64" t="e">
        <f t="shared" ca="1" si="4"/>
        <v>#NAME?</v>
      </c>
      <c r="L53" s="24" t="e">
        <f ca="1">_xll.EVPRO($B$1,H53,"JDEID")</f>
        <v>#NAME?</v>
      </c>
      <c r="M53" s="24" t="e">
        <f ca="1">IF(AND(I53="N",J53="N"),_xll.EVPRO($B$1,H53,"PSFTID"),"")</f>
        <v>#NAME?</v>
      </c>
      <c r="N53" s="24" t="e">
        <f ca="1">IF(_xll.EVDES(H53,$B$1)="#NODATA","",_xll.EVDES(H53,$B$1))</f>
        <v>#NAME?</v>
      </c>
      <c r="O53" s="282"/>
      <c r="P53" s="283"/>
      <c r="Q53" s="283"/>
      <c r="R53" s="283"/>
      <c r="S53" s="283"/>
      <c r="T53" s="283"/>
      <c r="U53" s="283"/>
      <c r="V53" s="283"/>
      <c r="W53" s="283"/>
      <c r="X53" s="283"/>
      <c r="Y53" s="283"/>
      <c r="Z53" s="283"/>
      <c r="AA53" s="283" t="e">
        <f t="shared" ca="1" si="0"/>
        <v>#NAME?</v>
      </c>
      <c r="AB53" s="284" t="e">
        <f t="shared" ca="1" si="1"/>
        <v>#NAME?</v>
      </c>
      <c r="AC53" s="300"/>
      <c r="AD53" s="283"/>
      <c r="AE53" s="284" t="str">
        <f t="shared" si="2"/>
        <v/>
      </c>
      <c r="AF53" s="285" t="e">
        <f t="shared" ca="1" si="3"/>
        <v>#NAME?</v>
      </c>
      <c r="AG53" s="283"/>
      <c r="AH53" s="284" t="str">
        <f t="shared" si="5"/>
        <v/>
      </c>
      <c r="AI53" s="286" t="e">
        <f t="shared" ca="1" si="6"/>
        <v>#NAME?</v>
      </c>
      <c r="AJ53" s="371">
        <f t="shared" ca="1" si="7"/>
        <v>0</v>
      </c>
      <c r="AK53" s="372">
        <f t="shared" ca="1" si="8"/>
        <v>0</v>
      </c>
      <c r="AL53" s="373">
        <f t="shared" ca="1" si="9"/>
        <v>0</v>
      </c>
      <c r="AM53" s="374">
        <f t="shared" ca="1" si="10"/>
        <v>0</v>
      </c>
      <c r="AN53" s="375">
        <f t="shared" ca="1" si="11"/>
        <v>0</v>
      </c>
    </row>
    <row r="54" spans="1:40" x14ac:dyDescent="0.2">
      <c r="A54" s="6" t="s">
        <v>6</v>
      </c>
      <c r="B54" s="7"/>
      <c r="F54" s="136"/>
      <c r="H54" s="10" t="s">
        <v>282</v>
      </c>
      <c r="I54" s="25" t="e">
        <f ca="1">_xll.EVPRO($B$1,$H54,"STYLE")</f>
        <v>#NAME?</v>
      </c>
      <c r="J54" s="25" t="e">
        <f ca="1">_xll.EVPRO($B$1,$H54,"CALC")</f>
        <v>#NAME?</v>
      </c>
      <c r="K54" s="64" t="e">
        <f t="shared" ca="1" si="4"/>
        <v>#NAME?</v>
      </c>
      <c r="L54" s="24" t="e">
        <f ca="1">_xll.EVPRO($B$1,H54,"JDEID")</f>
        <v>#NAME?</v>
      </c>
      <c r="M54" s="24" t="e">
        <f ca="1">IF(AND(I54="N",J54="N"),_xll.EVPRO($B$1,H54,"PSFTID"),"")</f>
        <v>#NAME?</v>
      </c>
      <c r="N54" s="24" t="e">
        <f ca="1">IF(_xll.EVDES(H54,$B$1)="#NODATA","",_xll.EVDES(H54,$B$1))</f>
        <v>#NAME?</v>
      </c>
      <c r="O54" s="282"/>
      <c r="P54" s="283"/>
      <c r="Q54" s="283"/>
      <c r="R54" s="283"/>
      <c r="S54" s="283"/>
      <c r="T54" s="283"/>
      <c r="U54" s="283"/>
      <c r="V54" s="283"/>
      <c r="W54" s="283"/>
      <c r="X54" s="283"/>
      <c r="Y54" s="283"/>
      <c r="Z54" s="283"/>
      <c r="AA54" s="283" t="e">
        <f t="shared" ca="1" si="0"/>
        <v>#NAME?</v>
      </c>
      <c r="AB54" s="284" t="e">
        <f t="shared" ca="1" si="1"/>
        <v>#NAME?</v>
      </c>
      <c r="AC54" s="300"/>
      <c r="AD54" s="283"/>
      <c r="AE54" s="284" t="str">
        <f t="shared" si="2"/>
        <v/>
      </c>
      <c r="AF54" s="285" t="e">
        <f t="shared" ca="1" si="3"/>
        <v>#NAME?</v>
      </c>
      <c r="AG54" s="283"/>
      <c r="AH54" s="284" t="str">
        <f t="shared" si="5"/>
        <v/>
      </c>
      <c r="AI54" s="286" t="e">
        <f t="shared" ca="1" si="6"/>
        <v>#NAME?</v>
      </c>
      <c r="AJ54" s="371">
        <f t="shared" ca="1" si="7"/>
        <v>0</v>
      </c>
      <c r="AK54" s="372">
        <f t="shared" ca="1" si="8"/>
        <v>0</v>
      </c>
      <c r="AL54" s="373">
        <f t="shared" ca="1" si="9"/>
        <v>0</v>
      </c>
      <c r="AM54" s="374">
        <f t="shared" ca="1" si="10"/>
        <v>0</v>
      </c>
      <c r="AN54" s="375">
        <f t="shared" ca="1" si="11"/>
        <v>0</v>
      </c>
    </row>
    <row r="55" spans="1:40" x14ac:dyDescent="0.2">
      <c r="A55" s="6" t="s">
        <v>7</v>
      </c>
      <c r="B55" s="7" t="e">
        <f ca="1">_xll.EVRNG(A69:F77)</f>
        <v>#NAME?</v>
      </c>
      <c r="F55" s="136"/>
      <c r="H55" s="10" t="s">
        <v>283</v>
      </c>
      <c r="I55" s="25" t="e">
        <f ca="1">_xll.EVPRO($B$1,$H55,"STYLE")</f>
        <v>#NAME?</v>
      </c>
      <c r="J55" s="25" t="e">
        <f ca="1">_xll.EVPRO($B$1,$H55,"CALC")</f>
        <v>#NAME?</v>
      </c>
      <c r="K55" s="64" t="e">
        <f t="shared" ca="1" si="4"/>
        <v>#NAME?</v>
      </c>
      <c r="L55" s="24" t="e">
        <f ca="1">_xll.EVPRO($B$1,H55,"JDEID")</f>
        <v>#NAME?</v>
      </c>
      <c r="M55" s="24" t="e">
        <f ca="1">IF(AND(I55="N",J55="N"),_xll.EVPRO($B$1,H55,"PSFTID"),"")</f>
        <v>#NAME?</v>
      </c>
      <c r="N55" s="24" t="e">
        <f ca="1">IF(_xll.EVDES(H55,$B$1)="#NODATA","",_xll.EVDES(H55,$B$1))</f>
        <v>#NAME?</v>
      </c>
      <c r="O55" s="282"/>
      <c r="P55" s="283"/>
      <c r="Q55" s="283"/>
      <c r="R55" s="283"/>
      <c r="S55" s="283"/>
      <c r="T55" s="283"/>
      <c r="U55" s="283"/>
      <c r="V55" s="283"/>
      <c r="W55" s="283"/>
      <c r="X55" s="283"/>
      <c r="Y55" s="283"/>
      <c r="Z55" s="283"/>
      <c r="AA55" s="283" t="e">
        <f t="shared" ca="1" si="0"/>
        <v>#NAME?</v>
      </c>
      <c r="AB55" s="284" t="e">
        <f t="shared" ca="1" si="1"/>
        <v>#NAME?</v>
      </c>
      <c r="AC55" s="300"/>
      <c r="AD55" s="283"/>
      <c r="AE55" s="284" t="str">
        <f t="shared" si="2"/>
        <v/>
      </c>
      <c r="AF55" s="285" t="e">
        <f t="shared" ca="1" si="3"/>
        <v>#NAME?</v>
      </c>
      <c r="AG55" s="283"/>
      <c r="AH55" s="284" t="str">
        <f t="shared" si="5"/>
        <v/>
      </c>
      <c r="AI55" s="286" t="e">
        <f t="shared" ca="1" si="6"/>
        <v>#NAME?</v>
      </c>
      <c r="AJ55" s="371">
        <f t="shared" ca="1" si="7"/>
        <v>0</v>
      </c>
      <c r="AK55" s="372">
        <f t="shared" ca="1" si="8"/>
        <v>0</v>
      </c>
      <c r="AL55" s="373">
        <f t="shared" ca="1" si="9"/>
        <v>0</v>
      </c>
      <c r="AM55" s="374">
        <f t="shared" ca="1" si="10"/>
        <v>0</v>
      </c>
      <c r="AN55" s="375">
        <f t="shared" ca="1" si="11"/>
        <v>0</v>
      </c>
    </row>
    <row r="56" spans="1:40" x14ac:dyDescent="0.2">
      <c r="A56" s="6" t="s">
        <v>47</v>
      </c>
      <c r="B56" s="7" t="e">
        <f ca="1">_xll.EVRNG($A$125:$B$146)</f>
        <v>#NAME?</v>
      </c>
      <c r="H56" s="10" t="s">
        <v>473</v>
      </c>
      <c r="I56" s="25" t="e">
        <f ca="1">_xll.EVPRO($B$1,$H56,"STYLE")</f>
        <v>#NAME?</v>
      </c>
      <c r="J56" s="25" t="e">
        <f ca="1">_xll.EVPRO($B$1,$H56,"CALC")</f>
        <v>#NAME?</v>
      </c>
      <c r="K56" s="64" t="e">
        <f t="shared" ca="1" si="4"/>
        <v>#NAME?</v>
      </c>
      <c r="L56" s="24" t="e">
        <f ca="1">_xll.EVPRO($B$1,H56,"JDEID")</f>
        <v>#NAME?</v>
      </c>
      <c r="M56" s="24" t="e">
        <f ca="1">IF(AND(I56="N",J56="N"),_xll.EVPRO($B$1,H56,"PSFTID"),"")</f>
        <v>#NAME?</v>
      </c>
      <c r="N56" s="24" t="e">
        <f ca="1">IF(_xll.EVDES(H56,$B$1)="#NODATA","",_xll.EVDES(H56,$B$1))</f>
        <v>#NAME?</v>
      </c>
      <c r="O56" s="295"/>
      <c r="P56" s="296"/>
      <c r="Q56" s="296"/>
      <c r="R56" s="296"/>
      <c r="S56" s="296"/>
      <c r="T56" s="296"/>
      <c r="U56" s="296"/>
      <c r="V56" s="296"/>
      <c r="W56" s="296"/>
      <c r="X56" s="296"/>
      <c r="Y56" s="296"/>
      <c r="Z56" s="296"/>
      <c r="AA56" s="296" t="e">
        <f t="shared" ca="1" si="0"/>
        <v>#NAME?</v>
      </c>
      <c r="AB56" s="297" t="e">
        <f t="shared" ca="1" si="1"/>
        <v>#NAME?</v>
      </c>
      <c r="AC56" s="263"/>
      <c r="AD56" s="296"/>
      <c r="AE56" s="297" t="str">
        <f t="shared" si="2"/>
        <v/>
      </c>
      <c r="AF56" s="298" t="e">
        <f t="shared" ca="1" si="3"/>
        <v>#NAME?</v>
      </c>
      <c r="AG56" s="296"/>
      <c r="AH56" s="297" t="str">
        <f t="shared" si="5"/>
        <v/>
      </c>
      <c r="AI56" s="299" t="e">
        <f t="shared" ca="1" si="6"/>
        <v>#NAME?</v>
      </c>
      <c r="AJ56" s="381">
        <f t="shared" ca="1" si="7"/>
        <v>0</v>
      </c>
      <c r="AK56" s="382">
        <f t="shared" ca="1" si="8"/>
        <v>0</v>
      </c>
      <c r="AL56" s="383">
        <f t="shared" ca="1" si="9"/>
        <v>0</v>
      </c>
      <c r="AM56" s="384">
        <f t="shared" ca="1" si="10"/>
        <v>0</v>
      </c>
      <c r="AN56" s="385">
        <f t="shared" ca="1" si="11"/>
        <v>0</v>
      </c>
    </row>
    <row r="57" spans="1:40" x14ac:dyDescent="0.2">
      <c r="A57" s="6" t="s">
        <v>8</v>
      </c>
      <c r="B57" s="7"/>
      <c r="H57" s="10" t="s">
        <v>277</v>
      </c>
      <c r="I57" s="447" t="e">
        <f ca="1">_xll.EVPRO($B$1,$H57,"STYLE")</f>
        <v>#NAME?</v>
      </c>
      <c r="J57" s="447" t="e">
        <f ca="1">_xll.EVPRO($B$1,$H57,"CALC")</f>
        <v>#NAME?</v>
      </c>
      <c r="K57" s="448" t="e">
        <f t="shared" ca="1" si="4"/>
        <v>#NAME?</v>
      </c>
      <c r="L57" s="151" t="e">
        <f ca="1">_xll.EVPRO($B$1,H57,"JDEID")</f>
        <v>#NAME?</v>
      </c>
      <c r="M57" s="151" t="e">
        <f ca="1">IF(AND(I57="N",J57="N"),_xll.EVPRO($B$1,H57,"PSFTID"),"")</f>
        <v>#NAME?</v>
      </c>
      <c r="N57" s="151" t="e">
        <f ca="1">IF(_xll.EVDES(H57,$B$1)="#NODATA","",_xll.EVDES(H57,$B$1))</f>
        <v>#NAME?</v>
      </c>
      <c r="O57" s="203"/>
      <c r="P57" s="33"/>
      <c r="Q57" s="33"/>
      <c r="R57" s="33"/>
      <c r="S57" s="33"/>
      <c r="T57" s="33"/>
      <c r="U57" s="33"/>
      <c r="V57" s="33"/>
      <c r="W57" s="33"/>
      <c r="X57" s="33"/>
      <c r="Y57" s="33"/>
      <c r="Z57" s="33"/>
      <c r="AA57" s="33" t="e">
        <f t="shared" ca="1" si="0"/>
        <v>#NAME?</v>
      </c>
      <c r="AB57" s="34" t="e">
        <f t="shared" ca="1" si="1"/>
        <v>#NAME?</v>
      </c>
      <c r="AC57" s="32"/>
      <c r="AD57" s="33"/>
      <c r="AE57" s="34" t="str">
        <f t="shared" si="2"/>
        <v/>
      </c>
      <c r="AF57" s="54" t="e">
        <f t="shared" ca="1" si="3"/>
        <v>#NAME?</v>
      </c>
      <c r="AG57" s="33"/>
      <c r="AH57" s="34" t="str">
        <f t="shared" si="5"/>
        <v/>
      </c>
      <c r="AI57" s="265" t="e">
        <f t="shared" ca="1" si="6"/>
        <v>#NAME?</v>
      </c>
      <c r="AJ57" s="344">
        <f t="shared" ca="1" si="7"/>
        <v>0</v>
      </c>
      <c r="AK57" s="345">
        <f t="shared" ca="1" si="8"/>
        <v>0</v>
      </c>
      <c r="AL57" s="347">
        <f t="shared" ca="1" si="9"/>
        <v>0</v>
      </c>
      <c r="AM57" s="379">
        <f t="shared" ca="1" si="10"/>
        <v>0</v>
      </c>
      <c r="AN57" s="380">
        <f t="shared" ca="1" si="11"/>
        <v>0</v>
      </c>
    </row>
    <row r="58" spans="1:40" x14ac:dyDescent="0.2">
      <c r="G58" s="13"/>
      <c r="H58" s="10" t="s">
        <v>280</v>
      </c>
      <c r="I58" s="447" t="e">
        <f ca="1">_xll.EVPRO($B$1,$H58,"STYLE")</f>
        <v>#NAME?</v>
      </c>
      <c r="J58" s="447" t="e">
        <f ca="1">_xll.EVPRO($B$1,$H58,"CALC")</f>
        <v>#NAME?</v>
      </c>
      <c r="K58" s="448" t="e">
        <f t="shared" ca="1" si="4"/>
        <v>#NAME?</v>
      </c>
      <c r="L58" s="151" t="e">
        <f ca="1">_xll.EVPRO($B$1,H58,"JDEID")</f>
        <v>#NAME?</v>
      </c>
      <c r="M58" s="151" t="e">
        <f ca="1">IF(AND(I58="N",J58="N"),_xll.EVPRO($B$1,H58,"PSFTID"),"")</f>
        <v>#NAME?</v>
      </c>
      <c r="N58" s="151" t="e">
        <f ca="1">IF(_xll.EVDES(H58,$B$1)="#NODATA","",_xll.EVDES(H58,$B$1))</f>
        <v>#NAME?</v>
      </c>
      <c r="O58" s="202"/>
      <c r="P58" s="120"/>
      <c r="Q58" s="120"/>
      <c r="R58" s="120"/>
      <c r="S58" s="120"/>
      <c r="T58" s="120"/>
      <c r="U58" s="120"/>
      <c r="V58" s="120"/>
      <c r="W58" s="120"/>
      <c r="X58" s="120"/>
      <c r="Y58" s="120"/>
      <c r="Z58" s="120"/>
      <c r="AA58" s="120" t="e">
        <f t="shared" ca="1" si="0"/>
        <v>#NAME?</v>
      </c>
      <c r="AB58" s="121" t="e">
        <f t="shared" ca="1" si="1"/>
        <v>#NAME?</v>
      </c>
      <c r="AC58" s="123"/>
      <c r="AD58" s="120"/>
      <c r="AE58" s="121" t="str">
        <f t="shared" si="2"/>
        <v/>
      </c>
      <c r="AF58" s="122" t="e">
        <f t="shared" ca="1" si="3"/>
        <v>#NAME?</v>
      </c>
      <c r="AG58" s="120"/>
      <c r="AH58" s="121" t="str">
        <f t="shared" si="5"/>
        <v/>
      </c>
      <c r="AI58" s="264" t="e">
        <f t="shared" ca="1" si="6"/>
        <v>#NAME?</v>
      </c>
      <c r="AJ58" s="332">
        <f t="shared" ca="1" si="7"/>
        <v>0</v>
      </c>
      <c r="AK58" s="333">
        <f t="shared" ca="1" si="8"/>
        <v>0</v>
      </c>
      <c r="AL58" s="335">
        <f t="shared" ca="1" si="9"/>
        <v>0</v>
      </c>
      <c r="AM58" s="377">
        <f t="shared" ca="1" si="10"/>
        <v>0</v>
      </c>
      <c r="AN58" s="378">
        <f t="shared" ca="1" si="11"/>
        <v>0</v>
      </c>
    </row>
    <row r="59" spans="1:40" x14ac:dyDescent="0.2">
      <c r="A59" s="3" t="s">
        <v>9</v>
      </c>
      <c r="B59" s="5" t="s">
        <v>10</v>
      </c>
      <c r="O59" s="50"/>
      <c r="AB59" s="51"/>
      <c r="AD59" s="50"/>
      <c r="AF59" s="51"/>
      <c r="AG59" s="50"/>
      <c r="AI59" s="51"/>
    </row>
    <row r="60" spans="1:40" x14ac:dyDescent="0.2">
      <c r="A60" s="6" t="s">
        <v>11</v>
      </c>
      <c r="B60" s="7" t="s">
        <v>21</v>
      </c>
      <c r="H60" s="1" t="s">
        <v>281</v>
      </c>
      <c r="I60" s="11" t="e">
        <f ca="1">_xll.EVPRO($B$1,$H60,"STYLE")</f>
        <v>#NAME?</v>
      </c>
      <c r="J60" s="11" t="e">
        <f ca="1">_xll.EVPRO($B$1,$H60,"CALC")</f>
        <v>#NAME?</v>
      </c>
      <c r="N60" s="37" t="e">
        <f ca="1">IF(_xll.EVDES(H60,$B$1)="#NODATA","",_xll.EVDES(H60,$B$1))</f>
        <v>#NAME?</v>
      </c>
      <c r="O60" s="50"/>
      <c r="AB60" s="51"/>
      <c r="AD60" s="50"/>
      <c r="AF60" s="51"/>
      <c r="AG60" s="50"/>
      <c r="AI60" s="51"/>
    </row>
    <row r="61" spans="1:40" x14ac:dyDescent="0.2">
      <c r="A61" s="6" t="s">
        <v>12</v>
      </c>
      <c r="B61" s="7" t="s">
        <v>22</v>
      </c>
      <c r="H61" s="1" t="s">
        <v>284</v>
      </c>
      <c r="I61" s="11" t="e">
        <f ca="1">_xll.EVPRO($B$1,$H61,"STYLE")</f>
        <v>#NAME?</v>
      </c>
      <c r="J61" s="11" t="e">
        <f ca="1">_xll.EVPRO($B$1,$H61,"CALC")</f>
        <v>#NAME?</v>
      </c>
      <c r="N61" s="8" t="e">
        <f ca="1">IF(_xll.EVDES(H61,$B$1)="#NODATA","",_xll.EVDES(H61,$B$1))</f>
        <v>#NAME?</v>
      </c>
      <c r="O61" s="50"/>
      <c r="AB61" s="51"/>
      <c r="AD61" s="50"/>
      <c r="AF61" s="51"/>
      <c r="AG61" s="50"/>
      <c r="AI61" s="51"/>
    </row>
    <row r="62" spans="1:40" x14ac:dyDescent="0.2">
      <c r="A62" s="6" t="s">
        <v>13</v>
      </c>
      <c r="B62" s="7" t="e">
        <f ca="1">"DEP(COS_FB) AND "&amp;$E$6&amp;"=Y,COS_FB,COSOTH,DEP(COS_OTHR) AND "&amp;$E$6&amp;"=Y,COS_OTHR,500001"</f>
        <v>#NAME?</v>
      </c>
      <c r="H62" s="10" t="s">
        <v>285</v>
      </c>
      <c r="I62" s="25" t="e">
        <f ca="1">_xll.EVPRO($B$1,$H62,"STYLE")</f>
        <v>#NAME?</v>
      </c>
      <c r="J62" s="25" t="e">
        <f ca="1">_xll.EVPRO($B$1,$H62,"CALC")</f>
        <v>#NAME?</v>
      </c>
      <c r="K62" s="64" t="e">
        <f ca="1">IF(AND(I62&gt;="T5"),"&gt;","")</f>
        <v>#NAME?</v>
      </c>
      <c r="L62" s="24" t="e">
        <f ca="1">_xll.EVPRO($B$1,H62,"JDEID")</f>
        <v>#NAME?</v>
      </c>
      <c r="M62" s="24" t="e">
        <f ca="1">IF(AND(I62="N",J62="N"),_xll.EVPRO($B$1,H62,"PSFTID"),"")</f>
        <v>#NAME?</v>
      </c>
      <c r="N62" s="24" t="e">
        <f ca="1">IF(_xll.EVDES(H62,$B$1)="#NODATA","",_xll.EVDES(H62,$B$1))</f>
        <v>#NAME?</v>
      </c>
      <c r="O62" s="282"/>
      <c r="P62" s="283"/>
      <c r="Q62" s="283"/>
      <c r="R62" s="283"/>
      <c r="S62" s="283"/>
      <c r="T62" s="283"/>
      <c r="U62" s="283"/>
      <c r="V62" s="283"/>
      <c r="W62" s="283"/>
      <c r="X62" s="283"/>
      <c r="Y62" s="283"/>
      <c r="Z62" s="283"/>
      <c r="AA62" s="283" t="e">
        <f t="shared" ref="AA62:AA70" ca="1" si="12">IF($I62="B1","",SUM(O62:Z62))</f>
        <v>#NAME?</v>
      </c>
      <c r="AB62" s="284" t="e">
        <f ca="1">IF(AA62=0,"",IFERROR(AA62/_xll.EVGTS($B$1,1,_xll.EVPRO($B$1,$H62,"COSBASIS"),$B$3,$B$5,$B$6,$B$7,$B$9,AA$16,AA$17,AA$11),""))</f>
        <v>#NAME?</v>
      </c>
      <c r="AC62" s="300"/>
      <c r="AD62" s="283"/>
      <c r="AE62" s="284" t="str">
        <f>IF(AD62=0,"",IFERROR(AD62/_xll.EVGTS($B$1,1,_xll.EVPRO($B$1,$H62,"COSBASIS"),$B$3,$B$5,$B$6,$B$7,$B$9,AD$16,AD$17,AD$18),""))</f>
        <v/>
      </c>
      <c r="AF62" s="285" t="e">
        <f t="shared" ref="AF62:AF70" ca="1" si="13">IF(AND($AA62="",AD62=""),"",$AA62-AD62)</f>
        <v>#NAME?</v>
      </c>
      <c r="AG62" s="283"/>
      <c r="AH62" s="284" t="str">
        <f>IF(AG62=0,"",IFERROR(AG62/_xll.EVGTS($B$1,1,_xll.EVPRO($B$1,$H62,"COSBASIS"),$B$3,$B$5,$B$6,$B$7,$B$9,AG$16,AG$17,AG$18),""))</f>
        <v/>
      </c>
      <c r="AI62" s="286" t="e">
        <f ca="1">IF(AND($AA62="",AG62=""),"",$AA62-AG62)</f>
        <v>#NAME?</v>
      </c>
      <c r="AJ62" s="371">
        <f ca="1">IFERROR(AA62/AA$20,0)</f>
        <v>0</v>
      </c>
      <c r="AK62" s="372">
        <f ca="1">IFERROR(AD62/AD$20,0)</f>
        <v>0</v>
      </c>
      <c r="AL62" s="373">
        <f ca="1">IFERROR(AG62/AG$20,0)</f>
        <v>0</v>
      </c>
      <c r="AM62" s="374">
        <f ca="1">+IFERROR(ROUND(($AB62-AE62)*100,2)&amp;" pts.",0)</f>
        <v>0</v>
      </c>
      <c r="AN62" s="375">
        <f ca="1">+IFERROR(ROUND(($AB62-AH62)*100,2)&amp;" pts.",0)</f>
        <v>0</v>
      </c>
    </row>
    <row r="63" spans="1:40" x14ac:dyDescent="0.2">
      <c r="A63" s="6" t="s">
        <v>14</v>
      </c>
      <c r="B63" s="7"/>
      <c r="H63" s="10" t="s">
        <v>636</v>
      </c>
      <c r="I63" s="25" t="e">
        <f ca="1">_xll.EVPRO($B$1,$H63,"STYLE")</f>
        <v>#NAME?</v>
      </c>
      <c r="J63" s="25" t="e">
        <f ca="1">_xll.EVPRO($B$1,$H63,"CALC")</f>
        <v>#NAME?</v>
      </c>
      <c r="K63" s="64" t="e">
        <f t="shared" ref="K63:K70" ca="1" si="14">IF(AND(I63&gt;="T5"),"&gt;","")</f>
        <v>#NAME?</v>
      </c>
      <c r="L63" s="24" t="e">
        <f ca="1">_xll.EVPRO($B$1,H63,"JDEID")</f>
        <v>#NAME?</v>
      </c>
      <c r="M63" s="24" t="e">
        <f ca="1">IF(AND(I63="N",J63="N"),_xll.EVPRO($B$1,H63,"PSFTID"),"")</f>
        <v>#NAME?</v>
      </c>
      <c r="N63" s="24" t="e">
        <f ca="1">IF(_xll.EVDES(H63,$B$1)="#NODATA","",_xll.EVDES(H63,$B$1))</f>
        <v>#NAME?</v>
      </c>
      <c r="O63" s="295"/>
      <c r="P63" s="296"/>
      <c r="Q63" s="296"/>
      <c r="R63" s="296"/>
      <c r="S63" s="296"/>
      <c r="T63" s="296"/>
      <c r="U63" s="296"/>
      <c r="V63" s="296"/>
      <c r="W63" s="296"/>
      <c r="X63" s="296"/>
      <c r="Y63" s="296"/>
      <c r="Z63" s="296"/>
      <c r="AA63" s="296" t="e">
        <f t="shared" ca="1" si="12"/>
        <v>#NAME?</v>
      </c>
      <c r="AB63" s="297" t="e">
        <f ca="1">IF(AA63=0,"",IFERROR(AA63/_xll.EVGTS($B$1,1,_xll.EVPRO($B$1,$H63,"COSBASIS"),$B$3,$B$5,$B$6,$B$7,$B$9,AA$16,AA$17,AA$11),""))</f>
        <v>#NAME?</v>
      </c>
      <c r="AC63" s="263"/>
      <c r="AD63" s="296"/>
      <c r="AE63" s="297" t="str">
        <f>IF(AD63=0,"",IFERROR(AD63/_xll.EVGTS($B$1,1,_xll.EVPRO($B$1,$H63,"COSBASIS"),$B$3,$B$5,$B$6,$B$7,$B$9,AD$16,AD$17,AD$18),""))</f>
        <v/>
      </c>
      <c r="AF63" s="298" t="e">
        <f t="shared" ca="1" si="13"/>
        <v>#NAME?</v>
      </c>
      <c r="AG63" s="296"/>
      <c r="AH63" s="297" t="str">
        <f>IF(AG63=0,"",IFERROR(AG63/_xll.EVGTS($B$1,1,_xll.EVPRO($B$1,$H63,"COSBASIS"),$B$3,$B$5,$B$6,$B$7,$B$9,AG$16,AG$17,AG$18),""))</f>
        <v/>
      </c>
      <c r="AI63" s="299" t="e">
        <f t="shared" ref="AI63:AI70" ca="1" si="15">IF(AND($AA63="",AG63=""),"",$AA63-AG63)</f>
        <v>#NAME?</v>
      </c>
      <c r="AJ63" s="381">
        <f t="shared" ref="AJ63:AJ70" ca="1" si="16">IFERROR(AA63/AA$20,0)</f>
        <v>0</v>
      </c>
      <c r="AK63" s="382">
        <f t="shared" ref="AK63:AK70" ca="1" si="17">IFERROR(AD63/AD$20,0)</f>
        <v>0</v>
      </c>
      <c r="AL63" s="383">
        <f t="shared" ref="AL63:AL70" ca="1" si="18">IFERROR(AG63/AG$20,0)</f>
        <v>0</v>
      </c>
      <c r="AM63" s="384">
        <f t="shared" ref="AM63:AM70" ca="1" si="19">+IFERROR(ROUND(($AB63-AE63)*100,2)&amp;" pts.",0)</f>
        <v>0</v>
      </c>
      <c r="AN63" s="385">
        <f t="shared" ref="AN63:AN70" ca="1" si="20">+IFERROR(ROUND(($AB63-AH63)*100,2)&amp;" pts.",0)</f>
        <v>0</v>
      </c>
    </row>
    <row r="64" spans="1:40" x14ac:dyDescent="0.2">
      <c r="A64" s="6" t="s">
        <v>15</v>
      </c>
      <c r="B64" s="7"/>
      <c r="H64" s="10" t="s">
        <v>286</v>
      </c>
      <c r="I64" s="447" t="e">
        <f ca="1">_xll.EVPRO($B$1,$H64,"STYLE")</f>
        <v>#NAME?</v>
      </c>
      <c r="J64" s="447" t="e">
        <f ca="1">_xll.EVPRO($B$1,$H64,"CALC")</f>
        <v>#NAME?</v>
      </c>
      <c r="K64" s="448" t="e">
        <f t="shared" ca="1" si="14"/>
        <v>#NAME?</v>
      </c>
      <c r="L64" s="151" t="e">
        <f ca="1">_xll.EVPRO($B$1,H64,"JDEID")</f>
        <v>#NAME?</v>
      </c>
      <c r="M64" s="151" t="e">
        <f ca="1">IF(AND(I64="N",J64="N"),_xll.EVPRO($B$1,H64,"PSFTID"),"")</f>
        <v>#NAME?</v>
      </c>
      <c r="N64" s="151" t="e">
        <f ca="1">IF(_xll.EVDES(H64,$B$1)="#NODATA","",_xll.EVDES(H64,$B$1))</f>
        <v>#NAME?</v>
      </c>
      <c r="O64" s="202"/>
      <c r="P64" s="120"/>
      <c r="Q64" s="120"/>
      <c r="R64" s="120"/>
      <c r="S64" s="120"/>
      <c r="T64" s="120"/>
      <c r="U64" s="120"/>
      <c r="V64" s="120"/>
      <c r="W64" s="120"/>
      <c r="X64" s="120"/>
      <c r="Y64" s="120"/>
      <c r="Z64" s="120"/>
      <c r="AA64" s="120" t="e">
        <f t="shared" ca="1" si="12"/>
        <v>#NAME?</v>
      </c>
      <c r="AB64" s="121" t="e">
        <f ca="1">IF(AA64=0,"",IFERROR(AA64/_xll.EVGTS($B$1,1,_xll.EVPRO($B$1,$H64,"COSBASIS"),$B$3,$B$5,$B$6,$B$7,$B$9,AA$16,AA$17,AA$11),""))</f>
        <v>#NAME?</v>
      </c>
      <c r="AC64" s="123"/>
      <c r="AD64" s="120"/>
      <c r="AE64" s="121" t="str">
        <f>IF(AD64=0,"",IFERROR(AD64/_xll.EVGTS($B$1,1,_xll.EVPRO($B$1,$H64,"COSBASIS"),$B$3,$B$5,$B$6,$B$7,$B$9,AD$16,AD$17,AD$18),""))</f>
        <v/>
      </c>
      <c r="AF64" s="122" t="e">
        <f t="shared" ca="1" si="13"/>
        <v>#NAME?</v>
      </c>
      <c r="AG64" s="120"/>
      <c r="AH64" s="121" t="str">
        <f>IF(AG64=0,"",IFERROR(AG64/_xll.EVGTS($B$1,1,_xll.EVPRO($B$1,$H64,"COSBASIS"),$B$3,$B$5,$B$6,$B$7,$B$9,AG$16,AG$17,AG$18),""))</f>
        <v/>
      </c>
      <c r="AI64" s="264" t="e">
        <f t="shared" ca="1" si="15"/>
        <v>#NAME?</v>
      </c>
      <c r="AJ64" s="332">
        <f t="shared" ca="1" si="16"/>
        <v>0</v>
      </c>
      <c r="AK64" s="333">
        <f t="shared" ca="1" si="17"/>
        <v>0</v>
      </c>
      <c r="AL64" s="335">
        <f t="shared" ca="1" si="18"/>
        <v>0</v>
      </c>
      <c r="AM64" s="377">
        <f t="shared" ca="1" si="19"/>
        <v>0</v>
      </c>
      <c r="AN64" s="378">
        <f t="shared" ca="1" si="20"/>
        <v>0</v>
      </c>
    </row>
    <row r="65" spans="1:40" x14ac:dyDescent="0.2">
      <c r="A65" s="6" t="s">
        <v>16</v>
      </c>
      <c r="B65" s="7"/>
      <c r="H65" s="10" t="s">
        <v>287</v>
      </c>
      <c r="I65" s="447" t="e">
        <f ca="1">_xll.EVPRO($B$1,$H65,"STYLE")</f>
        <v>#NAME?</v>
      </c>
      <c r="J65" s="447" t="e">
        <f ca="1">_xll.EVPRO($B$1,$H65,"CALC")</f>
        <v>#NAME?</v>
      </c>
      <c r="K65" s="448" t="e">
        <f t="shared" ca="1" si="14"/>
        <v>#NAME?</v>
      </c>
      <c r="L65" s="151" t="e">
        <f ca="1">_xll.EVPRO($B$1,H65,"JDEID")</f>
        <v>#NAME?</v>
      </c>
      <c r="M65" s="151" t="e">
        <f ca="1">IF(AND(I65="N",J65="N"),_xll.EVPRO($B$1,H65,"PSFTID"),"")</f>
        <v>#NAME?</v>
      </c>
      <c r="N65" s="151" t="e">
        <f ca="1">IF(_xll.EVDES(H65,$B$1)="#NODATA","",_xll.EVDES(H65,$B$1))</f>
        <v>#NAME?</v>
      </c>
      <c r="O65" s="287"/>
      <c r="P65" s="288"/>
      <c r="Q65" s="288"/>
      <c r="R65" s="288"/>
      <c r="S65" s="288"/>
      <c r="T65" s="288"/>
      <c r="U65" s="288"/>
      <c r="V65" s="288"/>
      <c r="W65" s="288"/>
      <c r="X65" s="288"/>
      <c r="Y65" s="288"/>
      <c r="Z65" s="288"/>
      <c r="AA65" s="288" t="e">
        <f t="shared" ca="1" si="12"/>
        <v>#NAME?</v>
      </c>
      <c r="AB65" s="289" t="e">
        <f ca="1">IF(AA65=0,"",IFERROR(AA65/_xll.EVGTS($B$1,1,_xll.EVPRO($B$1,$H65,"COSBASIS"),$B$3,$B$5,$B$6,$B$7,$B$9,AA$16,AA$17,AA$11),""))</f>
        <v>#NAME?</v>
      </c>
      <c r="AC65" s="301"/>
      <c r="AD65" s="288"/>
      <c r="AE65" s="289" t="str">
        <f>IF(AD65=0,"",IFERROR(AD65/_xll.EVGTS($B$1,1,_xll.EVPRO($B$1,$H65,"COSBASIS"),$B$3,$B$5,$B$6,$B$7,$B$9,AD$16,AD$17,AD$18),""))</f>
        <v/>
      </c>
      <c r="AF65" s="290" t="e">
        <f t="shared" ca="1" si="13"/>
        <v>#NAME?</v>
      </c>
      <c r="AG65" s="288"/>
      <c r="AH65" s="289" t="str">
        <f>IF(AG65=0,"",IFERROR(AG65/_xll.EVGTS($B$1,1,_xll.EVPRO($B$1,$H65,"COSBASIS"),$B$3,$B$5,$B$6,$B$7,$B$9,AG$16,AG$17,AG$18),""))</f>
        <v/>
      </c>
      <c r="AI65" s="291" t="e">
        <f t="shared" ca="1" si="15"/>
        <v>#NAME?</v>
      </c>
      <c r="AJ65" s="325">
        <f t="shared" ca="1" si="16"/>
        <v>0</v>
      </c>
      <c r="AK65" s="326">
        <f t="shared" ca="1" si="17"/>
        <v>0</v>
      </c>
      <c r="AL65" s="328">
        <f t="shared" ca="1" si="18"/>
        <v>0</v>
      </c>
      <c r="AM65" s="362">
        <f t="shared" ca="1" si="19"/>
        <v>0</v>
      </c>
      <c r="AN65" s="376">
        <f t="shared" ca="1" si="20"/>
        <v>0</v>
      </c>
    </row>
    <row r="66" spans="1:40" x14ac:dyDescent="0.2">
      <c r="A66" s="6" t="s">
        <v>17</v>
      </c>
      <c r="B66" s="7"/>
      <c r="H66" s="10" t="s">
        <v>637</v>
      </c>
      <c r="I66" s="25" t="e">
        <f ca="1">_xll.EVPRO($B$1,$H66,"STYLE")</f>
        <v>#NAME?</v>
      </c>
      <c r="J66" s="25" t="e">
        <f ca="1">_xll.EVPRO($B$1,$H66,"CALC")</f>
        <v>#NAME?</v>
      </c>
      <c r="K66" s="64" t="e">
        <f t="shared" ca="1" si="14"/>
        <v>#NAME?</v>
      </c>
      <c r="L66" s="24" t="e">
        <f ca="1">_xll.EVPRO($B$1,H66,"JDEID")</f>
        <v>#NAME?</v>
      </c>
      <c r="M66" s="24" t="e">
        <f ca="1">IF(AND(I66="N",J66="N"),_xll.EVPRO($B$1,H66,"PSFTID"),"")</f>
        <v>#NAME?</v>
      </c>
      <c r="N66" s="24" t="e">
        <f ca="1">IF(_xll.EVDES(H66,$B$1)="#NODATA","",_xll.EVDES(H66,$B$1))</f>
        <v>#NAME?</v>
      </c>
      <c r="O66" s="282"/>
      <c r="P66" s="283"/>
      <c r="Q66" s="283"/>
      <c r="R66" s="283"/>
      <c r="S66" s="283"/>
      <c r="T66" s="283"/>
      <c r="U66" s="283"/>
      <c r="V66" s="283"/>
      <c r="W66" s="283"/>
      <c r="X66" s="283"/>
      <c r="Y66" s="283"/>
      <c r="Z66" s="283"/>
      <c r="AA66" s="283" t="e">
        <f t="shared" ca="1" si="12"/>
        <v>#NAME?</v>
      </c>
      <c r="AB66" s="284" t="e">
        <f ca="1">IF(AA66=0,"",IFERROR(AA66/_xll.EVGTS($B$1,1,_xll.EVPRO($B$1,$H66,"COSBASIS"),$B$3,$B$5,$B$6,$B$7,$B$9,AA$16,AA$17,AA$11),""))</f>
        <v>#NAME?</v>
      </c>
      <c r="AC66" s="300"/>
      <c r="AD66" s="283"/>
      <c r="AE66" s="284" t="str">
        <f>IF(AD66=0,"",IFERROR(AD66/_xll.EVGTS($B$1,1,_xll.EVPRO($B$1,$H66,"COSBASIS"),$B$3,$B$5,$B$6,$B$7,$B$9,AD$16,AD$17,AD$18),""))</f>
        <v/>
      </c>
      <c r="AF66" s="285" t="e">
        <f t="shared" ca="1" si="13"/>
        <v>#NAME?</v>
      </c>
      <c r="AG66" s="283"/>
      <c r="AH66" s="284" t="str">
        <f>IF(AG66=0,"",IFERROR(AG66/_xll.EVGTS($B$1,1,_xll.EVPRO($B$1,$H66,"COSBASIS"),$B$3,$B$5,$B$6,$B$7,$B$9,AG$16,AG$17,AG$18),""))</f>
        <v/>
      </c>
      <c r="AI66" s="286" t="e">
        <f t="shared" ca="1" si="15"/>
        <v>#NAME?</v>
      </c>
      <c r="AJ66" s="371">
        <f t="shared" ca="1" si="16"/>
        <v>0</v>
      </c>
      <c r="AK66" s="372">
        <f t="shared" ca="1" si="17"/>
        <v>0</v>
      </c>
      <c r="AL66" s="373">
        <f t="shared" ca="1" si="18"/>
        <v>0</v>
      </c>
      <c r="AM66" s="374">
        <f t="shared" ca="1" si="19"/>
        <v>0</v>
      </c>
      <c r="AN66" s="375">
        <f t="shared" ca="1" si="20"/>
        <v>0</v>
      </c>
    </row>
    <row r="67" spans="1:40" x14ac:dyDescent="0.2">
      <c r="H67" s="10" t="s">
        <v>638</v>
      </c>
      <c r="I67" s="25" t="e">
        <f ca="1">_xll.EVPRO($B$1,$H67,"STYLE")</f>
        <v>#NAME?</v>
      </c>
      <c r="J67" s="25" t="e">
        <f ca="1">_xll.EVPRO($B$1,$H67,"CALC")</f>
        <v>#NAME?</v>
      </c>
      <c r="K67" s="64" t="e">
        <f t="shared" ca="1" si="14"/>
        <v>#NAME?</v>
      </c>
      <c r="L67" s="24" t="e">
        <f ca="1">_xll.EVPRO($B$1,H67,"JDEID")</f>
        <v>#NAME?</v>
      </c>
      <c r="M67" s="24" t="e">
        <f ca="1">IF(AND(I67="N",J67="N"),_xll.EVPRO($B$1,H67,"PSFTID"),"")</f>
        <v>#NAME?</v>
      </c>
      <c r="N67" s="24" t="e">
        <f ca="1">IF(_xll.EVDES(H67,$B$1)="#NODATA","",_xll.EVDES(H67,$B$1))</f>
        <v>#NAME?</v>
      </c>
      <c r="O67" s="282"/>
      <c r="P67" s="283"/>
      <c r="Q67" s="283"/>
      <c r="R67" s="283"/>
      <c r="S67" s="283"/>
      <c r="T67" s="283"/>
      <c r="U67" s="283"/>
      <c r="V67" s="283"/>
      <c r="W67" s="283"/>
      <c r="X67" s="283"/>
      <c r="Y67" s="283"/>
      <c r="Z67" s="283"/>
      <c r="AA67" s="283" t="e">
        <f t="shared" ca="1" si="12"/>
        <v>#NAME?</v>
      </c>
      <c r="AB67" s="284" t="e">
        <f ca="1">IF(AA67=0,"",IFERROR(AA67/_xll.EVGTS($B$1,1,_xll.EVPRO($B$1,$H67,"COSBASIS"),$B$3,$B$5,$B$6,$B$7,$B$9,AA$16,AA$17,AA$11),""))</f>
        <v>#NAME?</v>
      </c>
      <c r="AC67" s="300"/>
      <c r="AD67" s="283"/>
      <c r="AE67" s="284" t="str">
        <f>IF(AD67=0,"",IFERROR(AD67/_xll.EVGTS($B$1,1,_xll.EVPRO($B$1,$H67,"COSBASIS"),$B$3,$B$5,$B$6,$B$7,$B$9,AD$16,AD$17,AD$18),""))</f>
        <v/>
      </c>
      <c r="AF67" s="285" t="e">
        <f t="shared" ca="1" si="13"/>
        <v>#NAME?</v>
      </c>
      <c r="AG67" s="283"/>
      <c r="AH67" s="284" t="str">
        <f>IF(AG67=0,"",IFERROR(AG67/_xll.EVGTS($B$1,1,_xll.EVPRO($B$1,$H67,"COSBASIS"),$B$3,$B$5,$B$6,$B$7,$B$9,AG$16,AG$17,AG$18),""))</f>
        <v/>
      </c>
      <c r="AI67" s="286" t="e">
        <f t="shared" ca="1" si="15"/>
        <v>#NAME?</v>
      </c>
      <c r="AJ67" s="371">
        <f t="shared" ca="1" si="16"/>
        <v>0</v>
      </c>
      <c r="AK67" s="372">
        <f t="shared" ca="1" si="17"/>
        <v>0</v>
      </c>
      <c r="AL67" s="373">
        <f t="shared" ca="1" si="18"/>
        <v>0</v>
      </c>
      <c r="AM67" s="374">
        <f t="shared" ca="1" si="19"/>
        <v>0</v>
      </c>
      <c r="AN67" s="375">
        <f t="shared" ca="1" si="20"/>
        <v>0</v>
      </c>
    </row>
    <row r="68" spans="1:40" x14ac:dyDescent="0.2">
      <c r="A68" s="20" t="s">
        <v>92</v>
      </c>
      <c r="B68" s="21" t="s">
        <v>93</v>
      </c>
      <c r="C68" s="21" t="s">
        <v>94</v>
      </c>
      <c r="D68" s="21" t="s">
        <v>95</v>
      </c>
      <c r="E68" s="21" t="s">
        <v>96</v>
      </c>
      <c r="F68" s="22" t="s">
        <v>97</v>
      </c>
      <c r="H68" s="10" t="s">
        <v>639</v>
      </c>
      <c r="I68" s="25" t="e">
        <f ca="1">_xll.EVPRO($B$1,$H68,"STYLE")</f>
        <v>#NAME?</v>
      </c>
      <c r="J68" s="25" t="e">
        <f ca="1">_xll.EVPRO($B$1,$H68,"CALC")</f>
        <v>#NAME?</v>
      </c>
      <c r="K68" s="64" t="e">
        <f t="shared" ca="1" si="14"/>
        <v>#NAME?</v>
      </c>
      <c r="L68" s="24" t="e">
        <f ca="1">_xll.EVPRO($B$1,H68,"JDEID")</f>
        <v>#NAME?</v>
      </c>
      <c r="M68" s="24" t="e">
        <f ca="1">IF(AND(I68="N",J68="N"),_xll.EVPRO($B$1,H68,"PSFTID"),"")</f>
        <v>#NAME?</v>
      </c>
      <c r="N68" s="24" t="e">
        <f ca="1">IF(_xll.EVDES(H68,$B$1)="#NODATA","",_xll.EVDES(H68,$B$1))</f>
        <v>#NAME?</v>
      </c>
      <c r="O68" s="295"/>
      <c r="P68" s="296"/>
      <c r="Q68" s="296"/>
      <c r="R68" s="296"/>
      <c r="S68" s="296"/>
      <c r="T68" s="296"/>
      <c r="U68" s="296"/>
      <c r="V68" s="296"/>
      <c r="W68" s="296"/>
      <c r="X68" s="296"/>
      <c r="Y68" s="296"/>
      <c r="Z68" s="296"/>
      <c r="AA68" s="296" t="e">
        <f t="shared" ca="1" si="12"/>
        <v>#NAME?</v>
      </c>
      <c r="AB68" s="297" t="e">
        <f ca="1">IF(AA68=0,"",IFERROR(AA68/_xll.EVGTS($B$1,1,_xll.EVPRO($B$1,$H68,"COSBASIS"),$B$3,$B$5,$B$6,$B$7,$B$9,AA$16,AA$17,AA$11),""))</f>
        <v>#NAME?</v>
      </c>
      <c r="AC68" s="263"/>
      <c r="AD68" s="296"/>
      <c r="AE68" s="297" t="str">
        <f>IF(AD68=0,"",IFERROR(AD68/_xll.EVGTS($B$1,1,_xll.EVPRO($B$1,$H68,"COSBASIS"),$B$3,$B$5,$B$6,$B$7,$B$9,AD$16,AD$17,AD$18),""))</f>
        <v/>
      </c>
      <c r="AF68" s="298" t="e">
        <f t="shared" ca="1" si="13"/>
        <v>#NAME?</v>
      </c>
      <c r="AG68" s="296"/>
      <c r="AH68" s="297" t="str">
        <f>IF(AG68=0,"",IFERROR(AG68/_xll.EVGTS($B$1,1,_xll.EVPRO($B$1,$H68,"COSBASIS"),$B$3,$B$5,$B$6,$B$7,$B$9,AG$16,AG$17,AG$18),""))</f>
        <v/>
      </c>
      <c r="AI68" s="299" t="e">
        <f t="shared" ca="1" si="15"/>
        <v>#NAME?</v>
      </c>
      <c r="AJ68" s="381">
        <f t="shared" ca="1" si="16"/>
        <v>0</v>
      </c>
      <c r="AK68" s="382">
        <f t="shared" ca="1" si="17"/>
        <v>0</v>
      </c>
      <c r="AL68" s="383">
        <f t="shared" ca="1" si="18"/>
        <v>0</v>
      </c>
      <c r="AM68" s="384">
        <f t="shared" ca="1" si="19"/>
        <v>0</v>
      </c>
      <c r="AN68" s="385">
        <f t="shared" ca="1" si="20"/>
        <v>0</v>
      </c>
    </row>
    <row r="69" spans="1:40" x14ac:dyDescent="0.2">
      <c r="H69" s="10" t="s">
        <v>288</v>
      </c>
      <c r="I69" s="447" t="e">
        <f ca="1">_xll.EVPRO($B$1,$H69,"STYLE")</f>
        <v>#NAME?</v>
      </c>
      <c r="J69" s="447" t="e">
        <f ca="1">_xll.EVPRO($B$1,$H69,"CALC")</f>
        <v>#NAME?</v>
      </c>
      <c r="K69" s="448" t="e">
        <f t="shared" ca="1" si="14"/>
        <v>#NAME?</v>
      </c>
      <c r="L69" s="151" t="e">
        <f ca="1">_xll.EVPRO($B$1,H69,"JDEID")</f>
        <v>#NAME?</v>
      </c>
      <c r="M69" s="151" t="e">
        <f ca="1">IF(AND(I69="N",J69="N"),_xll.EVPRO($B$1,H69,"PSFTID"),"")</f>
        <v>#NAME?</v>
      </c>
      <c r="N69" s="151" t="e">
        <f ca="1">IF(_xll.EVDES(H69,$B$1)="#NODATA","",_xll.EVDES(H69,$B$1))</f>
        <v>#NAME?</v>
      </c>
      <c r="O69" s="203"/>
      <c r="P69" s="33"/>
      <c r="Q69" s="33"/>
      <c r="R69" s="33"/>
      <c r="S69" s="33"/>
      <c r="T69" s="33"/>
      <c r="U69" s="33"/>
      <c r="V69" s="33"/>
      <c r="W69" s="33"/>
      <c r="X69" s="33"/>
      <c r="Y69" s="33"/>
      <c r="Z69" s="33"/>
      <c r="AA69" s="33" t="e">
        <f t="shared" ca="1" si="12"/>
        <v>#NAME?</v>
      </c>
      <c r="AB69" s="34" t="e">
        <f ca="1">IF(AA69=0,"",IFERROR(AA69/_xll.EVGTS($B$1,1,_xll.EVPRO($B$1,$H69,"COSBASIS"),$B$3,$B$5,$B$6,$B$7,$B$9,AA$16,AA$17,AA$11),""))</f>
        <v>#NAME?</v>
      </c>
      <c r="AC69" s="32"/>
      <c r="AD69" s="33"/>
      <c r="AE69" s="34" t="str">
        <f>IF(AD69=0,"",IFERROR(AD69/_xll.EVGTS($B$1,1,_xll.EVPRO($B$1,$H69,"COSBASIS"),$B$3,$B$5,$B$6,$B$7,$B$9,AD$16,AD$17,AD$18),""))</f>
        <v/>
      </c>
      <c r="AF69" s="54" t="e">
        <f t="shared" ca="1" si="13"/>
        <v>#NAME?</v>
      </c>
      <c r="AG69" s="33"/>
      <c r="AH69" s="34" t="str">
        <f>IF(AG69=0,"",IFERROR(AG69/_xll.EVGTS($B$1,1,_xll.EVPRO($B$1,$H69,"COSBASIS"),$B$3,$B$5,$B$6,$B$7,$B$9,AG$16,AG$17,AG$18),""))</f>
        <v/>
      </c>
      <c r="AI69" s="265" t="e">
        <f t="shared" ca="1" si="15"/>
        <v>#NAME?</v>
      </c>
      <c r="AJ69" s="344">
        <f t="shared" ca="1" si="16"/>
        <v>0</v>
      </c>
      <c r="AK69" s="345">
        <f t="shared" ca="1" si="17"/>
        <v>0</v>
      </c>
      <c r="AL69" s="347">
        <f t="shared" ca="1" si="18"/>
        <v>0</v>
      </c>
      <c r="AM69" s="379">
        <f t="shared" ca="1" si="19"/>
        <v>0</v>
      </c>
      <c r="AN69" s="380">
        <f t="shared" ca="1" si="20"/>
        <v>0</v>
      </c>
    </row>
    <row r="70" spans="1:40" x14ac:dyDescent="0.2">
      <c r="A70" s="1" t="s">
        <v>209</v>
      </c>
      <c r="B70" s="1" t="s">
        <v>21</v>
      </c>
      <c r="C70" s="70"/>
      <c r="D70" s="1" t="s">
        <v>590</v>
      </c>
      <c r="F70" s="1" t="s">
        <v>99</v>
      </c>
      <c r="H70" s="10" t="s">
        <v>289</v>
      </c>
      <c r="I70" s="447" t="e">
        <f ca="1">_xll.EVPRO($B$1,$H70,"STYLE")</f>
        <v>#NAME?</v>
      </c>
      <c r="J70" s="447" t="e">
        <f ca="1">_xll.EVPRO($B$1,$H70,"CALC")</f>
        <v>#NAME?</v>
      </c>
      <c r="K70" s="448" t="e">
        <f t="shared" ca="1" si="14"/>
        <v>#NAME?</v>
      </c>
      <c r="L70" s="151" t="e">
        <f ca="1">_xll.EVPRO($B$1,H70,"JDEID")</f>
        <v>#NAME?</v>
      </c>
      <c r="M70" s="151" t="e">
        <f ca="1">IF(AND(I70="N",J70="N"),_xll.EVPRO($B$1,H70,"PSFTID"),"")</f>
        <v>#NAME?</v>
      </c>
      <c r="N70" s="151" t="e">
        <f ca="1">IF(_xll.EVDES(H70,$B$1)="#NODATA","",_xll.EVDES(H70,$B$1))</f>
        <v>#NAME?</v>
      </c>
      <c r="O70" s="202"/>
      <c r="P70" s="120"/>
      <c r="Q70" s="120"/>
      <c r="R70" s="120"/>
      <c r="S70" s="120"/>
      <c r="T70" s="120"/>
      <c r="U70" s="120"/>
      <c r="V70" s="120"/>
      <c r="W70" s="120"/>
      <c r="X70" s="120"/>
      <c r="Y70" s="120"/>
      <c r="Z70" s="120"/>
      <c r="AA70" s="120" t="e">
        <f t="shared" ca="1" si="12"/>
        <v>#NAME?</v>
      </c>
      <c r="AB70" s="121" t="e">
        <f ca="1">IF(AA70=0,"",IFERROR(AA70/_xll.EVGTS($B$1,1,_xll.EVPRO($B$1,$H70,"COSBASIS"),$B$3,$B$5,$B$6,$B$7,$B$9,AA$16,AA$17,AA$11),""))</f>
        <v>#NAME?</v>
      </c>
      <c r="AC70" s="123"/>
      <c r="AD70" s="120"/>
      <c r="AE70" s="121" t="str">
        <f>IF(AD70=0,"",IFERROR(AD70/_xll.EVGTS($B$1,1,_xll.EVPRO($B$1,$H70,"COSBASIS"),$B$3,$B$5,$B$6,$B$7,$B$9,AD$16,AD$17,AD$18),""))</f>
        <v/>
      </c>
      <c r="AF70" s="122" t="e">
        <f t="shared" ca="1" si="13"/>
        <v>#NAME?</v>
      </c>
      <c r="AG70" s="120"/>
      <c r="AH70" s="121" t="str">
        <f>IF(AG70=0,"",IFERROR(AG70/_xll.EVGTS($B$1,1,_xll.EVPRO($B$1,$H70,"COSBASIS"),$B$3,$B$5,$B$6,$B$7,$B$9,AG$16,AG$17,AG$18),""))</f>
        <v/>
      </c>
      <c r="AI70" s="264" t="e">
        <f t="shared" ca="1" si="15"/>
        <v>#NAME?</v>
      </c>
      <c r="AJ70" s="332">
        <f t="shared" ca="1" si="16"/>
        <v>0</v>
      </c>
      <c r="AK70" s="333">
        <f t="shared" ca="1" si="17"/>
        <v>0</v>
      </c>
      <c r="AL70" s="335">
        <f t="shared" ca="1" si="18"/>
        <v>0</v>
      </c>
      <c r="AM70" s="377">
        <f t="shared" ca="1" si="19"/>
        <v>0</v>
      </c>
      <c r="AN70" s="378">
        <f t="shared" ca="1" si="20"/>
        <v>0</v>
      </c>
    </row>
    <row r="71" spans="1:40" x14ac:dyDescent="0.2">
      <c r="A71" s="1" t="s">
        <v>105</v>
      </c>
      <c r="C71" s="24" t="s">
        <v>101</v>
      </c>
      <c r="D71" s="1" t="s">
        <v>106</v>
      </c>
      <c r="F71" s="1" t="s">
        <v>98</v>
      </c>
      <c r="H71" s="133" t="s">
        <v>175</v>
      </c>
      <c r="I71" s="26" t="e">
        <f ca="1">_xll.EVPRO($B$1,$H71,"STYLE")</f>
        <v>#NAME?</v>
      </c>
      <c r="J71" s="26" t="e">
        <f ca="1">_xll.EVPRO($B$1,$H71,"CALC")</f>
        <v>#NAME?</v>
      </c>
      <c r="K71" s="65" t="e">
        <f ca="1">IF(AND(I71&gt;="T5"),"&gt;","")</f>
        <v>#NAME?</v>
      </c>
      <c r="L71" s="65"/>
      <c r="M71" s="65"/>
      <c r="N71" s="23" t="e">
        <f ca="1">IF(_xll.EVDES(H71,$B$1)="#NODATA","",_xll.EVDES(H71,$B$1))</f>
        <v>#NAME?</v>
      </c>
      <c r="O71" s="44"/>
      <c r="P71" s="44"/>
      <c r="Q71" s="44"/>
      <c r="R71" s="44"/>
      <c r="S71" s="44"/>
      <c r="T71" s="44"/>
      <c r="U71" s="44"/>
      <c r="V71" s="44"/>
      <c r="W71" s="44"/>
      <c r="X71" s="44"/>
      <c r="Y71" s="44"/>
      <c r="Z71" s="44"/>
      <c r="AA71" s="44"/>
      <c r="AB71" s="45" t="str">
        <f>IF(O71=0,"",IFERROR(O71/_xll.EVGTS($B$1,1,INDEX($C$152:$C$175,MATCH($H71,$A$152:$A$175,0)),$B$3,$B$5,$B$6,$B$7,$B$9,O$16,O$17,O$18),""))</f>
        <v/>
      </c>
      <c r="AD71" s="44"/>
      <c r="AE71" s="45" t="str">
        <f>IF(AD71=0,"",IFERROR(AD71/_xll.EVGTS($B$1,1,INDEX($C$152:$C$175,MATCH($H71,$A$152:$A$175,0)),$B$3,$B$5,$B$6,$B$7,$B$9,AD$16,AD$17,AD$18),""))</f>
        <v/>
      </c>
      <c r="AF71" s="134" t="str">
        <f t="shared" ref="AF71:AF72" si="21">IF(AND($AA71="",AD71=""),"",$AA71-AD71)</f>
        <v/>
      </c>
      <c r="AG71" s="44"/>
      <c r="AH71" s="45" t="str">
        <f>IF(AG71=0,"",IFERROR(AG71/_xll.EVGTS($B$1,1,INDEX($C$152:$C$175,MATCH($H71,$A$152:$A$175,0)),$B$3,$B$5,$B$6,$B$7,$B$9,AG$16,AG$17,AG$18),""))</f>
        <v/>
      </c>
      <c r="AI71" s="134" t="str">
        <f>IF(AND($AA71="",AG71=""),"",$AA71-AG71)</f>
        <v/>
      </c>
    </row>
    <row r="72" spans="1:40" x14ac:dyDescent="0.2">
      <c r="A72" s="1" t="s">
        <v>104</v>
      </c>
      <c r="C72" s="24" t="s">
        <v>101</v>
      </c>
      <c r="D72" s="1" t="s">
        <v>106</v>
      </c>
      <c r="F72" s="1" t="s">
        <v>98</v>
      </c>
      <c r="H72" s="133" t="s">
        <v>292</v>
      </c>
      <c r="I72" s="26" t="e">
        <f ca="1">_xll.EVPRO($B$1,$H72,"STYLE")</f>
        <v>#NAME?</v>
      </c>
      <c r="J72" s="26" t="e">
        <f ca="1">_xll.EVPRO($B$1,$H72,"CALC")</f>
        <v>#NAME?</v>
      </c>
      <c r="K72" s="65" t="e">
        <f ca="1">IF(AND(I72&gt;="T5"),"&gt;","")</f>
        <v>#NAME?</v>
      </c>
      <c r="L72" s="65"/>
      <c r="M72" s="65"/>
      <c r="N72" s="23" t="e">
        <f ca="1">IF(_xll.EVDES(H72,$B$1)="#NODATA","",_xll.EVDES(H72,$B$1))</f>
        <v>#NAME?</v>
      </c>
      <c r="O72" s="145">
        <f>SUMIF($H$35:$H$70,"400000",O35:O70)-SUMIF($H$35:$H$70,"500001",O35:O70)</f>
        <v>0</v>
      </c>
      <c r="P72" s="145">
        <f t="shared" ref="P72:Y72" si="22">SUMIF($H$35:$H$70,"400000",P35:P70)-SUMIF($H$35:$H$70,"500001",P35:P70)</f>
        <v>0</v>
      </c>
      <c r="Q72" s="145">
        <f t="shared" si="22"/>
        <v>0</v>
      </c>
      <c r="R72" s="145">
        <f t="shared" si="22"/>
        <v>0</v>
      </c>
      <c r="S72" s="145">
        <f t="shared" si="22"/>
        <v>0</v>
      </c>
      <c r="T72" s="145">
        <f t="shared" si="22"/>
        <v>0</v>
      </c>
      <c r="U72" s="145">
        <f t="shared" si="22"/>
        <v>0</v>
      </c>
      <c r="V72" s="145">
        <f t="shared" si="22"/>
        <v>0</v>
      </c>
      <c r="W72" s="145">
        <f t="shared" si="22"/>
        <v>0</v>
      </c>
      <c r="X72" s="145">
        <f t="shared" si="22"/>
        <v>0</v>
      </c>
      <c r="Y72" s="145">
        <f t="shared" si="22"/>
        <v>0</v>
      </c>
      <c r="Z72" s="145">
        <f>SUMIF($H$35:$H$70,"400000",Z35:Z70)-SUMIF($H$35:$H$70,"500001",Z35:Z70)</f>
        <v>0</v>
      </c>
      <c r="AA72" s="120" t="e">
        <f ca="1">IF($I72="B1","",SUM(O72:Z72))</f>
        <v>#NAME?</v>
      </c>
      <c r="AB72" s="121" t="e">
        <f ca="1">IF(AA72=0,"",IFERROR(AA72/AA$19,""))</f>
        <v>#NAME?</v>
      </c>
      <c r="AD72" s="145">
        <f>SUMIF($H$35:$H$70,"400000",AD35:AD70)-SUMIF($H$35:$H$70,"500001",AD35:AD70)</f>
        <v>0</v>
      </c>
      <c r="AE72" s="121" t="str">
        <f>IF(AD72=0,"",IFERROR(AD72/AD$19,""))</f>
        <v/>
      </c>
      <c r="AF72" s="146" t="e">
        <f t="shared" ca="1" si="21"/>
        <v>#NAME?</v>
      </c>
      <c r="AG72" s="145">
        <f>SUMIF($H$35:$H$70,"400000",AG35:AG70)-SUMIF($H$35:$H$70,"500001",AG35:AG70)</f>
        <v>0</v>
      </c>
      <c r="AH72" s="121" t="str">
        <f>IF(AG72=0,"",IFERROR(AG72/AG$19,""))</f>
        <v/>
      </c>
      <c r="AI72" s="146" t="e">
        <f ca="1">IF(AND($AA72="",AG72=""),"",$AA72-AG72)</f>
        <v>#NAME?</v>
      </c>
      <c r="AJ72" s="332">
        <f ca="1">IFERROR(AA72/AA$20,0)</f>
        <v>0</v>
      </c>
      <c r="AK72" s="333">
        <f ca="1">IFERROR(AD72/AD$20,0)</f>
        <v>0</v>
      </c>
      <c r="AL72" s="335">
        <f ca="1">IFERROR(AG72/AG$20,0)</f>
        <v>0</v>
      </c>
      <c r="AM72" s="377">
        <f ca="1">+IFERROR(ROUND(($AB72-AE72)*100,2)&amp;" pts.",0)</f>
        <v>0</v>
      </c>
      <c r="AN72" s="378">
        <f ca="1">+IFERROR(ROUND(($AB72-AH72)*100,2)&amp;" pts.",0)</f>
        <v>0</v>
      </c>
    </row>
    <row r="73" spans="1:40" x14ac:dyDescent="0.2">
      <c r="A73" s="1" t="s">
        <v>100</v>
      </c>
      <c r="C73" s="8" t="s">
        <v>101</v>
      </c>
      <c r="D73" s="1" t="s">
        <v>106</v>
      </c>
      <c r="F73" s="1" t="s">
        <v>98</v>
      </c>
      <c r="O73" s="144"/>
      <c r="P73" s="147"/>
      <c r="Q73" s="147"/>
      <c r="R73" s="147"/>
      <c r="S73" s="147"/>
      <c r="T73" s="147"/>
      <c r="U73" s="147"/>
      <c r="V73" s="147"/>
      <c r="W73" s="147"/>
      <c r="X73" s="147"/>
      <c r="Y73" s="147"/>
      <c r="Z73" s="147"/>
      <c r="AA73" s="147"/>
      <c r="AB73" s="51"/>
      <c r="AD73" s="50"/>
      <c r="AF73" s="51"/>
      <c r="AI73" s="51"/>
    </row>
    <row r="74" spans="1:40" x14ac:dyDescent="0.2">
      <c r="A74" s="1" t="s">
        <v>102</v>
      </c>
      <c r="C74" s="23" t="s">
        <v>101</v>
      </c>
      <c r="D74" s="1" t="s">
        <v>106</v>
      </c>
      <c r="F74" s="1" t="s">
        <v>98</v>
      </c>
      <c r="H74" s="1" t="s">
        <v>73</v>
      </c>
      <c r="I74" s="11" t="e">
        <f ca="1">_xll.EVPRO($B$1,$H74,"STYLE")</f>
        <v>#NAME?</v>
      </c>
      <c r="J74" s="11" t="e">
        <f ca="1">_xll.EVPRO($B$1,$H74,"CALC")</f>
        <v>#NAME?</v>
      </c>
      <c r="N74" s="37" t="e">
        <f ca="1">IF(_xll.EVDES(H74,$B$1)="#NODATA","",_xll.EVDES(H74,$B$1))</f>
        <v>#NAME?</v>
      </c>
      <c r="O74" s="50"/>
      <c r="AB74" s="149"/>
      <c r="AD74" s="148"/>
      <c r="AE74" s="150"/>
      <c r="AF74" s="51"/>
      <c r="AH74" s="150"/>
      <c r="AI74" s="51"/>
    </row>
    <row r="75" spans="1:40" x14ac:dyDescent="0.2">
      <c r="A75" s="1" t="s">
        <v>102</v>
      </c>
      <c r="C75" s="135" t="s">
        <v>101</v>
      </c>
      <c r="D75" s="1" t="s">
        <v>107</v>
      </c>
      <c r="F75" s="1" t="s">
        <v>99</v>
      </c>
      <c r="H75" s="1" t="s">
        <v>74</v>
      </c>
      <c r="I75" s="11" t="e">
        <f ca="1">_xll.EVPRO($B$1,$H75,"STYLE")</f>
        <v>#NAME?</v>
      </c>
      <c r="J75" s="11" t="e">
        <f ca="1">_xll.EVPRO($B$1,$H75,"CALC")</f>
        <v>#NAME?</v>
      </c>
      <c r="N75" s="8" t="e">
        <f ca="1">IF(_xll.EVDES(H75,$B$1)="#NODATA","",_xll.EVDES(H75,$B$1))</f>
        <v>#NAME?</v>
      </c>
      <c r="O75" s="40"/>
      <c r="P75" s="43"/>
      <c r="Q75" s="43"/>
      <c r="R75" s="43"/>
      <c r="S75" s="43"/>
      <c r="T75" s="43"/>
      <c r="U75" s="43"/>
      <c r="V75" s="43"/>
      <c r="W75" s="43"/>
      <c r="X75" s="43"/>
      <c r="Y75" s="43"/>
      <c r="Z75" s="43"/>
      <c r="AA75" s="43"/>
      <c r="AB75" s="41"/>
      <c r="AD75" s="40"/>
      <c r="AE75" s="43"/>
      <c r="AF75" s="41"/>
      <c r="AG75" s="43"/>
      <c r="AH75" s="43"/>
      <c r="AI75" s="41"/>
    </row>
    <row r="76" spans="1:40" hidden="1" x14ac:dyDescent="0.2">
      <c r="A76" s="1" t="s">
        <v>108</v>
      </c>
      <c r="C76" s="23" t="s">
        <v>101</v>
      </c>
      <c r="D76" s="1" t="s">
        <v>106</v>
      </c>
      <c r="F76" s="1" t="s">
        <v>98</v>
      </c>
      <c r="H76" s="10" t="s">
        <v>667</v>
      </c>
      <c r="I76" s="25" t="e">
        <f ca="1">_xll.EVPRO($B$1,$H76,"STYLE")</f>
        <v>#NAME?</v>
      </c>
      <c r="J76" s="25" t="e">
        <f ca="1">_xll.EVPRO($B$1,$H76,"CALC")</f>
        <v>#NAME?</v>
      </c>
      <c r="K76" s="64" t="e">
        <f ca="1">IF(AND(I76&gt;="T3"),"&gt;","")</f>
        <v>#NAME?</v>
      </c>
      <c r="L76" s="24" t="e">
        <f ca="1">_xll.EVPRO($B$1,H76,"JDEID")</f>
        <v>#NAME?</v>
      </c>
      <c r="M76" s="24" t="e">
        <f ca="1">IF(AND(I76="N",J76="N"),_xll.EVPRO($B$1,H76,"PSFTID"),"")</f>
        <v>#NAME?</v>
      </c>
      <c r="N76" s="24" t="e">
        <f ca="1">IF(_xll.EVDES(H76,$B$1)="#NODATA","",_xll.EVDES(H76,$B$1))</f>
        <v>#NAME?</v>
      </c>
      <c r="O76" s="35"/>
      <c r="P76" s="35"/>
      <c r="Q76" s="35"/>
      <c r="R76" s="35"/>
      <c r="S76" s="35"/>
      <c r="T76" s="35"/>
      <c r="U76" s="35"/>
      <c r="V76" s="35"/>
      <c r="W76" s="35"/>
      <c r="X76" s="35"/>
      <c r="Y76" s="35"/>
      <c r="Z76" s="35"/>
      <c r="AA76" s="283" t="e">
        <f ca="1">IF($I76="B1","",SUM(O76:Z76))</f>
        <v>#NAME?</v>
      </c>
      <c r="AB76" s="36" t="e">
        <f ca="1">IF(AA76=0,"",IFERROR(AA76/AA$19,""))</f>
        <v>#NAME?</v>
      </c>
      <c r="AD76" s="35"/>
      <c r="AE76" s="36" t="str">
        <f>IF(AD76=0,"",IFERROR(AD76/AD$19,""))</f>
        <v/>
      </c>
      <c r="AF76" s="118" t="e">
        <f ca="1">IF(AND($AA76="",AD76=""),"",$AA76-AD76)</f>
        <v>#NAME?</v>
      </c>
      <c r="AG76" s="35"/>
      <c r="AH76" s="36" t="str">
        <f>IF(AG76=0,"",IFERROR(AG76/AG$19,""))</f>
        <v/>
      </c>
      <c r="AI76" s="118" t="e">
        <f ca="1">IF(AND($AA76="",AG76=""),"",$AA76-AG76)</f>
        <v>#NAME?</v>
      </c>
      <c r="AJ76" s="371">
        <f ca="1">IFERROR(AA76/AA$20,0)</f>
        <v>0</v>
      </c>
      <c r="AK76" s="372">
        <f ca="1">IFERROR(AD76/AD$20,0)</f>
        <v>0</v>
      </c>
      <c r="AL76" s="373">
        <f ca="1">IFERROR(AG76/AG$20,0)</f>
        <v>0</v>
      </c>
      <c r="AM76" s="374">
        <f ca="1">+IFERROR(ROUND(($AB76-AE76)*100,2)&amp;" pts.",0)</f>
        <v>0</v>
      </c>
      <c r="AN76" s="375">
        <f ca="1">+IFERROR(ROUND(($AB76-AH76)*100,2)&amp;" pts.",0)</f>
        <v>0</v>
      </c>
    </row>
    <row r="77" spans="1:40" hidden="1" x14ac:dyDescent="0.2">
      <c r="A77" s="1" t="s">
        <v>108</v>
      </c>
      <c r="C77" s="135" t="s">
        <v>101</v>
      </c>
      <c r="D77" s="1" t="s">
        <v>107</v>
      </c>
      <c r="F77" s="1" t="s">
        <v>99</v>
      </c>
      <c r="H77" s="10"/>
      <c r="I77" s="25" t="e">
        <f ca="1">_xll.EVPRO($B$1,$H77,"STYLE")</f>
        <v>#NAME?</v>
      </c>
      <c r="J77" s="25" t="e">
        <f ca="1">_xll.EVPRO($B$1,$H77,"CALC")</f>
        <v>#NAME?</v>
      </c>
      <c r="K77" s="64" t="e">
        <f ca="1">IF(AND(I77&gt;="T3"),"&gt;","")</f>
        <v>#NAME?</v>
      </c>
      <c r="L77" s="24" t="e">
        <f ca="1">_xll.EVPRO($B$1,H77,"JDEID")</f>
        <v>#NAME?</v>
      </c>
      <c r="M77" s="24" t="e">
        <f ca="1">IF(AND(I77="N",J77="N"),_xll.EVPRO($B$1,H77,"PSFTID"),"")</f>
        <v>#NAME?</v>
      </c>
      <c r="N77" s="24" t="e">
        <f ca="1">IF(_xll.EVDES(H77,$B$1)="#NODATA","",_xll.EVDES(H77,$B$1))</f>
        <v>#NAME?</v>
      </c>
      <c r="O77" s="35"/>
      <c r="P77" s="35"/>
      <c r="Q77" s="35"/>
      <c r="R77" s="35"/>
      <c r="S77" s="35"/>
      <c r="T77" s="35"/>
      <c r="U77" s="35"/>
      <c r="V77" s="35"/>
      <c r="W77" s="35"/>
      <c r="X77" s="35"/>
      <c r="Y77" s="35"/>
      <c r="Z77" s="35"/>
      <c r="AA77" s="283" t="e">
        <f ca="1">IF($I77="B1","",SUM(O77:Z77))</f>
        <v>#NAME?</v>
      </c>
      <c r="AB77" s="36" t="e">
        <f ca="1">IF(AA77=0,"",IFERROR(AA77/AA$19,""))</f>
        <v>#NAME?</v>
      </c>
      <c r="AD77" s="35"/>
      <c r="AE77" s="36" t="str">
        <f>IF(AD77=0,"",IFERROR(AD77/AD$19,""))</f>
        <v/>
      </c>
      <c r="AF77" s="118" t="e">
        <f ca="1">IF(AND($AA77="",AD77=""),"",$AA77-AD77)</f>
        <v>#NAME?</v>
      </c>
      <c r="AG77" s="35"/>
      <c r="AH77" s="36" t="str">
        <f>IF(AG77=0,"",IFERROR(AG77/AG$19,""))</f>
        <v/>
      </c>
      <c r="AI77" s="118" t="e">
        <f ca="1">IF(AND($AA77="",AG77=""),"",$AA77-AG77)</f>
        <v>#NAME?</v>
      </c>
      <c r="AJ77" s="371">
        <f ca="1">IFERROR(AA77/AA$20,0)</f>
        <v>0</v>
      </c>
      <c r="AK77" s="372">
        <f ca="1">IFERROR(AD77/AD$20,0)</f>
        <v>0</v>
      </c>
      <c r="AL77" s="373">
        <f ca="1">IFERROR(AG77/AG$20,0)</f>
        <v>0</v>
      </c>
      <c r="AM77" s="374">
        <f ca="1">+IFERROR(ROUND(($AB77-AE77)*100,2)&amp;" pts.",0)</f>
        <v>0</v>
      </c>
      <c r="AN77" s="375">
        <f ca="1">+IFERROR(ROUND(($AB77-AH77)*100,2)&amp;" pts.",0)</f>
        <v>0</v>
      </c>
    </row>
    <row r="78" spans="1:40" x14ac:dyDescent="0.2">
      <c r="H78" s="10" t="s">
        <v>75</v>
      </c>
      <c r="I78" s="26" t="e">
        <f ca="1">_xll.EVPRO($B$1,$H78,"STYLE")</f>
        <v>#NAME?</v>
      </c>
      <c r="J78" s="26" t="e">
        <f ca="1">_xll.EVPRO($B$1,$H78,"CALC")</f>
        <v>#NAME?</v>
      </c>
      <c r="K78" s="65" t="e">
        <f ca="1">IF(AND(I78&gt;="T3"),"&gt;","")</f>
        <v>#NAME?</v>
      </c>
      <c r="L78" s="23" t="e">
        <f ca="1">_xll.EVPRO($B$1,H78,"JDEID")</f>
        <v>#NAME?</v>
      </c>
      <c r="M78" s="24" t="e">
        <f ca="1">IF(AND(I78="N",J78="N"),_xll.EVPRO($B$1,H78,"PSFTID"),"")</f>
        <v>#NAME?</v>
      </c>
      <c r="N78" s="23" t="e">
        <f ca="1">IF(_xll.EVDES(H78,$B$1)="#NODATA","",_xll.EVDES(H78,$B$1))</f>
        <v>#NAME?</v>
      </c>
      <c r="O78" s="35"/>
      <c r="P78" s="35"/>
      <c r="Q78" s="35"/>
      <c r="R78" s="35"/>
      <c r="S78" s="35"/>
      <c r="T78" s="35"/>
      <c r="U78" s="35"/>
      <c r="V78" s="35"/>
      <c r="W78" s="35"/>
      <c r="X78" s="35"/>
      <c r="Y78" s="35"/>
      <c r="Z78" s="35"/>
      <c r="AA78" s="283" t="e">
        <f ca="1">IF($I78="B1","",SUM(O78:Z78))</f>
        <v>#NAME?</v>
      </c>
      <c r="AB78" s="36" t="e">
        <f ca="1">IF(AA78=0,"",IFERROR(AA78/AA$19,""))</f>
        <v>#NAME?</v>
      </c>
      <c r="AD78" s="35"/>
      <c r="AE78" s="36" t="str">
        <f>IF(AD78=0,"",IFERROR(AD78/AD$19,""))</f>
        <v/>
      </c>
      <c r="AF78" s="118" t="e">
        <f ca="1">IF(AND($AA78="",AD78=""),"",$AA78-AD78)</f>
        <v>#NAME?</v>
      </c>
      <c r="AG78" s="35"/>
      <c r="AH78" s="36" t="str">
        <f>IF(AG78=0,"",IFERROR(AG78/AG$19,""))</f>
        <v/>
      </c>
      <c r="AI78" s="118" t="e">
        <f ca="1">IF(AND($AA78="",AG78=""),"",$AA78-AG78)</f>
        <v>#NAME?</v>
      </c>
      <c r="AJ78" s="371">
        <f ca="1">IFERROR(AA78/AA$20,0)</f>
        <v>0</v>
      </c>
      <c r="AK78" s="372">
        <f ca="1">IFERROR(AD78/AD$20,0)</f>
        <v>0</v>
      </c>
      <c r="AL78" s="373">
        <f ca="1">IFERROR(AG78/AG$20,0)</f>
        <v>0</v>
      </c>
      <c r="AM78" s="374">
        <f ca="1">+IFERROR(ROUND(($AB78-AE78)*100,2)&amp;" pts.",0)</f>
        <v>0</v>
      </c>
      <c r="AN78" s="375">
        <f ca="1">+IFERROR(ROUND(($AB78-AH78)*100,2)&amp;" pts.",0)</f>
        <v>0</v>
      </c>
    </row>
    <row r="79" spans="1:40" hidden="1" x14ac:dyDescent="0.2">
      <c r="C79" s="23"/>
      <c r="H79" s="10" t="s">
        <v>667</v>
      </c>
      <c r="I79" s="25" t="e">
        <f ca="1">_xll.EVPRO($B$1,$H79,"STYLE")</f>
        <v>#NAME?</v>
      </c>
      <c r="J79" s="25" t="e">
        <f ca="1">_xll.EVPRO($B$1,$H79,"CALC")</f>
        <v>#NAME?</v>
      </c>
      <c r="K79" s="64" t="e">
        <f ca="1">IF(AND(I79&gt;="T3"),"&gt;","")</f>
        <v>#NAME?</v>
      </c>
      <c r="L79" s="24" t="e">
        <f ca="1">_xll.EVPRO($B$1,H79,"JDEID")</f>
        <v>#NAME?</v>
      </c>
      <c r="M79" s="24" t="e">
        <f ca="1">IF(AND(I79="N",J79="N"),_xll.EVPRO($B$1,H79,"PSFTID"),"")</f>
        <v>#NAME?</v>
      </c>
      <c r="N79" s="24" t="e">
        <f ca="1">IF(_xll.EVDES(H79,$B$1)="#NODATA","",_xll.EVDES(H79,$B$1))</f>
        <v>#NAME?</v>
      </c>
      <c r="O79" s="44"/>
      <c r="P79" s="44"/>
      <c r="Q79" s="44"/>
      <c r="R79" s="44"/>
      <c r="S79" s="44"/>
      <c r="T79" s="44"/>
      <c r="U79" s="44"/>
      <c r="V79" s="44"/>
      <c r="W79" s="44"/>
      <c r="X79" s="44"/>
      <c r="Y79" s="44"/>
      <c r="Z79" s="44"/>
      <c r="AA79" s="296" t="e">
        <f ca="1">IF($I79="B1","",SUM(O79:Z79))</f>
        <v>#NAME?</v>
      </c>
      <c r="AB79" s="45" t="e">
        <f ca="1">IF(AA79=0,"",IFERROR(AA79/AA$19,""))</f>
        <v>#NAME?</v>
      </c>
      <c r="AD79" s="44"/>
      <c r="AE79" s="45" t="str">
        <f>IF(AD79=0,"",IFERROR(AD79/AD$19,""))</f>
        <v/>
      </c>
      <c r="AF79" s="134" t="e">
        <f ca="1">IF(AND($AA79="",AD79=""),"",$AA79-AD79)</f>
        <v>#NAME?</v>
      </c>
      <c r="AG79" s="44"/>
      <c r="AH79" s="45" t="str">
        <f>IF(AG79=0,"",IFERROR(AG79/AG$19,""))</f>
        <v/>
      </c>
      <c r="AI79" s="134" t="e">
        <f ca="1">IF(AND($AA79="",AG79=""),"",$AA79-AG79)</f>
        <v>#NAME?</v>
      </c>
      <c r="AJ79" s="371">
        <f ca="1">IFERROR(AA79/AA$20,0)</f>
        <v>0</v>
      </c>
      <c r="AK79" s="372">
        <f ca="1">IFERROR(AD79/AD$20,0)</f>
        <v>0</v>
      </c>
      <c r="AL79" s="373">
        <f ca="1">IFERROR(AG79/AG$20,0)</f>
        <v>0</v>
      </c>
      <c r="AM79" s="374">
        <f ca="1">+IFERROR(ROUND(($AB79-AE79)*100,2)&amp;" pts.",0)</f>
        <v>0</v>
      </c>
      <c r="AN79" s="375">
        <f ca="1">+IFERROR(ROUND(($AB79-AH79)*100,2)&amp;" pts.",0)</f>
        <v>0</v>
      </c>
    </row>
    <row r="80" spans="1:40" hidden="1" x14ac:dyDescent="0.2">
      <c r="A80" s="4" t="e">
        <f ca="1">_xll.EVDRE($B$1,A83:B90,A93:B99)</f>
        <v>#NAME?</v>
      </c>
      <c r="H80" s="10"/>
      <c r="I80" s="25" t="e">
        <f ca="1">_xll.EVPRO($B$1,$H80,"STYLE")</f>
        <v>#NAME?</v>
      </c>
      <c r="J80" s="25" t="e">
        <f ca="1">_xll.EVPRO($B$1,$H80,"CALC")</f>
        <v>#NAME?</v>
      </c>
      <c r="K80" s="64" t="e">
        <f ca="1">IF(AND(I80&gt;="T3"),"&gt;","")</f>
        <v>#NAME?</v>
      </c>
      <c r="L80" s="24" t="e">
        <f ca="1">_xll.EVPRO($B$1,H80,"JDEID")</f>
        <v>#NAME?</v>
      </c>
      <c r="M80" s="24" t="e">
        <f ca="1">IF(AND(I80="N",J80="N"),_xll.EVPRO($B$1,H80,"PSFTID"),"")</f>
        <v>#NAME?</v>
      </c>
      <c r="N80" s="24" t="e">
        <f ca="1">IF(_xll.EVDES(H80,$B$1)="#NODATA","",_xll.EVDES(H80,$B$1))</f>
        <v>#NAME?</v>
      </c>
      <c r="O80" s="44"/>
      <c r="P80" s="44"/>
      <c r="Q80" s="44"/>
      <c r="R80" s="44"/>
      <c r="S80" s="44"/>
      <c r="T80" s="44"/>
      <c r="U80" s="44"/>
      <c r="V80" s="44"/>
      <c r="W80" s="44"/>
      <c r="X80" s="44"/>
      <c r="Y80" s="44"/>
      <c r="Z80" s="44"/>
      <c r="AA80" s="296" t="e">
        <f ca="1">IF($I80="B1","",SUM(O80:Z80))</f>
        <v>#NAME?</v>
      </c>
      <c r="AB80" s="45" t="e">
        <f ca="1">IF(AA80=0,"",IFERROR(AA80/AA$19,""))</f>
        <v>#NAME?</v>
      </c>
      <c r="AD80" s="44"/>
      <c r="AE80" s="45" t="str">
        <f>IF(AD80=0,"",IFERROR(AD80/AD$19,""))</f>
        <v/>
      </c>
      <c r="AF80" s="134" t="e">
        <f ca="1">IF(AND($AA80="",AD80=""),"",$AA80-AD80)</f>
        <v>#NAME?</v>
      </c>
      <c r="AG80" s="44"/>
      <c r="AH80" s="45" t="str">
        <f>IF(AG80=0,"",IFERROR(AG80/AG$19,""))</f>
        <v/>
      </c>
      <c r="AI80" s="134" t="e">
        <f ca="1">IF(AND($AA80="",AG80=""),"",$AA80-AG80)</f>
        <v>#NAME?</v>
      </c>
      <c r="AJ80" s="371">
        <f ca="1">IFERROR(AA80/AA$20,0)</f>
        <v>0</v>
      </c>
      <c r="AK80" s="372">
        <f ca="1">IFERROR(AD80/AD$20,0)</f>
        <v>0</v>
      </c>
      <c r="AL80" s="373">
        <f ca="1">IFERROR(AG80/AG$20,0)</f>
        <v>0</v>
      </c>
      <c r="AM80" s="374">
        <f ca="1">+IFERROR(ROUND(($AB80-AE80)*100,2)&amp;" pts.",0)</f>
        <v>0</v>
      </c>
      <c r="AN80" s="375">
        <f ca="1">+IFERROR(ROUND(($AB80-AH80)*100,2)&amp;" pts.",0)</f>
        <v>0</v>
      </c>
    </row>
    <row r="81" spans="1:40" x14ac:dyDescent="0.2">
      <c r="O81" s="38"/>
      <c r="P81" s="42"/>
      <c r="Q81" s="42"/>
      <c r="R81" s="42"/>
      <c r="S81" s="42"/>
      <c r="T81" s="42"/>
      <c r="U81" s="42"/>
      <c r="V81" s="42"/>
      <c r="W81" s="42"/>
      <c r="X81" s="42"/>
      <c r="Y81" s="42"/>
      <c r="Z81" s="42"/>
      <c r="AA81" s="42"/>
      <c r="AB81" s="39"/>
      <c r="AD81" s="38"/>
      <c r="AE81" s="42"/>
      <c r="AF81" s="39"/>
      <c r="AG81" s="38"/>
      <c r="AH81" s="42"/>
      <c r="AI81" s="39"/>
    </row>
    <row r="82" spans="1:40" x14ac:dyDescent="0.2">
      <c r="A82" s="3" t="s">
        <v>0</v>
      </c>
      <c r="B82" s="5" t="s">
        <v>1</v>
      </c>
      <c r="H82" s="1" t="s">
        <v>82</v>
      </c>
      <c r="I82" s="11" t="e">
        <f ca="1">_xll.EVPRO($B$1,$H82,"STYLE")</f>
        <v>#NAME?</v>
      </c>
      <c r="J82" s="11" t="e">
        <f ca="1">_xll.EVPRO($B$1,$H82,"CALC")</f>
        <v>#NAME?</v>
      </c>
      <c r="N82" s="37" t="e">
        <f ca="1">IF(_xll.EVDES(H82,$B$1)="#NODATA","",_xll.EVDES(H82,$B$1))</f>
        <v>#NAME?</v>
      </c>
      <c r="O82" s="40"/>
      <c r="P82" s="43"/>
      <c r="Q82" s="43"/>
      <c r="R82" s="43"/>
      <c r="S82" s="43"/>
      <c r="T82" s="43"/>
      <c r="U82" s="43"/>
      <c r="V82" s="43"/>
      <c r="W82" s="43"/>
      <c r="X82" s="43"/>
      <c r="Y82" s="43"/>
      <c r="Z82" s="43"/>
      <c r="AA82" s="43"/>
      <c r="AB82" s="41"/>
      <c r="AD82" s="40"/>
      <c r="AE82" s="43"/>
      <c r="AF82" s="41"/>
      <c r="AG82" s="40"/>
      <c r="AH82" s="43"/>
      <c r="AI82" s="41"/>
    </row>
    <row r="83" spans="1:40" hidden="1" x14ac:dyDescent="0.2">
      <c r="A83" s="6" t="s">
        <v>2</v>
      </c>
      <c r="B83" s="7" t="e">
        <f ca="1">_xll.EVRNG($B$2:$B$10)</f>
        <v>#NAME?</v>
      </c>
      <c r="H83" s="10" t="s">
        <v>667</v>
      </c>
      <c r="I83" s="25" t="e">
        <f ca="1">_xll.EVPRO($B$1,$H83,"STYLE")</f>
        <v>#NAME?</v>
      </c>
      <c r="J83" s="25" t="e">
        <f ca="1">_xll.EVPRO($B$1,$H83,"CALC")</f>
        <v>#NAME?</v>
      </c>
      <c r="K83" s="64" t="e">
        <f ca="1">IF(AND(I83&lt;&gt;"B1",J83="Y"),"&gt;","")</f>
        <v>#NAME?</v>
      </c>
      <c r="L83" s="24" t="e">
        <f ca="1">_xll.EVPRO($B$1,H83,"JDEID")</f>
        <v>#NAME?</v>
      </c>
      <c r="M83" s="24" t="e">
        <f ca="1">IF(AND(I83="N",J83="N"),_xll.EVPRO($B$1,H83,"PSFTID"),"")</f>
        <v>#NAME?</v>
      </c>
      <c r="N83" s="24" t="e">
        <f ca="1">IF(_xll.EVDES(H83,$B$1)="#NODATA","",_xll.EVDES(H83,$B$1))</f>
        <v>#NAME?</v>
      </c>
      <c r="O83" s="19"/>
      <c r="P83" s="19"/>
      <c r="Q83" s="19"/>
      <c r="R83" s="19"/>
      <c r="S83" s="19"/>
      <c r="T83" s="19"/>
      <c r="U83" s="19"/>
      <c r="V83" s="19"/>
      <c r="W83" s="19"/>
      <c r="X83" s="19"/>
      <c r="Y83" s="19"/>
      <c r="Z83" s="19"/>
      <c r="AA83" s="283" t="e">
        <f ca="1">IF($I83="B1","",SUM(O83:Z83))</f>
        <v>#NAME?</v>
      </c>
      <c r="AB83" s="15" t="e">
        <f ca="1">IF(AA83=0,"",IFERROR(AA83/AA$19,""))</f>
        <v>#NAME?</v>
      </c>
      <c r="AD83" s="19"/>
      <c r="AE83" s="15" t="str">
        <f>IF(AD83=0,"",IFERROR(AD83/AD$19,""))</f>
        <v/>
      </c>
      <c r="AF83" s="47" t="e">
        <f ca="1">IF(AND($AA83="",AD83=""),"",$AA83-AD83)</f>
        <v>#NAME?</v>
      </c>
      <c r="AG83" s="19"/>
      <c r="AH83" s="15" t="str">
        <f>IF(AG83=0,"",IFERROR(AG83/AG$19,""))</f>
        <v/>
      </c>
      <c r="AI83" s="47" t="e">
        <f ca="1">IF(AND($AA83="",AG83=""),"",$AA83-AG83)</f>
        <v>#NAME?</v>
      </c>
      <c r="AJ83" s="371">
        <f ca="1">IFERROR(AA83/AA$20,0)</f>
        <v>0</v>
      </c>
      <c r="AK83" s="372">
        <f ca="1">IFERROR(AD83/AD$20,0)</f>
        <v>0</v>
      </c>
      <c r="AL83" s="373">
        <f ca="1">IFERROR(AG83/AG$20,0)</f>
        <v>0</v>
      </c>
      <c r="AM83" s="374">
        <f ca="1">+IFERROR(ROUND(($AB83-AE83)*100,2)&amp;" pts.",0)</f>
        <v>0</v>
      </c>
      <c r="AN83" s="375">
        <f ca="1">+IFERROR(ROUND(($AB83-AH83)*100,2)&amp;" pts.",0)</f>
        <v>0</v>
      </c>
    </row>
    <row r="84" spans="1:40" hidden="1" x14ac:dyDescent="0.2">
      <c r="A84" s="6" t="s">
        <v>3</v>
      </c>
      <c r="B84" s="7" t="e">
        <f ca="1">_xll.EVRNG($O$16:$AN$18)</f>
        <v>#NAME?</v>
      </c>
      <c r="H84" s="10"/>
      <c r="I84" s="25" t="e">
        <f ca="1">_xll.EVPRO($B$1,$H84,"STYLE")</f>
        <v>#NAME?</v>
      </c>
      <c r="J84" s="25" t="e">
        <f ca="1">_xll.EVPRO($B$1,$H84,"CALC")</f>
        <v>#NAME?</v>
      </c>
      <c r="K84" s="64" t="e">
        <f ca="1">IF(AND(I84&lt;&gt;"B1",J84="Y"),"&gt;","")</f>
        <v>#NAME?</v>
      </c>
      <c r="L84" s="24" t="e">
        <f ca="1">_xll.EVPRO($B$1,H84,"JDEID")</f>
        <v>#NAME?</v>
      </c>
      <c r="M84" s="24" t="e">
        <f ca="1">IF(AND(I84="N",J84="N"),_xll.EVPRO($B$1,H84,"PSFTID"),"")</f>
        <v>#NAME?</v>
      </c>
      <c r="N84" s="24" t="e">
        <f ca="1">IF(_xll.EVDES(H84,$B$1)="#NODATA","",_xll.EVDES(H84,$B$1))</f>
        <v>#NAME?</v>
      </c>
      <c r="O84" s="19"/>
      <c r="P84" s="19"/>
      <c r="Q84" s="19"/>
      <c r="R84" s="19"/>
      <c r="S84" s="19"/>
      <c r="T84" s="19"/>
      <c r="U84" s="19"/>
      <c r="V84" s="19"/>
      <c r="W84" s="19"/>
      <c r="X84" s="19"/>
      <c r="Y84" s="19"/>
      <c r="Z84" s="19"/>
      <c r="AA84" s="283" t="e">
        <f ca="1">IF($I84="B1","",SUM(O84:Z84))</f>
        <v>#NAME?</v>
      </c>
      <c r="AB84" s="15" t="e">
        <f ca="1">IF(AA84=0,"",IFERROR(AA84/AA$19,""))</f>
        <v>#NAME?</v>
      </c>
      <c r="AD84" s="19"/>
      <c r="AE84" s="15" t="str">
        <f>IF(AD84=0,"",IFERROR(AD84/AD$19,""))</f>
        <v/>
      </c>
      <c r="AF84" s="47" t="e">
        <f ca="1">IF(AND($AA84="",AD84=""),"",$AA84-AD84)</f>
        <v>#NAME?</v>
      </c>
      <c r="AG84" s="19"/>
      <c r="AH84" s="15" t="str">
        <f>IF(AG84=0,"",IFERROR(AG84/AG$19,""))</f>
        <v/>
      </c>
      <c r="AI84" s="47" t="e">
        <f ca="1">IF(AND($AA84="",AG84=""),"",$AA84-AG84)</f>
        <v>#NAME?</v>
      </c>
      <c r="AJ84" s="371">
        <f ca="1">IFERROR(AA84/AA$20,0)</f>
        <v>0</v>
      </c>
      <c r="AK84" s="372">
        <f ca="1">IFERROR(AD84/AD$20,0)</f>
        <v>0</v>
      </c>
      <c r="AL84" s="373">
        <f ca="1">IFERROR(AG84/AG$20,0)</f>
        <v>0</v>
      </c>
      <c r="AM84" s="374">
        <f ca="1">+IFERROR(ROUND(($AB84-AE84)*100,2)&amp;" pts.",0)</f>
        <v>0</v>
      </c>
      <c r="AN84" s="375">
        <f ca="1">+IFERROR(ROUND(($AB84-AH84)*100,2)&amp;" pts.",0)</f>
        <v>0</v>
      </c>
    </row>
    <row r="85" spans="1:40" x14ac:dyDescent="0.2">
      <c r="A85" s="6" t="s">
        <v>4</v>
      </c>
      <c r="B85" s="7" t="e">
        <f ca="1">_xll.EVRNG(H76:H77,H79:H80,H83:H84)</f>
        <v>#NAME?</v>
      </c>
      <c r="H85" s="10" t="s">
        <v>79</v>
      </c>
      <c r="I85" s="25" t="e">
        <f ca="1">_xll.EVPRO($B$1,$H85,"STYLE")</f>
        <v>#NAME?</v>
      </c>
      <c r="J85" s="25" t="e">
        <f ca="1">_xll.EVPRO($B$1,$H85,"CALC")</f>
        <v>#NAME?</v>
      </c>
      <c r="K85" s="24"/>
      <c r="L85" s="24"/>
      <c r="M85" s="24"/>
      <c r="N85" s="23" t="e">
        <f ca="1">IF(_xll.EVDES(H85,$B$1)="#NODATA","",_xll.EVDES(H85,$B$1))</f>
        <v>#NAME?</v>
      </c>
      <c r="O85" s="30"/>
      <c r="P85" s="30"/>
      <c r="Q85" s="30"/>
      <c r="R85" s="30"/>
      <c r="S85" s="30"/>
      <c r="T85" s="30"/>
      <c r="U85" s="30"/>
      <c r="V85" s="30"/>
      <c r="W85" s="30"/>
      <c r="X85" s="30"/>
      <c r="Y85" s="30"/>
      <c r="Z85" s="30"/>
      <c r="AA85" s="30" t="e">
        <f ca="1">IF($I85="B1","",SUM(O85:Z85))</f>
        <v>#NAME?</v>
      </c>
      <c r="AB85" s="31" t="e">
        <f ca="1">IF(AA85=0,"",IFERROR(AA85/AA$19,""))</f>
        <v>#NAME?</v>
      </c>
      <c r="AD85" s="30"/>
      <c r="AE85" s="31" t="str">
        <f>IF(AD85=0,"",IFERROR(AD85/AD$19,""))</f>
        <v/>
      </c>
      <c r="AF85" s="49" t="e">
        <f ca="1">IF(AND($AA85="",AD85=""),"",$AA85-AD85)</f>
        <v>#NAME?</v>
      </c>
      <c r="AG85" s="30"/>
      <c r="AH85" s="31" t="str">
        <f>IF(AG85=0,"",IFERROR(AG85/AG$19,""))</f>
        <v/>
      </c>
      <c r="AI85" s="49" t="e">
        <f ca="1">IF(AND($AA85="",AG85=""),"",$AA85-AG85)</f>
        <v>#NAME?</v>
      </c>
      <c r="AJ85" s="387">
        <f ca="1">IFERROR(AA85/AA$20,0)</f>
        <v>0</v>
      </c>
      <c r="AK85" s="388">
        <f ca="1">IFERROR(AD85/AD$20,0)</f>
        <v>0</v>
      </c>
      <c r="AL85" s="389">
        <f ca="1">IFERROR(AG85/AG$20,0)</f>
        <v>0</v>
      </c>
      <c r="AM85" s="390">
        <f ca="1">+IFERROR(ROUND(($AB85-AE85)*100,2)&amp;" pts.",0)</f>
        <v>0</v>
      </c>
      <c r="AN85" s="408">
        <f ca="1">+IFERROR(ROUND(($AB85-AH85)*100,2)&amp;" pts.",0)</f>
        <v>0</v>
      </c>
    </row>
    <row r="86" spans="1:40" x14ac:dyDescent="0.2">
      <c r="A86" s="6" t="s">
        <v>5</v>
      </c>
      <c r="B86" s="7"/>
    </row>
    <row r="87" spans="1:40" x14ac:dyDescent="0.2">
      <c r="A87" s="6" t="s">
        <v>6</v>
      </c>
      <c r="B87" s="7"/>
      <c r="H87" s="10" t="s">
        <v>80</v>
      </c>
      <c r="I87" s="25" t="e">
        <f ca="1">_xll.EVPRO($B$1,$H87,"STYLE")</f>
        <v>#NAME?</v>
      </c>
      <c r="J87" s="25" t="e">
        <f ca="1">_xll.EVPRO($B$1,$H87,"CALC")</f>
        <v>#NAME?</v>
      </c>
      <c r="K87" s="23"/>
      <c r="L87" s="23"/>
      <c r="M87" s="23"/>
      <c r="N87" s="23" t="e">
        <f ca="1">IF(_xll.EVDES(H87,$B$1)="#NODATA","",_xll.EVDES(H87,$B$1))</f>
        <v>#NAME?</v>
      </c>
      <c r="O87" s="33"/>
      <c r="P87" s="33"/>
      <c r="Q87" s="33"/>
      <c r="R87" s="33"/>
      <c r="S87" s="33"/>
      <c r="T87" s="33"/>
      <c r="U87" s="33"/>
      <c r="V87" s="33"/>
      <c r="W87" s="33"/>
      <c r="X87" s="33"/>
      <c r="Y87" s="33"/>
      <c r="Z87" s="33"/>
      <c r="AA87" s="33" t="e">
        <f ca="1">IF($I87="B1","",SUM(O87:Z87))</f>
        <v>#NAME?</v>
      </c>
      <c r="AB87" s="34" t="e">
        <f ca="1">IF(AA87=0,"",IFERROR(AA87/AA$19,""))</f>
        <v>#NAME?</v>
      </c>
      <c r="AD87" s="33"/>
      <c r="AE87" s="34" t="str">
        <f>IF(AD87=0,"",IFERROR(AD87/AD$19,""))</f>
        <v/>
      </c>
      <c r="AF87" s="55" t="e">
        <f ca="1">IF(AND($AA87="",AD87=""),"",$AA87-AD87)</f>
        <v>#NAME?</v>
      </c>
      <c r="AG87" s="56"/>
      <c r="AH87" s="57" t="str">
        <f>IF(AG87=0,"",IFERROR(AG87/AG$19,""))</f>
        <v/>
      </c>
      <c r="AI87" s="55" t="e">
        <f ca="1">IF(AND($AA87="",AG87=""),"",$AA87-AG87)</f>
        <v>#NAME?</v>
      </c>
      <c r="AJ87" s="364">
        <f ca="1">IFERROR(AA87/AA$20,0)</f>
        <v>0</v>
      </c>
      <c r="AK87" s="365">
        <f ca="1">IFERROR(AD87/AD$20,0)</f>
        <v>0</v>
      </c>
      <c r="AL87" s="366">
        <f ca="1">IFERROR(AG87/AG$20,0)</f>
        <v>0</v>
      </c>
      <c r="AM87" s="367">
        <f ca="1">+IFERROR(ROUND(($AB87-AE87)*100,2)&amp;" pts.",0)</f>
        <v>0</v>
      </c>
      <c r="AN87" s="409">
        <f ca="1">+IFERROR(ROUND(($AB87-AH87)*100,2)&amp;" pts.",0)</f>
        <v>0</v>
      </c>
    </row>
    <row r="88" spans="1:40" ht="16" thickBot="1" x14ac:dyDescent="0.25">
      <c r="A88" s="6" t="s">
        <v>7</v>
      </c>
      <c r="B88" s="7" t="e">
        <f ca="1">_xll.EVRNG(A102:F108)</f>
        <v>#NAME?</v>
      </c>
      <c r="H88" s="10" t="s">
        <v>81</v>
      </c>
      <c r="I88" s="25" t="e">
        <f ca="1">_xll.EVPRO($B$1,$H88,"STYLE")</f>
        <v>#NAME?</v>
      </c>
      <c r="J88" s="25" t="e">
        <f ca="1">_xll.EVPRO($B$1,$H88,"CALC")</f>
        <v>#NAME?</v>
      </c>
      <c r="K88" s="23"/>
      <c r="L88" s="23"/>
      <c r="M88" s="23"/>
      <c r="N88" s="23" t="e">
        <f ca="1">IF(_xll.EVDES(H88,$B$1)="#NODATA","",_xll.EVDES(H88,$B$1))</f>
        <v>#NAME?</v>
      </c>
      <c r="O88" s="58"/>
      <c r="P88" s="58"/>
      <c r="Q88" s="58"/>
      <c r="R88" s="58"/>
      <c r="S88" s="58"/>
      <c r="T88" s="58"/>
      <c r="U88" s="58"/>
      <c r="V88" s="58"/>
      <c r="W88" s="58"/>
      <c r="X88" s="58"/>
      <c r="Y88" s="58"/>
      <c r="Z88" s="58"/>
      <c r="AA88" s="58" t="e">
        <f ca="1">IF($I88="B1","",SUM(O88:Z88))</f>
        <v>#NAME?</v>
      </c>
      <c r="AB88" s="59" t="e">
        <f ca="1">IF(AA88=0,"",IFERROR(AA88/AA$19,""))</f>
        <v>#NAME?</v>
      </c>
      <c r="AD88" s="58"/>
      <c r="AE88" s="59" t="str">
        <f>IF(AD88=0,"",IFERROR(AD88/AD$19,""))</f>
        <v/>
      </c>
      <c r="AF88" s="60" t="e">
        <f ca="1">IF(AND($AA88="",AD88=""),"",$AA88-AD88)</f>
        <v>#NAME?</v>
      </c>
      <c r="AG88" s="58"/>
      <c r="AH88" s="59" t="str">
        <f>IF(AG88=0,"",IFERROR(AG88/AG$19,""))</f>
        <v/>
      </c>
      <c r="AI88" s="60" t="e">
        <f ca="1">IF(AND($AA88="",AG88=""),"",$AA88-AG88)</f>
        <v>#NAME?</v>
      </c>
      <c r="AJ88" s="402">
        <f ca="1">IFERROR(AA88/AA$20,0)</f>
        <v>0</v>
      </c>
      <c r="AK88" s="403">
        <f ca="1">IFERROR(AD88/AD$20,0)</f>
        <v>0</v>
      </c>
      <c r="AL88" s="404">
        <f ca="1">IFERROR(AG88/AG$20,0)</f>
        <v>0</v>
      </c>
      <c r="AM88" s="405">
        <f ca="1">+IFERROR(ROUND(($AB88-AE88)*100,2)&amp;" pts.",0)</f>
        <v>0</v>
      </c>
      <c r="AN88" s="410">
        <f ca="1">+IFERROR(ROUND(($AB88-AH88)*100,2)&amp;" pts.",0)</f>
        <v>0</v>
      </c>
    </row>
    <row r="89" spans="1:40" ht="16" thickTop="1" x14ac:dyDescent="0.2">
      <c r="A89" s="6" t="s">
        <v>47</v>
      </c>
      <c r="B89" s="7" t="e">
        <f ca="1">_xll.EVRNG($A$125:$B$146)</f>
        <v>#NAME?</v>
      </c>
    </row>
    <row r="90" spans="1:40" x14ac:dyDescent="0.2">
      <c r="A90" s="6" t="s">
        <v>8</v>
      </c>
      <c r="B90" s="7"/>
      <c r="N90" s="24" t="e">
        <f ca="1">N87&amp;" - Check"</f>
        <v>#NAME?</v>
      </c>
      <c r="O90" s="124">
        <f t="shared" ref="O90:AA90" si="23">SUMIF($H$35:$H$88,"600000",O$35:O$88)+SUMIF($H$35:$H$88,"700000",O$35:O$88)-SUMIF($H$35:$H$88,"TOTDEPTEXP",O$35:O$88)</f>
        <v>0</v>
      </c>
      <c r="P90" s="124">
        <f t="shared" si="23"/>
        <v>0</v>
      </c>
      <c r="Q90" s="124">
        <f t="shared" si="23"/>
        <v>0</v>
      </c>
      <c r="R90" s="124">
        <f t="shared" si="23"/>
        <v>0</v>
      </c>
      <c r="S90" s="124">
        <f t="shared" si="23"/>
        <v>0</v>
      </c>
      <c r="T90" s="124">
        <f t="shared" si="23"/>
        <v>0</v>
      </c>
      <c r="U90" s="124">
        <f t="shared" si="23"/>
        <v>0</v>
      </c>
      <c r="V90" s="124">
        <f t="shared" si="23"/>
        <v>0</v>
      </c>
      <c r="W90" s="124">
        <f t="shared" si="23"/>
        <v>0</v>
      </c>
      <c r="X90" s="124">
        <f t="shared" si="23"/>
        <v>0</v>
      </c>
      <c r="Y90" s="124">
        <f t="shared" si="23"/>
        <v>0</v>
      </c>
      <c r="Z90" s="124">
        <f t="shared" si="23"/>
        <v>0</v>
      </c>
      <c r="AA90" s="124" t="e">
        <f t="shared" ca="1" si="23"/>
        <v>#NAME?</v>
      </c>
      <c r="AB90" s="15"/>
      <c r="AD90" s="124">
        <f>SUMIF($H$35:$H$88,"600000",AD$35:AD$88)+SUMIF($H$35:$H$88,"700000",AD$35:AD$88)-SUMIF($H$35:$H$88,"TOTDEPTEXP",AD$35:AD$88)</f>
        <v>0</v>
      </c>
      <c r="AE90" s="15"/>
      <c r="AF90" s="19"/>
      <c r="AG90" s="124">
        <f>SUMIF($H$35:$H$88,"600000",AG$35:AG$88)+SUMIF($H$35:$H$88,"700000",AG$35:AG$88)-SUMIF($H$35:$H$88,"TOTDEPTEXP",AG$35:AG$88)</f>
        <v>0</v>
      </c>
      <c r="AH90" s="15"/>
      <c r="AI90" s="19"/>
    </row>
    <row r="91" spans="1:40" x14ac:dyDescent="0.2">
      <c r="G91" s="13"/>
      <c r="N91" s="24" t="e">
        <f ca="1">N88&amp;" - Check"</f>
        <v>#NAME?</v>
      </c>
      <c r="O91" s="124">
        <f t="shared" ref="O91:AA91" si="24">SUMIF($H$35:$H$88,"KPI_GP",O$35:O$88)-SUMIF($H$35:$H$88,"TOTDEPTEXP",O$35:O$88)-SUMIF($H$35:$H$88,"TOTDEPTPL",O$35:O$88)</f>
        <v>0</v>
      </c>
      <c r="P91" s="124">
        <f t="shared" si="24"/>
        <v>0</v>
      </c>
      <c r="Q91" s="124">
        <f t="shared" si="24"/>
        <v>0</v>
      </c>
      <c r="R91" s="124">
        <f t="shared" si="24"/>
        <v>0</v>
      </c>
      <c r="S91" s="124">
        <f t="shared" si="24"/>
        <v>0</v>
      </c>
      <c r="T91" s="124">
        <f t="shared" si="24"/>
        <v>0</v>
      </c>
      <c r="U91" s="124">
        <f t="shared" si="24"/>
        <v>0</v>
      </c>
      <c r="V91" s="124">
        <f t="shared" si="24"/>
        <v>0</v>
      </c>
      <c r="W91" s="124">
        <f t="shared" si="24"/>
        <v>0</v>
      </c>
      <c r="X91" s="124">
        <f t="shared" si="24"/>
        <v>0</v>
      </c>
      <c r="Y91" s="124">
        <f t="shared" si="24"/>
        <v>0</v>
      </c>
      <c r="Z91" s="124">
        <f t="shared" si="24"/>
        <v>0</v>
      </c>
      <c r="AA91" s="124" t="e">
        <f t="shared" ca="1" si="24"/>
        <v>#NAME?</v>
      </c>
      <c r="AB91" s="15"/>
      <c r="AD91" s="124">
        <f>SUMIF($H$35:$H$88,"KPI_GP",AD$35:AD$88)-SUMIF($H$35:$H$88,"TOTDEPTEXP",AD$35:AD$88)-SUMIF($H$35:$H$88,"TOTDEPTPL",AD$35:AD$88)</f>
        <v>0</v>
      </c>
      <c r="AE91" s="15"/>
      <c r="AF91" s="19"/>
      <c r="AG91" s="124">
        <f>SUMIF($H$35:$H$88,"KPI_GP",AG$35:AG$88)-SUMIF($H$35:$H$88,"TOTDEPTEXP",AG$35:AG$88)-SUMIF($H$35:$H$88,"TOTDEPTPL",AG$35:AG$88)</f>
        <v>0</v>
      </c>
      <c r="AH91" s="15"/>
      <c r="AI91" s="19"/>
    </row>
    <row r="92" spans="1:40" x14ac:dyDescent="0.2">
      <c r="A92" s="3" t="s">
        <v>9</v>
      </c>
      <c r="B92" s="5" t="s">
        <v>10</v>
      </c>
    </row>
    <row r="93" spans="1:40" x14ac:dyDescent="0.2">
      <c r="A93" s="6" t="s">
        <v>11</v>
      </c>
      <c r="B93" s="7" t="s">
        <v>21</v>
      </c>
      <c r="O93" s="147"/>
      <c r="P93" s="147"/>
      <c r="Q93" s="147"/>
      <c r="R93" s="147"/>
      <c r="S93" s="147"/>
      <c r="T93" s="147"/>
      <c r="U93" s="147"/>
      <c r="V93" s="147"/>
      <c r="W93" s="147"/>
      <c r="X93" s="147"/>
      <c r="Y93" s="147"/>
      <c r="Z93" s="147"/>
      <c r="AA93" s="147"/>
      <c r="AD93" s="147"/>
      <c r="AG93" s="147"/>
    </row>
    <row r="94" spans="1:40" x14ac:dyDescent="0.2">
      <c r="A94" s="6" t="s">
        <v>12</v>
      </c>
      <c r="B94" s="7" t="s">
        <v>22</v>
      </c>
    </row>
    <row r="95" spans="1:40" x14ac:dyDescent="0.2">
      <c r="A95" s="6" t="s">
        <v>13</v>
      </c>
      <c r="B95" s="7" t="s">
        <v>737</v>
      </c>
      <c r="O95" s="147"/>
      <c r="P95" s="147"/>
      <c r="Q95" s="147"/>
      <c r="R95" s="147"/>
      <c r="S95" s="147"/>
      <c r="T95" s="147"/>
      <c r="U95" s="147"/>
      <c r="V95" s="147"/>
      <c r="W95" s="147"/>
      <c r="X95" s="147"/>
      <c r="Y95" s="147"/>
      <c r="Z95" s="147"/>
      <c r="AA95" s="147"/>
      <c r="AD95" s="147"/>
      <c r="AG95" s="147"/>
    </row>
    <row r="96" spans="1:40" x14ac:dyDescent="0.2">
      <c r="A96" s="6" t="s">
        <v>14</v>
      </c>
      <c r="B96" s="7"/>
    </row>
    <row r="97" spans="1:10" x14ac:dyDescent="0.2">
      <c r="A97" s="6" t="s">
        <v>15</v>
      </c>
      <c r="B97" s="7"/>
    </row>
    <row r="98" spans="1:10" x14ac:dyDescent="0.2">
      <c r="A98" s="6" t="s">
        <v>16</v>
      </c>
      <c r="B98" s="7" t="s">
        <v>78</v>
      </c>
      <c r="H98" s="11"/>
      <c r="J98" s="1"/>
    </row>
    <row r="99" spans="1:10" x14ac:dyDescent="0.2">
      <c r="A99" s="6" t="s">
        <v>17</v>
      </c>
      <c r="B99" s="7"/>
      <c r="H99" s="11"/>
      <c r="J99" s="1"/>
    </row>
    <row r="100" spans="1:10" x14ac:dyDescent="0.2">
      <c r="H100" s="11"/>
      <c r="J100" s="1"/>
    </row>
    <row r="101" spans="1:10" x14ac:dyDescent="0.2">
      <c r="A101" s="20" t="s">
        <v>92</v>
      </c>
      <c r="B101" s="21" t="s">
        <v>93</v>
      </c>
      <c r="C101" s="21" t="s">
        <v>94</v>
      </c>
      <c r="D101" s="21" t="s">
        <v>95</v>
      </c>
      <c r="E101" s="21" t="s">
        <v>96</v>
      </c>
      <c r="F101" s="22" t="s">
        <v>97</v>
      </c>
      <c r="H101" s="11"/>
      <c r="J101" s="1"/>
    </row>
    <row r="102" spans="1:10" x14ac:dyDescent="0.2">
      <c r="H102" s="11"/>
      <c r="J102" s="1"/>
    </row>
    <row r="103" spans="1:10" x14ac:dyDescent="0.2">
      <c r="A103" s="1" t="s">
        <v>108</v>
      </c>
      <c r="C103" s="24" t="s">
        <v>101</v>
      </c>
      <c r="D103" s="1" t="s">
        <v>106</v>
      </c>
      <c r="F103" s="1" t="s">
        <v>98</v>
      </c>
      <c r="H103" s="11"/>
      <c r="J103" s="1"/>
    </row>
    <row r="104" spans="1:10" x14ac:dyDescent="0.2">
      <c r="A104" s="1" t="s">
        <v>100</v>
      </c>
      <c r="C104" s="8" t="s">
        <v>101</v>
      </c>
      <c r="D104" s="1" t="s">
        <v>106</v>
      </c>
      <c r="F104" s="1" t="s">
        <v>98</v>
      </c>
      <c r="H104" s="11"/>
      <c r="J104" s="1"/>
    </row>
    <row r="105" spans="1:10" x14ac:dyDescent="0.2">
      <c r="A105" s="1" t="s">
        <v>109</v>
      </c>
      <c r="C105" s="23" t="s">
        <v>101</v>
      </c>
      <c r="D105" s="1" t="s">
        <v>106</v>
      </c>
      <c r="F105" s="1" t="s">
        <v>98</v>
      </c>
      <c r="G105" s="13"/>
      <c r="H105" s="11"/>
      <c r="J105" s="1"/>
    </row>
    <row r="106" spans="1:10" x14ac:dyDescent="0.2">
      <c r="A106" s="1" t="s">
        <v>109</v>
      </c>
      <c r="C106" s="135" t="s">
        <v>101</v>
      </c>
      <c r="D106" s="1" t="s">
        <v>107</v>
      </c>
      <c r="F106" s="1" t="s">
        <v>99</v>
      </c>
      <c r="H106" s="11"/>
      <c r="J106" s="1"/>
    </row>
    <row r="107" spans="1:10" x14ac:dyDescent="0.2">
      <c r="A107" s="1" t="s">
        <v>110</v>
      </c>
      <c r="C107" s="23" t="s">
        <v>101</v>
      </c>
      <c r="D107" s="1" t="s">
        <v>106</v>
      </c>
      <c r="F107" s="1" t="s">
        <v>98</v>
      </c>
      <c r="H107" s="11"/>
      <c r="J107" s="1"/>
    </row>
    <row r="108" spans="1:10" x14ac:dyDescent="0.2">
      <c r="A108" s="1" t="s">
        <v>110</v>
      </c>
      <c r="C108" s="27" t="s">
        <v>101</v>
      </c>
      <c r="D108" s="1" t="s">
        <v>107</v>
      </c>
      <c r="F108" s="1" t="s">
        <v>99</v>
      </c>
      <c r="H108" s="11"/>
      <c r="J108" s="1"/>
    </row>
    <row r="109" spans="1:10" x14ac:dyDescent="0.2">
      <c r="C109" s="23"/>
      <c r="H109" s="11"/>
      <c r="J109" s="1"/>
    </row>
    <row r="110" spans="1:10" x14ac:dyDescent="0.2">
      <c r="H110" s="11"/>
      <c r="J110" s="1"/>
    </row>
    <row r="111" spans="1:10" x14ac:dyDescent="0.2">
      <c r="A111" s="4" t="e">
        <f ca="1">_xll.EVDRE($B$1,A114:B121)</f>
        <v>#NAME?</v>
      </c>
      <c r="B111" s="1" t="s">
        <v>736</v>
      </c>
      <c r="G111" s="13"/>
      <c r="H111" s="11"/>
      <c r="J111" s="1"/>
    </row>
    <row r="112" spans="1:10" x14ac:dyDescent="0.2">
      <c r="H112" s="11"/>
      <c r="J112" s="1"/>
    </row>
    <row r="113" spans="1:10" x14ac:dyDescent="0.2">
      <c r="A113" s="3" t="s">
        <v>0</v>
      </c>
      <c r="B113" s="5" t="s">
        <v>1</v>
      </c>
      <c r="H113" s="11"/>
      <c r="J113" s="1"/>
    </row>
    <row r="114" spans="1:10" x14ac:dyDescent="0.2">
      <c r="A114" s="6" t="s">
        <v>2</v>
      </c>
      <c r="B114" s="7" t="e">
        <f ca="1">_xll.EVRNG($B$2:$B$10)</f>
        <v>#NAME?</v>
      </c>
      <c r="H114" s="11"/>
      <c r="J114" s="1"/>
    </row>
    <row r="115" spans="1:10" x14ac:dyDescent="0.2">
      <c r="A115" s="6" t="s">
        <v>3</v>
      </c>
      <c r="B115" s="7" t="e">
        <f ca="1">_xll.EVRNG($O$16:$AN$18)</f>
        <v>#NAME?</v>
      </c>
      <c r="H115" s="11"/>
      <c r="J115" s="1"/>
    </row>
    <row r="116" spans="1:10" x14ac:dyDescent="0.2">
      <c r="A116" s="6" t="s">
        <v>4</v>
      </c>
      <c r="B116" s="7" t="e">
        <f ca="1">_xll.EVRNG(H85:H88)</f>
        <v>#NAME?</v>
      </c>
      <c r="H116" s="11"/>
      <c r="J116" s="1"/>
    </row>
    <row r="117" spans="1:10" x14ac:dyDescent="0.2">
      <c r="A117" s="6" t="s">
        <v>5</v>
      </c>
      <c r="B117" s="7"/>
      <c r="H117" s="11"/>
      <c r="J117" s="1"/>
    </row>
    <row r="118" spans="1:10" x14ac:dyDescent="0.2">
      <c r="A118" s="6" t="s">
        <v>6</v>
      </c>
      <c r="B118" s="7"/>
      <c r="H118" s="11"/>
      <c r="J118" s="1"/>
    </row>
    <row r="119" spans="1:10" x14ac:dyDescent="0.2">
      <c r="A119" s="6" t="s">
        <v>7</v>
      </c>
      <c r="B119" s="7"/>
      <c r="H119" s="11"/>
      <c r="J119" s="1"/>
    </row>
    <row r="120" spans="1:10" x14ac:dyDescent="0.2">
      <c r="A120" s="6" t="s">
        <v>47</v>
      </c>
      <c r="B120" s="7" t="e">
        <f ca="1">_xll.EVRNG($A$125:$B$146)</f>
        <v>#NAME?</v>
      </c>
      <c r="H120" s="11"/>
      <c r="J120" s="1"/>
    </row>
    <row r="121" spans="1:10" x14ac:dyDescent="0.2">
      <c r="A121" s="6" t="s">
        <v>8</v>
      </c>
      <c r="B121" s="7"/>
    </row>
    <row r="124" spans="1:10" x14ac:dyDescent="0.2">
      <c r="A124" s="3" t="s">
        <v>23</v>
      </c>
      <c r="B124" s="5" t="s">
        <v>24</v>
      </c>
    </row>
    <row r="125" spans="1:10" x14ac:dyDescent="0.2">
      <c r="A125" s="6" t="s">
        <v>25</v>
      </c>
      <c r="B125" s="7"/>
    </row>
    <row r="126" spans="1:10" x14ac:dyDescent="0.2">
      <c r="A126" s="6" t="s">
        <v>26</v>
      </c>
      <c r="B126" s="7"/>
    </row>
    <row r="127" spans="1:10" x14ac:dyDescent="0.2">
      <c r="A127" s="6" t="s">
        <v>27</v>
      </c>
      <c r="B127" s="7"/>
    </row>
    <row r="128" spans="1:10" x14ac:dyDescent="0.2">
      <c r="A128" s="6" t="s">
        <v>28</v>
      </c>
      <c r="B128" s="7"/>
    </row>
    <row r="129" spans="1:2" x14ac:dyDescent="0.2">
      <c r="A129" s="6" t="s">
        <v>29</v>
      </c>
      <c r="B129" s="7"/>
    </row>
    <row r="130" spans="1:2" x14ac:dyDescent="0.2">
      <c r="A130" s="6" t="s">
        <v>30</v>
      </c>
      <c r="B130" s="7" t="s">
        <v>78</v>
      </c>
    </row>
    <row r="131" spans="1:2" x14ac:dyDescent="0.2">
      <c r="A131" s="6" t="s">
        <v>31</v>
      </c>
      <c r="B131" s="7" t="s">
        <v>78</v>
      </c>
    </row>
    <row r="132" spans="1:2" x14ac:dyDescent="0.2">
      <c r="A132" s="6" t="s">
        <v>32</v>
      </c>
      <c r="B132" s="7"/>
    </row>
    <row r="133" spans="1:2" x14ac:dyDescent="0.2">
      <c r="A133" s="6" t="s">
        <v>33</v>
      </c>
      <c r="B133" s="7"/>
    </row>
    <row r="134" spans="1:2" x14ac:dyDescent="0.2">
      <c r="A134" s="6" t="s">
        <v>34</v>
      </c>
      <c r="B134" s="7"/>
    </row>
    <row r="135" spans="1:2" x14ac:dyDescent="0.2">
      <c r="A135" s="6" t="s">
        <v>35</v>
      </c>
      <c r="B135" s="7"/>
    </row>
    <row r="136" spans="1:2" x14ac:dyDescent="0.2">
      <c r="A136" s="6" t="s">
        <v>36</v>
      </c>
      <c r="B136" s="7"/>
    </row>
    <row r="137" spans="1:2" x14ac:dyDescent="0.2">
      <c r="A137" s="6" t="s">
        <v>37</v>
      </c>
      <c r="B137" s="7"/>
    </row>
    <row r="138" spans="1:2" x14ac:dyDescent="0.2">
      <c r="A138" s="6" t="s">
        <v>38</v>
      </c>
      <c r="B138" s="7"/>
    </row>
    <row r="139" spans="1:2" x14ac:dyDescent="0.2">
      <c r="A139" s="6" t="s">
        <v>39</v>
      </c>
      <c r="B139" s="7"/>
    </row>
    <row r="140" spans="1:2" x14ac:dyDescent="0.2">
      <c r="A140" s="6" t="s">
        <v>40</v>
      </c>
      <c r="B140" s="7"/>
    </row>
    <row r="141" spans="1:2" x14ac:dyDescent="0.2">
      <c r="A141" s="6" t="s">
        <v>41</v>
      </c>
      <c r="B141" s="7"/>
    </row>
    <row r="142" spans="1:2" x14ac:dyDescent="0.2">
      <c r="A142" s="6" t="s">
        <v>42</v>
      </c>
      <c r="B142" s="7"/>
    </row>
    <row r="143" spans="1:2" x14ac:dyDescent="0.2">
      <c r="A143" s="6" t="s">
        <v>43</v>
      </c>
      <c r="B143" s="7"/>
    </row>
    <row r="144" spans="1:2" x14ac:dyDescent="0.2">
      <c r="A144" s="6" t="s">
        <v>44</v>
      </c>
      <c r="B144" s="7"/>
    </row>
    <row r="145" spans="1:2" x14ac:dyDescent="0.2">
      <c r="A145" s="6" t="s">
        <v>45</v>
      </c>
      <c r="B145" s="7"/>
    </row>
    <row r="146" spans="1:2" x14ac:dyDescent="0.2">
      <c r="A146" s="6" t="s">
        <v>46</v>
      </c>
      <c r="B146" s="7"/>
    </row>
    <row r="161" spans="5:34" x14ac:dyDescent="0.2">
      <c r="I161" s="72"/>
      <c r="J161" s="1"/>
      <c r="K161" s="72"/>
      <c r="L161" s="72"/>
      <c r="M161" s="72"/>
      <c r="O161" s="72"/>
      <c r="P161" s="72"/>
      <c r="Q161" s="72"/>
      <c r="R161" s="72"/>
      <c r="S161" s="72"/>
      <c r="T161" s="72"/>
      <c r="U161" s="72"/>
      <c r="V161" s="72"/>
      <c r="W161" s="72"/>
      <c r="X161" s="72"/>
      <c r="Y161" s="72"/>
      <c r="Z161" s="72"/>
      <c r="AA161" s="72"/>
      <c r="AD161" s="72"/>
      <c r="AF161" s="72"/>
      <c r="AH161" s="72"/>
    </row>
    <row r="163" spans="5:34" x14ac:dyDescent="0.2">
      <c r="E163" s="72"/>
    </row>
    <row r="165" spans="5:34" x14ac:dyDescent="0.2">
      <c r="I165" s="72"/>
      <c r="J165" s="1"/>
      <c r="K165" s="72"/>
      <c r="L165" s="72"/>
      <c r="M165" s="72"/>
      <c r="O165" s="72"/>
      <c r="P165" s="72"/>
      <c r="Q165" s="72"/>
      <c r="R165" s="72"/>
      <c r="S165" s="72"/>
      <c r="T165" s="72"/>
      <c r="U165" s="72"/>
      <c r="V165" s="72"/>
      <c r="W165" s="72"/>
      <c r="X165" s="72"/>
      <c r="Y165" s="72"/>
      <c r="Z165" s="72"/>
      <c r="AA165" s="72"/>
      <c r="AD165" s="72"/>
      <c r="AF165" s="72"/>
      <c r="AH165" s="72"/>
    </row>
    <row r="167" spans="5:34" x14ac:dyDescent="0.2">
      <c r="E167" s="72"/>
    </row>
    <row r="190" spans="7:7" x14ac:dyDescent="0.2">
      <c r="G190" s="72"/>
    </row>
    <row r="194" spans="7:7" x14ac:dyDescent="0.2">
      <c r="G194" s="72"/>
    </row>
  </sheetData>
  <mergeCells count="2">
    <mergeCell ref="AD31:AE31"/>
    <mergeCell ref="AG31:AH31"/>
  </mergeCells>
  <dataValidations disablePrompts="1" count="2">
    <dataValidation type="list" allowBlank="1" sqref="B29 B95 B62" xr:uid="{00000000-0002-0000-1A00-000000000000}">
      <formula1>"SELF,ALL,BAS,DEP,BASMEMBERS,MEMBERS,NOEXPAND,GDEP"</formula1>
    </dataValidation>
    <dataValidation type="list" allowBlank="1" sqref="B28 B94 B61" xr:uid="{00000000-0002-0000-1A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8">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8"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16384" width="9.1640625" style="1"/>
  </cols>
  <sheetData>
    <row r="1" spans="1:35" hidden="1" outlineLevel="1" x14ac:dyDescent="0.2">
      <c r="A1" s="8" t="s">
        <v>48</v>
      </c>
      <c r="B1" s="2" t="s">
        <v>49</v>
      </c>
      <c r="C1" s="8" t="e">
        <f ca="1">_xll.EVAPD($B$1)</f>
        <v>#NAME?</v>
      </c>
      <c r="I1" s="1"/>
      <c r="J1" s="1"/>
      <c r="N1" s="16" t="e">
        <f ca="1">'lZswHSX9z0WodCFYZPsU_g=='!N1</f>
        <v>#NAME?</v>
      </c>
      <c r="O1" s="1" t="s">
        <v>731</v>
      </c>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733</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35"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35" hidden="1" outlineLevel="1" x14ac:dyDescent="0.2">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2" t="e">
        <f ca="1">AA11</f>
        <v>#NAME?</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35" hidden="1" outlineLevel="1" x14ac:dyDescent="0.2">
      <c r="A19" s="6" t="s">
        <v>4</v>
      </c>
      <c r="B19" s="7" t="e">
        <f ca="1">_xll.EVRNG(H35:H146)</f>
        <v>#NAME?</v>
      </c>
      <c r="G19" s="16" t="str">
        <f>$B$6</f>
        <v>D2145</v>
      </c>
      <c r="H19" s="16" t="s">
        <v>273</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35" hidden="1" outlineLevel="1" x14ac:dyDescent="0.2">
      <c r="A20" s="6" t="s">
        <v>5</v>
      </c>
      <c r="B20" s="7"/>
      <c r="G20" s="16" t="str">
        <f>$B$6</f>
        <v>D2145</v>
      </c>
      <c r="H20" s="16">
        <v>946000</v>
      </c>
      <c r="I20" s="17"/>
      <c r="J20" s="17"/>
      <c r="K20" s="16"/>
      <c r="L20" s="16"/>
      <c r="M20" s="16"/>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35" hidden="1" outlineLevel="1" x14ac:dyDescent="0.2">
      <c r="A21" s="6" t="s">
        <v>6</v>
      </c>
      <c r="B21" s="7"/>
      <c r="I21" s="1"/>
      <c r="J21" s="1"/>
    </row>
    <row r="22" spans="1:35" hidden="1" outlineLevel="1" x14ac:dyDescent="0.2">
      <c r="A22" s="6" t="s">
        <v>7</v>
      </c>
      <c r="B22" s="7"/>
      <c r="I22" s="1"/>
      <c r="J22" s="1"/>
    </row>
    <row r="23" spans="1:35" hidden="1" outlineLevel="1" x14ac:dyDescent="0.2">
      <c r="A23" s="6" t="s">
        <v>47</v>
      </c>
      <c r="B23" s="7" t="e">
        <f ca="1">_xll.EVRNG($A$37:$B$58)</f>
        <v>#NAME?</v>
      </c>
      <c r="K23" s="53"/>
      <c r="L23" s="53"/>
      <c r="M23" s="53"/>
      <c r="AD23" s="136"/>
    </row>
    <row r="24" spans="1:35" hidden="1" outlineLevel="1" x14ac:dyDescent="0.2">
      <c r="A24" s="6" t="s">
        <v>8</v>
      </c>
      <c r="B24" s="7"/>
    </row>
    <row r="25" spans="1:35" collapsed="1" x14ac:dyDescent="0.2"/>
    <row r="26" spans="1:35" ht="23" x14ac:dyDescent="0.25">
      <c r="A26" s="3" t="s">
        <v>9</v>
      </c>
      <c r="B26" s="5" t="s">
        <v>10</v>
      </c>
      <c r="N26" s="61" t="e">
        <f ca="1">IF(_xll.EVDES(B3,$B$1)="#NODATA","",_xll.EVDES(B3,$B$1))</f>
        <v>#NAME?</v>
      </c>
    </row>
    <row r="27" spans="1:35" ht="18" x14ac:dyDescent="0.2">
      <c r="A27" s="6" t="s">
        <v>11</v>
      </c>
      <c r="B27" s="7" t="s">
        <v>21</v>
      </c>
      <c r="N27" s="66" t="e">
        <f ca="1">IF($N$1="",IF(_xll.EVDES(B6,$B$1)="#NODATA","",_xll.EVDES(B6,$B$1)&amp;" Department"),$N$1)</f>
        <v>#NAME?</v>
      </c>
    </row>
    <row r="28" spans="1:35" ht="16" x14ac:dyDescent="0.2">
      <c r="A28" s="6" t="s">
        <v>12</v>
      </c>
      <c r="B28" s="7" t="s">
        <v>22</v>
      </c>
      <c r="N28" s="67" t="e">
        <f ca="1">"For the Period ended"&amp;" "&amp;IF(_xll.EVDES($B$10,$B$1)="#NODATA","",_xll.EVDES($B$10,$B$1))</f>
        <v>#NAME?</v>
      </c>
    </row>
    <row r="29" spans="1:35" ht="15" customHeight="1" x14ac:dyDescent="0.2">
      <c r="A29" s="6" t="s">
        <v>13</v>
      </c>
      <c r="B29" s="7" t="s">
        <v>293</v>
      </c>
      <c r="N29" s="67" t="e">
        <f ca="1">_xll.EVDES(B9,B1)</f>
        <v>#NAME?</v>
      </c>
      <c r="O29" s="62" t="s">
        <v>344</v>
      </c>
      <c r="P29" s="62"/>
      <c r="Q29" s="62"/>
      <c r="R29" s="62"/>
      <c r="S29" s="62"/>
      <c r="T29" s="62"/>
      <c r="U29" s="62"/>
      <c r="V29" s="62"/>
      <c r="W29" s="62"/>
      <c r="X29" s="62"/>
      <c r="Y29" s="62"/>
      <c r="Z29" s="62"/>
      <c r="AA29" s="62"/>
    </row>
    <row r="30" spans="1:35"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row>
    <row r="31" spans="1:35" x14ac:dyDescent="0.2">
      <c r="A31" s="6" t="s">
        <v>15</v>
      </c>
      <c r="B31" s="7"/>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row>
    <row r="32" spans="1:35" s="232" customFormat="1" ht="30" customHeight="1" x14ac:dyDescent="0.2">
      <c r="A32" s="230" t="s">
        <v>16</v>
      </c>
      <c r="B32" s="231"/>
      <c r="E32" s="1"/>
      <c r="H32" s="233"/>
      <c r="I32" s="234"/>
      <c r="J32" s="234"/>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row>
    <row r="33" spans="1:35" ht="16" x14ac:dyDescent="0.2">
      <c r="A33" s="6" t="s">
        <v>17</v>
      </c>
      <c r="B33" s="7"/>
      <c r="N33" s="155" t="s">
        <v>330</v>
      </c>
      <c r="O33" s="38"/>
      <c r="P33" s="42"/>
      <c r="Q33" s="42"/>
      <c r="R33" s="42"/>
      <c r="S33" s="42"/>
      <c r="T33" s="42"/>
      <c r="U33" s="42"/>
      <c r="V33" s="42"/>
      <c r="W33" s="42"/>
      <c r="X33" s="42"/>
      <c r="Y33" s="42"/>
      <c r="Z33" s="42"/>
      <c r="AA33" s="42"/>
      <c r="AB33" s="39"/>
      <c r="AD33" s="38"/>
      <c r="AE33" s="42"/>
      <c r="AF33" s="39"/>
      <c r="AG33" s="38"/>
      <c r="AH33" s="42"/>
      <c r="AI33" s="39"/>
    </row>
    <row r="34" spans="1:35" x14ac:dyDescent="0.2">
      <c r="L34" s="175" t="s">
        <v>364</v>
      </c>
      <c r="M34" s="175" t="s">
        <v>782</v>
      </c>
      <c r="N34" s="8" t="s">
        <v>312</v>
      </c>
      <c r="O34" s="50"/>
      <c r="AB34" s="51"/>
      <c r="AD34" s="50"/>
      <c r="AF34" s="51"/>
      <c r="AG34" s="50"/>
      <c r="AI34" s="51"/>
    </row>
    <row r="35" spans="1:35" x14ac:dyDescent="0.2">
      <c r="H35" s="10" t="s">
        <v>260</v>
      </c>
      <c r="I35" s="25" t="e">
        <f ca="1">_xll.EVPRO($B$1,$H35,"STYLE")</f>
        <v>#NAME?</v>
      </c>
      <c r="J35" s="25" t="e">
        <f ca="1">_xll.EVPRO($B$1,$H35,"CALC")</f>
        <v>#NAME?</v>
      </c>
      <c r="K35" s="24"/>
      <c r="L35" s="24" t="e">
        <f ca="1">_xll.EVPRO($B$1,H35,"JDEID")</f>
        <v>#NAME?</v>
      </c>
      <c r="M35" s="24" t="e">
        <f ca="1">IF(AND(I35="N",J35="N"),_xll.EVPRO($B$1,H35,"PSFTID"),"")</f>
        <v>#NAME?</v>
      </c>
      <c r="N35" s="24" t="e">
        <f ca="1">IF(_xll.EVDES(H35,$B$1)="#NODATA","",_xll.EVDES(H35,$B$1))</f>
        <v>#NAME?</v>
      </c>
      <c r="O35" s="19"/>
      <c r="P35" s="19"/>
      <c r="Q35" s="19"/>
      <c r="R35" s="19"/>
      <c r="S35" s="19"/>
      <c r="T35" s="19"/>
      <c r="U35" s="19"/>
      <c r="V35" s="19"/>
      <c r="W35" s="19"/>
      <c r="X35" s="19"/>
      <c r="Y35" s="19"/>
      <c r="Z35" s="19"/>
      <c r="AA35" s="19">
        <f t="shared" ref="AA35:AA41" si="0">SUM(O35:Z35)</f>
        <v>0</v>
      </c>
      <c r="AB35" s="15" t="str">
        <f>IF(AA35=0,"",IFERROR(AA35/AA$19,""))</f>
        <v/>
      </c>
      <c r="AD35" s="19"/>
      <c r="AE35" s="15" t="str">
        <f>IF(AD35=0,"",IFERROR(AD35/AD$19,""))</f>
        <v/>
      </c>
      <c r="AF35" s="47">
        <f t="shared" ref="AF35:AF42" si="1">IF(AND($AA35="",AD35=""),"",$AA35-AD35)</f>
        <v>0</v>
      </c>
      <c r="AG35" s="19"/>
      <c r="AH35" s="15" t="str">
        <f>IF(AG35=0,"",IFERROR(AG35/AG$19,""))</f>
        <v/>
      </c>
      <c r="AI35" s="47">
        <f t="shared" ref="AI35:AI42" si="2">IF(AND($AA35="",AG35=""),"",$AA35-AG35)</f>
        <v>0</v>
      </c>
    </row>
    <row r="36" spans="1:35" x14ac:dyDescent="0.2">
      <c r="A36" s="3" t="s">
        <v>23</v>
      </c>
      <c r="B36" s="5" t="s">
        <v>24</v>
      </c>
      <c r="H36" s="10" t="s">
        <v>294</v>
      </c>
      <c r="I36" s="25" t="e">
        <f ca="1">_xll.EVPRO($B$1,$H36,"STYLE")</f>
        <v>#NAME?</v>
      </c>
      <c r="J36" s="25" t="e">
        <f ca="1">_xll.EVPRO($B$1,$H36,"CALC")</f>
        <v>#NAME?</v>
      </c>
      <c r="K36" s="24"/>
      <c r="L36" s="24" t="e">
        <f ca="1">_xll.EVPRO($B$1,H36,"JDEID")</f>
        <v>#NAME?</v>
      </c>
      <c r="M36" s="24" t="e">
        <f ca="1">IF(AND(I36="N",J36="N"),_xll.EVPRO($B$1,H36,"PSFTID"),"")</f>
        <v>#NAME?</v>
      </c>
      <c r="N36" s="24" t="e">
        <f ca="1">IF(_xll.EVDES(H36,$B$1)="#NODATA","",_xll.EVDES(H36,$B$1))</f>
        <v>#NAME?</v>
      </c>
      <c r="O36" s="19"/>
      <c r="P36" s="19"/>
      <c r="Q36" s="19"/>
      <c r="R36" s="19"/>
      <c r="S36" s="19"/>
      <c r="T36" s="19"/>
      <c r="U36" s="19"/>
      <c r="V36" s="19"/>
      <c r="W36" s="19"/>
      <c r="X36" s="19"/>
      <c r="Y36" s="19"/>
      <c r="Z36" s="19"/>
      <c r="AA36" s="19">
        <f t="shared" si="0"/>
        <v>0</v>
      </c>
      <c r="AB36" s="15" t="str">
        <f>IF(AA36=0,"",IFERROR(AA36/AA$19,""))</f>
        <v/>
      </c>
      <c r="AD36" s="19"/>
      <c r="AE36" s="15" t="str">
        <f>IF(AD36=0,"",IFERROR(AD36/AD$19,""))</f>
        <v/>
      </c>
      <c r="AF36" s="47">
        <f t="shared" si="1"/>
        <v>0</v>
      </c>
      <c r="AG36" s="19"/>
      <c r="AH36" s="15" t="str">
        <f t="shared" ref="AH36:AH79" si="3">IF(AG36=0,"",IFERROR(AG36/AG$19,""))</f>
        <v/>
      </c>
      <c r="AI36" s="47">
        <f t="shared" si="2"/>
        <v>0</v>
      </c>
    </row>
    <row r="37" spans="1:35" x14ac:dyDescent="0.2">
      <c r="A37" s="6" t="s">
        <v>25</v>
      </c>
      <c r="B37" s="7"/>
      <c r="H37" s="10" t="s">
        <v>295</v>
      </c>
      <c r="I37" s="25" t="e">
        <f ca="1">_xll.EVPRO($B$1,$H37,"STYLE")</f>
        <v>#NAME?</v>
      </c>
      <c r="J37" s="25" t="e">
        <f ca="1">_xll.EVPRO($B$1,$H37,"CALC")</f>
        <v>#NAME?</v>
      </c>
      <c r="K37" s="24"/>
      <c r="L37" s="24" t="e">
        <f ca="1">_xll.EVPRO($B$1,H37,"JDEID")</f>
        <v>#NAME?</v>
      </c>
      <c r="M37" s="24" t="e">
        <f ca="1">IF(AND(I37="N",J37="N"),_xll.EVPRO($B$1,H37,"PSFTID"),"")</f>
        <v>#NAME?</v>
      </c>
      <c r="N37" s="24" t="e">
        <f ca="1">IF(_xll.EVDES(H37,$B$1)="#NODATA","",_xll.EVDES(H37,$B$1))</f>
        <v>#NAME?</v>
      </c>
      <c r="O37" s="19"/>
      <c r="P37" s="19"/>
      <c r="Q37" s="19"/>
      <c r="R37" s="19"/>
      <c r="S37" s="19"/>
      <c r="T37" s="19"/>
      <c r="U37" s="19"/>
      <c r="V37" s="19"/>
      <c r="W37" s="19"/>
      <c r="X37" s="19"/>
      <c r="Y37" s="19"/>
      <c r="Z37" s="19"/>
      <c r="AA37" s="19">
        <f t="shared" si="0"/>
        <v>0</v>
      </c>
      <c r="AB37" s="15" t="str">
        <f>IF(AA37=0,"",IFERROR(AA37/AA$19,""))</f>
        <v/>
      </c>
      <c r="AD37" s="19"/>
      <c r="AE37" s="15" t="str">
        <f>IF(AD37=0,"",IFERROR(AD37/AD$19,""))</f>
        <v/>
      </c>
      <c r="AF37" s="47">
        <f t="shared" si="1"/>
        <v>0</v>
      </c>
      <c r="AG37" s="19"/>
      <c r="AH37" s="15" t="str">
        <f t="shared" si="3"/>
        <v/>
      </c>
      <c r="AI37" s="47">
        <f t="shared" si="2"/>
        <v>0</v>
      </c>
    </row>
    <row r="38" spans="1:35" x14ac:dyDescent="0.2">
      <c r="A38" s="6" t="s">
        <v>26</v>
      </c>
      <c r="B38" s="7"/>
      <c r="H38" s="10" t="s">
        <v>296</v>
      </c>
      <c r="I38" s="25" t="e">
        <f ca="1">_xll.EVPRO($B$1,$H38,"STYLE")</f>
        <v>#NAME?</v>
      </c>
      <c r="J38" s="25" t="e">
        <f ca="1">_xll.EVPRO($B$1,$H38,"CALC")</f>
        <v>#NAME?</v>
      </c>
      <c r="K38" s="24"/>
      <c r="L38" s="24" t="e">
        <f ca="1">_xll.EVPRO($B$1,H38,"JDEID")</f>
        <v>#NAME?</v>
      </c>
      <c r="M38" s="24" t="e">
        <f ca="1">IF(AND(I38="N",J38="N"),_xll.EVPRO($B$1,H38,"PSFTID"),"")</f>
        <v>#NAME?</v>
      </c>
      <c r="N38" s="24" t="e">
        <f ca="1">IF(_xll.EVDES(H38,$B$1)="#NODATA","",_xll.EVDES(H38,$B$1))</f>
        <v>#NAME?</v>
      </c>
      <c r="O38" s="28"/>
      <c r="P38" s="28"/>
      <c r="Q38" s="28"/>
      <c r="R38" s="28"/>
      <c r="S38" s="28"/>
      <c r="T38" s="28"/>
      <c r="U38" s="28"/>
      <c r="V38" s="28"/>
      <c r="W38" s="28"/>
      <c r="X38" s="28"/>
      <c r="Y38" s="28"/>
      <c r="Z38" s="28"/>
      <c r="AA38" s="28">
        <f t="shared" si="0"/>
        <v>0</v>
      </c>
      <c r="AB38" s="29" t="str">
        <f>IF(AA38=0,"",IFERROR(AA38/AA$19,""))</f>
        <v/>
      </c>
      <c r="AD38" s="28"/>
      <c r="AE38" s="29" t="str">
        <f>IF(AD38=0,"",IFERROR(AD38/AD$19,""))</f>
        <v/>
      </c>
      <c r="AF38" s="48">
        <f t="shared" si="1"/>
        <v>0</v>
      </c>
      <c r="AG38" s="28"/>
      <c r="AH38" s="29" t="str">
        <f t="shared" si="3"/>
        <v/>
      </c>
      <c r="AI38" s="48">
        <f t="shared" si="2"/>
        <v>0</v>
      </c>
    </row>
    <row r="39" spans="1:35" x14ac:dyDescent="0.2">
      <c r="A39" s="6" t="s">
        <v>27</v>
      </c>
      <c r="B39" s="7"/>
      <c r="H39" s="10" t="s">
        <v>318</v>
      </c>
      <c r="I39" s="25" t="e">
        <f ca="1">_xll.EVPRO($B$1,$H39,"STYLE")</f>
        <v>#NAME?</v>
      </c>
      <c r="J39" s="25" t="e">
        <f ca="1">_xll.EVPRO($B$1,$H39,"CALC")</f>
        <v>#NAME?</v>
      </c>
      <c r="K39" s="24"/>
      <c r="L39" s="24" t="e">
        <f ca="1">_xll.EVPRO($B$1,H39,"JDEID")</f>
        <v>#NAME?</v>
      </c>
      <c r="M39" s="24" t="e">
        <f ca="1">IF(AND(I39="N",J39="N"),_xll.EVPRO($B$1,H39,"PSFTID"),"")</f>
        <v>#NAME?</v>
      </c>
      <c r="N39" s="23" t="e">
        <f ca="1">IF(_xll.EVDES(H39,$B$1)="#NODATA","",_xll.EVDES(H39,$B$1))</f>
        <v>#NAME?</v>
      </c>
      <c r="O39" s="145"/>
      <c r="P39" s="145"/>
      <c r="Q39" s="145"/>
      <c r="R39" s="145"/>
      <c r="S39" s="145"/>
      <c r="T39" s="145"/>
      <c r="U39" s="145"/>
      <c r="V39" s="145"/>
      <c r="W39" s="145"/>
      <c r="X39" s="145"/>
      <c r="Y39" s="145"/>
      <c r="Z39" s="145"/>
      <c r="AA39" s="145">
        <f t="shared" si="0"/>
        <v>0</v>
      </c>
      <c r="AB39" s="156" t="str">
        <f>IF(AA39=0,"",IFERROR(AA39/AA$19,""))</f>
        <v/>
      </c>
      <c r="AD39" s="145"/>
      <c r="AE39" s="156" t="str">
        <f>IF(AD39=0,"",IFERROR(AD39/AD$19,""))</f>
        <v/>
      </c>
      <c r="AF39" s="146">
        <f t="shared" si="1"/>
        <v>0</v>
      </c>
      <c r="AG39" s="145"/>
      <c r="AH39" s="156" t="str">
        <f t="shared" si="3"/>
        <v/>
      </c>
      <c r="AI39" s="146">
        <f t="shared" si="2"/>
        <v>0</v>
      </c>
    </row>
    <row r="40" spans="1:35" x14ac:dyDescent="0.2">
      <c r="A40" s="6" t="s">
        <v>28</v>
      </c>
      <c r="B40" s="7"/>
      <c r="H40" s="10" t="s">
        <v>763</v>
      </c>
      <c r="I40" s="25" t="e">
        <f ca="1">_xll.EVPRO($B$1,$H40,"STYLE")</f>
        <v>#NAME?</v>
      </c>
      <c r="J40" s="25" t="e">
        <f ca="1">_xll.EVPRO($B$1,$H40,"CALC")</f>
        <v>#NAME?</v>
      </c>
      <c r="K40" s="24"/>
      <c r="L40" s="24" t="e">
        <f ca="1">_xll.EVPRO($B$1,H40,"JDEID")</f>
        <v>#NAME?</v>
      </c>
      <c r="M40" s="24" t="e">
        <f ca="1">IF(AND(I40="N",J40="N"),_xll.EVPRO($B$1,H40,"PSFTID"),"")</f>
        <v>#NAME?</v>
      </c>
      <c r="N40" s="24" t="e">
        <f ca="1">IF(_xll.EVDES(H40,$B$1)="#NODATA","",_xll.EVDES(H40,$B$1))</f>
        <v>#NAME?</v>
      </c>
      <c r="O40" s="35"/>
      <c r="P40" s="35"/>
      <c r="Q40" s="35"/>
      <c r="R40" s="35"/>
      <c r="S40" s="35"/>
      <c r="T40" s="35"/>
      <c r="U40" s="35"/>
      <c r="V40" s="35"/>
      <c r="W40" s="35"/>
      <c r="X40" s="35"/>
      <c r="Y40" s="35"/>
      <c r="Z40" s="35"/>
      <c r="AA40" s="35">
        <f t="shared" si="0"/>
        <v>0</v>
      </c>
      <c r="AB40" s="36"/>
      <c r="AD40" s="35"/>
      <c r="AE40" s="36"/>
      <c r="AF40" s="118">
        <f t="shared" si="1"/>
        <v>0</v>
      </c>
      <c r="AG40" s="35"/>
      <c r="AH40" s="36"/>
      <c r="AI40" s="118">
        <f t="shared" si="2"/>
        <v>0</v>
      </c>
    </row>
    <row r="41" spans="1:35" x14ac:dyDescent="0.2">
      <c r="A41" s="6" t="s">
        <v>29</v>
      </c>
      <c r="B41" s="7"/>
      <c r="H41" s="10" t="s">
        <v>297</v>
      </c>
      <c r="I41" s="25" t="e">
        <f ca="1">_xll.EVPRO($B$1,$H41,"STYLE")</f>
        <v>#NAME?</v>
      </c>
      <c r="J41" s="25" t="e">
        <f ca="1">_xll.EVPRO($B$1,$H41,"CALC")</f>
        <v>#NAME?</v>
      </c>
      <c r="K41" s="24"/>
      <c r="L41" s="24" t="e">
        <f ca="1">_xll.EVPRO($B$1,H41,"JDEID")</f>
        <v>#NAME?</v>
      </c>
      <c r="M41" s="24" t="e">
        <f ca="1">IF(AND(I41="N",J41="N"),_xll.EVPRO($B$1,H41,"PSFTID"),"")</f>
        <v>#NAME?</v>
      </c>
      <c r="N41" s="24" t="e">
        <f ca="1">IF(_xll.EVDES(H41,$B$1)="#NODATA","",_xll.EVDES(H41,$B$1))</f>
        <v>#NAME?</v>
      </c>
      <c r="O41" s="35"/>
      <c r="P41" s="35"/>
      <c r="Q41" s="35"/>
      <c r="R41" s="35"/>
      <c r="S41" s="35"/>
      <c r="T41" s="35"/>
      <c r="U41" s="35"/>
      <c r="V41" s="35"/>
      <c r="W41" s="35"/>
      <c r="X41" s="35"/>
      <c r="Y41" s="35"/>
      <c r="Z41" s="35"/>
      <c r="AA41" s="35">
        <f t="shared" si="0"/>
        <v>0</v>
      </c>
      <c r="AB41" s="36" t="str">
        <f>IF(AA41=0,"",IFERROR(AA41/AA$87,""))</f>
        <v/>
      </c>
      <c r="AD41" s="35"/>
      <c r="AE41" s="36" t="str">
        <f>IF(AD41=0,"",IFERROR(AD41/AD$87,""))</f>
        <v/>
      </c>
      <c r="AF41" s="118">
        <f t="shared" si="1"/>
        <v>0</v>
      </c>
      <c r="AG41" s="35"/>
      <c r="AH41" s="36" t="str">
        <f>IF(AG41=0,"",IFERROR(AG41/AG$87,""))</f>
        <v/>
      </c>
      <c r="AI41" s="118">
        <f t="shared" si="2"/>
        <v>0</v>
      </c>
    </row>
    <row r="42" spans="1:35" x14ac:dyDescent="0.2">
      <c r="A42" s="6" t="s">
        <v>30</v>
      </c>
      <c r="B42" s="7" t="s">
        <v>78</v>
      </c>
      <c r="H42" s="10" t="s">
        <v>313</v>
      </c>
      <c r="I42" s="25" t="e">
        <f ca="1">_xll.EVPRO($B$1,$H42,"STYLE")</f>
        <v>#NAME?</v>
      </c>
      <c r="J42" s="25" t="e">
        <f ca="1">_xll.EVPRO($B$1,$H42,"CALC")</f>
        <v>#NAME?</v>
      </c>
      <c r="K42" s="24"/>
      <c r="L42" s="24" t="e">
        <f ca="1">_xll.EVPRO($B$1,H42,"JDEID")</f>
        <v>#NAME?</v>
      </c>
      <c r="M42" s="24" t="e">
        <f ca="1">IF(AND(I42="N",J42="N"),_xll.EVPRO($B$1,H42,"PSFTID"),"")</f>
        <v>#NAME?</v>
      </c>
      <c r="N42" s="151" t="e">
        <f ca="1">IF(_xll.EVDES(H42,$B$1)="#NODATA","",_xll.EVDES(H42,$B$1))</f>
        <v>#NAME?</v>
      </c>
      <c r="O42" s="157"/>
      <c r="P42" s="157"/>
      <c r="Q42" s="157"/>
      <c r="R42" s="157"/>
      <c r="S42" s="157"/>
      <c r="T42" s="157"/>
      <c r="U42" s="157"/>
      <c r="V42" s="157"/>
      <c r="W42" s="157"/>
      <c r="X42" s="157"/>
      <c r="Y42" s="157"/>
      <c r="Z42" s="157"/>
      <c r="AA42" s="157" t="str">
        <f>IFERROR(AA39/AA41,"")</f>
        <v/>
      </c>
      <c r="AB42" s="157"/>
      <c r="AD42" s="157"/>
      <c r="AE42" s="157"/>
      <c r="AF42" s="158" t="str">
        <f t="shared" si="1"/>
        <v/>
      </c>
      <c r="AG42" s="157"/>
      <c r="AH42" s="157"/>
      <c r="AI42" s="158" t="str">
        <f t="shared" si="2"/>
        <v/>
      </c>
    </row>
    <row r="43" spans="1:35" x14ac:dyDescent="0.2">
      <c r="A43" s="6" t="s">
        <v>31</v>
      </c>
      <c r="B43" s="7" t="s">
        <v>78</v>
      </c>
      <c r="G43" s="162">
        <f>COUNTIF(O44:AI44,FALSE)</f>
        <v>0</v>
      </c>
      <c r="H43" s="10"/>
      <c r="I43" s="25"/>
      <c r="J43" s="25"/>
      <c r="K43" s="24"/>
      <c r="L43" s="24"/>
      <c r="M43" s="24"/>
      <c r="N43" s="163" t="s">
        <v>345</v>
      </c>
      <c r="O43" s="160">
        <f t="shared" ref="O43:AA43" si="4">ROUND(IFERROR(O39/O41,0),2)</f>
        <v>0</v>
      </c>
      <c r="P43" s="165">
        <f t="shared" si="4"/>
        <v>0</v>
      </c>
      <c r="Q43" s="165">
        <f t="shared" si="4"/>
        <v>0</v>
      </c>
      <c r="R43" s="165">
        <f t="shared" si="4"/>
        <v>0</v>
      </c>
      <c r="S43" s="165">
        <f t="shared" si="4"/>
        <v>0</v>
      </c>
      <c r="T43" s="165">
        <f t="shared" si="4"/>
        <v>0</v>
      </c>
      <c r="U43" s="165">
        <f t="shared" si="4"/>
        <v>0</v>
      </c>
      <c r="V43" s="165">
        <f t="shared" si="4"/>
        <v>0</v>
      </c>
      <c r="W43" s="165">
        <f t="shared" si="4"/>
        <v>0</v>
      </c>
      <c r="X43" s="165">
        <f t="shared" si="4"/>
        <v>0</v>
      </c>
      <c r="Y43" s="165">
        <f t="shared" si="4"/>
        <v>0</v>
      </c>
      <c r="Z43" s="165">
        <f t="shared" si="4"/>
        <v>0</v>
      </c>
      <c r="AA43" s="165">
        <f t="shared" si="4"/>
        <v>0</v>
      </c>
      <c r="AB43" s="164"/>
      <c r="AD43" s="160">
        <f>ROUND(IFERROR(AD39/AD41,0),2)</f>
        <v>0</v>
      </c>
      <c r="AE43" s="165"/>
      <c r="AF43" s="161"/>
      <c r="AG43" s="160">
        <f>ROUND(IFERROR(AG39/AG41,0),2)</f>
        <v>0</v>
      </c>
      <c r="AH43" s="165"/>
      <c r="AI43" s="161"/>
    </row>
    <row r="44" spans="1:35" x14ac:dyDescent="0.2">
      <c r="A44" s="6" t="s">
        <v>32</v>
      </c>
      <c r="B44" s="7"/>
      <c r="H44" s="10"/>
      <c r="I44" s="25"/>
      <c r="J44" s="25"/>
      <c r="K44" s="24"/>
      <c r="L44" s="24"/>
      <c r="M44" s="24"/>
      <c r="N44" s="8" t="s">
        <v>314</v>
      </c>
      <c r="O44" s="292" t="b">
        <f t="shared" ref="O44:AA44" si="5">ROUND(O42,2)=ROUND(O43,2)</f>
        <v>1</v>
      </c>
      <c r="P44" s="293" t="b">
        <f t="shared" si="5"/>
        <v>1</v>
      </c>
      <c r="Q44" s="293" t="b">
        <f t="shared" si="5"/>
        <v>1</v>
      </c>
      <c r="R44" s="293" t="b">
        <f t="shared" si="5"/>
        <v>1</v>
      </c>
      <c r="S44" s="293" t="b">
        <f t="shared" si="5"/>
        <v>1</v>
      </c>
      <c r="T44" s="293" t="b">
        <f t="shared" si="5"/>
        <v>1</v>
      </c>
      <c r="U44" s="293" t="b">
        <f t="shared" si="5"/>
        <v>1</v>
      </c>
      <c r="V44" s="293" t="b">
        <f t="shared" si="5"/>
        <v>1</v>
      </c>
      <c r="W44" s="293" t="b">
        <f t="shared" si="5"/>
        <v>1</v>
      </c>
      <c r="X44" s="293" t="b">
        <f t="shared" si="5"/>
        <v>1</v>
      </c>
      <c r="Y44" s="293" t="b">
        <f t="shared" si="5"/>
        <v>1</v>
      </c>
      <c r="Z44" s="293" t="b">
        <f t="shared" si="5"/>
        <v>1</v>
      </c>
      <c r="AA44" s="293" t="e">
        <f t="shared" si="5"/>
        <v>#VALUE!</v>
      </c>
      <c r="AB44" s="294"/>
      <c r="AC44" s="206"/>
      <c r="AD44" s="292"/>
      <c r="AE44" s="293" t="b">
        <f>ROUND(AD42,2)=ROUND(AD43,2)</f>
        <v>1</v>
      </c>
      <c r="AF44" s="294"/>
      <c r="AG44" s="292"/>
      <c r="AH44" s="293" t="b">
        <f>ROUND(AG42,2)=ROUND(AG43,2)</f>
        <v>1</v>
      </c>
      <c r="AI44" s="294"/>
    </row>
    <row r="45" spans="1:35" x14ac:dyDescent="0.2">
      <c r="A45" s="6" t="s">
        <v>33</v>
      </c>
      <c r="B45" s="7"/>
      <c r="H45" s="10" t="s">
        <v>261</v>
      </c>
      <c r="I45" s="25" t="e">
        <f ca="1">_xll.EVPRO($B$1,$H45,"STYLE")</f>
        <v>#NAME?</v>
      </c>
      <c r="J45" s="25" t="e">
        <f ca="1">_xll.EVPRO($B$1,$H45,"CALC")</f>
        <v>#NAME?</v>
      </c>
      <c r="K45" s="24"/>
      <c r="L45" s="24" t="e">
        <f ca="1">_xll.EVPRO($B$1,H45,"JDEID")</f>
        <v>#NAME?</v>
      </c>
      <c r="M45" s="24" t="e">
        <f ca="1">IF(AND(I45="N",J45="N"),_xll.EVPRO($B$1,H45,"PSFTID"),"")</f>
        <v>#NAME?</v>
      </c>
      <c r="N45" s="24" t="e">
        <f ca="1">IF(_xll.EVDES(H45,$B$1)="#NODATA","",_xll.EVDES(H45,$B$1))</f>
        <v>#NAME?</v>
      </c>
      <c r="O45" s="19"/>
      <c r="P45" s="19"/>
      <c r="Q45" s="19"/>
      <c r="R45" s="19"/>
      <c r="S45" s="19"/>
      <c r="T45" s="19"/>
      <c r="U45" s="19"/>
      <c r="V45" s="19"/>
      <c r="W45" s="19"/>
      <c r="X45" s="19"/>
      <c r="Y45" s="19"/>
      <c r="Z45" s="19"/>
      <c r="AA45" s="19">
        <f t="shared" ref="AA45:AA51" si="6">SUM(O45:Z45)</f>
        <v>0</v>
      </c>
      <c r="AB45" s="15" t="str">
        <f>IF(AA45=0,"",IFERROR(AA45/AA$19,""))</f>
        <v/>
      </c>
      <c r="AD45" s="19"/>
      <c r="AE45" s="15" t="str">
        <f>IF(AD45=0,"",IFERROR(AD45/AD$19,""))</f>
        <v/>
      </c>
      <c r="AF45" s="47">
        <f t="shared" ref="AF45:AF52" si="7">IF(AND($AA45="",AD45=""),"",$AA45-AD45)</f>
        <v>0</v>
      </c>
      <c r="AG45" s="19"/>
      <c r="AH45" s="15" t="str">
        <f t="shared" si="3"/>
        <v/>
      </c>
      <c r="AI45" s="47">
        <f t="shared" ref="AI45:AI52" si="8">IF(AND($AA45="",AG45=""),"",$AA45-AG45)</f>
        <v>0</v>
      </c>
    </row>
    <row r="46" spans="1:35" x14ac:dyDescent="0.2">
      <c r="A46" s="6" t="s">
        <v>34</v>
      </c>
      <c r="B46" s="7"/>
      <c r="H46" s="133" t="s">
        <v>301</v>
      </c>
      <c r="I46" s="25" t="e">
        <f ca="1">_xll.EVPRO($B$1,$H46,"STYLE")</f>
        <v>#NAME?</v>
      </c>
      <c r="J46" s="25" t="e">
        <f ca="1">_xll.EVPRO($B$1,$H46,"CALC")</f>
        <v>#NAME?</v>
      </c>
      <c r="K46" s="24"/>
      <c r="L46" s="24" t="e">
        <f ca="1">_xll.EVPRO($B$1,H46,"JDEID")</f>
        <v>#NAME?</v>
      </c>
      <c r="M46" s="24" t="e">
        <f ca="1">IF(AND(I46="N",J46="N"),_xll.EVPRO($B$1,H46,"PSFTID"),"")</f>
        <v>#NAME?</v>
      </c>
      <c r="N46" s="24" t="e">
        <f ca="1">IF(_xll.EVDES(H46,$B$1)="#NODATA","",_xll.EVDES(H46,$B$1))</f>
        <v>#NAME?</v>
      </c>
      <c r="O46" s="19"/>
      <c r="P46" s="19"/>
      <c r="Q46" s="19"/>
      <c r="R46" s="19"/>
      <c r="S46" s="19"/>
      <c r="T46" s="19"/>
      <c r="U46" s="19"/>
      <c r="V46" s="19"/>
      <c r="W46" s="19"/>
      <c r="X46" s="19"/>
      <c r="Y46" s="19"/>
      <c r="Z46" s="19"/>
      <c r="AA46" s="19">
        <f t="shared" si="6"/>
        <v>0</v>
      </c>
      <c r="AB46" s="15" t="str">
        <f>IF(AA46=0,"",IFERROR(AA46/AA$19,""))</f>
        <v/>
      </c>
      <c r="AD46" s="19"/>
      <c r="AE46" s="15" t="str">
        <f>IF(AD46=0,"",IFERROR(AD46/AD$19,""))</f>
        <v/>
      </c>
      <c r="AF46" s="47">
        <f t="shared" si="7"/>
        <v>0</v>
      </c>
      <c r="AG46" s="19"/>
      <c r="AH46" s="15" t="str">
        <f t="shared" si="3"/>
        <v/>
      </c>
      <c r="AI46" s="47">
        <f t="shared" si="8"/>
        <v>0</v>
      </c>
    </row>
    <row r="47" spans="1:35" x14ac:dyDescent="0.2">
      <c r="A47" s="6" t="s">
        <v>35</v>
      </c>
      <c r="B47" s="7"/>
      <c r="H47" s="133" t="s">
        <v>305</v>
      </c>
      <c r="I47" s="25" t="e">
        <f ca="1">_xll.EVPRO($B$1,$H47,"STYLE")</f>
        <v>#NAME?</v>
      </c>
      <c r="J47" s="25" t="e">
        <f ca="1">_xll.EVPRO($B$1,$H47,"CALC")</f>
        <v>#NAME?</v>
      </c>
      <c r="K47" s="24"/>
      <c r="L47" s="24" t="e">
        <f ca="1">_xll.EVPRO($B$1,H47,"JDEID")</f>
        <v>#NAME?</v>
      </c>
      <c r="M47" s="24" t="e">
        <f ca="1">IF(AND(I47="N",J47="N"),_xll.EVPRO($B$1,H47,"PSFTID"),"")</f>
        <v>#NAME?</v>
      </c>
      <c r="N47" s="24" t="e">
        <f ca="1">IF(_xll.EVDES(H47,$B$1)="#NODATA","",_xll.EVDES(H47,$B$1))</f>
        <v>#NAME?</v>
      </c>
      <c r="O47" s="19"/>
      <c r="P47" s="19"/>
      <c r="Q47" s="19"/>
      <c r="R47" s="19"/>
      <c r="S47" s="19"/>
      <c r="T47" s="19"/>
      <c r="U47" s="19"/>
      <c r="V47" s="19"/>
      <c r="W47" s="19"/>
      <c r="X47" s="19"/>
      <c r="Y47" s="19"/>
      <c r="Z47" s="19"/>
      <c r="AA47" s="19">
        <f t="shared" si="6"/>
        <v>0</v>
      </c>
      <c r="AB47" s="15" t="str">
        <f>IF(AA47=0,"",IFERROR(AA47/AA$19,""))</f>
        <v/>
      </c>
      <c r="AD47" s="19"/>
      <c r="AE47" s="15" t="str">
        <f>IF(AD47=0,"",IFERROR(AD47/AD$19,""))</f>
        <v/>
      </c>
      <c r="AF47" s="47">
        <f t="shared" si="7"/>
        <v>0</v>
      </c>
      <c r="AG47" s="19"/>
      <c r="AH47" s="15" t="str">
        <f t="shared" si="3"/>
        <v/>
      </c>
      <c r="AI47" s="47">
        <f t="shared" si="8"/>
        <v>0</v>
      </c>
    </row>
    <row r="48" spans="1:35" x14ac:dyDescent="0.2">
      <c r="A48" s="6" t="s">
        <v>36</v>
      </c>
      <c r="B48" s="7"/>
      <c r="H48" s="133" t="s">
        <v>303</v>
      </c>
      <c r="I48" s="25" t="e">
        <f ca="1">_xll.EVPRO($B$1,$H48,"STYLE")</f>
        <v>#NAME?</v>
      </c>
      <c r="J48" s="25" t="e">
        <f ca="1">_xll.EVPRO($B$1,$H48,"CALC")</f>
        <v>#NAME?</v>
      </c>
      <c r="K48" s="24"/>
      <c r="L48" s="24" t="e">
        <f ca="1">_xll.EVPRO($B$1,H48,"JDEID")</f>
        <v>#NAME?</v>
      </c>
      <c r="M48" s="24" t="e">
        <f ca="1">IF(AND(I48="N",J48="N"),_xll.EVPRO($B$1,H48,"PSFTID"),"")</f>
        <v>#NAME?</v>
      </c>
      <c r="N48" s="24" t="e">
        <f ca="1">IF(_xll.EVDES(H48,$B$1)="#NODATA","",_xll.EVDES(H48,$B$1))</f>
        <v>#NAME?</v>
      </c>
      <c r="O48" s="28"/>
      <c r="P48" s="28"/>
      <c r="Q48" s="28"/>
      <c r="R48" s="28"/>
      <c r="S48" s="28"/>
      <c r="T48" s="28"/>
      <c r="U48" s="28"/>
      <c r="V48" s="28"/>
      <c r="W48" s="28"/>
      <c r="X48" s="28"/>
      <c r="Y48" s="28"/>
      <c r="Z48" s="28"/>
      <c r="AA48" s="28">
        <f t="shared" si="6"/>
        <v>0</v>
      </c>
      <c r="AB48" s="29" t="str">
        <f>IF(AA48=0,"",IFERROR(AA48/AA$19,""))</f>
        <v/>
      </c>
      <c r="AD48" s="28"/>
      <c r="AE48" s="29" t="str">
        <f>IF(AD48=0,"",IFERROR(AD48/AD$19,""))</f>
        <v/>
      </c>
      <c r="AF48" s="48">
        <f t="shared" si="7"/>
        <v>0</v>
      </c>
      <c r="AG48" s="28"/>
      <c r="AH48" s="29" t="str">
        <f t="shared" si="3"/>
        <v/>
      </c>
      <c r="AI48" s="48">
        <f t="shared" si="8"/>
        <v>0</v>
      </c>
    </row>
    <row r="49" spans="1:35" x14ac:dyDescent="0.2">
      <c r="A49" s="6" t="s">
        <v>37</v>
      </c>
      <c r="B49" s="7"/>
      <c r="H49" s="10" t="s">
        <v>319</v>
      </c>
      <c r="I49" s="25" t="e">
        <f ca="1">_xll.EVPRO($B$1,$H49,"STYLE")</f>
        <v>#NAME?</v>
      </c>
      <c r="J49" s="25" t="e">
        <f ca="1">_xll.EVPRO($B$1,$H49,"CALC")</f>
        <v>#NAME?</v>
      </c>
      <c r="K49" s="24"/>
      <c r="L49" s="24" t="e">
        <f ca="1">_xll.EVPRO($B$1,H49,"JDEID")</f>
        <v>#NAME?</v>
      </c>
      <c r="M49" s="24" t="e">
        <f ca="1">IF(AND(I49="N",J49="N"),_xll.EVPRO($B$1,H49,"PSFTID"),"")</f>
        <v>#NAME?</v>
      </c>
      <c r="N49" s="23" t="e">
        <f ca="1">IF(_xll.EVDES(H49,$B$1)="#NODATA","",_xll.EVDES(H49,$B$1))</f>
        <v>#NAME?</v>
      </c>
      <c r="O49" s="145"/>
      <c r="P49" s="145"/>
      <c r="Q49" s="145"/>
      <c r="R49" s="145"/>
      <c r="S49" s="145"/>
      <c r="T49" s="145"/>
      <c r="U49" s="145"/>
      <c r="V49" s="145"/>
      <c r="W49" s="145"/>
      <c r="X49" s="145"/>
      <c r="Y49" s="145"/>
      <c r="Z49" s="145"/>
      <c r="AA49" s="145">
        <f t="shared" si="6"/>
        <v>0</v>
      </c>
      <c r="AB49" s="156" t="str">
        <f>IF(AA49=0,"",IFERROR(AA49/AA$19,""))</f>
        <v/>
      </c>
      <c r="AD49" s="145"/>
      <c r="AE49" s="156" t="str">
        <f>IF(AD49=0,"",IFERROR(AD49/AD$19,""))</f>
        <v/>
      </c>
      <c r="AF49" s="146">
        <f t="shared" si="7"/>
        <v>0</v>
      </c>
      <c r="AG49" s="145"/>
      <c r="AH49" s="156" t="str">
        <f t="shared" si="3"/>
        <v/>
      </c>
      <c r="AI49" s="146">
        <f t="shared" si="8"/>
        <v>0</v>
      </c>
    </row>
    <row r="50" spans="1:35" x14ac:dyDescent="0.2">
      <c r="A50" s="6" t="s">
        <v>38</v>
      </c>
      <c r="B50" s="7"/>
      <c r="H50" s="10" t="s">
        <v>764</v>
      </c>
      <c r="I50" s="25" t="e">
        <f ca="1">_xll.EVPRO($B$1,$H50,"STYLE")</f>
        <v>#NAME?</v>
      </c>
      <c r="J50" s="25" t="e">
        <f ca="1">_xll.EVPRO($B$1,$H50,"CALC")</f>
        <v>#NAME?</v>
      </c>
      <c r="K50" s="24"/>
      <c r="L50" s="24" t="e">
        <f ca="1">_xll.EVPRO($B$1,H50,"JDEID")</f>
        <v>#NAME?</v>
      </c>
      <c r="M50" s="24" t="e">
        <f ca="1">IF(AND(I50="N",J50="N"),_xll.EVPRO($B$1,H50,"PSFTID"),"")</f>
        <v>#NAME?</v>
      </c>
      <c r="N50" s="24" t="e">
        <f ca="1">IF(_xll.EVDES(H50,$B$1)="#NODATA","",_xll.EVDES(H50,$B$1))</f>
        <v>#NAME?</v>
      </c>
      <c r="O50" s="35"/>
      <c r="P50" s="35"/>
      <c r="Q50" s="35"/>
      <c r="R50" s="35"/>
      <c r="S50" s="35"/>
      <c r="T50" s="35"/>
      <c r="U50" s="35"/>
      <c r="V50" s="35"/>
      <c r="W50" s="35"/>
      <c r="X50" s="35"/>
      <c r="Y50" s="35"/>
      <c r="Z50" s="35"/>
      <c r="AA50" s="35">
        <f t="shared" si="6"/>
        <v>0</v>
      </c>
      <c r="AB50" s="36"/>
      <c r="AD50" s="35"/>
      <c r="AE50" s="36"/>
      <c r="AF50" s="118">
        <f t="shared" si="7"/>
        <v>0</v>
      </c>
      <c r="AG50" s="35"/>
      <c r="AH50" s="36"/>
      <c r="AI50" s="118">
        <f t="shared" si="8"/>
        <v>0</v>
      </c>
    </row>
    <row r="51" spans="1:35" x14ac:dyDescent="0.2">
      <c r="A51" s="6" t="s">
        <v>39</v>
      </c>
      <c r="B51" s="7"/>
      <c r="H51" s="10" t="s">
        <v>298</v>
      </c>
      <c r="I51" s="25" t="e">
        <f ca="1">_xll.EVPRO($B$1,$H51,"STYLE")</f>
        <v>#NAME?</v>
      </c>
      <c r="J51" s="25" t="e">
        <f ca="1">_xll.EVPRO($B$1,$H51,"CALC")</f>
        <v>#NAME?</v>
      </c>
      <c r="K51" s="24"/>
      <c r="L51" s="24" t="e">
        <f ca="1">_xll.EVPRO($B$1,H51,"JDEID")</f>
        <v>#NAME?</v>
      </c>
      <c r="M51" s="24" t="e">
        <f ca="1">IF(AND(I51="N",J51="N"),_xll.EVPRO($B$1,H51,"PSFTID"),"")</f>
        <v>#NAME?</v>
      </c>
      <c r="N51" s="24" t="e">
        <f ca="1">IF(_xll.EVDES(H51,$B$1)="#NODATA","",_xll.EVDES(H51,$B$1))</f>
        <v>#NAME?</v>
      </c>
      <c r="O51" s="35"/>
      <c r="P51" s="35"/>
      <c r="Q51" s="35"/>
      <c r="R51" s="35"/>
      <c r="S51" s="35"/>
      <c r="T51" s="35"/>
      <c r="U51" s="35"/>
      <c r="V51" s="35"/>
      <c r="W51" s="35"/>
      <c r="X51" s="35"/>
      <c r="Y51" s="35"/>
      <c r="Z51" s="35"/>
      <c r="AA51" s="35">
        <f t="shared" si="6"/>
        <v>0</v>
      </c>
      <c r="AB51" s="36" t="str">
        <f>IF(AA51=0,"",IFERROR(AA51/AA$87,""))</f>
        <v/>
      </c>
      <c r="AD51" s="35"/>
      <c r="AE51" s="36" t="str">
        <f>IF(AD51=0,"",IFERROR(AD51/AD$87,""))</f>
        <v/>
      </c>
      <c r="AF51" s="118">
        <f t="shared" si="7"/>
        <v>0</v>
      </c>
      <c r="AG51" s="35"/>
      <c r="AH51" s="36" t="str">
        <f>IF(AG51=0,"",IFERROR(AG51/AG$87,""))</f>
        <v/>
      </c>
      <c r="AI51" s="118">
        <f t="shared" si="8"/>
        <v>0</v>
      </c>
    </row>
    <row r="52" spans="1:35" x14ac:dyDescent="0.2">
      <c r="A52" s="6" t="s">
        <v>40</v>
      </c>
      <c r="B52" s="7"/>
      <c r="H52" s="10" t="s">
        <v>315</v>
      </c>
      <c r="I52" s="25" t="e">
        <f ca="1">_xll.EVPRO($B$1,$H52,"STYLE")</f>
        <v>#NAME?</v>
      </c>
      <c r="J52" s="25" t="e">
        <f ca="1">_xll.EVPRO($B$1,$H52,"CALC")</f>
        <v>#NAME?</v>
      </c>
      <c r="K52" s="24"/>
      <c r="L52" s="24" t="e">
        <f ca="1">_xll.EVPRO($B$1,H52,"JDEID")</f>
        <v>#NAME?</v>
      </c>
      <c r="M52" s="24" t="e">
        <f ca="1">IF(AND(I52="N",J52="N"),_xll.EVPRO($B$1,H52,"PSFTID"),"")</f>
        <v>#NAME?</v>
      </c>
      <c r="N52" s="151" t="e">
        <f ca="1">IF(_xll.EVDES(H52,$B$1)="#NODATA","",_xll.EVDES(H52,$B$1))</f>
        <v>#NAME?</v>
      </c>
      <c r="O52" s="157"/>
      <c r="P52" s="157"/>
      <c r="Q52" s="157"/>
      <c r="R52" s="157"/>
      <c r="S52" s="157"/>
      <c r="T52" s="157"/>
      <c r="U52" s="157"/>
      <c r="V52" s="157"/>
      <c r="W52" s="157"/>
      <c r="X52" s="157"/>
      <c r="Y52" s="157"/>
      <c r="Z52" s="157"/>
      <c r="AA52" s="157" t="str">
        <f>IFERROR(AA49/AA51,"")</f>
        <v/>
      </c>
      <c r="AB52" s="157"/>
      <c r="AD52" s="157"/>
      <c r="AE52" s="157"/>
      <c r="AF52" s="158" t="str">
        <f t="shared" si="7"/>
        <v/>
      </c>
      <c r="AG52" s="157"/>
      <c r="AH52" s="157"/>
      <c r="AI52" s="158" t="str">
        <f t="shared" si="8"/>
        <v/>
      </c>
    </row>
    <row r="53" spans="1:35" x14ac:dyDescent="0.2">
      <c r="A53" s="6" t="s">
        <v>41</v>
      </c>
      <c r="B53" s="7"/>
      <c r="G53" s="162">
        <f>COUNTIF(O54:AI54,FALSE)</f>
        <v>0</v>
      </c>
      <c r="H53" s="10"/>
      <c r="I53" s="25"/>
      <c r="J53" s="25"/>
      <c r="K53" s="24"/>
      <c r="L53" s="24"/>
      <c r="M53" s="24"/>
      <c r="N53" s="163" t="s">
        <v>345</v>
      </c>
      <c r="O53" s="160">
        <f t="shared" ref="O53:AA53" si="9">ROUND(IFERROR(O49/O51,0),2)</f>
        <v>0</v>
      </c>
      <c r="P53" s="165">
        <f t="shared" si="9"/>
        <v>0</v>
      </c>
      <c r="Q53" s="165">
        <f t="shared" si="9"/>
        <v>0</v>
      </c>
      <c r="R53" s="165">
        <f t="shared" si="9"/>
        <v>0</v>
      </c>
      <c r="S53" s="165">
        <f t="shared" si="9"/>
        <v>0</v>
      </c>
      <c r="T53" s="165">
        <f t="shared" si="9"/>
        <v>0</v>
      </c>
      <c r="U53" s="165">
        <f t="shared" si="9"/>
        <v>0</v>
      </c>
      <c r="V53" s="165">
        <f t="shared" si="9"/>
        <v>0</v>
      </c>
      <c r="W53" s="165">
        <f t="shared" si="9"/>
        <v>0</v>
      </c>
      <c r="X53" s="165">
        <f t="shared" si="9"/>
        <v>0</v>
      </c>
      <c r="Y53" s="165">
        <f t="shared" si="9"/>
        <v>0</v>
      </c>
      <c r="Z53" s="165">
        <f t="shared" si="9"/>
        <v>0</v>
      </c>
      <c r="AA53" s="165">
        <f t="shared" si="9"/>
        <v>0</v>
      </c>
      <c r="AB53" s="164"/>
      <c r="AD53" s="160">
        <f>ROUND(IFERROR(AD49/AD51,0),2)</f>
        <v>0</v>
      </c>
      <c r="AE53" s="165"/>
      <c r="AF53" s="161"/>
      <c r="AG53" s="160">
        <f>ROUND(IFERROR(AG49/AG51,0),2)</f>
        <v>0</v>
      </c>
      <c r="AH53" s="165"/>
      <c r="AI53" s="161"/>
    </row>
    <row r="54" spans="1:35" x14ac:dyDescent="0.2">
      <c r="A54" s="6" t="s">
        <v>42</v>
      </c>
      <c r="B54" s="7"/>
      <c r="H54" s="10"/>
      <c r="I54" s="25"/>
      <c r="J54" s="25"/>
      <c r="K54" s="24"/>
      <c r="L54" s="24"/>
      <c r="M54" s="24"/>
      <c r="N54" s="8" t="s">
        <v>316</v>
      </c>
      <c r="O54" s="292" t="b">
        <f t="shared" ref="O54:AA54" si="10">ROUND(O52,2)=ROUND(O53,2)</f>
        <v>1</v>
      </c>
      <c r="P54" s="293" t="b">
        <f t="shared" si="10"/>
        <v>1</v>
      </c>
      <c r="Q54" s="293" t="b">
        <f t="shared" si="10"/>
        <v>1</v>
      </c>
      <c r="R54" s="293" t="b">
        <f t="shared" si="10"/>
        <v>1</v>
      </c>
      <c r="S54" s="293" t="b">
        <f t="shared" si="10"/>
        <v>1</v>
      </c>
      <c r="T54" s="293" t="b">
        <f t="shared" si="10"/>
        <v>1</v>
      </c>
      <c r="U54" s="293" t="b">
        <f t="shared" si="10"/>
        <v>1</v>
      </c>
      <c r="V54" s="293" t="b">
        <f t="shared" si="10"/>
        <v>1</v>
      </c>
      <c r="W54" s="293" t="b">
        <f t="shared" si="10"/>
        <v>1</v>
      </c>
      <c r="X54" s="293" t="b">
        <f t="shared" si="10"/>
        <v>1</v>
      </c>
      <c r="Y54" s="293" t="b">
        <f t="shared" si="10"/>
        <v>1</v>
      </c>
      <c r="Z54" s="293" t="b">
        <f t="shared" si="10"/>
        <v>1</v>
      </c>
      <c r="AA54" s="293" t="e">
        <f t="shared" si="10"/>
        <v>#VALUE!</v>
      </c>
      <c r="AB54" s="294"/>
      <c r="AC54" s="206"/>
      <c r="AD54" s="292"/>
      <c r="AE54" s="293" t="b">
        <f>ROUND(AD52,2)=ROUND(AD53,2)</f>
        <v>1</v>
      </c>
      <c r="AF54" s="294"/>
      <c r="AG54" s="292"/>
      <c r="AH54" s="293" t="b">
        <f>ROUND(AG52,2)=ROUND(AG53,2)</f>
        <v>1</v>
      </c>
      <c r="AI54" s="294"/>
    </row>
    <row r="55" spans="1:35" x14ac:dyDescent="0.2">
      <c r="A55" s="6" t="s">
        <v>43</v>
      </c>
      <c r="B55" s="7"/>
      <c r="H55" s="10" t="s">
        <v>262</v>
      </c>
      <c r="I55" s="25" t="e">
        <f ca="1">_xll.EVPRO($B$1,$H55,"STYLE")</f>
        <v>#NAME?</v>
      </c>
      <c r="J55" s="25" t="e">
        <f ca="1">_xll.EVPRO($B$1,$H55,"CALC")</f>
        <v>#NAME?</v>
      </c>
      <c r="K55" s="24"/>
      <c r="L55" s="24" t="e">
        <f ca="1">_xll.EVPRO($B$1,H55,"JDEID")</f>
        <v>#NAME?</v>
      </c>
      <c r="M55" s="24" t="e">
        <f ca="1">IF(AND(I55="N",J55="N"),_xll.EVPRO($B$1,H55,"PSFTID"),"")</f>
        <v>#NAME?</v>
      </c>
      <c r="N55" s="24" t="e">
        <f ca="1">IF(_xll.EVDES(H55,$B$1)="#NODATA","",_xll.EVDES(H55,$B$1))</f>
        <v>#NAME?</v>
      </c>
      <c r="O55" s="19"/>
      <c r="P55" s="19"/>
      <c r="Q55" s="19"/>
      <c r="R55" s="19"/>
      <c r="S55" s="19"/>
      <c r="T55" s="19"/>
      <c r="U55" s="19"/>
      <c r="V55" s="19"/>
      <c r="W55" s="19"/>
      <c r="X55" s="19"/>
      <c r="Y55" s="19"/>
      <c r="Z55" s="19"/>
      <c r="AA55" s="19">
        <f t="shared" ref="AA55:AA61" si="11">SUM(O55:Z55)</f>
        <v>0</v>
      </c>
      <c r="AB55" s="15" t="str">
        <f>IF(AA55=0,"",IFERROR(AA55/AA$19,""))</f>
        <v/>
      </c>
      <c r="AD55" s="19"/>
      <c r="AE55" s="15" t="str">
        <f>IF(AD55=0,"",IFERROR(AD55/AD$19,""))</f>
        <v/>
      </c>
      <c r="AF55" s="47">
        <f t="shared" ref="AF55:AF62" si="12">IF(AND($AA55="",AD55=""),"",$AA55-AD55)</f>
        <v>0</v>
      </c>
      <c r="AG55" s="19"/>
      <c r="AH55" s="15" t="str">
        <f t="shared" si="3"/>
        <v/>
      </c>
      <c r="AI55" s="47">
        <f t="shared" ref="AI55:AI62" si="13">IF(AND($AA55="",AG55=""),"",$AA55-AG55)</f>
        <v>0</v>
      </c>
    </row>
    <row r="56" spans="1:35" x14ac:dyDescent="0.2">
      <c r="A56" s="6" t="s">
        <v>44</v>
      </c>
      <c r="B56" s="7"/>
      <c r="H56" s="10" t="s">
        <v>302</v>
      </c>
      <c r="I56" s="25" t="e">
        <f ca="1">_xll.EVPRO($B$1,$H56,"STYLE")</f>
        <v>#NAME?</v>
      </c>
      <c r="J56" s="25" t="e">
        <f ca="1">_xll.EVPRO($B$1,$H56,"CALC")</f>
        <v>#NAME?</v>
      </c>
      <c r="K56" s="24"/>
      <c r="L56" s="24" t="e">
        <f ca="1">_xll.EVPRO($B$1,H56,"JDEID")</f>
        <v>#NAME?</v>
      </c>
      <c r="M56" s="24" t="e">
        <f ca="1">IF(AND(I56="N",J56="N"),_xll.EVPRO($B$1,H56,"PSFTID"),"")</f>
        <v>#NAME?</v>
      </c>
      <c r="N56" s="24" t="e">
        <f ca="1">IF(_xll.EVDES(H56,$B$1)="#NODATA","",_xll.EVDES(H56,$B$1))</f>
        <v>#NAME?</v>
      </c>
      <c r="O56" s="19"/>
      <c r="P56" s="19"/>
      <c r="Q56" s="19"/>
      <c r="R56" s="19"/>
      <c r="S56" s="19"/>
      <c r="T56" s="19"/>
      <c r="U56" s="19"/>
      <c r="V56" s="19"/>
      <c r="W56" s="19"/>
      <c r="X56" s="19"/>
      <c r="Y56" s="19"/>
      <c r="Z56" s="19"/>
      <c r="AA56" s="19">
        <f t="shared" si="11"/>
        <v>0</v>
      </c>
      <c r="AB56" s="15" t="str">
        <f>IF(AA56=0,"",IFERROR(AA56/AA$19,""))</f>
        <v/>
      </c>
      <c r="AD56" s="19"/>
      <c r="AE56" s="15" t="str">
        <f>IF(AD56=0,"",IFERROR(AD56/AD$19,""))</f>
        <v/>
      </c>
      <c r="AF56" s="47">
        <f t="shared" si="12"/>
        <v>0</v>
      </c>
      <c r="AG56" s="19"/>
      <c r="AH56" s="15" t="str">
        <f t="shared" si="3"/>
        <v/>
      </c>
      <c r="AI56" s="47">
        <f t="shared" si="13"/>
        <v>0</v>
      </c>
    </row>
    <row r="57" spans="1:35" x14ac:dyDescent="0.2">
      <c r="A57" s="6" t="s">
        <v>45</v>
      </c>
      <c r="B57" s="7"/>
      <c r="H57" s="10" t="s">
        <v>306</v>
      </c>
      <c r="I57" s="25" t="e">
        <f ca="1">_xll.EVPRO($B$1,$H57,"STYLE")</f>
        <v>#NAME?</v>
      </c>
      <c r="J57" s="25" t="e">
        <f ca="1">_xll.EVPRO($B$1,$H57,"CALC")</f>
        <v>#NAME?</v>
      </c>
      <c r="K57" s="24"/>
      <c r="L57" s="24" t="e">
        <f ca="1">_xll.EVPRO($B$1,H57,"JDEID")</f>
        <v>#NAME?</v>
      </c>
      <c r="M57" s="24" t="e">
        <f ca="1">IF(AND(I57="N",J57="N"),_xll.EVPRO($B$1,H57,"PSFTID"),"")</f>
        <v>#NAME?</v>
      </c>
      <c r="N57" s="24" t="e">
        <f ca="1">IF(_xll.EVDES(H57,$B$1)="#NODATA","",_xll.EVDES(H57,$B$1))</f>
        <v>#NAME?</v>
      </c>
      <c r="O57" s="19"/>
      <c r="P57" s="19"/>
      <c r="Q57" s="19"/>
      <c r="R57" s="19"/>
      <c r="S57" s="19"/>
      <c r="T57" s="19"/>
      <c r="U57" s="19"/>
      <c r="V57" s="19"/>
      <c r="W57" s="19"/>
      <c r="X57" s="19"/>
      <c r="Y57" s="19"/>
      <c r="Z57" s="19"/>
      <c r="AA57" s="19">
        <f t="shared" si="11"/>
        <v>0</v>
      </c>
      <c r="AB57" s="15" t="str">
        <f>IF(AA57=0,"",IFERROR(AA57/AA$19,""))</f>
        <v/>
      </c>
      <c r="AD57" s="19"/>
      <c r="AE57" s="15" t="str">
        <f>IF(AD57=0,"",IFERROR(AD57/AD$19,""))</f>
        <v/>
      </c>
      <c r="AF57" s="47">
        <f t="shared" si="12"/>
        <v>0</v>
      </c>
      <c r="AG57" s="19"/>
      <c r="AH57" s="15" t="str">
        <f t="shared" si="3"/>
        <v/>
      </c>
      <c r="AI57" s="47">
        <f t="shared" si="13"/>
        <v>0</v>
      </c>
    </row>
    <row r="58" spans="1:35" x14ac:dyDescent="0.2">
      <c r="A58" s="6" t="s">
        <v>46</v>
      </c>
      <c r="B58" s="7"/>
      <c r="H58" s="10" t="s">
        <v>304</v>
      </c>
      <c r="I58" s="25" t="e">
        <f ca="1">_xll.EVPRO($B$1,$H58,"STYLE")</f>
        <v>#NAME?</v>
      </c>
      <c r="J58" s="25" t="e">
        <f ca="1">_xll.EVPRO($B$1,$H58,"CALC")</f>
        <v>#NAME?</v>
      </c>
      <c r="K58" s="24"/>
      <c r="L58" s="24" t="e">
        <f ca="1">_xll.EVPRO($B$1,H58,"JDEID")</f>
        <v>#NAME?</v>
      </c>
      <c r="M58" s="24" t="e">
        <f ca="1">IF(AND(I58="N",J58="N"),_xll.EVPRO($B$1,H58,"PSFTID"),"")</f>
        <v>#NAME?</v>
      </c>
      <c r="N58" s="24" t="e">
        <f ca="1">IF(_xll.EVDES(H58,$B$1)="#NODATA","",_xll.EVDES(H58,$B$1))</f>
        <v>#NAME?</v>
      </c>
      <c r="O58" s="28"/>
      <c r="P58" s="28"/>
      <c r="Q58" s="28"/>
      <c r="R58" s="28"/>
      <c r="S58" s="28"/>
      <c r="T58" s="28"/>
      <c r="U58" s="28"/>
      <c r="V58" s="28"/>
      <c r="W58" s="28"/>
      <c r="X58" s="28"/>
      <c r="Y58" s="28"/>
      <c r="Z58" s="28"/>
      <c r="AA58" s="28">
        <f t="shared" si="11"/>
        <v>0</v>
      </c>
      <c r="AB58" s="29" t="str">
        <f>IF(AA58=0,"",IFERROR(AA58/AA$19,""))</f>
        <v/>
      </c>
      <c r="AD58" s="28"/>
      <c r="AE58" s="29" t="str">
        <f>IF(AD58=0,"",IFERROR(AD58/AD$19,""))</f>
        <v/>
      </c>
      <c r="AF58" s="48">
        <f t="shared" si="12"/>
        <v>0</v>
      </c>
      <c r="AG58" s="28"/>
      <c r="AH58" s="29" t="str">
        <f t="shared" si="3"/>
        <v/>
      </c>
      <c r="AI58" s="48">
        <f t="shared" si="13"/>
        <v>0</v>
      </c>
    </row>
    <row r="59" spans="1:35" x14ac:dyDescent="0.2">
      <c r="H59" s="10" t="s">
        <v>320</v>
      </c>
      <c r="I59" s="25" t="e">
        <f ca="1">_xll.EVPRO($B$1,$H59,"STYLE")</f>
        <v>#NAME?</v>
      </c>
      <c r="J59" s="25" t="e">
        <f ca="1">_xll.EVPRO($B$1,$H59,"CALC")</f>
        <v>#NAME?</v>
      </c>
      <c r="K59" s="24"/>
      <c r="L59" s="24" t="e">
        <f ca="1">_xll.EVPRO($B$1,H59,"JDEID")</f>
        <v>#NAME?</v>
      </c>
      <c r="M59" s="24" t="e">
        <f ca="1">IF(AND(I59="N",J59="N"),_xll.EVPRO($B$1,H59,"PSFTID"),"")</f>
        <v>#NAME?</v>
      </c>
      <c r="N59" s="23" t="e">
        <f ca="1">IF(_xll.EVDES(H59,$B$1)="#NODATA","",_xll.EVDES(H59,$B$1))</f>
        <v>#NAME?</v>
      </c>
      <c r="O59" s="145"/>
      <c r="P59" s="145"/>
      <c r="Q59" s="145"/>
      <c r="R59" s="145"/>
      <c r="S59" s="145"/>
      <c r="T59" s="145"/>
      <c r="U59" s="145"/>
      <c r="V59" s="145"/>
      <c r="W59" s="145"/>
      <c r="X59" s="145"/>
      <c r="Y59" s="145"/>
      <c r="Z59" s="145"/>
      <c r="AA59" s="145">
        <f t="shared" si="11"/>
        <v>0</v>
      </c>
      <c r="AB59" s="156" t="str">
        <f>IF(AA59=0,"",IFERROR(AA59/AA$19,""))</f>
        <v/>
      </c>
      <c r="AD59" s="145"/>
      <c r="AE59" s="156" t="str">
        <f>IF(AD59=0,"",IFERROR(AD59/AD$19,""))</f>
        <v/>
      </c>
      <c r="AF59" s="146">
        <f t="shared" si="12"/>
        <v>0</v>
      </c>
      <c r="AG59" s="145"/>
      <c r="AH59" s="156" t="str">
        <f t="shared" si="3"/>
        <v/>
      </c>
      <c r="AI59" s="146">
        <f t="shared" si="13"/>
        <v>0</v>
      </c>
    </row>
    <row r="60" spans="1:35" x14ac:dyDescent="0.2">
      <c r="H60" s="10" t="s">
        <v>765</v>
      </c>
      <c r="I60" s="25" t="e">
        <f ca="1">_xll.EVPRO($B$1,$H60,"STYLE")</f>
        <v>#NAME?</v>
      </c>
      <c r="J60" s="25" t="e">
        <f ca="1">_xll.EVPRO($B$1,$H60,"CALC")</f>
        <v>#NAME?</v>
      </c>
      <c r="K60" s="24"/>
      <c r="L60" s="24" t="e">
        <f ca="1">_xll.EVPRO($B$1,H60,"JDEID")</f>
        <v>#NAME?</v>
      </c>
      <c r="M60" s="24" t="e">
        <f ca="1">IF(AND(I60="N",J60="N"),_xll.EVPRO($B$1,H60,"PSFTID"),"")</f>
        <v>#NAME?</v>
      </c>
      <c r="N60" s="24" t="e">
        <f ca="1">IF(_xll.EVDES(H60,$B$1)="#NODATA","",_xll.EVDES(H60,$B$1))</f>
        <v>#NAME?</v>
      </c>
      <c r="O60" s="35"/>
      <c r="P60" s="35"/>
      <c r="Q60" s="35"/>
      <c r="R60" s="35"/>
      <c r="S60" s="35"/>
      <c r="T60" s="35"/>
      <c r="U60" s="35"/>
      <c r="V60" s="35"/>
      <c r="W60" s="35"/>
      <c r="X60" s="35"/>
      <c r="Y60" s="35"/>
      <c r="Z60" s="35"/>
      <c r="AA60" s="35">
        <f t="shared" si="11"/>
        <v>0</v>
      </c>
      <c r="AB60" s="36"/>
      <c r="AD60" s="35"/>
      <c r="AE60" s="36"/>
      <c r="AF60" s="118">
        <f t="shared" si="12"/>
        <v>0</v>
      </c>
      <c r="AG60" s="35"/>
      <c r="AH60" s="36"/>
      <c r="AI60" s="118">
        <f t="shared" si="13"/>
        <v>0</v>
      </c>
    </row>
    <row r="61" spans="1:35" x14ac:dyDescent="0.2">
      <c r="H61" s="10" t="s">
        <v>299</v>
      </c>
      <c r="I61" s="25" t="e">
        <f ca="1">_xll.EVPRO($B$1,$H61,"STYLE")</f>
        <v>#NAME?</v>
      </c>
      <c r="J61" s="25" t="e">
        <f ca="1">_xll.EVPRO($B$1,$H61,"CALC")</f>
        <v>#NAME?</v>
      </c>
      <c r="K61" s="24"/>
      <c r="L61" s="24" t="e">
        <f ca="1">_xll.EVPRO($B$1,H61,"JDEID")</f>
        <v>#NAME?</v>
      </c>
      <c r="M61" s="24" t="e">
        <f ca="1">IF(AND(I61="N",J61="N"),_xll.EVPRO($B$1,H61,"PSFTID"),"")</f>
        <v>#NAME?</v>
      </c>
      <c r="N61" s="24" t="e">
        <f ca="1">IF(_xll.EVDES(H61,$B$1)="#NODATA","",_xll.EVDES(H61,$B$1))</f>
        <v>#NAME?</v>
      </c>
      <c r="O61" s="35"/>
      <c r="P61" s="35"/>
      <c r="Q61" s="35"/>
      <c r="R61" s="35"/>
      <c r="S61" s="35"/>
      <c r="T61" s="35"/>
      <c r="U61" s="35"/>
      <c r="V61" s="35"/>
      <c r="W61" s="35"/>
      <c r="X61" s="35"/>
      <c r="Y61" s="35"/>
      <c r="Z61" s="35"/>
      <c r="AA61" s="35">
        <f t="shared" si="11"/>
        <v>0</v>
      </c>
      <c r="AB61" s="36" t="str">
        <f>IF(AA61=0,"",IFERROR(AA61/AA$87,""))</f>
        <v/>
      </c>
      <c r="AD61" s="35"/>
      <c r="AE61" s="36" t="str">
        <f>IF(AD61=0,"",IFERROR(AD61/AD$87,""))</f>
        <v/>
      </c>
      <c r="AF61" s="118">
        <f t="shared" si="12"/>
        <v>0</v>
      </c>
      <c r="AG61" s="35"/>
      <c r="AH61" s="36" t="str">
        <f>IF(AG61=0,"",IFERROR(AG61/AG$87,""))</f>
        <v/>
      </c>
      <c r="AI61" s="118">
        <f t="shared" si="13"/>
        <v>0</v>
      </c>
    </row>
    <row r="62" spans="1:35" x14ac:dyDescent="0.2">
      <c r="H62" s="133" t="s">
        <v>317</v>
      </c>
      <c r="I62" s="25" t="e">
        <f ca="1">_xll.EVPRO($B$1,$H62,"STYLE")</f>
        <v>#NAME?</v>
      </c>
      <c r="J62" s="25" t="e">
        <f ca="1">_xll.EVPRO($B$1,$H62,"CALC")</f>
        <v>#NAME?</v>
      </c>
      <c r="K62" s="24"/>
      <c r="L62" s="24" t="e">
        <f ca="1">_xll.EVPRO($B$1,H62,"JDEID")</f>
        <v>#NAME?</v>
      </c>
      <c r="M62" s="24" t="e">
        <f ca="1">IF(AND(I62="N",J62="N"),_xll.EVPRO($B$1,H62,"PSFTID"),"")</f>
        <v>#NAME?</v>
      </c>
      <c r="N62" s="151" t="e">
        <f ca="1">IF(_xll.EVDES(H62,$B$1)="#NODATA","",_xll.EVDES(H62,$B$1))</f>
        <v>#NAME?</v>
      </c>
      <c r="O62" s="157"/>
      <c r="P62" s="157"/>
      <c r="Q62" s="157"/>
      <c r="R62" s="157"/>
      <c r="S62" s="157"/>
      <c r="T62" s="157"/>
      <c r="U62" s="157"/>
      <c r="V62" s="157"/>
      <c r="W62" s="157"/>
      <c r="X62" s="157"/>
      <c r="Y62" s="157"/>
      <c r="Z62" s="157"/>
      <c r="AA62" s="157" t="str">
        <f>IFERROR(AA59/AA61,"")</f>
        <v/>
      </c>
      <c r="AB62" s="157"/>
      <c r="AD62" s="157"/>
      <c r="AE62" s="157"/>
      <c r="AF62" s="158" t="str">
        <f t="shared" si="12"/>
        <v/>
      </c>
      <c r="AG62" s="157"/>
      <c r="AH62" s="157"/>
      <c r="AI62" s="158" t="str">
        <f t="shared" si="13"/>
        <v/>
      </c>
    </row>
    <row r="63" spans="1:35" x14ac:dyDescent="0.2">
      <c r="G63" s="162">
        <f>COUNTIF(O64:AI64,FALSE)</f>
        <v>0</v>
      </c>
      <c r="H63" s="10"/>
      <c r="I63" s="25"/>
      <c r="J63" s="25"/>
      <c r="K63" s="24"/>
      <c r="L63" s="24"/>
      <c r="M63" s="24"/>
      <c r="N63" s="163" t="s">
        <v>345</v>
      </c>
      <c r="O63" s="160">
        <f t="shared" ref="O63:AA63" si="14">ROUND(IFERROR(O59/O61,0),2)</f>
        <v>0</v>
      </c>
      <c r="P63" s="165">
        <f t="shared" si="14"/>
        <v>0</v>
      </c>
      <c r="Q63" s="165">
        <f t="shared" si="14"/>
        <v>0</v>
      </c>
      <c r="R63" s="165">
        <f t="shared" si="14"/>
        <v>0</v>
      </c>
      <c r="S63" s="165">
        <f t="shared" si="14"/>
        <v>0</v>
      </c>
      <c r="T63" s="165">
        <f t="shared" si="14"/>
        <v>0</v>
      </c>
      <c r="U63" s="165">
        <f t="shared" si="14"/>
        <v>0</v>
      </c>
      <c r="V63" s="165">
        <f t="shared" si="14"/>
        <v>0</v>
      </c>
      <c r="W63" s="165">
        <f t="shared" si="14"/>
        <v>0</v>
      </c>
      <c r="X63" s="165">
        <f t="shared" si="14"/>
        <v>0</v>
      </c>
      <c r="Y63" s="165">
        <f t="shared" si="14"/>
        <v>0</v>
      </c>
      <c r="Z63" s="165">
        <f t="shared" si="14"/>
        <v>0</v>
      </c>
      <c r="AA63" s="165">
        <f t="shared" si="14"/>
        <v>0</v>
      </c>
      <c r="AB63" s="164"/>
      <c r="AD63" s="160">
        <f>ROUND(IFERROR(AD59/AD61,0),2)</f>
        <v>0</v>
      </c>
      <c r="AE63" s="165"/>
      <c r="AF63" s="161"/>
      <c r="AG63" s="160">
        <f>ROUND(IFERROR(AG59/AG61,0),2)</f>
        <v>0</v>
      </c>
      <c r="AH63" s="165"/>
      <c r="AI63" s="161"/>
    </row>
    <row r="64" spans="1:35" x14ac:dyDescent="0.2">
      <c r="H64" s="133"/>
      <c r="I64" s="25"/>
      <c r="J64" s="25"/>
      <c r="K64" s="24"/>
      <c r="L64" s="24"/>
      <c r="M64" s="24"/>
      <c r="N64" s="8" t="s">
        <v>307</v>
      </c>
      <c r="O64" s="292" t="b">
        <f t="shared" ref="O64:AA64" si="15">ROUND(O62,2)=ROUND(O63,2)</f>
        <v>1</v>
      </c>
      <c r="P64" s="293" t="b">
        <f t="shared" si="15"/>
        <v>1</v>
      </c>
      <c r="Q64" s="293" t="b">
        <f t="shared" si="15"/>
        <v>1</v>
      </c>
      <c r="R64" s="293" t="b">
        <f t="shared" si="15"/>
        <v>1</v>
      </c>
      <c r="S64" s="293" t="b">
        <f t="shared" si="15"/>
        <v>1</v>
      </c>
      <c r="T64" s="293" t="b">
        <f t="shared" si="15"/>
        <v>1</v>
      </c>
      <c r="U64" s="293" t="b">
        <f t="shared" si="15"/>
        <v>1</v>
      </c>
      <c r="V64" s="293" t="b">
        <f t="shared" si="15"/>
        <v>1</v>
      </c>
      <c r="W64" s="293" t="b">
        <f t="shared" si="15"/>
        <v>1</v>
      </c>
      <c r="X64" s="293" t="b">
        <f t="shared" si="15"/>
        <v>1</v>
      </c>
      <c r="Y64" s="293" t="b">
        <f t="shared" si="15"/>
        <v>1</v>
      </c>
      <c r="Z64" s="293" t="b">
        <f t="shared" si="15"/>
        <v>1</v>
      </c>
      <c r="AA64" s="293" t="e">
        <f t="shared" si="15"/>
        <v>#VALUE!</v>
      </c>
      <c r="AB64" s="294"/>
      <c r="AC64" s="206"/>
      <c r="AD64" s="292"/>
      <c r="AE64" s="293" t="b">
        <f>ROUND(AD62,2)=ROUND(AD63,2)</f>
        <v>1</v>
      </c>
      <c r="AF64" s="294"/>
      <c r="AG64" s="292"/>
      <c r="AH64" s="293" t="b">
        <f>ROUND(AG62,2)=ROUND(AG63,2)</f>
        <v>1</v>
      </c>
      <c r="AI64" s="294"/>
    </row>
    <row r="65" spans="3:35" x14ac:dyDescent="0.2">
      <c r="H65" s="133" t="s">
        <v>263</v>
      </c>
      <c r="I65" s="25" t="e">
        <f ca="1">_xll.EVPRO($B$1,$H65,"STYLE")</f>
        <v>#NAME?</v>
      </c>
      <c r="J65" s="25" t="e">
        <f ca="1">_xll.EVPRO($B$1,$H65,"CALC")</f>
        <v>#NAME?</v>
      </c>
      <c r="K65" s="24"/>
      <c r="L65" s="24" t="e">
        <f ca="1">_xll.EVPRO($B$1,H65,"JDEID")</f>
        <v>#NAME?</v>
      </c>
      <c r="M65" s="24" t="e">
        <f ca="1">IF(AND(I65="N",J65="N"),_xll.EVPRO($B$1,H65,"PSFTID"),"")</f>
        <v>#NAME?</v>
      </c>
      <c r="N65" s="24" t="e">
        <f ca="1">IF(_xll.EVDES(H65,$B$1)="#NODATA","",_xll.EVDES(H65,$B$1))</f>
        <v>#NAME?</v>
      </c>
      <c r="O65" s="19"/>
      <c r="P65" s="19"/>
      <c r="Q65" s="19"/>
      <c r="R65" s="19"/>
      <c r="S65" s="19"/>
      <c r="T65" s="19"/>
      <c r="U65" s="19"/>
      <c r="V65" s="19"/>
      <c r="W65" s="19"/>
      <c r="X65" s="19"/>
      <c r="Y65" s="19"/>
      <c r="Z65" s="19"/>
      <c r="AA65" s="19">
        <f t="shared" ref="AA65:AA71" si="16">SUM(O65:Z65)</f>
        <v>0</v>
      </c>
      <c r="AB65" s="15" t="str">
        <f>IF(AA65=0,"",IFERROR(AA65/AA$19,""))</f>
        <v/>
      </c>
      <c r="AD65" s="19"/>
      <c r="AE65" s="15" t="str">
        <f>IF(AD65=0,"",IFERROR(AD65/AD$19,""))</f>
        <v/>
      </c>
      <c r="AF65" s="47">
        <f t="shared" ref="AF65:AF72" si="17">IF(AND($AA65="",AD65=""),"",$AA65-AD65)</f>
        <v>0</v>
      </c>
      <c r="AG65" s="19"/>
      <c r="AH65" s="15" t="str">
        <f t="shared" si="3"/>
        <v/>
      </c>
      <c r="AI65" s="47">
        <f t="shared" ref="AI65:AI72" si="18">IF(AND($AA65="",AG65=""),"",$AA65-AG65)</f>
        <v>0</v>
      </c>
    </row>
    <row r="66" spans="3:35" x14ac:dyDescent="0.2">
      <c r="H66" s="133" t="s">
        <v>308</v>
      </c>
      <c r="I66" s="25" t="e">
        <f ca="1">_xll.EVPRO($B$1,$H66,"STYLE")</f>
        <v>#NAME?</v>
      </c>
      <c r="J66" s="25" t="e">
        <f ca="1">_xll.EVPRO($B$1,$H66,"CALC")</f>
        <v>#NAME?</v>
      </c>
      <c r="K66" s="24"/>
      <c r="L66" s="24" t="e">
        <f ca="1">_xll.EVPRO($B$1,H66,"JDEID")</f>
        <v>#NAME?</v>
      </c>
      <c r="M66" s="24" t="e">
        <f ca="1">IF(AND(I66="N",J66="N"),_xll.EVPRO($B$1,H66,"PSFTID"),"")</f>
        <v>#NAME?</v>
      </c>
      <c r="N66" s="24" t="e">
        <f ca="1">IF(_xll.EVDES(H66,$B$1)="#NODATA","",_xll.EVDES(H66,$B$1))</f>
        <v>#NAME?</v>
      </c>
      <c r="O66" s="19"/>
      <c r="P66" s="19"/>
      <c r="Q66" s="19"/>
      <c r="R66" s="19"/>
      <c r="S66" s="19"/>
      <c r="T66" s="19"/>
      <c r="U66" s="19"/>
      <c r="V66" s="19"/>
      <c r="W66" s="19"/>
      <c r="X66" s="19"/>
      <c r="Y66" s="19"/>
      <c r="Z66" s="19"/>
      <c r="AA66" s="19">
        <f t="shared" si="16"/>
        <v>0</v>
      </c>
      <c r="AB66" s="15" t="str">
        <f>IF(AA66=0,"",IFERROR(AA66/AA$19,""))</f>
        <v/>
      </c>
      <c r="AD66" s="19"/>
      <c r="AE66" s="15" t="str">
        <f>IF(AD66=0,"",IFERROR(AD66/AD$19,""))</f>
        <v/>
      </c>
      <c r="AF66" s="47">
        <f t="shared" si="17"/>
        <v>0</v>
      </c>
      <c r="AG66" s="19"/>
      <c r="AH66" s="15" t="str">
        <f t="shared" si="3"/>
        <v/>
      </c>
      <c r="AI66" s="47">
        <f t="shared" si="18"/>
        <v>0</v>
      </c>
    </row>
    <row r="67" spans="3:35" x14ac:dyDescent="0.2">
      <c r="H67" s="133" t="s">
        <v>310</v>
      </c>
      <c r="I67" s="25" t="e">
        <f ca="1">_xll.EVPRO($B$1,$H67,"STYLE")</f>
        <v>#NAME?</v>
      </c>
      <c r="J67" s="25" t="e">
        <f ca="1">_xll.EVPRO($B$1,$H67,"CALC")</f>
        <v>#NAME?</v>
      </c>
      <c r="K67" s="24"/>
      <c r="L67" s="24" t="e">
        <f ca="1">_xll.EVPRO($B$1,H67,"JDEID")</f>
        <v>#NAME?</v>
      </c>
      <c r="M67" s="24" t="e">
        <f ca="1">IF(AND(I67="N",J67="N"),_xll.EVPRO($B$1,H67,"PSFTID"),"")</f>
        <v>#NAME?</v>
      </c>
      <c r="N67" s="24" t="e">
        <f ca="1">IF(_xll.EVDES(H67,$B$1)="#NODATA","",_xll.EVDES(H67,$B$1))</f>
        <v>#NAME?</v>
      </c>
      <c r="O67" s="19"/>
      <c r="P67" s="19"/>
      <c r="Q67" s="19"/>
      <c r="R67" s="19"/>
      <c r="S67" s="19"/>
      <c r="T67" s="19"/>
      <c r="U67" s="19"/>
      <c r="V67" s="19"/>
      <c r="W67" s="19"/>
      <c r="X67" s="19"/>
      <c r="Y67" s="19"/>
      <c r="Z67" s="19"/>
      <c r="AA67" s="19">
        <f t="shared" si="16"/>
        <v>0</v>
      </c>
      <c r="AB67" s="15" t="str">
        <f>IF(AA67=0,"",IFERROR(AA67/AA$19,""))</f>
        <v/>
      </c>
      <c r="AD67" s="19"/>
      <c r="AE67" s="15" t="str">
        <f>IF(AD67=0,"",IFERROR(AD67/AD$19,""))</f>
        <v/>
      </c>
      <c r="AF67" s="47">
        <f t="shared" si="17"/>
        <v>0</v>
      </c>
      <c r="AG67" s="19"/>
      <c r="AH67" s="15" t="str">
        <f t="shared" si="3"/>
        <v/>
      </c>
      <c r="AI67" s="47">
        <f t="shared" si="18"/>
        <v>0</v>
      </c>
    </row>
    <row r="68" spans="3:35" x14ac:dyDescent="0.2">
      <c r="H68" s="133" t="s">
        <v>309</v>
      </c>
      <c r="I68" s="25" t="e">
        <f ca="1">_xll.EVPRO($B$1,$H68,"STYLE")</f>
        <v>#NAME?</v>
      </c>
      <c r="J68" s="25" t="e">
        <f ca="1">_xll.EVPRO($B$1,$H68,"CALC")</f>
        <v>#NAME?</v>
      </c>
      <c r="K68" s="24"/>
      <c r="L68" s="24" t="e">
        <f ca="1">_xll.EVPRO($B$1,H68,"JDEID")</f>
        <v>#NAME?</v>
      </c>
      <c r="M68" s="24" t="e">
        <f ca="1">IF(AND(I68="N",J68="N"),_xll.EVPRO($B$1,H68,"PSFTID"),"")</f>
        <v>#NAME?</v>
      </c>
      <c r="N68" s="24" t="e">
        <f ca="1">IF(_xll.EVDES(H68,$B$1)="#NODATA","",_xll.EVDES(H68,$B$1))</f>
        <v>#NAME?</v>
      </c>
      <c r="O68" s="28"/>
      <c r="P68" s="28"/>
      <c r="Q68" s="28"/>
      <c r="R68" s="28"/>
      <c r="S68" s="28"/>
      <c r="T68" s="28"/>
      <c r="U68" s="28"/>
      <c r="V68" s="28"/>
      <c r="W68" s="28"/>
      <c r="X68" s="28"/>
      <c r="Y68" s="28"/>
      <c r="Z68" s="28"/>
      <c r="AA68" s="28">
        <f t="shared" si="16"/>
        <v>0</v>
      </c>
      <c r="AB68" s="29" t="str">
        <f>IF(AA68=0,"",IFERROR(AA68/AA$19,""))</f>
        <v/>
      </c>
      <c r="AD68" s="28"/>
      <c r="AE68" s="29" t="str">
        <f>IF(AD68=0,"",IFERROR(AD68/AD$19,""))</f>
        <v/>
      </c>
      <c r="AF68" s="48">
        <f t="shared" si="17"/>
        <v>0</v>
      </c>
      <c r="AG68" s="28"/>
      <c r="AH68" s="29" t="str">
        <f t="shared" si="3"/>
        <v/>
      </c>
      <c r="AI68" s="48">
        <f t="shared" si="18"/>
        <v>0</v>
      </c>
    </row>
    <row r="69" spans="3:35" x14ac:dyDescent="0.2">
      <c r="H69" s="133" t="s">
        <v>327</v>
      </c>
      <c r="I69" s="25" t="e">
        <f ca="1">_xll.EVPRO($B$1,$H69,"STYLE")</f>
        <v>#NAME?</v>
      </c>
      <c r="J69" s="25" t="e">
        <f ca="1">_xll.EVPRO($B$1,$H69,"CALC")</f>
        <v>#NAME?</v>
      </c>
      <c r="K69" s="24"/>
      <c r="L69" s="24" t="e">
        <f ca="1">_xll.EVPRO($B$1,H69,"JDEID")</f>
        <v>#NAME?</v>
      </c>
      <c r="M69" s="24" t="e">
        <f ca="1">IF(AND(I69="N",J69="N"),_xll.EVPRO($B$1,H69,"PSFTID"),"")</f>
        <v>#NAME?</v>
      </c>
      <c r="N69" s="23" t="e">
        <f ca="1">IF(_xll.EVDES(H69,$B$1)="#NODATA","",_xll.EVDES(H69,$B$1))</f>
        <v>#NAME?</v>
      </c>
      <c r="O69" s="145"/>
      <c r="P69" s="145"/>
      <c r="Q69" s="145"/>
      <c r="R69" s="145"/>
      <c r="S69" s="145"/>
      <c r="T69" s="145"/>
      <c r="U69" s="145"/>
      <c r="V69" s="145"/>
      <c r="W69" s="145"/>
      <c r="X69" s="145"/>
      <c r="Y69" s="145"/>
      <c r="Z69" s="145"/>
      <c r="AA69" s="145">
        <f t="shared" si="16"/>
        <v>0</v>
      </c>
      <c r="AB69" s="156" t="str">
        <f>IF(AA69=0,"",IFERROR(AA69/AA$19,""))</f>
        <v/>
      </c>
      <c r="AD69" s="145"/>
      <c r="AE69" s="156" t="str">
        <f>IF(AD69=0,"",IFERROR(AD69/AD$19,""))</f>
        <v/>
      </c>
      <c r="AF69" s="146">
        <f t="shared" si="17"/>
        <v>0</v>
      </c>
      <c r="AG69" s="145"/>
      <c r="AH69" s="156" t="str">
        <f t="shared" si="3"/>
        <v/>
      </c>
      <c r="AI69" s="146">
        <f t="shared" si="18"/>
        <v>0</v>
      </c>
    </row>
    <row r="70" spans="3:35" x14ac:dyDescent="0.2">
      <c r="H70" s="133" t="s">
        <v>766</v>
      </c>
      <c r="I70" s="25" t="e">
        <f ca="1">_xll.EVPRO($B$1,$H70,"STYLE")</f>
        <v>#NAME?</v>
      </c>
      <c r="J70" s="25" t="e">
        <f ca="1">_xll.EVPRO($B$1,$H70,"CALC")</f>
        <v>#NAME?</v>
      </c>
      <c r="K70" s="24"/>
      <c r="L70" s="24" t="e">
        <f ca="1">_xll.EVPRO($B$1,H70,"JDEID")</f>
        <v>#NAME?</v>
      </c>
      <c r="M70" s="24" t="e">
        <f ca="1">IF(AND(I70="N",J70="N"),_xll.EVPRO($B$1,H70,"PSFTID"),"")</f>
        <v>#NAME?</v>
      </c>
      <c r="N70" s="24" t="e">
        <f ca="1">IF(_xll.EVDES(H70,$B$1)="#NODATA","",_xll.EVDES(H70,$B$1))</f>
        <v>#NAME?</v>
      </c>
      <c r="O70" s="35"/>
      <c r="P70" s="35"/>
      <c r="Q70" s="35"/>
      <c r="R70" s="35"/>
      <c r="S70" s="35"/>
      <c r="T70" s="35"/>
      <c r="U70" s="35"/>
      <c r="V70" s="35"/>
      <c r="W70" s="35"/>
      <c r="X70" s="35"/>
      <c r="Y70" s="35"/>
      <c r="Z70" s="35"/>
      <c r="AA70" s="35">
        <f t="shared" si="16"/>
        <v>0</v>
      </c>
      <c r="AB70" s="36"/>
      <c r="AD70" s="35"/>
      <c r="AE70" s="36"/>
      <c r="AF70" s="118">
        <f t="shared" si="17"/>
        <v>0</v>
      </c>
      <c r="AG70" s="35"/>
      <c r="AH70" s="36"/>
      <c r="AI70" s="118">
        <f t="shared" si="18"/>
        <v>0</v>
      </c>
    </row>
    <row r="71" spans="3:35" x14ac:dyDescent="0.2">
      <c r="H71" s="133" t="s">
        <v>326</v>
      </c>
      <c r="I71" s="25" t="e">
        <f ca="1">_xll.EVPRO($B$1,$H71,"STYLE")</f>
        <v>#NAME?</v>
      </c>
      <c r="J71" s="25" t="e">
        <f ca="1">_xll.EVPRO($B$1,$H71,"CALC")</f>
        <v>#NAME?</v>
      </c>
      <c r="K71" s="24"/>
      <c r="L71" s="24" t="e">
        <f ca="1">_xll.EVPRO($B$1,H71,"JDEID")</f>
        <v>#NAME?</v>
      </c>
      <c r="M71" s="24" t="e">
        <f ca="1">IF(AND(I71="N",J71="N"),_xll.EVPRO($B$1,H71,"PSFTID"),"")</f>
        <v>#NAME?</v>
      </c>
      <c r="N71" s="24" t="e">
        <f ca="1">IF(_xll.EVDES(H71,$B$1)="#NODATA","",_xll.EVDES(H71,$B$1))</f>
        <v>#NAME?</v>
      </c>
      <c r="O71" s="35"/>
      <c r="P71" s="35"/>
      <c r="Q71" s="35"/>
      <c r="R71" s="35"/>
      <c r="S71" s="35"/>
      <c r="T71" s="35"/>
      <c r="U71" s="35"/>
      <c r="V71" s="35"/>
      <c r="W71" s="35"/>
      <c r="X71" s="35"/>
      <c r="Y71" s="35"/>
      <c r="Z71" s="35"/>
      <c r="AA71" s="35">
        <f t="shared" si="16"/>
        <v>0</v>
      </c>
      <c r="AB71" s="36" t="str">
        <f>IF(AA71=0,"",IFERROR(AA71/AA$87,""))</f>
        <v/>
      </c>
      <c r="AD71" s="35"/>
      <c r="AE71" s="36" t="str">
        <f>IF(AD71=0,"",IFERROR(AD71/AD$87,""))</f>
        <v/>
      </c>
      <c r="AF71" s="118">
        <f t="shared" si="17"/>
        <v>0</v>
      </c>
      <c r="AG71" s="35"/>
      <c r="AH71" s="36" t="str">
        <f>IF(AG71=0,"",IFERROR(AG71/AG$87,""))</f>
        <v/>
      </c>
      <c r="AI71" s="118">
        <f t="shared" si="18"/>
        <v>0</v>
      </c>
    </row>
    <row r="72" spans="3:35" x14ac:dyDescent="0.2">
      <c r="H72" s="133" t="s">
        <v>328</v>
      </c>
      <c r="I72" s="25" t="e">
        <f ca="1">_xll.EVPRO($B$1,$H72,"STYLE")</f>
        <v>#NAME?</v>
      </c>
      <c r="J72" s="25" t="e">
        <f ca="1">_xll.EVPRO($B$1,$H72,"CALC")</f>
        <v>#NAME?</v>
      </c>
      <c r="K72" s="24"/>
      <c r="L72" s="24" t="e">
        <f ca="1">_xll.EVPRO($B$1,H72,"JDEID")</f>
        <v>#NAME?</v>
      </c>
      <c r="M72" s="24" t="e">
        <f ca="1">IF(AND(I72="N",J72="N"),_xll.EVPRO($B$1,H72,"PSFTID"),"")</f>
        <v>#NAME?</v>
      </c>
      <c r="N72" s="151" t="e">
        <f ca="1">IF(_xll.EVDES(H72,$B$1)="#NODATA","",_xll.EVDES(H72,$B$1))</f>
        <v>#NAME?</v>
      </c>
      <c r="O72" s="157"/>
      <c r="P72" s="157"/>
      <c r="Q72" s="157"/>
      <c r="R72" s="157"/>
      <c r="S72" s="157"/>
      <c r="T72" s="157"/>
      <c r="U72" s="157"/>
      <c r="V72" s="157"/>
      <c r="W72" s="157"/>
      <c r="X72" s="157"/>
      <c r="Y72" s="157"/>
      <c r="Z72" s="157"/>
      <c r="AA72" s="157" t="str">
        <f>IFERROR(AA69/AA71,"")</f>
        <v/>
      </c>
      <c r="AB72" s="157"/>
      <c r="AD72" s="157"/>
      <c r="AE72" s="157"/>
      <c r="AF72" s="158" t="str">
        <f t="shared" si="17"/>
        <v/>
      </c>
      <c r="AG72" s="157"/>
      <c r="AH72" s="157"/>
      <c r="AI72" s="158" t="str">
        <f t="shared" si="18"/>
        <v/>
      </c>
    </row>
    <row r="73" spans="3:35" x14ac:dyDescent="0.2">
      <c r="G73" s="162">
        <f>COUNTIF(O74:AI74,FALSE)</f>
        <v>0</v>
      </c>
      <c r="H73" s="10"/>
      <c r="I73" s="25"/>
      <c r="J73" s="25"/>
      <c r="K73" s="24"/>
      <c r="L73" s="24"/>
      <c r="M73" s="24"/>
      <c r="N73" s="163" t="s">
        <v>345</v>
      </c>
      <c r="O73" s="160">
        <f t="shared" ref="O73:AA73" si="19">ROUND(IFERROR(O69/O71,0),2)</f>
        <v>0</v>
      </c>
      <c r="P73" s="165">
        <f t="shared" si="19"/>
        <v>0</v>
      </c>
      <c r="Q73" s="165">
        <f t="shared" si="19"/>
        <v>0</v>
      </c>
      <c r="R73" s="165">
        <f t="shared" si="19"/>
        <v>0</v>
      </c>
      <c r="S73" s="165">
        <f t="shared" si="19"/>
        <v>0</v>
      </c>
      <c r="T73" s="165">
        <f t="shared" si="19"/>
        <v>0</v>
      </c>
      <c r="U73" s="165">
        <f t="shared" si="19"/>
        <v>0</v>
      </c>
      <c r="V73" s="165">
        <f t="shared" si="19"/>
        <v>0</v>
      </c>
      <c r="W73" s="165">
        <f t="shared" si="19"/>
        <v>0</v>
      </c>
      <c r="X73" s="165">
        <f t="shared" si="19"/>
        <v>0</v>
      </c>
      <c r="Y73" s="165">
        <f t="shared" si="19"/>
        <v>0</v>
      </c>
      <c r="Z73" s="165">
        <f t="shared" si="19"/>
        <v>0</v>
      </c>
      <c r="AA73" s="165">
        <f t="shared" si="19"/>
        <v>0</v>
      </c>
      <c r="AB73" s="164"/>
      <c r="AD73" s="160">
        <f>ROUND(IFERROR(AD69/AD71,0),2)</f>
        <v>0</v>
      </c>
      <c r="AE73" s="165"/>
      <c r="AF73" s="161"/>
      <c r="AG73" s="160">
        <f>ROUND(IFERROR(AG69/AG71,0),2)</f>
        <v>0</v>
      </c>
      <c r="AH73" s="165"/>
      <c r="AI73" s="161"/>
    </row>
    <row r="74" spans="3:35" x14ac:dyDescent="0.2">
      <c r="H74" s="133"/>
      <c r="I74" s="25"/>
      <c r="J74" s="25"/>
      <c r="K74" s="24"/>
      <c r="L74" s="24"/>
      <c r="M74" s="24"/>
      <c r="N74" s="8" t="s">
        <v>324</v>
      </c>
      <c r="O74" s="292" t="b">
        <f t="shared" ref="O74:AA74" si="20">ROUND(O72,2)=ROUND(O73,2)</f>
        <v>1</v>
      </c>
      <c r="P74" s="293" t="b">
        <f t="shared" si="20"/>
        <v>1</v>
      </c>
      <c r="Q74" s="293" t="b">
        <f t="shared" si="20"/>
        <v>1</v>
      </c>
      <c r="R74" s="293" t="b">
        <f t="shared" si="20"/>
        <v>1</v>
      </c>
      <c r="S74" s="293" t="b">
        <f t="shared" si="20"/>
        <v>1</v>
      </c>
      <c r="T74" s="293" t="b">
        <f t="shared" si="20"/>
        <v>1</v>
      </c>
      <c r="U74" s="293" t="b">
        <f t="shared" si="20"/>
        <v>1</v>
      </c>
      <c r="V74" s="293" t="b">
        <f t="shared" si="20"/>
        <v>1</v>
      </c>
      <c r="W74" s="293" t="b">
        <f t="shared" si="20"/>
        <v>1</v>
      </c>
      <c r="X74" s="293" t="b">
        <f t="shared" si="20"/>
        <v>1</v>
      </c>
      <c r="Y74" s="293" t="b">
        <f t="shared" si="20"/>
        <v>1</v>
      </c>
      <c r="Z74" s="293" t="b">
        <f t="shared" si="20"/>
        <v>1</v>
      </c>
      <c r="AA74" s="293" t="e">
        <f t="shared" si="20"/>
        <v>#VALUE!</v>
      </c>
      <c r="AB74" s="294"/>
      <c r="AC74" s="206"/>
      <c r="AD74" s="292"/>
      <c r="AE74" s="293" t="b">
        <f>ROUND(AD72,2)=ROUND(AD73,2)</f>
        <v>1</v>
      </c>
      <c r="AF74" s="294"/>
      <c r="AG74" s="292"/>
      <c r="AH74" s="293" t="b">
        <f>ROUND(AG72,2)=ROUND(AG73,2)</f>
        <v>1</v>
      </c>
      <c r="AI74" s="294"/>
    </row>
    <row r="75" spans="3:35" x14ac:dyDescent="0.2">
      <c r="H75" s="133" t="s">
        <v>264</v>
      </c>
      <c r="I75" s="25" t="e">
        <f ca="1">_xll.EVPRO($B$1,$H75,"STYLE")</f>
        <v>#NAME?</v>
      </c>
      <c r="J75" s="25" t="e">
        <f ca="1">_xll.EVPRO($B$1,$H75,"CALC")</f>
        <v>#NAME?</v>
      </c>
      <c r="K75" s="24"/>
      <c r="L75" s="24" t="e">
        <f ca="1">_xll.EVPRO($B$1,H75,"JDEID")</f>
        <v>#NAME?</v>
      </c>
      <c r="M75" s="24" t="e">
        <f ca="1">IF(AND(I75="N",J75="N"),_xll.EVPRO($B$1,H75,"PSFTID"),"")</f>
        <v>#NAME?</v>
      </c>
      <c r="N75" s="24" t="e">
        <f ca="1">IF(_xll.EVDES(H75,$B$1)="#NODATA","",_xll.EVDES(H75,$B$1))</f>
        <v>#NAME?</v>
      </c>
      <c r="O75" s="19"/>
      <c r="P75" s="19"/>
      <c r="Q75" s="19"/>
      <c r="R75" s="19"/>
      <c r="S75" s="19"/>
      <c r="T75" s="19"/>
      <c r="U75" s="19"/>
      <c r="V75" s="19"/>
      <c r="W75" s="19"/>
      <c r="X75" s="19"/>
      <c r="Y75" s="19"/>
      <c r="Z75" s="19"/>
      <c r="AA75" s="19">
        <f t="shared" ref="AA75:AA80" si="21">SUM(O75:Z75)</f>
        <v>0</v>
      </c>
      <c r="AB75" s="15" t="str">
        <f>IF(AA75=0,"",IFERROR(AA75/AA$19,""))</f>
        <v/>
      </c>
      <c r="AD75" s="19"/>
      <c r="AE75" s="15" t="str">
        <f>IF(AD75=0,"",IFERROR(AD75/AD$19,""))</f>
        <v/>
      </c>
      <c r="AF75" s="47">
        <f t="shared" ref="AF75:AF81" si="22">IF(AND($AA75="",AD75=""),"",$AA75-AD75)</f>
        <v>0</v>
      </c>
      <c r="AG75" s="19"/>
      <c r="AH75" s="15" t="str">
        <f t="shared" si="3"/>
        <v/>
      </c>
      <c r="AI75" s="47">
        <f t="shared" ref="AI75:AI81" si="23">IF(AND($AA75="",AG75=""),"",$AA75-AG75)</f>
        <v>0</v>
      </c>
    </row>
    <row r="76" spans="3:35" x14ac:dyDescent="0.2">
      <c r="H76" s="133" t="s">
        <v>321</v>
      </c>
      <c r="I76" s="25" t="e">
        <f ca="1">_xll.EVPRO($B$1,$H76,"STYLE")</f>
        <v>#NAME?</v>
      </c>
      <c r="J76" s="25" t="e">
        <f ca="1">_xll.EVPRO($B$1,$H76,"CALC")</f>
        <v>#NAME?</v>
      </c>
      <c r="K76" s="24"/>
      <c r="L76" s="24" t="e">
        <f ca="1">_xll.EVPRO($B$1,H76,"JDEID")</f>
        <v>#NAME?</v>
      </c>
      <c r="M76" s="24" t="e">
        <f ca="1">IF(AND(I76="N",J76="N"),_xll.EVPRO($B$1,H76,"PSFTID"),"")</f>
        <v>#NAME?</v>
      </c>
      <c r="N76" s="24" t="e">
        <f ca="1">IF(_xll.EVDES(H76,$B$1)="#NODATA","",_xll.EVDES(H76,$B$1))</f>
        <v>#NAME?</v>
      </c>
      <c r="O76" s="19"/>
      <c r="P76" s="19"/>
      <c r="Q76" s="19"/>
      <c r="R76" s="19"/>
      <c r="S76" s="19"/>
      <c r="T76" s="19"/>
      <c r="U76" s="19"/>
      <c r="V76" s="19"/>
      <c r="W76" s="19"/>
      <c r="X76" s="19"/>
      <c r="Y76" s="19"/>
      <c r="Z76" s="19"/>
      <c r="AA76" s="19">
        <f t="shared" si="21"/>
        <v>0</v>
      </c>
      <c r="AB76" s="15" t="str">
        <f>IF(AA76=0,"",IFERROR(AA76/AA$19,""))</f>
        <v/>
      </c>
      <c r="AD76" s="19"/>
      <c r="AE76" s="15" t="str">
        <f>IF(AD76=0,"",IFERROR(AD76/AD$19,""))</f>
        <v/>
      </c>
      <c r="AF76" s="47">
        <f t="shared" si="22"/>
        <v>0</v>
      </c>
      <c r="AG76" s="19"/>
      <c r="AH76" s="15" t="str">
        <f t="shared" si="3"/>
        <v/>
      </c>
      <c r="AI76" s="47">
        <f t="shared" si="23"/>
        <v>0</v>
      </c>
    </row>
    <row r="77" spans="3:35" x14ac:dyDescent="0.2">
      <c r="H77" s="133" t="s">
        <v>323</v>
      </c>
      <c r="I77" s="25" t="e">
        <f ca="1">_xll.EVPRO($B$1,$H77,"STYLE")</f>
        <v>#NAME?</v>
      </c>
      <c r="J77" s="25" t="e">
        <f ca="1">_xll.EVPRO($B$1,$H77,"CALC")</f>
        <v>#NAME?</v>
      </c>
      <c r="K77" s="24"/>
      <c r="L77" s="24" t="e">
        <f ca="1">_xll.EVPRO($B$1,H77,"JDEID")</f>
        <v>#NAME?</v>
      </c>
      <c r="M77" s="24" t="e">
        <f ca="1">IF(AND(I77="N",J77="N"),_xll.EVPRO($B$1,H77,"PSFTID"),"")</f>
        <v>#NAME?</v>
      </c>
      <c r="N77" s="24" t="e">
        <f ca="1">IF(_xll.EVDES(H77,$B$1)="#NODATA","",_xll.EVDES(H77,$B$1))</f>
        <v>#NAME?</v>
      </c>
      <c r="O77" s="19"/>
      <c r="P77" s="19"/>
      <c r="Q77" s="19"/>
      <c r="R77" s="19"/>
      <c r="S77" s="19"/>
      <c r="T77" s="19"/>
      <c r="U77" s="19"/>
      <c r="V77" s="19"/>
      <c r="W77" s="19"/>
      <c r="X77" s="19"/>
      <c r="Y77" s="19"/>
      <c r="Z77" s="19"/>
      <c r="AA77" s="19">
        <f t="shared" si="21"/>
        <v>0</v>
      </c>
      <c r="AB77" s="15" t="str">
        <f>IF(AA77=0,"",IFERROR(AA77/AA$19,""))</f>
        <v/>
      </c>
      <c r="AD77" s="19"/>
      <c r="AE77" s="15" t="str">
        <f>IF(AD77=0,"",IFERROR(AD77/AD$19,""))</f>
        <v/>
      </c>
      <c r="AF77" s="47">
        <f t="shared" si="22"/>
        <v>0</v>
      </c>
      <c r="AG77" s="19"/>
      <c r="AH77" s="15" t="str">
        <f t="shared" si="3"/>
        <v/>
      </c>
      <c r="AI77" s="47">
        <f t="shared" si="23"/>
        <v>0</v>
      </c>
    </row>
    <row r="78" spans="3:35" x14ac:dyDescent="0.2">
      <c r="C78" s="23"/>
      <c r="H78" s="133" t="s">
        <v>322</v>
      </c>
      <c r="I78" s="25" t="e">
        <f ca="1">_xll.EVPRO($B$1,$H78,"STYLE")</f>
        <v>#NAME?</v>
      </c>
      <c r="J78" s="25" t="e">
        <f ca="1">_xll.EVPRO($B$1,$H78,"CALC")</f>
        <v>#NAME?</v>
      </c>
      <c r="K78" s="24"/>
      <c r="L78" s="24" t="e">
        <f ca="1">_xll.EVPRO($B$1,H78,"JDEID")</f>
        <v>#NAME?</v>
      </c>
      <c r="M78" s="24" t="e">
        <f ca="1">IF(AND(I78="N",J78="N"),_xll.EVPRO($B$1,H78,"PSFTID"),"")</f>
        <v>#NAME?</v>
      </c>
      <c r="N78" s="24" t="e">
        <f ca="1">IF(_xll.EVDES(H78,$B$1)="#NODATA","",_xll.EVDES(H78,$B$1))</f>
        <v>#NAME?</v>
      </c>
      <c r="O78" s="28"/>
      <c r="P78" s="28"/>
      <c r="Q78" s="28"/>
      <c r="R78" s="28"/>
      <c r="S78" s="28"/>
      <c r="T78" s="28"/>
      <c r="U78" s="28"/>
      <c r="V78" s="28"/>
      <c r="W78" s="28"/>
      <c r="X78" s="28"/>
      <c r="Y78" s="28"/>
      <c r="Z78" s="28"/>
      <c r="AA78" s="28">
        <f t="shared" si="21"/>
        <v>0</v>
      </c>
      <c r="AB78" s="29" t="str">
        <f>IF(AA78=0,"",IFERROR(AA78/AA$19,""))</f>
        <v/>
      </c>
      <c r="AD78" s="28"/>
      <c r="AE78" s="29" t="str">
        <f>IF(AD78=0,"",IFERROR(AD78/AD$19,""))</f>
        <v/>
      </c>
      <c r="AF78" s="48">
        <f t="shared" si="22"/>
        <v>0</v>
      </c>
      <c r="AG78" s="28"/>
      <c r="AH78" s="29" t="str">
        <f t="shared" si="3"/>
        <v/>
      </c>
      <c r="AI78" s="48">
        <f t="shared" si="23"/>
        <v>0</v>
      </c>
    </row>
    <row r="79" spans="3:35" x14ac:dyDescent="0.2">
      <c r="C79" s="23"/>
      <c r="H79" s="133" t="s">
        <v>329</v>
      </c>
      <c r="I79" s="25" t="e">
        <f ca="1">_xll.EVPRO($B$1,$H79,"STYLE")</f>
        <v>#NAME?</v>
      </c>
      <c r="J79" s="25" t="e">
        <f ca="1">_xll.EVPRO($B$1,$H79,"CALC")</f>
        <v>#NAME?</v>
      </c>
      <c r="K79" s="24"/>
      <c r="L79" s="24" t="e">
        <f ca="1">_xll.EVPRO($B$1,H79,"JDEID")</f>
        <v>#NAME?</v>
      </c>
      <c r="M79" s="24" t="e">
        <f ca="1">IF(AND(I79="N",J79="N"),_xll.EVPRO($B$1,H79,"PSFTID"),"")</f>
        <v>#NAME?</v>
      </c>
      <c r="N79" s="23" t="e">
        <f ca="1">IF(_xll.EVDES(H79,$B$1)="#NODATA","",_xll.EVDES(H79,$B$1))</f>
        <v>#NAME?</v>
      </c>
      <c r="O79" s="145"/>
      <c r="P79" s="145"/>
      <c r="Q79" s="145"/>
      <c r="R79" s="145"/>
      <c r="S79" s="145"/>
      <c r="T79" s="145"/>
      <c r="U79" s="145"/>
      <c r="V79" s="145"/>
      <c r="W79" s="145"/>
      <c r="X79" s="145"/>
      <c r="Y79" s="145"/>
      <c r="Z79" s="145"/>
      <c r="AA79" s="145">
        <f t="shared" si="21"/>
        <v>0</v>
      </c>
      <c r="AB79" s="156" t="str">
        <f>IF(AA79=0,"",IFERROR(AA79/AA$19,""))</f>
        <v/>
      </c>
      <c r="AD79" s="145"/>
      <c r="AE79" s="156" t="str">
        <f>IF(AD79=0,"",IFERROR(AD79/AD$19,""))</f>
        <v/>
      </c>
      <c r="AF79" s="146">
        <f t="shared" si="22"/>
        <v>0</v>
      </c>
      <c r="AG79" s="145"/>
      <c r="AH79" s="156" t="str">
        <f t="shared" si="3"/>
        <v/>
      </c>
      <c r="AI79" s="146">
        <f t="shared" si="23"/>
        <v>0</v>
      </c>
    </row>
    <row r="80" spans="3:35" x14ac:dyDescent="0.2">
      <c r="C80" s="23"/>
      <c r="H80" s="133" t="s">
        <v>300</v>
      </c>
      <c r="I80" s="25" t="e">
        <f ca="1">_xll.EVPRO($B$1,$H80,"STYLE")</f>
        <v>#NAME?</v>
      </c>
      <c r="J80" s="25" t="e">
        <f ca="1">_xll.EVPRO($B$1,$H80,"CALC")</f>
        <v>#NAME?</v>
      </c>
      <c r="K80" s="24"/>
      <c r="L80" s="24" t="e">
        <f ca="1">_xll.EVPRO($B$1,H80,"JDEID")</f>
        <v>#NAME?</v>
      </c>
      <c r="M80" s="24" t="e">
        <f ca="1">IF(AND(I80="N",J80="N"),_xll.EVPRO($B$1,H80,"PSFTID"),"")</f>
        <v>#NAME?</v>
      </c>
      <c r="N80" s="24" t="e">
        <f ca="1">IF(_xll.EVDES(H80,$B$1)="#NODATA","",_xll.EVDES(H80,$B$1))</f>
        <v>#NAME?</v>
      </c>
      <c r="O80" s="35"/>
      <c r="P80" s="35"/>
      <c r="Q80" s="35"/>
      <c r="R80" s="35"/>
      <c r="S80" s="35"/>
      <c r="T80" s="35"/>
      <c r="U80" s="35"/>
      <c r="V80" s="35"/>
      <c r="W80" s="35"/>
      <c r="X80" s="35"/>
      <c r="Y80" s="35"/>
      <c r="Z80" s="35"/>
      <c r="AA80" s="35">
        <f t="shared" si="21"/>
        <v>0</v>
      </c>
      <c r="AB80" s="36" t="str">
        <f>IF(AA80=0,"",IFERROR(AA80/AA$87,""))</f>
        <v/>
      </c>
      <c r="AD80" s="35"/>
      <c r="AE80" s="36" t="str">
        <f>IF(AD80=0,"",IFERROR(AD80/AD$87,""))</f>
        <v/>
      </c>
      <c r="AF80" s="118">
        <f t="shared" si="22"/>
        <v>0</v>
      </c>
      <c r="AG80" s="35"/>
      <c r="AH80" s="36" t="str">
        <f>IF(AG80=0,"",IFERROR(AG80/AG$87,""))</f>
        <v/>
      </c>
      <c r="AI80" s="118">
        <f t="shared" si="23"/>
        <v>0</v>
      </c>
    </row>
    <row r="81" spans="3:35" x14ac:dyDescent="0.2">
      <c r="C81" s="23"/>
      <c r="H81" s="133" t="s">
        <v>325</v>
      </c>
      <c r="I81" s="25" t="e">
        <f ca="1">_xll.EVPRO($B$1,$H81,"STYLE")</f>
        <v>#NAME?</v>
      </c>
      <c r="J81" s="25" t="e">
        <f ca="1">_xll.EVPRO($B$1,$H81,"CALC")</f>
        <v>#NAME?</v>
      </c>
      <c r="K81" s="24"/>
      <c r="L81" s="24" t="e">
        <f ca="1">_xll.EVPRO($B$1,H81,"JDEID")</f>
        <v>#NAME?</v>
      </c>
      <c r="M81" s="24" t="e">
        <f ca="1">IF(AND(I81="N",J81="N"),_xll.EVPRO($B$1,H81,"PSFTID"),"")</f>
        <v>#NAME?</v>
      </c>
      <c r="N81" s="151" t="e">
        <f ca="1">IF(_xll.EVDES(H81,$B$1)="#NODATA","",_xll.EVDES(H81,$B$1))</f>
        <v>#NAME?</v>
      </c>
      <c r="O81" s="157"/>
      <c r="P81" s="157"/>
      <c r="Q81" s="157"/>
      <c r="R81" s="157"/>
      <c r="S81" s="157"/>
      <c r="T81" s="157"/>
      <c r="U81" s="157"/>
      <c r="V81" s="157"/>
      <c r="W81" s="157"/>
      <c r="X81" s="157"/>
      <c r="Y81" s="157"/>
      <c r="Z81" s="157"/>
      <c r="AA81" s="157" t="str">
        <f>IFERROR(AA79/AA80,"")</f>
        <v/>
      </c>
      <c r="AB81" s="157"/>
      <c r="AD81" s="157"/>
      <c r="AE81" s="157"/>
      <c r="AF81" s="158" t="str">
        <f t="shared" si="22"/>
        <v/>
      </c>
      <c r="AG81" s="157"/>
      <c r="AH81" s="157"/>
      <c r="AI81" s="158" t="str">
        <f t="shared" si="23"/>
        <v/>
      </c>
    </row>
    <row r="82" spans="3:35" x14ac:dyDescent="0.2">
      <c r="C82" s="23"/>
      <c r="G82" s="162">
        <f>COUNTIF(O84:AI84,FALSE)</f>
        <v>0</v>
      </c>
      <c r="H82" s="10"/>
      <c r="I82" s="25"/>
      <c r="J82" s="25"/>
      <c r="K82" s="24"/>
      <c r="L82" s="24"/>
      <c r="M82" s="24"/>
      <c r="N82" s="163" t="s">
        <v>345</v>
      </c>
      <c r="O82" s="160">
        <f t="shared" ref="O82:AA82" si="24">ROUND(IFERROR(O79/O80,0),2)</f>
        <v>0</v>
      </c>
      <c r="P82" s="165">
        <f t="shared" si="24"/>
        <v>0</v>
      </c>
      <c r="Q82" s="165">
        <f t="shared" si="24"/>
        <v>0</v>
      </c>
      <c r="R82" s="165">
        <f t="shared" si="24"/>
        <v>0</v>
      </c>
      <c r="S82" s="165">
        <f t="shared" si="24"/>
        <v>0</v>
      </c>
      <c r="T82" s="165">
        <f t="shared" si="24"/>
        <v>0</v>
      </c>
      <c r="U82" s="165">
        <f t="shared" si="24"/>
        <v>0</v>
      </c>
      <c r="V82" s="165">
        <f t="shared" si="24"/>
        <v>0</v>
      </c>
      <c r="W82" s="165">
        <f t="shared" si="24"/>
        <v>0</v>
      </c>
      <c r="X82" s="165">
        <f t="shared" si="24"/>
        <v>0</v>
      </c>
      <c r="Y82" s="165">
        <f t="shared" si="24"/>
        <v>0</v>
      </c>
      <c r="Z82" s="165">
        <f t="shared" si="24"/>
        <v>0</v>
      </c>
      <c r="AA82" s="165">
        <f t="shared" si="24"/>
        <v>0</v>
      </c>
      <c r="AB82" s="164"/>
      <c r="AD82" s="160">
        <f>ROUND(IFERROR(AD79/AD80,0),2)</f>
        <v>0</v>
      </c>
      <c r="AE82" s="165"/>
      <c r="AF82" s="161"/>
      <c r="AG82" s="160">
        <f>ROUND(IFERROR(AG79/AG80,0),2)</f>
        <v>0</v>
      </c>
      <c r="AH82" s="165"/>
      <c r="AI82" s="161"/>
    </row>
    <row r="83" spans="3:35" x14ac:dyDescent="0.2">
      <c r="C83" s="23"/>
      <c r="H83" s="10" t="s">
        <v>486</v>
      </c>
      <c r="I83" s="25" t="e">
        <f ca="1">_xll.EVPRO($B$1,$H83,"STYLE")</f>
        <v>#NAME?</v>
      </c>
      <c r="J83" s="25" t="e">
        <f ca="1">_xll.EVPRO($B$1,$H83,"CALC")</f>
        <v>#NAME?</v>
      </c>
      <c r="K83" s="24"/>
      <c r="L83" s="24" t="e">
        <f ca="1">_xll.EVPRO($B$1,H83,"JDEID")</f>
        <v>#NAME?</v>
      </c>
      <c r="M83" s="24" t="e">
        <f ca="1">IF(AND(I83="N",J83="N"),_xll.EVPRO($B$1,H83,"PSFTID"),"")</f>
        <v>#NAME?</v>
      </c>
      <c r="N83" s="24" t="e">
        <f ca="1">IF(_xll.EVDES(H83,$B$1)="#NODATA","",_xll.EVDES(H83,$B$1))</f>
        <v>#NAME?</v>
      </c>
      <c r="O83" s="19"/>
      <c r="P83" s="19"/>
      <c r="Q83" s="19"/>
      <c r="R83" s="19"/>
      <c r="S83" s="19"/>
      <c r="T83" s="19"/>
      <c r="U83" s="19"/>
      <c r="V83" s="19"/>
      <c r="W83" s="19"/>
      <c r="X83" s="19"/>
      <c r="Y83" s="19"/>
      <c r="Z83" s="19"/>
      <c r="AA83" s="19">
        <f>SUM(O83:Z83)</f>
        <v>0</v>
      </c>
      <c r="AB83" s="15" t="str">
        <f>IF(AA83=0,"",IFERROR(AA83/AA$19,""))</f>
        <v/>
      </c>
      <c r="AD83" s="19"/>
      <c r="AE83" s="15" t="str">
        <f>IF(AD83=0,"",IFERROR(AD83/AD$19,""))</f>
        <v/>
      </c>
      <c r="AF83" s="47">
        <f>IF(AND($AA83="",AD83=""),"",$AA83-AD83)</f>
        <v>0</v>
      </c>
      <c r="AG83" s="19"/>
      <c r="AH83" s="15" t="str">
        <f>IF(AG83=0,"",IFERROR(AG83/AG$19,""))</f>
        <v/>
      </c>
      <c r="AI83" s="47">
        <f>IF(AND($AA83="",AG83=""),"",$AA83-AG83)</f>
        <v>0</v>
      </c>
    </row>
    <row r="84" spans="3:35" x14ac:dyDescent="0.2">
      <c r="C84" s="23"/>
      <c r="H84" s="10"/>
      <c r="I84" s="25"/>
      <c r="J84" s="25"/>
      <c r="K84" s="24"/>
      <c r="L84" s="24"/>
      <c r="M84" s="24"/>
      <c r="N84" s="8" t="s">
        <v>348</v>
      </c>
      <c r="O84" s="292" t="b">
        <f t="shared" ref="O84:AA84" si="25">ROUND(O81,2)=ROUND(O82,2)</f>
        <v>1</v>
      </c>
      <c r="P84" s="293" t="b">
        <f t="shared" si="25"/>
        <v>1</v>
      </c>
      <c r="Q84" s="293" t="b">
        <f t="shared" si="25"/>
        <v>1</v>
      </c>
      <c r="R84" s="293" t="b">
        <f t="shared" si="25"/>
        <v>1</v>
      </c>
      <c r="S84" s="293" t="b">
        <f t="shared" si="25"/>
        <v>1</v>
      </c>
      <c r="T84" s="293" t="b">
        <f t="shared" si="25"/>
        <v>1</v>
      </c>
      <c r="U84" s="293" t="b">
        <f t="shared" si="25"/>
        <v>1</v>
      </c>
      <c r="V84" s="293" t="b">
        <f t="shared" si="25"/>
        <v>1</v>
      </c>
      <c r="W84" s="293" t="b">
        <f t="shared" si="25"/>
        <v>1</v>
      </c>
      <c r="X84" s="293" t="b">
        <f t="shared" si="25"/>
        <v>1</v>
      </c>
      <c r="Y84" s="293" t="b">
        <f t="shared" si="25"/>
        <v>1</v>
      </c>
      <c r="Z84" s="293" t="b">
        <f t="shared" si="25"/>
        <v>1</v>
      </c>
      <c r="AA84" s="293" t="e">
        <f t="shared" si="25"/>
        <v>#VALUE!</v>
      </c>
      <c r="AB84" s="294"/>
      <c r="AC84" s="206"/>
      <c r="AD84" s="292"/>
      <c r="AE84" s="293" t="b">
        <f>ROUND(AD81,2)=ROUND(AD82,2)</f>
        <v>1</v>
      </c>
      <c r="AF84" s="294"/>
      <c r="AG84" s="292"/>
      <c r="AH84" s="293" t="b">
        <f>ROUND(AG81,2)=ROUND(AG82,2)</f>
        <v>1</v>
      </c>
      <c r="AI84" s="294"/>
    </row>
    <row r="85" spans="3:35" x14ac:dyDescent="0.2">
      <c r="C85" s="23"/>
      <c r="H85" s="133" t="s">
        <v>273</v>
      </c>
      <c r="I85" s="25" t="e">
        <f ca="1">_xll.EVPRO($B$1,$H85,"STYLE")</f>
        <v>#NAME?</v>
      </c>
      <c r="J85" s="25" t="e">
        <f ca="1">_xll.EVPRO($B$1,$H85,"CALC")</f>
        <v>#NAME?</v>
      </c>
      <c r="L85" s="24" t="e">
        <f ca="1">_xll.EVPRO($B$1,H85,"JDEID")</f>
        <v>#NAME?</v>
      </c>
      <c r="M85" s="24" t="e">
        <f ca="1">IF(AND(I85="N",J85="N"),_xll.EVPRO($B$1,H85,"PSFTID"),"")</f>
        <v>#NAME?</v>
      </c>
      <c r="N85" s="24" t="e">
        <f ca="1">IF(_xll.EVDES(H85,$B$1)="#NODATA","",_xll.EVDES(H85,$B$1))</f>
        <v>#NAME?</v>
      </c>
      <c r="O85" s="152"/>
      <c r="P85" s="152"/>
      <c r="Q85" s="152"/>
      <c r="R85" s="152"/>
      <c r="S85" s="152"/>
      <c r="T85" s="152"/>
      <c r="U85" s="152"/>
      <c r="V85" s="152"/>
      <c r="W85" s="152"/>
      <c r="X85" s="152"/>
      <c r="Y85" s="152"/>
      <c r="Z85" s="152"/>
      <c r="AA85" s="152">
        <f>SUM(O85:Z85)</f>
        <v>0</v>
      </c>
      <c r="AB85" s="153" t="str">
        <f>IF(AA85=0,"",IFERROR(AA85/AA$19,""))</f>
        <v/>
      </c>
      <c r="AD85" s="152"/>
      <c r="AE85" s="153" t="str">
        <f>IF(AD85=0,"",IFERROR(AD85/AD$19,""))</f>
        <v/>
      </c>
      <c r="AF85" s="154">
        <f>IF(AND($AA85="",AD85=""),"",$AA85-AD85)</f>
        <v>0</v>
      </c>
      <c r="AG85" s="152"/>
      <c r="AH85" s="153" t="str">
        <f>IF(AG85=0,"",IFERROR(AG85/AG$19,""))</f>
        <v/>
      </c>
      <c r="AI85" s="154">
        <f>IF(AND($AA85="",AG85=""),"",$AA85-AG85)</f>
        <v>0</v>
      </c>
    </row>
    <row r="86" spans="3:35" x14ac:dyDescent="0.2">
      <c r="C86" s="23"/>
      <c r="H86" s="133" t="s">
        <v>767</v>
      </c>
      <c r="I86" s="25" t="e">
        <f ca="1">_xll.EVPRO($B$1,$H86,"STYLE")</f>
        <v>#NAME?</v>
      </c>
      <c r="J86" s="25" t="e">
        <f ca="1">_xll.EVPRO($B$1,$H86,"CALC")</f>
        <v>#NAME?</v>
      </c>
      <c r="L86" s="24" t="e">
        <f ca="1">_xll.EVPRO($B$1,H86,"JDEID")</f>
        <v>#NAME?</v>
      </c>
      <c r="M86" s="24" t="e">
        <f ca="1">IF(AND(I86="N",J86="N"),_xll.EVPRO($B$1,H86,"PSFTID"),"")</f>
        <v>#NAME?</v>
      </c>
      <c r="N86" s="24" t="e">
        <f ca="1">IF(_xll.EVDES(H86,$B$1)="#NODATA","",_xll.EVDES(H86,$B$1))</f>
        <v>#NAME?</v>
      </c>
      <c r="O86" s="152"/>
      <c r="P86" s="152"/>
      <c r="Q86" s="152"/>
      <c r="R86" s="152"/>
      <c r="S86" s="152"/>
      <c r="T86" s="152"/>
      <c r="U86" s="152"/>
      <c r="V86" s="152"/>
      <c r="W86" s="152"/>
      <c r="X86" s="152"/>
      <c r="Y86" s="152"/>
      <c r="Z86" s="152"/>
      <c r="AA86" s="152">
        <f>SUM(O86:Z86)</f>
        <v>0</v>
      </c>
      <c r="AB86" s="153"/>
      <c r="AD86" s="152"/>
      <c r="AE86" s="153"/>
      <c r="AF86" s="154">
        <f>IF(AND($AA86="",AD86=""),"",$AA86-AD86)</f>
        <v>0</v>
      </c>
      <c r="AG86" s="152"/>
      <c r="AH86" s="153"/>
      <c r="AI86" s="154">
        <f>IF(AND($AA86="",AG86=""),"",$AA86-AG86)</f>
        <v>0</v>
      </c>
    </row>
    <row r="87" spans="3:35" x14ac:dyDescent="0.2">
      <c r="C87" s="23"/>
      <c r="H87" s="133" t="s">
        <v>331</v>
      </c>
      <c r="I87" s="25" t="e">
        <f ca="1">_xll.EVPRO($B$1,$H87,"STYLE")</f>
        <v>#NAME?</v>
      </c>
      <c r="J87" s="25" t="e">
        <f ca="1">_xll.EVPRO($B$1,$H87,"CALC")</f>
        <v>#NAME?</v>
      </c>
      <c r="L87" s="24" t="e">
        <f ca="1">_xll.EVPRO($B$1,H87,"JDEID")</f>
        <v>#NAME?</v>
      </c>
      <c r="M87" s="24" t="e">
        <f ca="1">IF(AND(I87="N",J87="N"),_xll.EVPRO($B$1,H87,"PSFTID"),"")</f>
        <v>#NAME?</v>
      </c>
      <c r="N87" s="24" t="e">
        <f ca="1">IF(_xll.EVDES(H87,$B$1)="#NODATA","",_xll.EVDES(H87,$B$1))</f>
        <v>#NAME?</v>
      </c>
      <c r="O87" s="152"/>
      <c r="P87" s="152"/>
      <c r="Q87" s="152"/>
      <c r="R87" s="152"/>
      <c r="S87" s="152"/>
      <c r="T87" s="152"/>
      <c r="U87" s="152"/>
      <c r="V87" s="152"/>
      <c r="W87" s="152"/>
      <c r="X87" s="152"/>
      <c r="Y87" s="152"/>
      <c r="Z87" s="152"/>
      <c r="AA87" s="152">
        <f>SUM(O87:Z87)</f>
        <v>0</v>
      </c>
      <c r="AB87" s="153" t="str">
        <f>IF(AA87=0,"",IFERROR(AA87/AA$20,""))</f>
        <v/>
      </c>
      <c r="AD87" s="152"/>
      <c r="AE87" s="153" t="str">
        <f>IF(AD87=0,"",IFERROR(AD87/AD$20,""))</f>
        <v/>
      </c>
      <c r="AF87" s="154">
        <f>IF(AND($AA87="",AD87=""),"",$AA87-AD87)</f>
        <v>0</v>
      </c>
      <c r="AG87" s="152"/>
      <c r="AH87" s="153" t="str">
        <f>IF(AG87=0,"",IFERROR(AG87/AG$20,""))</f>
        <v/>
      </c>
      <c r="AI87" s="154">
        <f>IF(AND($AA87="",AG87=""),"",$AA87-AG87)</f>
        <v>0</v>
      </c>
    </row>
    <row r="88" spans="3:35" x14ac:dyDescent="0.2">
      <c r="C88" s="23"/>
      <c r="H88" s="133" t="s">
        <v>311</v>
      </c>
      <c r="I88" s="25" t="e">
        <f ca="1">_xll.EVPRO($B$1,$H88,"STYLE")</f>
        <v>#NAME?</v>
      </c>
      <c r="J88" s="25" t="e">
        <f ca="1">_xll.EVPRO($B$1,$H88,"CALC")</f>
        <v>#NAME?</v>
      </c>
      <c r="L88" s="24"/>
      <c r="M88" s="24"/>
      <c r="N88" s="24" t="e">
        <f ca="1">IF(_xll.EVDES(H88,$B$1)="#NODATA","",_xll.EVDES(H88,$B$1))</f>
        <v>#NAME?</v>
      </c>
      <c r="O88" s="157"/>
      <c r="P88" s="157"/>
      <c r="Q88" s="157"/>
      <c r="R88" s="157"/>
      <c r="S88" s="157"/>
      <c r="T88" s="157"/>
      <c r="U88" s="157"/>
      <c r="V88" s="157"/>
      <c r="W88" s="157"/>
      <c r="X88" s="157"/>
      <c r="Y88" s="157"/>
      <c r="Z88" s="157"/>
      <c r="AA88" s="157" t="str">
        <f>IFERROR(AA85/AA87,"")</f>
        <v/>
      </c>
      <c r="AB88" s="157"/>
      <c r="AD88" s="157"/>
      <c r="AE88" s="157"/>
      <c r="AF88" s="158" t="str">
        <f>IF(AND($AA88="",AD88=""),"",$AA88-AD88)</f>
        <v/>
      </c>
      <c r="AG88" s="157"/>
      <c r="AH88" s="157"/>
      <c r="AI88" s="158" t="str">
        <f>IF(AND($AA88="",AG88=""),"",$AA88-AG88)</f>
        <v/>
      </c>
    </row>
    <row r="89" spans="3:35" x14ac:dyDescent="0.2">
      <c r="C89" s="23"/>
      <c r="H89" s="133"/>
      <c r="I89" s="25"/>
      <c r="J89" s="25"/>
      <c r="L89" s="24"/>
      <c r="M89" s="24"/>
      <c r="N89" s="24"/>
      <c r="O89" s="38"/>
      <c r="P89" s="42"/>
      <c r="Q89" s="42"/>
      <c r="R89" s="42"/>
      <c r="S89" s="42"/>
      <c r="T89" s="42"/>
      <c r="U89" s="42"/>
      <c r="V89" s="42"/>
      <c r="W89" s="42"/>
      <c r="X89" s="42"/>
      <c r="Y89" s="42"/>
      <c r="Z89" s="42"/>
      <c r="AA89" s="42"/>
      <c r="AB89" s="39"/>
      <c r="AD89" s="38"/>
      <c r="AE89" s="42"/>
      <c r="AF89" s="39"/>
      <c r="AG89" s="38"/>
      <c r="AH89" s="42"/>
      <c r="AI89" s="39"/>
    </row>
    <row r="90" spans="3:35" x14ac:dyDescent="0.2">
      <c r="C90" s="23"/>
      <c r="H90" s="133"/>
      <c r="I90" s="25"/>
      <c r="J90" s="25"/>
      <c r="L90" s="24"/>
      <c r="M90" s="24"/>
      <c r="N90" s="8" t="s">
        <v>334</v>
      </c>
      <c r="O90" s="40"/>
      <c r="P90" s="43"/>
      <c r="Q90" s="43"/>
      <c r="R90" s="43"/>
      <c r="S90" s="43"/>
      <c r="T90" s="43"/>
      <c r="U90" s="43"/>
      <c r="V90" s="43"/>
      <c r="W90" s="43"/>
      <c r="X90" s="43"/>
      <c r="Y90" s="43"/>
      <c r="Z90" s="43"/>
      <c r="AA90" s="43"/>
      <c r="AB90" s="41"/>
      <c r="AD90" s="40"/>
      <c r="AE90" s="43"/>
      <c r="AF90" s="41"/>
      <c r="AG90" s="40"/>
      <c r="AH90" s="43"/>
      <c r="AI90" s="41"/>
    </row>
    <row r="91" spans="3:35" hidden="1" outlineLevel="1" x14ac:dyDescent="0.2">
      <c r="C91" s="23"/>
      <c r="H91" s="133" t="s">
        <v>332</v>
      </c>
      <c r="I91" s="25" t="e">
        <f ca="1">_xll.EVPRO($B$1,$H91,"STYLE")</f>
        <v>#NAME?</v>
      </c>
      <c r="J91" s="25" t="e">
        <f ca="1">_xll.EVPRO($B$1,$H91,"CALC")</f>
        <v>#NAME?</v>
      </c>
      <c r="L91" s="24"/>
      <c r="M91" s="24"/>
      <c r="N91" s="24" t="e">
        <f ca="1">IF(_xll.EVDES(H91,$B$1)="#NODATA","",_xll.EVDES(H91,$B$1))</f>
        <v>#NAME?</v>
      </c>
      <c r="O91" s="19"/>
      <c r="P91" s="19"/>
      <c r="Q91" s="19"/>
      <c r="R91" s="19"/>
      <c r="S91" s="19"/>
      <c r="T91" s="19"/>
      <c r="U91" s="19"/>
      <c r="V91" s="19"/>
      <c r="W91" s="19"/>
      <c r="X91" s="19"/>
      <c r="Y91" s="19"/>
      <c r="Z91" s="19"/>
      <c r="AA91" s="19">
        <f>SUM(O91:Z91)</f>
        <v>0</v>
      </c>
      <c r="AB91" s="15"/>
      <c r="AD91" s="19"/>
      <c r="AE91" s="15"/>
      <c r="AF91" s="47">
        <f>IF(AND($AA91="",AD91=""),"",$AA91-AD91)</f>
        <v>0</v>
      </c>
      <c r="AG91" s="19"/>
      <c r="AH91" s="15"/>
      <c r="AI91" s="47">
        <f>IF(AND($AA91="",AG91=""),"",$AA91-AG91)</f>
        <v>0</v>
      </c>
    </row>
    <row r="92" spans="3:35" hidden="1" outlineLevel="1" x14ac:dyDescent="0.2">
      <c r="C92" s="23"/>
      <c r="H92" s="133" t="s">
        <v>333</v>
      </c>
      <c r="I92" s="25" t="e">
        <f ca="1">_xll.EVPRO($B$1,$H92,"STYLE")</f>
        <v>#NAME?</v>
      </c>
      <c r="J92" s="25" t="e">
        <f ca="1">_xll.EVPRO($B$1,$H92,"CALC")</f>
        <v>#NAME?</v>
      </c>
      <c r="L92" s="24"/>
      <c r="M92" s="24"/>
      <c r="N92" s="24" t="e">
        <f ca="1">IF(_xll.EVDES(H92,$B$1)="#NODATA","",_xll.EVDES(H92,$B$1))</f>
        <v>#NAME?</v>
      </c>
      <c r="O92" s="19"/>
      <c r="P92" s="19"/>
      <c r="Q92" s="19"/>
      <c r="R92" s="19"/>
      <c r="S92" s="19"/>
      <c r="T92" s="19"/>
      <c r="U92" s="19"/>
      <c r="V92" s="19"/>
      <c r="W92" s="19"/>
      <c r="X92" s="19"/>
      <c r="Y92" s="19"/>
      <c r="Z92" s="19"/>
      <c r="AA92" s="19">
        <f>SUM(O92:Z92)</f>
        <v>0</v>
      </c>
      <c r="AB92" s="15"/>
      <c r="AD92" s="19"/>
      <c r="AE92" s="15"/>
      <c r="AF92" s="47">
        <f>IF(AND($AA92="",AD92=""),"",$AA92-AD92)</f>
        <v>0</v>
      </c>
      <c r="AG92" s="19"/>
      <c r="AH92" s="15"/>
      <c r="AI92" s="47">
        <f>IF(AND($AA92="",AG92=""),"",$AA92-AG92)</f>
        <v>0</v>
      </c>
    </row>
    <row r="93" spans="3:35" collapsed="1" x14ac:dyDescent="0.2">
      <c r="C93" s="23"/>
      <c r="H93" s="133"/>
      <c r="I93" s="25"/>
      <c r="J93" s="25"/>
      <c r="L93" s="24"/>
      <c r="M93" s="24"/>
      <c r="N93" s="24" t="s">
        <v>335</v>
      </c>
      <c r="O93" s="159" t="str">
        <f t="shared" ref="O93:AA93" si="26">IFERROR(O$87/O91,"")</f>
        <v/>
      </c>
      <c r="P93" s="159" t="str">
        <f t="shared" si="26"/>
        <v/>
      </c>
      <c r="Q93" s="159" t="str">
        <f t="shared" si="26"/>
        <v/>
      </c>
      <c r="R93" s="159" t="str">
        <f t="shared" si="26"/>
        <v/>
      </c>
      <c r="S93" s="159" t="str">
        <f t="shared" si="26"/>
        <v/>
      </c>
      <c r="T93" s="159" t="str">
        <f t="shared" si="26"/>
        <v/>
      </c>
      <c r="U93" s="159" t="str">
        <f t="shared" si="26"/>
        <v/>
      </c>
      <c r="V93" s="159" t="str">
        <f t="shared" si="26"/>
        <v/>
      </c>
      <c r="W93" s="159" t="str">
        <f t="shared" si="26"/>
        <v/>
      </c>
      <c r="X93" s="159" t="str">
        <f t="shared" si="26"/>
        <v/>
      </c>
      <c r="Y93" s="159" t="str">
        <f t="shared" si="26"/>
        <v/>
      </c>
      <c r="Z93" s="159" t="str">
        <f t="shared" si="26"/>
        <v/>
      </c>
      <c r="AA93" s="159" t="str">
        <f t="shared" si="26"/>
        <v/>
      </c>
      <c r="AB93" s="124"/>
      <c r="AD93" s="159" t="str">
        <f>IFERROR(AD$87/AD91,"")</f>
        <v/>
      </c>
      <c r="AE93" s="124"/>
      <c r="AF93" s="125" t="str">
        <f>IF(AND($AA93="",AD93=""),"",$AA93-AD93)</f>
        <v/>
      </c>
      <c r="AG93" s="159" t="str">
        <f>IFERROR(AG$87/AG91,"")</f>
        <v/>
      </c>
      <c r="AH93" s="124"/>
      <c r="AI93" s="125" t="str">
        <f>IF(AND($AA93="",AG93=""),"",$AA93-AG93)</f>
        <v/>
      </c>
    </row>
    <row r="94" spans="3:35" x14ac:dyDescent="0.2">
      <c r="C94" s="23"/>
      <c r="H94" s="133"/>
      <c r="I94" s="25"/>
      <c r="J94" s="25"/>
      <c r="L94" s="24"/>
      <c r="M94" s="24"/>
      <c r="N94" s="24" t="s">
        <v>336</v>
      </c>
      <c r="O94" s="159" t="str">
        <f t="shared" ref="O94:AA94" si="27">IFERROR(O$87/O92,"")</f>
        <v/>
      </c>
      <c r="P94" s="159" t="str">
        <f t="shared" si="27"/>
        <v/>
      </c>
      <c r="Q94" s="159" t="str">
        <f t="shared" si="27"/>
        <v/>
      </c>
      <c r="R94" s="159" t="str">
        <f t="shared" si="27"/>
        <v/>
      </c>
      <c r="S94" s="159" t="str">
        <f t="shared" si="27"/>
        <v/>
      </c>
      <c r="T94" s="159" t="str">
        <f t="shared" si="27"/>
        <v/>
      </c>
      <c r="U94" s="159" t="str">
        <f t="shared" si="27"/>
        <v/>
      </c>
      <c r="V94" s="159" t="str">
        <f t="shared" si="27"/>
        <v/>
      </c>
      <c r="W94" s="159" t="str">
        <f t="shared" si="27"/>
        <v/>
      </c>
      <c r="X94" s="159" t="str">
        <f t="shared" si="27"/>
        <v/>
      </c>
      <c r="Y94" s="159" t="str">
        <f t="shared" si="27"/>
        <v/>
      </c>
      <c r="Z94" s="159" t="str">
        <f t="shared" si="27"/>
        <v/>
      </c>
      <c r="AA94" s="159" t="str">
        <f t="shared" si="27"/>
        <v/>
      </c>
      <c r="AB94" s="124"/>
      <c r="AD94" s="159" t="str">
        <f>IFERROR(AD$87/AD92,"")</f>
        <v/>
      </c>
      <c r="AE94" s="124"/>
      <c r="AF94" s="125" t="str">
        <f>IF(AND($AA94="",AD94=""),"",$AA94-AD94)</f>
        <v/>
      </c>
      <c r="AG94" s="159" t="str">
        <f>IFERROR(AG$87/AG92,"")</f>
        <v/>
      </c>
      <c r="AH94" s="124"/>
      <c r="AI94" s="125" t="str">
        <f>IF(AND($AA94="",AG94=""),"",$AA94-AG94)</f>
        <v/>
      </c>
    </row>
    <row r="95" spans="3:35" x14ac:dyDescent="0.2">
      <c r="C95" s="23"/>
      <c r="H95" s="133"/>
      <c r="I95" s="25"/>
      <c r="J95" s="25"/>
      <c r="L95" s="24"/>
      <c r="M95" s="24"/>
      <c r="N95" s="24"/>
      <c r="O95" s="144"/>
      <c r="P95" s="147"/>
      <c r="Q95" s="147"/>
      <c r="R95" s="147"/>
      <c r="S95" s="147"/>
      <c r="T95" s="147"/>
      <c r="U95" s="147"/>
      <c r="V95" s="147"/>
      <c r="W95" s="147"/>
      <c r="X95" s="147"/>
      <c r="Y95" s="147"/>
      <c r="Z95" s="147"/>
      <c r="AA95" s="147"/>
      <c r="AB95" s="51"/>
      <c r="AD95" s="50"/>
      <c r="AF95" s="51"/>
      <c r="AI95" s="51"/>
    </row>
    <row r="96" spans="3:35" x14ac:dyDescent="0.2">
      <c r="C96" s="23"/>
      <c r="H96" s="133"/>
      <c r="I96" s="25"/>
      <c r="J96" s="25"/>
      <c r="L96" s="24"/>
      <c r="M96" s="24"/>
      <c r="N96" s="8" t="s">
        <v>343</v>
      </c>
      <c r="O96" s="50"/>
      <c r="AB96" s="149"/>
      <c r="AD96" s="148"/>
      <c r="AE96" s="150"/>
      <c r="AF96" s="51"/>
      <c r="AH96" s="150"/>
      <c r="AI96" s="51"/>
    </row>
    <row r="97" spans="3:35" x14ac:dyDescent="0.2">
      <c r="C97" s="23"/>
      <c r="H97" s="133"/>
      <c r="I97" s="25"/>
      <c r="J97" s="25"/>
      <c r="L97" s="24"/>
      <c r="M97" s="24"/>
      <c r="N97" s="8" t="s">
        <v>337</v>
      </c>
      <c r="O97" s="40"/>
      <c r="P97" s="43"/>
      <c r="Q97" s="43"/>
      <c r="R97" s="43"/>
      <c r="S97" s="43"/>
      <c r="T97" s="43"/>
      <c r="U97" s="43"/>
      <c r="V97" s="43"/>
      <c r="W97" s="43"/>
      <c r="X97" s="43"/>
      <c r="Y97" s="43"/>
      <c r="Z97" s="43"/>
      <c r="AA97" s="43"/>
      <c r="AB97" s="41"/>
      <c r="AD97" s="40"/>
      <c r="AE97" s="43"/>
      <c r="AF97" s="41"/>
      <c r="AG97" s="43"/>
      <c r="AH97" s="43"/>
      <c r="AI97" s="41"/>
    </row>
    <row r="98" spans="3:35" x14ac:dyDescent="0.2">
      <c r="C98" s="23"/>
      <c r="H98" s="133" t="s">
        <v>294</v>
      </c>
      <c r="I98" s="25"/>
      <c r="J98" s="25"/>
      <c r="L98" s="24" t="e">
        <f ca="1">_xll.EVPRO($B$1,H98,"JDEID")</f>
        <v>#NAME?</v>
      </c>
      <c r="M98" s="24" t="str">
        <f>IF(AND(I98="N",J98="N"),_xll.EVPRO($B$1,H98,"PSFTID"),"")</f>
        <v/>
      </c>
      <c r="N98" s="24" t="e">
        <f ca="1">IF(_xll.EVDES(H98,$B$1)="#NODATA","",_xll.EVDES(H98,$B$1))</f>
        <v>#NAME?</v>
      </c>
      <c r="O98" s="19"/>
      <c r="P98" s="19"/>
      <c r="Q98" s="19"/>
      <c r="R98" s="19"/>
      <c r="S98" s="19"/>
      <c r="T98" s="19"/>
      <c r="U98" s="19"/>
      <c r="V98" s="19"/>
      <c r="W98" s="19"/>
      <c r="X98" s="19"/>
      <c r="Y98" s="19"/>
      <c r="Z98" s="19"/>
      <c r="AA98" s="19">
        <f t="shared" ref="AA98:AA103" si="28">SUM(O98:Z98)</f>
        <v>0</v>
      </c>
      <c r="AB98" s="15" t="str">
        <f t="shared" ref="AB98:AB103" si="29">IF(AA98=0,"",IFERROR(AA98/AA$19,""))</f>
        <v/>
      </c>
      <c r="AD98" s="19"/>
      <c r="AE98" s="15" t="str">
        <f t="shared" ref="AE98:AE103" si="30">IF(AD98=0,"",IFERROR(AD98/AD$19,""))</f>
        <v/>
      </c>
      <c r="AF98" s="47">
        <f t="shared" ref="AF98:AF103" si="31">IF(AND($AA98="",AD98=""),"",$AA98-AD98)</f>
        <v>0</v>
      </c>
      <c r="AG98" s="19"/>
      <c r="AH98" s="15" t="str">
        <f t="shared" ref="AH98:AH103" si="32">IF(AG98=0,"",IFERROR(AG98/AG$19,""))</f>
        <v/>
      </c>
      <c r="AI98" s="47">
        <f t="shared" ref="AI98:AI103" si="33">IF(AND($AA98="",AG98=""),"",$AA98-AG98)</f>
        <v>0</v>
      </c>
    </row>
    <row r="99" spans="3:35" x14ac:dyDescent="0.2">
      <c r="C99" s="23"/>
      <c r="H99" s="133" t="s">
        <v>301</v>
      </c>
      <c r="I99" s="25"/>
      <c r="J99" s="25"/>
      <c r="L99" s="24" t="e">
        <f ca="1">_xll.EVPRO($B$1,H99,"JDEID")</f>
        <v>#NAME?</v>
      </c>
      <c r="M99" s="24" t="str">
        <f>IF(AND(I99="N",J99="N"),_xll.EVPRO($B$1,H99,"PSFTID"),"")</f>
        <v/>
      </c>
      <c r="N99" s="24" t="e">
        <f ca="1">IF(_xll.EVDES(H99,$B$1)="#NODATA","",_xll.EVDES(H99,$B$1))</f>
        <v>#NAME?</v>
      </c>
      <c r="O99" s="19"/>
      <c r="P99" s="19"/>
      <c r="Q99" s="19"/>
      <c r="R99" s="19"/>
      <c r="S99" s="19"/>
      <c r="T99" s="19"/>
      <c r="U99" s="19"/>
      <c r="V99" s="19"/>
      <c r="W99" s="19"/>
      <c r="X99" s="19"/>
      <c r="Y99" s="19"/>
      <c r="Z99" s="19"/>
      <c r="AA99" s="19">
        <f t="shared" si="28"/>
        <v>0</v>
      </c>
      <c r="AB99" s="15" t="str">
        <f t="shared" si="29"/>
        <v/>
      </c>
      <c r="AD99" s="19"/>
      <c r="AE99" s="15" t="str">
        <f t="shared" si="30"/>
        <v/>
      </c>
      <c r="AF99" s="47">
        <f t="shared" si="31"/>
        <v>0</v>
      </c>
      <c r="AG99" s="19"/>
      <c r="AH99" s="15" t="str">
        <f t="shared" si="32"/>
        <v/>
      </c>
      <c r="AI99" s="47">
        <f t="shared" si="33"/>
        <v>0</v>
      </c>
    </row>
    <row r="100" spans="3:35" x14ac:dyDescent="0.2">
      <c r="C100" s="23"/>
      <c r="H100" s="133" t="s">
        <v>302</v>
      </c>
      <c r="I100" s="25"/>
      <c r="J100" s="25"/>
      <c r="L100" s="24" t="e">
        <f ca="1">_xll.EVPRO($B$1,H100,"JDEID")</f>
        <v>#NAME?</v>
      </c>
      <c r="M100" s="24" t="str">
        <f>IF(AND(I100="N",J100="N"),_xll.EVPRO($B$1,H100,"PSFTID"),"")</f>
        <v/>
      </c>
      <c r="N100" s="24" t="e">
        <f ca="1">IF(_xll.EVDES(H100,$B$1)="#NODATA","",_xll.EVDES(H100,$B$1))</f>
        <v>#NAME?</v>
      </c>
      <c r="O100" s="19"/>
      <c r="P100" s="19"/>
      <c r="Q100" s="19"/>
      <c r="R100" s="19"/>
      <c r="S100" s="19"/>
      <c r="T100" s="19"/>
      <c r="U100" s="19"/>
      <c r="V100" s="19"/>
      <c r="W100" s="19"/>
      <c r="X100" s="19"/>
      <c r="Y100" s="19"/>
      <c r="Z100" s="19"/>
      <c r="AA100" s="19">
        <f t="shared" si="28"/>
        <v>0</v>
      </c>
      <c r="AB100" s="15" t="str">
        <f t="shared" si="29"/>
        <v/>
      </c>
      <c r="AD100" s="19"/>
      <c r="AE100" s="15" t="str">
        <f t="shared" si="30"/>
        <v/>
      </c>
      <c r="AF100" s="47">
        <f t="shared" si="31"/>
        <v>0</v>
      </c>
      <c r="AG100" s="19"/>
      <c r="AH100" s="15" t="str">
        <f t="shared" si="32"/>
        <v/>
      </c>
      <c r="AI100" s="47">
        <f t="shared" si="33"/>
        <v>0</v>
      </c>
    </row>
    <row r="101" spans="3:35" x14ac:dyDescent="0.2">
      <c r="C101" s="23"/>
      <c r="H101" s="133" t="s">
        <v>308</v>
      </c>
      <c r="I101" s="25"/>
      <c r="J101" s="25"/>
      <c r="L101" s="24" t="e">
        <f ca="1">_xll.EVPRO($B$1,H101,"JDEID")</f>
        <v>#NAME?</v>
      </c>
      <c r="M101" s="24" t="str">
        <f>IF(AND(I101="N",J101="N"),_xll.EVPRO($B$1,H101,"PSFTID"),"")</f>
        <v/>
      </c>
      <c r="N101" s="24" t="e">
        <f ca="1">IF(_xll.EVDES(H101,$B$1)="#NODATA","",_xll.EVDES(H101,$B$1))</f>
        <v>#NAME?</v>
      </c>
      <c r="O101" s="19"/>
      <c r="P101" s="19"/>
      <c r="Q101" s="19"/>
      <c r="R101" s="19"/>
      <c r="S101" s="19"/>
      <c r="T101" s="19"/>
      <c r="U101" s="19"/>
      <c r="V101" s="19"/>
      <c r="W101" s="19"/>
      <c r="X101" s="19"/>
      <c r="Y101" s="19"/>
      <c r="Z101" s="19"/>
      <c r="AA101" s="19">
        <f t="shared" si="28"/>
        <v>0</v>
      </c>
      <c r="AB101" s="15" t="str">
        <f t="shared" si="29"/>
        <v/>
      </c>
      <c r="AD101" s="19"/>
      <c r="AE101" s="15" t="str">
        <f t="shared" si="30"/>
        <v/>
      </c>
      <c r="AF101" s="47">
        <f t="shared" si="31"/>
        <v>0</v>
      </c>
      <c r="AG101" s="19"/>
      <c r="AH101" s="15" t="str">
        <f t="shared" si="32"/>
        <v/>
      </c>
      <c r="AI101" s="47">
        <f t="shared" si="33"/>
        <v>0</v>
      </c>
    </row>
    <row r="102" spans="3:35" x14ac:dyDescent="0.2">
      <c r="C102" s="23"/>
      <c r="H102" s="133" t="s">
        <v>321</v>
      </c>
      <c r="I102" s="25"/>
      <c r="J102" s="25"/>
      <c r="L102" s="24" t="e">
        <f ca="1">_xll.EVPRO($B$1,H102,"JDEID")</f>
        <v>#NAME?</v>
      </c>
      <c r="M102" s="24" t="str">
        <f>IF(AND(I102="N",J102="N"),_xll.EVPRO($B$1,H102,"PSFTID"),"")</f>
        <v/>
      </c>
      <c r="N102" s="24" t="e">
        <f ca="1">IF(_xll.EVDES(H102,$B$1)="#NODATA","",_xll.EVDES(H102,$B$1))</f>
        <v>#NAME?</v>
      </c>
      <c r="O102" s="19"/>
      <c r="P102" s="19"/>
      <c r="Q102" s="19"/>
      <c r="R102" s="19"/>
      <c r="S102" s="19"/>
      <c r="T102" s="19"/>
      <c r="U102" s="19"/>
      <c r="V102" s="19"/>
      <c r="W102" s="19"/>
      <c r="X102" s="19"/>
      <c r="Y102" s="19"/>
      <c r="Z102" s="19"/>
      <c r="AA102" s="19">
        <f t="shared" si="28"/>
        <v>0</v>
      </c>
      <c r="AB102" s="15" t="str">
        <f t="shared" si="29"/>
        <v/>
      </c>
      <c r="AD102" s="19"/>
      <c r="AE102" s="15" t="str">
        <f t="shared" si="30"/>
        <v/>
      </c>
      <c r="AF102" s="47">
        <f t="shared" si="31"/>
        <v>0</v>
      </c>
      <c r="AG102" s="19"/>
      <c r="AH102" s="15" t="str">
        <f t="shared" si="32"/>
        <v/>
      </c>
      <c r="AI102" s="47">
        <f t="shared" si="33"/>
        <v>0</v>
      </c>
    </row>
    <row r="103" spans="3:35" x14ac:dyDescent="0.2">
      <c r="C103" s="23"/>
      <c r="H103" s="133" t="s">
        <v>340</v>
      </c>
      <c r="I103" s="25"/>
      <c r="J103" s="25"/>
      <c r="L103" s="24" t="e">
        <f ca="1">_xll.EVPRO($B$1,H103,"JDEID")</f>
        <v>#NAME?</v>
      </c>
      <c r="M103" s="24" t="str">
        <f>IF(AND(I103="N",J103="N"),_xll.EVPRO($B$1,H103,"PSFTID"),"")</f>
        <v/>
      </c>
      <c r="N103" s="23" t="e">
        <f ca="1">IF(_xll.EVDES(H103,$B$1)="#NODATA","",_xll.EVDES(H103,$B$1))</f>
        <v>#NAME?</v>
      </c>
      <c r="O103" s="145"/>
      <c r="P103" s="145"/>
      <c r="Q103" s="145"/>
      <c r="R103" s="145"/>
      <c r="S103" s="145"/>
      <c r="T103" s="145"/>
      <c r="U103" s="145"/>
      <c r="V103" s="145"/>
      <c r="W103" s="145"/>
      <c r="X103" s="145"/>
      <c r="Y103" s="145"/>
      <c r="Z103" s="145"/>
      <c r="AA103" s="145">
        <f t="shared" si="28"/>
        <v>0</v>
      </c>
      <c r="AB103" s="156" t="str">
        <f t="shared" si="29"/>
        <v/>
      </c>
      <c r="AD103" s="145"/>
      <c r="AE103" s="156" t="str">
        <f t="shared" si="30"/>
        <v/>
      </c>
      <c r="AF103" s="146">
        <f t="shared" si="31"/>
        <v>0</v>
      </c>
      <c r="AG103" s="145"/>
      <c r="AH103" s="156" t="str">
        <f t="shared" si="32"/>
        <v/>
      </c>
      <c r="AI103" s="146">
        <f t="shared" si="33"/>
        <v>0</v>
      </c>
    </row>
    <row r="104" spans="3:35" x14ac:dyDescent="0.2">
      <c r="C104" s="23"/>
      <c r="H104" s="133"/>
      <c r="I104" s="25"/>
      <c r="J104" s="25"/>
      <c r="L104" s="24"/>
      <c r="M104" s="24"/>
      <c r="N104" s="8"/>
      <c r="O104" s="38"/>
      <c r="P104" s="42"/>
      <c r="Q104" s="42"/>
      <c r="R104" s="42"/>
      <c r="S104" s="42"/>
      <c r="T104" s="42"/>
      <c r="U104" s="42"/>
      <c r="V104" s="42"/>
      <c r="W104" s="42"/>
      <c r="X104" s="42"/>
      <c r="Y104" s="42"/>
      <c r="Z104" s="42"/>
      <c r="AA104" s="42"/>
      <c r="AB104" s="39"/>
      <c r="AD104" s="38"/>
      <c r="AE104" s="42"/>
      <c r="AF104" s="39"/>
      <c r="AG104" s="38"/>
      <c r="AH104" s="42"/>
      <c r="AI104" s="39"/>
    </row>
    <row r="105" spans="3:35" x14ac:dyDescent="0.2">
      <c r="C105" s="23"/>
      <c r="H105" s="133"/>
      <c r="I105" s="25"/>
      <c r="J105" s="25"/>
      <c r="L105" s="24"/>
      <c r="M105" s="24"/>
      <c r="N105" s="8" t="s">
        <v>339</v>
      </c>
      <c r="O105" s="40"/>
      <c r="P105" s="43"/>
      <c r="Q105" s="43"/>
      <c r="R105" s="43"/>
      <c r="S105" s="43"/>
      <c r="T105" s="43"/>
      <c r="U105" s="43"/>
      <c r="V105" s="43"/>
      <c r="W105" s="43"/>
      <c r="X105" s="43"/>
      <c r="Y105" s="43"/>
      <c r="Z105" s="43"/>
      <c r="AA105" s="43"/>
      <c r="AB105" s="41"/>
      <c r="AD105" s="40"/>
      <c r="AE105" s="43"/>
      <c r="AF105" s="41"/>
      <c r="AG105" s="40"/>
      <c r="AH105" s="43"/>
      <c r="AI105" s="41"/>
    </row>
    <row r="106" spans="3:35" x14ac:dyDescent="0.2">
      <c r="C106" s="23"/>
      <c r="H106" s="133" t="s">
        <v>295</v>
      </c>
      <c r="I106" s="25"/>
      <c r="J106" s="25"/>
      <c r="L106" s="24" t="e">
        <f ca="1">_xll.EVPRO($B$1,H106,"JDEID")</f>
        <v>#NAME?</v>
      </c>
      <c r="M106" s="24" t="str">
        <f>IF(AND(I106="N",J106="N"),_xll.EVPRO($B$1,H106,"PSFTID"),"")</f>
        <v/>
      </c>
      <c r="N106" s="24" t="e">
        <f ca="1">IF(_xll.EVDES(H106,$B$1)="#NODATA","",_xll.EVDES(H106,$B$1))</f>
        <v>#NAME?</v>
      </c>
      <c r="O106" s="19"/>
      <c r="P106" s="19"/>
      <c r="Q106" s="19"/>
      <c r="R106" s="19"/>
      <c r="S106" s="19"/>
      <c r="T106" s="19"/>
      <c r="U106" s="19"/>
      <c r="V106" s="19"/>
      <c r="W106" s="19"/>
      <c r="X106" s="19"/>
      <c r="Y106" s="19"/>
      <c r="Z106" s="19"/>
      <c r="AA106" s="19">
        <f t="shared" ref="AA106:AA111" si="34">SUM(O106:Z106)</f>
        <v>0</v>
      </c>
      <c r="AB106" s="15" t="str">
        <f t="shared" ref="AB106:AB111" si="35">IF(AA106=0,"",IFERROR(AA106/AA$19,""))</f>
        <v/>
      </c>
      <c r="AD106" s="19"/>
      <c r="AE106" s="15" t="str">
        <f t="shared" ref="AE106:AE111" si="36">IF(AD106=0,"",IFERROR(AD106/AD$19,""))</f>
        <v/>
      </c>
      <c r="AF106" s="47">
        <f t="shared" ref="AF106:AF111" si="37">IF(AND($AA106="",AD106=""),"",$AA106-AD106)</f>
        <v>0</v>
      </c>
      <c r="AG106" s="19"/>
      <c r="AH106" s="15" t="str">
        <f t="shared" ref="AH106:AH111" si="38">IF(AG106=0,"",IFERROR(AG106/AG$19,""))</f>
        <v/>
      </c>
      <c r="AI106" s="47">
        <f t="shared" ref="AI106:AI111" si="39">IF(AND($AA106="",AG106=""),"",$AA106-AG106)</f>
        <v>0</v>
      </c>
    </row>
    <row r="107" spans="3:35" x14ac:dyDescent="0.2">
      <c r="C107" s="23"/>
      <c r="H107" s="133" t="s">
        <v>305</v>
      </c>
      <c r="I107" s="25"/>
      <c r="J107" s="25"/>
      <c r="L107" s="24" t="e">
        <f ca="1">_xll.EVPRO($B$1,H107,"JDEID")</f>
        <v>#NAME?</v>
      </c>
      <c r="M107" s="24" t="str">
        <f>IF(AND(I107="N",J107="N"),_xll.EVPRO($B$1,H107,"PSFTID"),"")</f>
        <v/>
      </c>
      <c r="N107" s="24" t="e">
        <f ca="1">IF(_xll.EVDES(H107,$B$1)="#NODATA","",_xll.EVDES(H107,$B$1))</f>
        <v>#NAME?</v>
      </c>
      <c r="O107" s="19"/>
      <c r="P107" s="19"/>
      <c r="Q107" s="19"/>
      <c r="R107" s="19"/>
      <c r="S107" s="19"/>
      <c r="T107" s="19"/>
      <c r="U107" s="19"/>
      <c r="V107" s="19"/>
      <c r="W107" s="19"/>
      <c r="X107" s="19"/>
      <c r="Y107" s="19"/>
      <c r="Z107" s="19"/>
      <c r="AA107" s="19">
        <f t="shared" si="34"/>
        <v>0</v>
      </c>
      <c r="AB107" s="15" t="str">
        <f t="shared" si="35"/>
        <v/>
      </c>
      <c r="AD107" s="19"/>
      <c r="AE107" s="15" t="str">
        <f t="shared" si="36"/>
        <v/>
      </c>
      <c r="AF107" s="47">
        <f t="shared" si="37"/>
        <v>0</v>
      </c>
      <c r="AG107" s="19"/>
      <c r="AH107" s="15" t="str">
        <f t="shared" si="38"/>
        <v/>
      </c>
      <c r="AI107" s="47">
        <f t="shared" si="39"/>
        <v>0</v>
      </c>
    </row>
    <row r="108" spans="3:35" x14ac:dyDescent="0.2">
      <c r="C108" s="23"/>
      <c r="H108" s="133" t="s">
        <v>306</v>
      </c>
      <c r="I108" s="25"/>
      <c r="J108" s="25"/>
      <c r="L108" s="24" t="e">
        <f ca="1">_xll.EVPRO($B$1,H108,"JDEID")</f>
        <v>#NAME?</v>
      </c>
      <c r="M108" s="24" t="str">
        <f>IF(AND(I108="N",J108="N"),_xll.EVPRO($B$1,H108,"PSFTID"),"")</f>
        <v/>
      </c>
      <c r="N108" s="24" t="e">
        <f ca="1">IF(_xll.EVDES(H108,$B$1)="#NODATA","",_xll.EVDES(H108,$B$1))</f>
        <v>#NAME?</v>
      </c>
      <c r="O108" s="19"/>
      <c r="P108" s="19"/>
      <c r="Q108" s="19"/>
      <c r="R108" s="19"/>
      <c r="S108" s="19"/>
      <c r="T108" s="19"/>
      <c r="U108" s="19"/>
      <c r="V108" s="19"/>
      <c r="W108" s="19"/>
      <c r="X108" s="19"/>
      <c r="Y108" s="19"/>
      <c r="Z108" s="19"/>
      <c r="AA108" s="19">
        <f t="shared" si="34"/>
        <v>0</v>
      </c>
      <c r="AB108" s="15" t="str">
        <f t="shared" si="35"/>
        <v/>
      </c>
      <c r="AD108" s="19"/>
      <c r="AE108" s="15" t="str">
        <f t="shared" si="36"/>
        <v/>
      </c>
      <c r="AF108" s="47">
        <f t="shared" si="37"/>
        <v>0</v>
      </c>
      <c r="AG108" s="19"/>
      <c r="AH108" s="15" t="str">
        <f t="shared" si="38"/>
        <v/>
      </c>
      <c r="AI108" s="47">
        <f t="shared" si="39"/>
        <v>0</v>
      </c>
    </row>
    <row r="109" spans="3:35" x14ac:dyDescent="0.2">
      <c r="C109" s="23"/>
      <c r="H109" s="133" t="s">
        <v>310</v>
      </c>
      <c r="I109" s="25"/>
      <c r="J109" s="25"/>
      <c r="L109" s="24" t="e">
        <f ca="1">_xll.EVPRO($B$1,H109,"JDEID")</f>
        <v>#NAME?</v>
      </c>
      <c r="M109" s="24" t="str">
        <f>IF(AND(I109="N",J109="N"),_xll.EVPRO($B$1,H109,"PSFTID"),"")</f>
        <v/>
      </c>
      <c r="N109" s="24" t="e">
        <f ca="1">IF(_xll.EVDES(H109,$B$1)="#NODATA","",_xll.EVDES(H109,$B$1))</f>
        <v>#NAME?</v>
      </c>
      <c r="O109" s="19"/>
      <c r="P109" s="19"/>
      <c r="Q109" s="19"/>
      <c r="R109" s="19"/>
      <c r="S109" s="19"/>
      <c r="T109" s="19"/>
      <c r="U109" s="19"/>
      <c r="V109" s="19"/>
      <c r="W109" s="19"/>
      <c r="X109" s="19"/>
      <c r="Y109" s="19"/>
      <c r="Z109" s="19"/>
      <c r="AA109" s="19">
        <f t="shared" si="34"/>
        <v>0</v>
      </c>
      <c r="AB109" s="15" t="str">
        <f t="shared" si="35"/>
        <v/>
      </c>
      <c r="AD109" s="19"/>
      <c r="AE109" s="15" t="str">
        <f t="shared" si="36"/>
        <v/>
      </c>
      <c r="AF109" s="47">
        <f t="shared" si="37"/>
        <v>0</v>
      </c>
      <c r="AG109" s="19"/>
      <c r="AH109" s="15" t="str">
        <f t="shared" si="38"/>
        <v/>
      </c>
      <c r="AI109" s="47">
        <f t="shared" si="39"/>
        <v>0</v>
      </c>
    </row>
    <row r="110" spans="3:35" x14ac:dyDescent="0.2">
      <c r="C110" s="23"/>
      <c r="H110" s="133" t="s">
        <v>323</v>
      </c>
      <c r="I110" s="25"/>
      <c r="J110" s="25"/>
      <c r="L110" s="24" t="e">
        <f ca="1">_xll.EVPRO($B$1,H110,"JDEID")</f>
        <v>#NAME?</v>
      </c>
      <c r="M110" s="24" t="str">
        <f>IF(AND(I110="N",J110="N"),_xll.EVPRO($B$1,H110,"PSFTID"),"")</f>
        <v/>
      </c>
      <c r="N110" s="24" t="e">
        <f ca="1">IF(_xll.EVDES(H110,$B$1)="#NODATA","",_xll.EVDES(H110,$B$1))</f>
        <v>#NAME?</v>
      </c>
      <c r="O110" s="19"/>
      <c r="P110" s="19"/>
      <c r="Q110" s="19"/>
      <c r="R110" s="19"/>
      <c r="S110" s="19"/>
      <c r="T110" s="19"/>
      <c r="U110" s="19"/>
      <c r="V110" s="19"/>
      <c r="W110" s="19"/>
      <c r="X110" s="19"/>
      <c r="Y110" s="19"/>
      <c r="Z110" s="19"/>
      <c r="AA110" s="19">
        <f t="shared" si="34"/>
        <v>0</v>
      </c>
      <c r="AB110" s="15" t="str">
        <f t="shared" si="35"/>
        <v/>
      </c>
      <c r="AD110" s="19"/>
      <c r="AE110" s="15" t="str">
        <f t="shared" si="36"/>
        <v/>
      </c>
      <c r="AF110" s="47">
        <f t="shared" si="37"/>
        <v>0</v>
      </c>
      <c r="AG110" s="19"/>
      <c r="AH110" s="15" t="str">
        <f t="shared" si="38"/>
        <v/>
      </c>
      <c r="AI110" s="47">
        <f t="shared" si="39"/>
        <v>0</v>
      </c>
    </row>
    <row r="111" spans="3:35" x14ac:dyDescent="0.2">
      <c r="C111" s="23"/>
      <c r="H111" s="133" t="s">
        <v>342</v>
      </c>
      <c r="I111" s="25"/>
      <c r="J111" s="25"/>
      <c r="L111" s="24" t="e">
        <f ca="1">_xll.EVPRO($B$1,H111,"JDEID")</f>
        <v>#NAME?</v>
      </c>
      <c r="M111" s="24" t="str">
        <f>IF(AND(I111="N",J111="N"),_xll.EVPRO($B$1,H111,"PSFTID"),"")</f>
        <v/>
      </c>
      <c r="N111" s="23" t="e">
        <f ca="1">IF(_xll.EVDES(H111,$B$1)="#NODATA","",_xll.EVDES(H111,$B$1))</f>
        <v>#NAME?</v>
      </c>
      <c r="O111" s="145"/>
      <c r="P111" s="145"/>
      <c r="Q111" s="145"/>
      <c r="R111" s="145"/>
      <c r="S111" s="145"/>
      <c r="T111" s="145"/>
      <c r="U111" s="145"/>
      <c r="V111" s="145"/>
      <c r="W111" s="145"/>
      <c r="X111" s="145"/>
      <c r="Y111" s="145"/>
      <c r="Z111" s="145"/>
      <c r="AA111" s="145">
        <f t="shared" si="34"/>
        <v>0</v>
      </c>
      <c r="AB111" s="156" t="str">
        <f t="shared" si="35"/>
        <v/>
      </c>
      <c r="AD111" s="145"/>
      <c r="AE111" s="156" t="str">
        <f t="shared" si="36"/>
        <v/>
      </c>
      <c r="AF111" s="146">
        <f t="shared" si="37"/>
        <v>0</v>
      </c>
      <c r="AG111" s="145"/>
      <c r="AH111" s="156" t="str">
        <f t="shared" si="38"/>
        <v/>
      </c>
      <c r="AI111" s="146">
        <f t="shared" si="39"/>
        <v>0</v>
      </c>
    </row>
    <row r="112" spans="3:35" x14ac:dyDescent="0.2">
      <c r="C112" s="23"/>
      <c r="H112" s="133"/>
      <c r="I112" s="25"/>
      <c r="J112" s="25"/>
      <c r="L112" s="24"/>
      <c r="M112" s="24"/>
      <c r="N112" s="8"/>
      <c r="O112" s="38"/>
      <c r="P112" s="42"/>
      <c r="Q112" s="42"/>
      <c r="R112" s="42"/>
      <c r="S112" s="42"/>
      <c r="T112" s="42"/>
      <c r="U112" s="42"/>
      <c r="V112" s="42"/>
      <c r="W112" s="42"/>
      <c r="X112" s="42"/>
      <c r="Y112" s="42"/>
      <c r="Z112" s="42"/>
      <c r="AA112" s="42"/>
      <c r="AB112" s="39"/>
      <c r="AD112" s="38"/>
      <c r="AE112" s="42"/>
      <c r="AF112" s="39"/>
      <c r="AG112" s="38"/>
      <c r="AH112" s="42"/>
      <c r="AI112" s="39"/>
    </row>
    <row r="113" spans="3:35" x14ac:dyDescent="0.2">
      <c r="C113" s="23"/>
      <c r="H113" s="133"/>
      <c r="I113" s="25"/>
      <c r="J113" s="25"/>
      <c r="L113" s="24"/>
      <c r="M113" s="24"/>
      <c r="N113" s="8" t="s">
        <v>338</v>
      </c>
      <c r="O113" s="40"/>
      <c r="P113" s="43"/>
      <c r="Q113" s="43"/>
      <c r="R113" s="43"/>
      <c r="S113" s="43"/>
      <c r="T113" s="43"/>
      <c r="U113" s="43"/>
      <c r="V113" s="43"/>
      <c r="W113" s="43"/>
      <c r="X113" s="43"/>
      <c r="Y113" s="43"/>
      <c r="Z113" s="43"/>
      <c r="AA113" s="43"/>
      <c r="AB113" s="41"/>
      <c r="AD113" s="40"/>
      <c r="AE113" s="43"/>
      <c r="AF113" s="41"/>
      <c r="AG113" s="40"/>
      <c r="AH113" s="43"/>
      <c r="AI113" s="41"/>
    </row>
    <row r="114" spans="3:35" x14ac:dyDescent="0.2">
      <c r="C114" s="23"/>
      <c r="H114" s="133" t="s">
        <v>296</v>
      </c>
      <c r="I114" s="25"/>
      <c r="J114" s="25"/>
      <c r="L114" s="24" t="e">
        <f ca="1">_xll.EVPRO($B$1,H114,"JDEID")</f>
        <v>#NAME?</v>
      </c>
      <c r="M114" s="24" t="str">
        <f>IF(AND(I114="N",J114="N"),_xll.EVPRO($B$1,H114,"PSFTID"),"")</f>
        <v/>
      </c>
      <c r="N114" s="24" t="e">
        <f ca="1">IF(_xll.EVDES(H114,$B$1)="#NODATA","",_xll.EVDES(H114,$B$1))</f>
        <v>#NAME?</v>
      </c>
      <c r="O114" s="19"/>
      <c r="P114" s="19"/>
      <c r="Q114" s="19"/>
      <c r="R114" s="19"/>
      <c r="S114" s="19"/>
      <c r="T114" s="19"/>
      <c r="U114" s="19"/>
      <c r="V114" s="19"/>
      <c r="W114" s="19"/>
      <c r="X114" s="19"/>
      <c r="Y114" s="19"/>
      <c r="Z114" s="19"/>
      <c r="AA114" s="19">
        <f t="shared" ref="AA114:AA119" si="40">SUM(O114:Z114)</f>
        <v>0</v>
      </c>
      <c r="AB114" s="15" t="str">
        <f t="shared" ref="AB114:AB119" si="41">IF(AA114=0,"",IFERROR(AA114/AA$19,""))</f>
        <v/>
      </c>
      <c r="AD114" s="19"/>
      <c r="AE114" s="15" t="str">
        <f t="shared" ref="AE114:AE119" si="42">IF(AD114=0,"",IFERROR(AD114/AD$19,""))</f>
        <v/>
      </c>
      <c r="AF114" s="47">
        <f t="shared" ref="AF114:AF119" si="43">IF(AND($AA114="",AD114=""),"",$AA114-AD114)</f>
        <v>0</v>
      </c>
      <c r="AG114" s="19"/>
      <c r="AH114" s="15" t="str">
        <f t="shared" ref="AH114:AH119" si="44">IF(AG114=0,"",IFERROR(AG114/AG$19,""))</f>
        <v/>
      </c>
      <c r="AI114" s="47">
        <f t="shared" ref="AI114:AI119" si="45">IF(AND($AA114="",AG114=""),"",$AA114-AG114)</f>
        <v>0</v>
      </c>
    </row>
    <row r="115" spans="3:35" x14ac:dyDescent="0.2">
      <c r="C115" s="23"/>
      <c r="H115" s="133" t="s">
        <v>303</v>
      </c>
      <c r="I115" s="25"/>
      <c r="J115" s="25"/>
      <c r="L115" s="24" t="e">
        <f ca="1">_xll.EVPRO($B$1,H115,"JDEID")</f>
        <v>#NAME?</v>
      </c>
      <c r="M115" s="24" t="str">
        <f>IF(AND(I115="N",J115="N"),_xll.EVPRO($B$1,H115,"PSFTID"),"")</f>
        <v/>
      </c>
      <c r="N115" s="24" t="e">
        <f ca="1">IF(_xll.EVDES(H115,$B$1)="#NODATA","",_xll.EVDES(H115,$B$1))</f>
        <v>#NAME?</v>
      </c>
      <c r="O115" s="19"/>
      <c r="P115" s="19"/>
      <c r="Q115" s="19"/>
      <c r="R115" s="19"/>
      <c r="S115" s="19"/>
      <c r="T115" s="19"/>
      <c r="U115" s="19"/>
      <c r="V115" s="19"/>
      <c r="W115" s="19"/>
      <c r="X115" s="19"/>
      <c r="Y115" s="19"/>
      <c r="Z115" s="19"/>
      <c r="AA115" s="19">
        <f t="shared" si="40"/>
        <v>0</v>
      </c>
      <c r="AB115" s="15" t="str">
        <f t="shared" si="41"/>
        <v/>
      </c>
      <c r="AD115" s="19"/>
      <c r="AE115" s="15" t="str">
        <f t="shared" si="42"/>
        <v/>
      </c>
      <c r="AF115" s="47">
        <f t="shared" si="43"/>
        <v>0</v>
      </c>
      <c r="AG115" s="19"/>
      <c r="AH115" s="15" t="str">
        <f t="shared" si="44"/>
        <v/>
      </c>
      <c r="AI115" s="47">
        <f t="shared" si="45"/>
        <v>0</v>
      </c>
    </row>
    <row r="116" spans="3:35" x14ac:dyDescent="0.2">
      <c r="C116" s="23"/>
      <c r="H116" s="133" t="s">
        <v>304</v>
      </c>
      <c r="I116" s="25"/>
      <c r="J116" s="25"/>
      <c r="L116" s="24" t="e">
        <f ca="1">_xll.EVPRO($B$1,H116,"JDEID")</f>
        <v>#NAME?</v>
      </c>
      <c r="M116" s="24" t="str">
        <f>IF(AND(I116="N",J116="N"),_xll.EVPRO($B$1,H116,"PSFTID"),"")</f>
        <v/>
      </c>
      <c r="N116" s="24" t="e">
        <f ca="1">IF(_xll.EVDES(H116,$B$1)="#NODATA","",_xll.EVDES(H116,$B$1))</f>
        <v>#NAME?</v>
      </c>
      <c r="O116" s="19"/>
      <c r="P116" s="19"/>
      <c r="Q116" s="19"/>
      <c r="R116" s="19"/>
      <c r="S116" s="19"/>
      <c r="T116" s="19"/>
      <c r="U116" s="19"/>
      <c r="V116" s="19"/>
      <c r="W116" s="19"/>
      <c r="X116" s="19"/>
      <c r="Y116" s="19"/>
      <c r="Z116" s="19"/>
      <c r="AA116" s="19">
        <f t="shared" si="40"/>
        <v>0</v>
      </c>
      <c r="AB116" s="15" t="str">
        <f t="shared" si="41"/>
        <v/>
      </c>
      <c r="AD116" s="19"/>
      <c r="AE116" s="15" t="str">
        <f t="shared" si="42"/>
        <v/>
      </c>
      <c r="AF116" s="47">
        <f t="shared" si="43"/>
        <v>0</v>
      </c>
      <c r="AG116" s="19"/>
      <c r="AH116" s="15" t="str">
        <f t="shared" si="44"/>
        <v/>
      </c>
      <c r="AI116" s="47">
        <f t="shared" si="45"/>
        <v>0</v>
      </c>
    </row>
    <row r="117" spans="3:35" x14ac:dyDescent="0.2">
      <c r="C117" s="23"/>
      <c r="H117" s="133" t="s">
        <v>309</v>
      </c>
      <c r="I117" s="25"/>
      <c r="J117" s="25"/>
      <c r="L117" s="24" t="e">
        <f ca="1">_xll.EVPRO($B$1,H117,"JDEID")</f>
        <v>#NAME?</v>
      </c>
      <c r="M117" s="24" t="str">
        <f>IF(AND(I117="N",J117="N"),_xll.EVPRO($B$1,H117,"PSFTID"),"")</f>
        <v/>
      </c>
      <c r="N117" s="24" t="e">
        <f ca="1">IF(_xll.EVDES(H117,$B$1)="#NODATA","",_xll.EVDES(H117,$B$1))</f>
        <v>#NAME?</v>
      </c>
      <c r="O117" s="19"/>
      <c r="P117" s="19"/>
      <c r="Q117" s="19"/>
      <c r="R117" s="19"/>
      <c r="S117" s="19"/>
      <c r="T117" s="19"/>
      <c r="U117" s="19"/>
      <c r="V117" s="19"/>
      <c r="W117" s="19"/>
      <c r="X117" s="19"/>
      <c r="Y117" s="19"/>
      <c r="Z117" s="19"/>
      <c r="AA117" s="19">
        <f t="shared" si="40"/>
        <v>0</v>
      </c>
      <c r="AB117" s="15" t="str">
        <f t="shared" si="41"/>
        <v/>
      </c>
      <c r="AD117" s="19"/>
      <c r="AE117" s="15" t="str">
        <f t="shared" si="42"/>
        <v/>
      </c>
      <c r="AF117" s="47">
        <f t="shared" si="43"/>
        <v>0</v>
      </c>
      <c r="AG117" s="19"/>
      <c r="AH117" s="15" t="str">
        <f t="shared" si="44"/>
        <v/>
      </c>
      <c r="AI117" s="47">
        <f t="shared" si="45"/>
        <v>0</v>
      </c>
    </row>
    <row r="118" spans="3:35" x14ac:dyDescent="0.2">
      <c r="C118" s="23"/>
      <c r="H118" s="133" t="s">
        <v>322</v>
      </c>
      <c r="I118" s="25"/>
      <c r="J118" s="25"/>
      <c r="L118" s="24" t="e">
        <f ca="1">_xll.EVPRO($B$1,H118,"JDEID")</f>
        <v>#NAME?</v>
      </c>
      <c r="M118" s="24" t="str">
        <f>IF(AND(I118="N",J118="N"),_xll.EVPRO($B$1,H118,"PSFTID"),"")</f>
        <v/>
      </c>
      <c r="N118" s="24" t="e">
        <f ca="1">IF(_xll.EVDES(H118,$B$1)="#NODATA","",_xll.EVDES(H118,$B$1))</f>
        <v>#NAME?</v>
      </c>
      <c r="O118" s="19"/>
      <c r="P118" s="19"/>
      <c r="Q118" s="19"/>
      <c r="R118" s="19"/>
      <c r="S118" s="19"/>
      <c r="T118" s="19"/>
      <c r="U118" s="19"/>
      <c r="V118" s="19"/>
      <c r="W118" s="19"/>
      <c r="X118" s="19"/>
      <c r="Y118" s="19"/>
      <c r="Z118" s="19"/>
      <c r="AA118" s="19">
        <f t="shared" si="40"/>
        <v>0</v>
      </c>
      <c r="AB118" s="15" t="str">
        <f t="shared" si="41"/>
        <v/>
      </c>
      <c r="AD118" s="19"/>
      <c r="AE118" s="15" t="str">
        <f t="shared" si="42"/>
        <v/>
      </c>
      <c r="AF118" s="47">
        <f t="shared" si="43"/>
        <v>0</v>
      </c>
      <c r="AG118" s="19"/>
      <c r="AH118" s="15" t="str">
        <f t="shared" si="44"/>
        <v/>
      </c>
      <c r="AI118" s="47">
        <f t="shared" si="45"/>
        <v>0</v>
      </c>
    </row>
    <row r="119" spans="3:35" x14ac:dyDescent="0.2">
      <c r="C119" s="23"/>
      <c r="H119" s="133" t="s">
        <v>341</v>
      </c>
      <c r="I119" s="25"/>
      <c r="J119" s="25"/>
      <c r="L119" s="24" t="e">
        <f ca="1">_xll.EVPRO($B$1,H119,"JDEID")</f>
        <v>#NAME?</v>
      </c>
      <c r="M119" s="24" t="str">
        <f>IF(AND(I119="N",J119="N"),_xll.EVPRO($B$1,H119,"PSFTID"),"")</f>
        <v/>
      </c>
      <c r="N119" s="23" t="e">
        <f ca="1">IF(_xll.EVDES(H119,$B$1)="#NODATA","",_xll.EVDES(H119,$B$1))</f>
        <v>#NAME?</v>
      </c>
      <c r="O119" s="145"/>
      <c r="P119" s="145"/>
      <c r="Q119" s="145"/>
      <c r="R119" s="145"/>
      <c r="S119" s="145"/>
      <c r="T119" s="145"/>
      <c r="U119" s="145"/>
      <c r="V119" s="145"/>
      <c r="W119" s="145"/>
      <c r="X119" s="145"/>
      <c r="Y119" s="145"/>
      <c r="Z119" s="145"/>
      <c r="AA119" s="145">
        <f t="shared" si="40"/>
        <v>0</v>
      </c>
      <c r="AB119" s="156" t="str">
        <f t="shared" si="41"/>
        <v/>
      </c>
      <c r="AD119" s="145"/>
      <c r="AE119" s="156" t="str">
        <f t="shared" si="42"/>
        <v/>
      </c>
      <c r="AF119" s="146">
        <f t="shared" si="43"/>
        <v>0</v>
      </c>
      <c r="AG119" s="145"/>
      <c r="AH119" s="156" t="str">
        <f t="shared" si="44"/>
        <v/>
      </c>
      <c r="AI119" s="146">
        <f t="shared" si="45"/>
        <v>0</v>
      </c>
    </row>
    <row r="120" spans="3:35" x14ac:dyDescent="0.2">
      <c r="C120" s="23"/>
      <c r="H120" s="133"/>
      <c r="I120" s="25"/>
      <c r="J120" s="25"/>
      <c r="L120" s="24"/>
      <c r="M120" s="24"/>
      <c r="O120" s="38"/>
      <c r="P120" s="42"/>
      <c r="Q120" s="42"/>
      <c r="R120" s="42"/>
      <c r="S120" s="42"/>
      <c r="T120" s="42"/>
      <c r="U120" s="42"/>
      <c r="V120" s="42"/>
      <c r="W120" s="42"/>
      <c r="X120" s="42"/>
      <c r="Y120" s="42"/>
      <c r="Z120" s="42"/>
      <c r="AA120" s="42"/>
      <c r="AB120" s="39"/>
      <c r="AD120" s="38"/>
      <c r="AE120" s="42"/>
      <c r="AF120" s="39"/>
      <c r="AG120" s="38"/>
      <c r="AH120" s="42"/>
      <c r="AI120" s="39"/>
    </row>
    <row r="121" spans="3:35" x14ac:dyDescent="0.2">
      <c r="C121" s="23"/>
      <c r="H121" s="10" t="s">
        <v>267</v>
      </c>
      <c r="I121" s="25"/>
      <c r="J121" s="25"/>
      <c r="L121" s="24" t="e">
        <f ca="1">_xll.EVPRO($B$1,H121,"JDEID")</f>
        <v>#NAME?</v>
      </c>
      <c r="M121" s="24" t="str">
        <f>IF(AND(I121="N",J121="N"),_xll.EVPRO($B$1,H121,"PSFTID"),"")</f>
        <v/>
      </c>
      <c r="N121" s="24" t="e">
        <f ca="1">IF(_xll.EVDES(H121,$B$1)="#NODATA","",_xll.EVDES(H121,$B$1))</f>
        <v>#NAME?</v>
      </c>
      <c r="O121" s="19">
        <f t="shared" ref="O121:Z121" si="46">O98+O106+O114</f>
        <v>0</v>
      </c>
      <c r="P121" s="19">
        <f t="shared" si="46"/>
        <v>0</v>
      </c>
      <c r="Q121" s="19">
        <f t="shared" si="46"/>
        <v>0</v>
      </c>
      <c r="R121" s="19">
        <f t="shared" si="46"/>
        <v>0</v>
      </c>
      <c r="S121" s="19">
        <f t="shared" si="46"/>
        <v>0</v>
      </c>
      <c r="T121" s="19">
        <f t="shared" si="46"/>
        <v>0</v>
      </c>
      <c r="U121" s="19">
        <f t="shared" si="46"/>
        <v>0</v>
      </c>
      <c r="V121" s="19">
        <f t="shared" si="46"/>
        <v>0</v>
      </c>
      <c r="W121" s="19">
        <f t="shared" si="46"/>
        <v>0</v>
      </c>
      <c r="X121" s="19">
        <f t="shared" si="46"/>
        <v>0</v>
      </c>
      <c r="Y121" s="19">
        <f t="shared" si="46"/>
        <v>0</v>
      </c>
      <c r="Z121" s="19">
        <f t="shared" si="46"/>
        <v>0</v>
      </c>
      <c r="AA121" s="19">
        <f t="shared" ref="AA121:AA126" si="47">SUM(O121:Z121)</f>
        <v>0</v>
      </c>
      <c r="AB121" s="15" t="str">
        <f t="shared" ref="AB121:AB126" si="48">IF(AA121=0,"",IFERROR(AA121/AA$19,""))</f>
        <v/>
      </c>
      <c r="AD121" s="19">
        <f>AD98+AD106+AD114</f>
        <v>0</v>
      </c>
      <c r="AE121" s="15" t="str">
        <f t="shared" ref="AE121:AE126" si="49">IF(AD121=0,"",IFERROR(AD121/AD$19,""))</f>
        <v/>
      </c>
      <c r="AF121" s="47">
        <f t="shared" ref="AF121:AF126" si="50">IF(AND($AA121="",AD121=""),"",$AA121-AD121)</f>
        <v>0</v>
      </c>
      <c r="AG121" s="19">
        <f>AG98+AG106+AG114</f>
        <v>0</v>
      </c>
      <c r="AH121" s="15" t="str">
        <f t="shared" ref="AH121:AH126" si="51">IF(AG121=0,"",IFERROR(AG121/AG$19,""))</f>
        <v/>
      </c>
      <c r="AI121" s="47">
        <f t="shared" ref="AI121:AI126" si="52">IF(AND($AA121="",AG121=""),"",$AA121-AG121)</f>
        <v>0</v>
      </c>
    </row>
    <row r="122" spans="3:35" x14ac:dyDescent="0.2">
      <c r="C122" s="23"/>
      <c r="H122" s="10" t="s">
        <v>268</v>
      </c>
      <c r="I122" s="25"/>
      <c r="J122" s="25"/>
      <c r="L122" s="24" t="e">
        <f ca="1">_xll.EVPRO($B$1,H122,"JDEID")</f>
        <v>#NAME?</v>
      </c>
      <c r="M122" s="24" t="str">
        <f>IF(AND(I122="N",J122="N"),_xll.EVPRO($B$1,H122,"PSFTID"),"")</f>
        <v/>
      </c>
      <c r="N122" s="24" t="e">
        <f ca="1">IF(_xll.EVDES(H122,$B$1)="#NODATA","",_xll.EVDES(H122,$B$1))</f>
        <v>#NAME?</v>
      </c>
      <c r="O122" s="19">
        <f t="shared" ref="O122:Z122" si="53">O99+O107+O115</f>
        <v>0</v>
      </c>
      <c r="P122" s="19">
        <f t="shared" si="53"/>
        <v>0</v>
      </c>
      <c r="Q122" s="19">
        <f t="shared" si="53"/>
        <v>0</v>
      </c>
      <c r="R122" s="19">
        <f t="shared" si="53"/>
        <v>0</v>
      </c>
      <c r="S122" s="19">
        <f t="shared" si="53"/>
        <v>0</v>
      </c>
      <c r="T122" s="19">
        <f t="shared" si="53"/>
        <v>0</v>
      </c>
      <c r="U122" s="19">
        <f t="shared" si="53"/>
        <v>0</v>
      </c>
      <c r="V122" s="19">
        <f t="shared" si="53"/>
        <v>0</v>
      </c>
      <c r="W122" s="19">
        <f t="shared" si="53"/>
        <v>0</v>
      </c>
      <c r="X122" s="19">
        <f t="shared" si="53"/>
        <v>0</v>
      </c>
      <c r="Y122" s="19">
        <f t="shared" si="53"/>
        <v>0</v>
      </c>
      <c r="Z122" s="19">
        <f t="shared" si="53"/>
        <v>0</v>
      </c>
      <c r="AA122" s="19">
        <f t="shared" si="47"/>
        <v>0</v>
      </c>
      <c r="AB122" s="15" t="str">
        <f t="shared" si="48"/>
        <v/>
      </c>
      <c r="AD122" s="19">
        <f>AD99+AD107+AD115</f>
        <v>0</v>
      </c>
      <c r="AE122" s="15" t="str">
        <f t="shared" si="49"/>
        <v/>
      </c>
      <c r="AF122" s="47">
        <f t="shared" si="50"/>
        <v>0</v>
      </c>
      <c r="AG122" s="19">
        <f>AG99+AG107+AG115</f>
        <v>0</v>
      </c>
      <c r="AH122" s="15" t="str">
        <f t="shared" si="51"/>
        <v/>
      </c>
      <c r="AI122" s="47">
        <f t="shared" si="52"/>
        <v>0</v>
      </c>
    </row>
    <row r="123" spans="3:35" x14ac:dyDescent="0.2">
      <c r="C123" s="23"/>
      <c r="H123" s="133" t="s">
        <v>269</v>
      </c>
      <c r="I123" s="25"/>
      <c r="J123" s="25"/>
      <c r="L123" s="24" t="e">
        <f ca="1">_xll.EVPRO($B$1,H123,"JDEID")</f>
        <v>#NAME?</v>
      </c>
      <c r="M123" s="24" t="str">
        <f>IF(AND(I123="N",J123="N"),_xll.EVPRO($B$1,H123,"PSFTID"),"")</f>
        <v/>
      </c>
      <c r="N123" s="24" t="e">
        <f ca="1">IF(_xll.EVDES(H123,$B$1)="#NODATA","",_xll.EVDES(H123,$B$1))</f>
        <v>#NAME?</v>
      </c>
      <c r="O123" s="19">
        <f t="shared" ref="O123:Z123" si="54">O100+O108+O116</f>
        <v>0</v>
      </c>
      <c r="P123" s="19">
        <f t="shared" si="54"/>
        <v>0</v>
      </c>
      <c r="Q123" s="19">
        <f t="shared" si="54"/>
        <v>0</v>
      </c>
      <c r="R123" s="19">
        <f t="shared" si="54"/>
        <v>0</v>
      </c>
      <c r="S123" s="19">
        <f t="shared" si="54"/>
        <v>0</v>
      </c>
      <c r="T123" s="19">
        <f t="shared" si="54"/>
        <v>0</v>
      </c>
      <c r="U123" s="19">
        <f t="shared" si="54"/>
        <v>0</v>
      </c>
      <c r="V123" s="19">
        <f t="shared" si="54"/>
        <v>0</v>
      </c>
      <c r="W123" s="19">
        <f t="shared" si="54"/>
        <v>0</v>
      </c>
      <c r="X123" s="19">
        <f t="shared" si="54"/>
        <v>0</v>
      </c>
      <c r="Y123" s="19">
        <f t="shared" si="54"/>
        <v>0</v>
      </c>
      <c r="Z123" s="19">
        <f t="shared" si="54"/>
        <v>0</v>
      </c>
      <c r="AA123" s="19">
        <f t="shared" si="47"/>
        <v>0</v>
      </c>
      <c r="AB123" s="15" t="str">
        <f t="shared" si="48"/>
        <v/>
      </c>
      <c r="AD123" s="19">
        <f>AD100+AD108+AD116</f>
        <v>0</v>
      </c>
      <c r="AE123" s="15" t="str">
        <f t="shared" si="49"/>
        <v/>
      </c>
      <c r="AF123" s="47">
        <f t="shared" si="50"/>
        <v>0</v>
      </c>
      <c r="AG123" s="19">
        <f>AG100+AG108+AG116</f>
        <v>0</v>
      </c>
      <c r="AH123" s="15" t="str">
        <f t="shared" si="51"/>
        <v/>
      </c>
      <c r="AI123" s="47">
        <f t="shared" si="52"/>
        <v>0</v>
      </c>
    </row>
    <row r="124" spans="3:35" x14ac:dyDescent="0.2">
      <c r="C124" s="23"/>
      <c r="H124" s="133" t="s">
        <v>270</v>
      </c>
      <c r="I124" s="25"/>
      <c r="J124" s="25"/>
      <c r="L124" s="24" t="e">
        <f ca="1">_xll.EVPRO($B$1,H124,"JDEID")</f>
        <v>#NAME?</v>
      </c>
      <c r="M124" s="24" t="str">
        <f>IF(AND(I124="N",J124="N"),_xll.EVPRO($B$1,H124,"PSFTID"),"")</f>
        <v/>
      </c>
      <c r="N124" s="24" t="e">
        <f ca="1">IF(_xll.EVDES(H124,$B$1)="#NODATA","",_xll.EVDES(H124,$B$1))</f>
        <v>#NAME?</v>
      </c>
      <c r="O124" s="19">
        <f t="shared" ref="O124:Z124" si="55">O101+O109+O117</f>
        <v>0</v>
      </c>
      <c r="P124" s="19">
        <f t="shared" si="55"/>
        <v>0</v>
      </c>
      <c r="Q124" s="19">
        <f t="shared" si="55"/>
        <v>0</v>
      </c>
      <c r="R124" s="19">
        <f t="shared" si="55"/>
        <v>0</v>
      </c>
      <c r="S124" s="19">
        <f t="shared" si="55"/>
        <v>0</v>
      </c>
      <c r="T124" s="19">
        <f t="shared" si="55"/>
        <v>0</v>
      </c>
      <c r="U124" s="19">
        <f t="shared" si="55"/>
        <v>0</v>
      </c>
      <c r="V124" s="19">
        <f t="shared" si="55"/>
        <v>0</v>
      </c>
      <c r="W124" s="19">
        <f t="shared" si="55"/>
        <v>0</v>
      </c>
      <c r="X124" s="19">
        <f t="shared" si="55"/>
        <v>0</v>
      </c>
      <c r="Y124" s="19">
        <f t="shared" si="55"/>
        <v>0</v>
      </c>
      <c r="Z124" s="19">
        <f t="shared" si="55"/>
        <v>0</v>
      </c>
      <c r="AA124" s="19">
        <f t="shared" si="47"/>
        <v>0</v>
      </c>
      <c r="AB124" s="15" t="str">
        <f t="shared" si="48"/>
        <v/>
      </c>
      <c r="AD124" s="19">
        <f>AD101+AD109+AD117</f>
        <v>0</v>
      </c>
      <c r="AE124" s="15" t="str">
        <f t="shared" si="49"/>
        <v/>
      </c>
      <c r="AF124" s="47">
        <f t="shared" si="50"/>
        <v>0</v>
      </c>
      <c r="AG124" s="19">
        <f>AG101+AG109+AG117</f>
        <v>0</v>
      </c>
      <c r="AH124" s="15" t="str">
        <f t="shared" si="51"/>
        <v/>
      </c>
      <c r="AI124" s="47">
        <f t="shared" si="52"/>
        <v>0</v>
      </c>
    </row>
    <row r="125" spans="3:35" x14ac:dyDescent="0.2">
      <c r="C125" s="23"/>
      <c r="H125" s="133" t="s">
        <v>271</v>
      </c>
      <c r="I125" s="25"/>
      <c r="J125" s="25"/>
      <c r="L125" s="24" t="e">
        <f ca="1">_xll.EVPRO($B$1,H125,"JDEID")</f>
        <v>#NAME?</v>
      </c>
      <c r="M125" s="24" t="str">
        <f>IF(AND(I125="N",J125="N"),_xll.EVPRO($B$1,H125,"PSFTID"),"")</f>
        <v/>
      </c>
      <c r="N125" s="24" t="e">
        <f ca="1">IF(_xll.EVDES(H125,$B$1)="#NODATA","",_xll.EVDES(H125,$B$1))</f>
        <v>#NAME?</v>
      </c>
      <c r="O125" s="19">
        <f t="shared" ref="O125:Z125" si="56">O102+O110+O118</f>
        <v>0</v>
      </c>
      <c r="P125" s="19">
        <f t="shared" si="56"/>
        <v>0</v>
      </c>
      <c r="Q125" s="19">
        <f t="shared" si="56"/>
        <v>0</v>
      </c>
      <c r="R125" s="19">
        <f t="shared" si="56"/>
        <v>0</v>
      </c>
      <c r="S125" s="19">
        <f t="shared" si="56"/>
        <v>0</v>
      </c>
      <c r="T125" s="19">
        <f t="shared" si="56"/>
        <v>0</v>
      </c>
      <c r="U125" s="19">
        <f t="shared" si="56"/>
        <v>0</v>
      </c>
      <c r="V125" s="19">
        <f t="shared" si="56"/>
        <v>0</v>
      </c>
      <c r="W125" s="19">
        <f t="shared" si="56"/>
        <v>0</v>
      </c>
      <c r="X125" s="19">
        <f t="shared" si="56"/>
        <v>0</v>
      </c>
      <c r="Y125" s="19">
        <f t="shared" si="56"/>
        <v>0</v>
      </c>
      <c r="Z125" s="19">
        <f t="shared" si="56"/>
        <v>0</v>
      </c>
      <c r="AA125" s="19">
        <f t="shared" si="47"/>
        <v>0</v>
      </c>
      <c r="AB125" s="15" t="str">
        <f t="shared" si="48"/>
        <v/>
      </c>
      <c r="AD125" s="19">
        <f>AD102+AD110+AD118</f>
        <v>0</v>
      </c>
      <c r="AE125" s="15" t="str">
        <f t="shared" si="49"/>
        <v/>
      </c>
      <c r="AF125" s="47">
        <f t="shared" si="50"/>
        <v>0</v>
      </c>
      <c r="AG125" s="19">
        <f>AG102+AG110+AG118</f>
        <v>0</v>
      </c>
      <c r="AH125" s="15" t="str">
        <f t="shared" si="51"/>
        <v/>
      </c>
      <c r="AI125" s="47">
        <f t="shared" si="52"/>
        <v>0</v>
      </c>
    </row>
    <row r="126" spans="3:35" x14ac:dyDescent="0.2">
      <c r="C126" s="23"/>
      <c r="H126" s="10" t="s">
        <v>272</v>
      </c>
      <c r="I126" s="25"/>
      <c r="J126" s="25"/>
      <c r="L126" s="24" t="e">
        <f ca="1">_xll.EVPRO($B$1,H126,"JDEID")</f>
        <v>#NAME?</v>
      </c>
      <c r="M126" s="24" t="str">
        <f>IF(AND(I126="N",J126="N"),_xll.EVPRO($B$1,H126,"PSFTID"),"")</f>
        <v/>
      </c>
      <c r="N126" s="23" t="e">
        <f ca="1">IF(_xll.EVDES(H126,$B$1)="#NODATA","",_xll.EVDES(H126,$B$1))</f>
        <v>#NAME?</v>
      </c>
      <c r="O126" s="145">
        <f t="shared" ref="O126:Z126" si="57">SUM(O121:O125)</f>
        <v>0</v>
      </c>
      <c r="P126" s="145">
        <f t="shared" si="57"/>
        <v>0</v>
      </c>
      <c r="Q126" s="145">
        <f t="shared" si="57"/>
        <v>0</v>
      </c>
      <c r="R126" s="145">
        <f t="shared" si="57"/>
        <v>0</v>
      </c>
      <c r="S126" s="145">
        <f t="shared" si="57"/>
        <v>0</v>
      </c>
      <c r="T126" s="145">
        <f t="shared" si="57"/>
        <v>0</v>
      </c>
      <c r="U126" s="145">
        <f t="shared" si="57"/>
        <v>0</v>
      </c>
      <c r="V126" s="145">
        <f t="shared" si="57"/>
        <v>0</v>
      </c>
      <c r="W126" s="145">
        <f t="shared" si="57"/>
        <v>0</v>
      </c>
      <c r="X126" s="145">
        <f t="shared" si="57"/>
        <v>0</v>
      </c>
      <c r="Y126" s="145">
        <f t="shared" si="57"/>
        <v>0</v>
      </c>
      <c r="Z126" s="145">
        <f t="shared" si="57"/>
        <v>0</v>
      </c>
      <c r="AA126" s="145">
        <f t="shared" si="47"/>
        <v>0</v>
      </c>
      <c r="AB126" s="156" t="str">
        <f t="shared" si="48"/>
        <v/>
      </c>
      <c r="AD126" s="145">
        <f>SUM(AD121:AD125)</f>
        <v>0</v>
      </c>
      <c r="AE126" s="156" t="str">
        <f t="shared" si="49"/>
        <v/>
      </c>
      <c r="AF126" s="146">
        <f t="shared" si="50"/>
        <v>0</v>
      </c>
      <c r="AG126" s="145">
        <f>SUM(AG121:AG125)</f>
        <v>0</v>
      </c>
      <c r="AH126" s="156" t="str">
        <f t="shared" si="51"/>
        <v/>
      </c>
      <c r="AI126" s="146">
        <f t="shared" si="52"/>
        <v>0</v>
      </c>
    </row>
    <row r="127" spans="3:35" x14ac:dyDescent="0.2">
      <c r="C127" s="23"/>
      <c r="H127" s="133"/>
      <c r="I127" s="25"/>
      <c r="J127" s="25"/>
      <c r="O127" s="124">
        <f t="shared" ref="O127:AA127" si="58">O103+O111+O119-O126</f>
        <v>0</v>
      </c>
      <c r="P127" s="124">
        <f t="shared" si="58"/>
        <v>0</v>
      </c>
      <c r="Q127" s="124">
        <f t="shared" si="58"/>
        <v>0</v>
      </c>
      <c r="R127" s="124">
        <f t="shared" si="58"/>
        <v>0</v>
      </c>
      <c r="S127" s="124">
        <f t="shared" si="58"/>
        <v>0</v>
      </c>
      <c r="T127" s="124">
        <f t="shared" si="58"/>
        <v>0</v>
      </c>
      <c r="U127" s="124">
        <f t="shared" si="58"/>
        <v>0</v>
      </c>
      <c r="V127" s="124">
        <f t="shared" si="58"/>
        <v>0</v>
      </c>
      <c r="W127" s="124">
        <f t="shared" si="58"/>
        <v>0</v>
      </c>
      <c r="X127" s="124">
        <f t="shared" si="58"/>
        <v>0</v>
      </c>
      <c r="Y127" s="124">
        <f t="shared" si="58"/>
        <v>0</v>
      </c>
      <c r="Z127" s="124">
        <f t="shared" si="58"/>
        <v>0</v>
      </c>
      <c r="AA127" s="124">
        <f t="shared" si="58"/>
        <v>0</v>
      </c>
      <c r="AB127" s="15"/>
      <c r="AD127" s="124">
        <f>AD103+AD111+AD119-AD126</f>
        <v>0</v>
      </c>
      <c r="AE127" s="15"/>
      <c r="AF127" s="19"/>
      <c r="AG127" s="124">
        <f>AG103+AG111+AG119-AG126</f>
        <v>0</v>
      </c>
      <c r="AH127" s="15"/>
      <c r="AI127" s="19"/>
    </row>
    <row r="128" spans="3:35" x14ac:dyDescent="0.2">
      <c r="C128" s="23"/>
      <c r="H128" s="133"/>
      <c r="I128" s="25"/>
      <c r="J128" s="25"/>
      <c r="O128" s="38"/>
      <c r="P128" s="42"/>
      <c r="Q128" s="42"/>
      <c r="R128" s="42"/>
      <c r="S128" s="42"/>
      <c r="T128" s="42"/>
      <c r="U128" s="42"/>
      <c r="V128" s="42"/>
      <c r="W128" s="42"/>
      <c r="X128" s="42"/>
      <c r="Y128" s="42"/>
      <c r="Z128" s="42"/>
      <c r="AA128" s="42"/>
      <c r="AB128" s="39"/>
      <c r="AD128" s="38"/>
      <c r="AE128" s="42"/>
      <c r="AF128" s="39"/>
      <c r="AG128" s="38"/>
      <c r="AH128" s="42"/>
      <c r="AI128" s="39"/>
    </row>
    <row r="129" spans="3:35" ht="16" x14ac:dyDescent="0.2">
      <c r="C129" s="23"/>
      <c r="H129" s="133" t="s">
        <v>281</v>
      </c>
      <c r="I129" s="25"/>
      <c r="J129" s="25"/>
      <c r="N129" s="155" t="e">
        <f ca="1">IF(_xll.EVDES(H129,$B$1)="#NODATA","",_xll.EVDES(H129,$B$1))</f>
        <v>#NAME?</v>
      </c>
      <c r="O129" s="436"/>
      <c r="P129" s="438"/>
      <c r="Q129" s="438"/>
      <c r="R129" s="438"/>
      <c r="S129" s="438"/>
      <c r="T129" s="438"/>
      <c r="U129" s="438"/>
      <c r="V129" s="438"/>
      <c r="W129" s="438"/>
      <c r="X129" s="438"/>
      <c r="Y129" s="438"/>
      <c r="Z129" s="438"/>
      <c r="AA129" s="438"/>
      <c r="AB129" s="437"/>
      <c r="AD129" s="436"/>
      <c r="AE129" s="438"/>
      <c r="AF129" s="438"/>
      <c r="AG129" s="438"/>
      <c r="AH129" s="438"/>
      <c r="AI129" s="437"/>
    </row>
    <row r="130" spans="3:35" x14ac:dyDescent="0.2">
      <c r="C130" s="23"/>
      <c r="H130" s="133">
        <v>561100</v>
      </c>
      <c r="I130" s="25"/>
      <c r="J130" s="25"/>
      <c r="L130" s="24" t="e">
        <f ca="1">_xll.EVPRO($B$1,H130,"JDEID")</f>
        <v>#NAME?</v>
      </c>
      <c r="M130" s="24" t="str">
        <f>IF(AND(I130="N",J130="N"),_xll.EVPRO($B$1,H130,"PSFTID"),"")</f>
        <v/>
      </c>
      <c r="N130" s="24" t="e">
        <f ca="1">IF(_xll.EVDES(H130,$B$1)="#NODATA","",_xll.EVDES(H130,$B$1))</f>
        <v>#NAME?</v>
      </c>
      <c r="O130" s="19"/>
      <c r="P130" s="19"/>
      <c r="Q130" s="19"/>
      <c r="R130" s="19"/>
      <c r="S130" s="19"/>
      <c r="T130" s="19"/>
      <c r="U130" s="19"/>
      <c r="V130" s="19"/>
      <c r="W130" s="19"/>
      <c r="X130" s="19"/>
      <c r="Y130" s="19"/>
      <c r="Z130" s="19"/>
      <c r="AA130" s="19">
        <f>SUM(O130:Z130)</f>
        <v>0</v>
      </c>
      <c r="AB130" s="284" t="str">
        <f>IF(AA130=0,"",IFERROR(AA130/_xll.EVGTS($B$1,1,_xll.EVPRO($B$1,$H130,"COSBASIS"),$B$3,$B$5,$B$6,$B$7,$B$9,AA$16,AA$17,AA$11),""))</f>
        <v/>
      </c>
      <c r="AD130" s="19"/>
      <c r="AE130" s="284" t="str">
        <f>IF(AD130=0,"",IFERROR(AD130/_xll.EVGTS($B$1,1,_xll.EVPRO($B$1,$H130,"COSBASIS"),$B$3,$B$5,$B$6,$B$7,$B$9,AD$16,AD$17,AD$18),""))</f>
        <v/>
      </c>
      <c r="AF130" s="47">
        <f t="shared" ref="AF130:AF140" si="59">IF(AND($AA130="",AD130=""),"",$AA130-AD130)</f>
        <v>0</v>
      </c>
      <c r="AG130" s="19"/>
      <c r="AH130" s="284" t="str">
        <f>IF(AG130=0,"",IFERROR(AG130/_xll.EVGTS($B$1,1,_xll.EVPRO($B$1,$H130,"COSBASIS"),$B$3,$B$5,$B$6,$B$7,$B$9,AG$16,AG$17,AG$18),""))</f>
        <v/>
      </c>
      <c r="AI130" s="47">
        <f t="shared" ref="AI130:AI141" si="60">IF(AND($AA130="",AG130=""),"",$AA130-AG130)</f>
        <v>0</v>
      </c>
    </row>
    <row r="131" spans="3:35" x14ac:dyDescent="0.2">
      <c r="C131" s="23"/>
      <c r="H131" s="133" t="s">
        <v>756</v>
      </c>
      <c r="I131" s="25"/>
      <c r="J131" s="25"/>
      <c r="L131" s="24" t="e">
        <f ca="1">_xll.EVPRO($B$1,H131,"JDEID")</f>
        <v>#NAME?</v>
      </c>
      <c r="M131" s="24" t="str">
        <f>IF(AND(I131="N",J131="N"),_xll.EVPRO($B$1,H131,"PSFTID"),"")</f>
        <v/>
      </c>
      <c r="N131" s="439" t="e">
        <f ca="1">IF(_xll.EVDES(H131,$B$1)="#NODATA","",_xll.EVDES(H131,$B$1))</f>
        <v>#NAME?</v>
      </c>
      <c r="O131" s="153"/>
      <c r="P131" s="153"/>
      <c r="Q131" s="153"/>
      <c r="R131" s="153"/>
      <c r="S131" s="153"/>
      <c r="T131" s="153"/>
      <c r="U131" s="153"/>
      <c r="V131" s="153"/>
      <c r="W131" s="153"/>
      <c r="X131" s="153"/>
      <c r="Y131" s="153"/>
      <c r="Z131" s="153"/>
      <c r="AA131" s="153"/>
      <c r="AB131" s="284"/>
      <c r="AD131" s="153"/>
      <c r="AE131" s="284"/>
      <c r="AF131" s="440" t="str">
        <f t="shared" si="59"/>
        <v/>
      </c>
      <c r="AG131" s="153"/>
      <c r="AH131" s="284"/>
      <c r="AI131" s="440" t="str">
        <f t="shared" si="60"/>
        <v/>
      </c>
    </row>
    <row r="132" spans="3:35" x14ac:dyDescent="0.2">
      <c r="C132" s="23"/>
      <c r="H132" s="133" t="s">
        <v>636</v>
      </c>
      <c r="I132" s="25"/>
      <c r="J132" s="25"/>
      <c r="L132" s="24" t="e">
        <f ca="1">_xll.EVPRO($B$1,H132,"JDEID")</f>
        <v>#NAME?</v>
      </c>
      <c r="M132" s="24" t="str">
        <f>IF(AND(I132="N",J132="N"),_xll.EVPRO($B$1,H132,"PSFTID"),"")</f>
        <v/>
      </c>
      <c r="N132" s="24" t="e">
        <f ca="1">IF(_xll.EVDES(H132,$B$1)="#NODATA","",_xll.EVDES(H132,$B$1))</f>
        <v>#NAME?</v>
      </c>
      <c r="O132" s="19"/>
      <c r="P132" s="19"/>
      <c r="Q132" s="19"/>
      <c r="R132" s="19"/>
      <c r="S132" s="19"/>
      <c r="T132" s="19"/>
      <c r="U132" s="19"/>
      <c r="V132" s="19"/>
      <c r="W132" s="19"/>
      <c r="X132" s="19"/>
      <c r="Y132" s="19"/>
      <c r="Z132" s="19"/>
      <c r="AA132" s="19">
        <f>SUM(O132:Z132)</f>
        <v>0</v>
      </c>
      <c r="AB132" s="284" t="str">
        <f>IF(AA132=0,"",IFERROR(AA132/_xll.EVGTS($B$1,1,_xll.EVPRO($B$1,$H132,"COSBASIS"),$B$3,$B$5,$B$6,$B$7,$B$9,AA$16,AA$17,AA$11),""))</f>
        <v/>
      </c>
      <c r="AD132" s="19"/>
      <c r="AE132" s="284" t="str">
        <f>IF(AD132=0,"",IFERROR(AD132/_xll.EVGTS($B$1,1,_xll.EVPRO($B$1,$H132,"COSBASIS"),$B$3,$B$5,$B$6,$B$7,$B$9,AD$16,AD$17,AD$18),""))</f>
        <v/>
      </c>
      <c r="AF132" s="47">
        <f t="shared" si="59"/>
        <v>0</v>
      </c>
      <c r="AG132" s="19"/>
      <c r="AH132" s="284" t="str">
        <f>IF(AG132=0,"",IFERROR(AG132/_xll.EVGTS($B$1,1,_xll.EVPRO($B$1,$H132,"COSBASIS"),$B$3,$B$5,$B$6,$B$7,$B$9,AG$16,AG$17,AG$18),""))</f>
        <v/>
      </c>
      <c r="AI132" s="47">
        <f t="shared" si="60"/>
        <v>0</v>
      </c>
    </row>
    <row r="133" spans="3:35" x14ac:dyDescent="0.2">
      <c r="C133" s="23"/>
      <c r="H133" s="133" t="s">
        <v>757</v>
      </c>
      <c r="I133" s="25"/>
      <c r="J133" s="25"/>
      <c r="L133" s="24" t="e">
        <f ca="1">_xll.EVPRO($B$1,H133,"JDEID")</f>
        <v>#NAME?</v>
      </c>
      <c r="M133" s="24" t="str">
        <f>IF(AND(I133="N",J133="N"),_xll.EVPRO($B$1,H133,"PSFTID"),"")</f>
        <v/>
      </c>
      <c r="N133" s="439" t="e">
        <f ca="1">IF(_xll.EVDES(H133,$B$1)="#NODATA","",_xll.EVDES(H133,$B$1))</f>
        <v>#NAME?</v>
      </c>
      <c r="O133" s="153"/>
      <c r="P133" s="153"/>
      <c r="Q133" s="153"/>
      <c r="R133" s="153"/>
      <c r="S133" s="153"/>
      <c r="T133" s="153"/>
      <c r="U133" s="153"/>
      <c r="V133" s="153"/>
      <c r="W133" s="153"/>
      <c r="X133" s="153"/>
      <c r="Y133" s="153"/>
      <c r="Z133" s="153"/>
      <c r="AA133" s="153"/>
      <c r="AB133" s="284"/>
      <c r="AD133" s="153"/>
      <c r="AE133" s="284"/>
      <c r="AF133" s="440" t="str">
        <f t="shared" si="59"/>
        <v/>
      </c>
      <c r="AG133" s="153"/>
      <c r="AH133" s="284"/>
      <c r="AI133" s="440" t="str">
        <f t="shared" si="60"/>
        <v/>
      </c>
    </row>
    <row r="134" spans="3:35" x14ac:dyDescent="0.2">
      <c r="C134" s="23"/>
      <c r="H134" s="133" t="s">
        <v>755</v>
      </c>
      <c r="I134" s="25"/>
      <c r="J134" s="25"/>
      <c r="L134" s="24" t="e">
        <f ca="1">_xll.EVPRO($B$1,H134,"JDEID")</f>
        <v>#NAME?</v>
      </c>
      <c r="M134" s="24" t="str">
        <f>IF(AND(I134="N",J134="N"),_xll.EVPRO($B$1,H134,"PSFTID"),"")</f>
        <v/>
      </c>
      <c r="N134" s="24" t="e">
        <f ca="1">IF(_xll.EVDES(H134,$B$1)="#NODATA","",_xll.EVDES(H134,$B$1))</f>
        <v>#NAME?</v>
      </c>
      <c r="O134" s="19"/>
      <c r="P134" s="19"/>
      <c r="Q134" s="19"/>
      <c r="R134" s="19"/>
      <c r="S134" s="19"/>
      <c r="T134" s="19"/>
      <c r="U134" s="19"/>
      <c r="V134" s="19"/>
      <c r="W134" s="19"/>
      <c r="X134" s="19"/>
      <c r="Y134" s="19"/>
      <c r="Z134" s="19"/>
      <c r="AA134" s="19">
        <f>SUM(O134:Z134)</f>
        <v>0</v>
      </c>
      <c r="AB134" s="284" t="str">
        <f>IF(AA134=0,"",IFERROR(AA134/_xll.EVGTS($B$1,1,_xll.EVPRO($B$1,$H134,"COSBASIS"),$B$3,$B$5,$B$6,$B$7,$B$9,AA$16,AA$17,AA$11),""))</f>
        <v/>
      </c>
      <c r="AD134" s="19"/>
      <c r="AE134" s="284" t="str">
        <f>IF(AD134=0,"",IFERROR(AD134/_xll.EVGTS($B$1,1,_xll.EVPRO($B$1,$H134,"COSBASIS"),$B$3,$B$5,$B$6,$B$7,$B$9,AD$16,AD$17,AD$18),""))</f>
        <v/>
      </c>
      <c r="AF134" s="47">
        <f t="shared" si="59"/>
        <v>0</v>
      </c>
      <c r="AG134" s="19"/>
      <c r="AH134" s="284" t="str">
        <f>IF(AG134=0,"",IFERROR(AG134/_xll.EVGTS($B$1,1,_xll.EVPRO($B$1,$H134,"COSBASIS"),$B$3,$B$5,$B$6,$B$7,$B$9,AG$16,AG$17,AG$18),""))</f>
        <v/>
      </c>
      <c r="AI134" s="47">
        <f t="shared" si="60"/>
        <v>0</v>
      </c>
    </row>
    <row r="135" spans="3:35" x14ac:dyDescent="0.2">
      <c r="C135" s="23"/>
      <c r="H135" s="133" t="s">
        <v>758</v>
      </c>
      <c r="I135" s="25"/>
      <c r="J135" s="25"/>
      <c r="L135" s="24" t="e">
        <f ca="1">_xll.EVPRO($B$1,H135,"JDEID")</f>
        <v>#NAME?</v>
      </c>
      <c r="M135" s="24" t="str">
        <f>IF(AND(I135="N",J135="N"),_xll.EVPRO($B$1,H135,"PSFTID"),"")</f>
        <v/>
      </c>
      <c r="N135" s="439" t="e">
        <f ca="1">IF(_xll.EVDES(H135,$B$1)="#NODATA","",_xll.EVDES(H135,$B$1))</f>
        <v>#NAME?</v>
      </c>
      <c r="O135" s="153"/>
      <c r="P135" s="153"/>
      <c r="Q135" s="153"/>
      <c r="R135" s="153"/>
      <c r="S135" s="153"/>
      <c r="T135" s="153"/>
      <c r="U135" s="153"/>
      <c r="V135" s="153"/>
      <c r="W135" s="153"/>
      <c r="X135" s="153"/>
      <c r="Y135" s="153"/>
      <c r="Z135" s="153"/>
      <c r="AA135" s="153"/>
      <c r="AB135" s="284"/>
      <c r="AD135" s="153"/>
      <c r="AE135" s="284"/>
      <c r="AF135" s="440" t="str">
        <f t="shared" si="59"/>
        <v/>
      </c>
      <c r="AG135" s="153"/>
      <c r="AH135" s="284"/>
      <c r="AI135" s="440" t="str">
        <f t="shared" si="60"/>
        <v/>
      </c>
    </row>
    <row r="136" spans="3:35" x14ac:dyDescent="0.2">
      <c r="C136" s="23"/>
      <c r="H136" s="133">
        <v>561400</v>
      </c>
      <c r="I136" s="25"/>
      <c r="J136" s="25"/>
      <c r="L136" s="24" t="e">
        <f ca="1">_xll.EVPRO($B$1,H136,"JDEID")</f>
        <v>#NAME?</v>
      </c>
      <c r="M136" s="24" t="str">
        <f>IF(AND(I136="N",J136="N"),_xll.EVPRO($B$1,H136,"PSFTID"),"")</f>
        <v/>
      </c>
      <c r="N136" s="24" t="e">
        <f ca="1">IF(_xll.EVDES(H136,$B$1)="#NODATA","",_xll.EVDES(H136,$B$1))</f>
        <v>#NAME?</v>
      </c>
      <c r="O136" s="19"/>
      <c r="P136" s="19"/>
      <c r="Q136" s="19"/>
      <c r="R136" s="19"/>
      <c r="S136" s="19"/>
      <c r="T136" s="19"/>
      <c r="U136" s="19"/>
      <c r="V136" s="19"/>
      <c r="W136" s="19"/>
      <c r="X136" s="19"/>
      <c r="Y136" s="19"/>
      <c r="Z136" s="19"/>
      <c r="AA136" s="19">
        <f>SUM(O136:Z136)</f>
        <v>0</v>
      </c>
      <c r="AB136" s="284" t="str">
        <f>IF(AA136=0,"",IFERROR(AA136/_xll.EVGTS($B$1,1,_xll.EVPRO($B$1,$H136,"COSBASIS"),$B$3,$B$5,$B$6,$B$7,$B$9,AA$16,AA$17,AA$11),""))</f>
        <v/>
      </c>
      <c r="AD136" s="19"/>
      <c r="AE136" s="284" t="str">
        <f>IF(AD136=0,"",IFERROR(AD136/_xll.EVGTS($B$1,1,_xll.EVPRO($B$1,$H136,"COSBASIS"),$B$3,$B$5,$B$6,$B$7,$B$9,AD$16,AD$17,AD$18),""))</f>
        <v/>
      </c>
      <c r="AF136" s="47">
        <f t="shared" si="59"/>
        <v>0</v>
      </c>
      <c r="AG136" s="19"/>
      <c r="AH136" s="284" t="str">
        <f>IF(AG136=0,"",IFERROR(AG136/_xll.EVGTS($B$1,1,_xll.EVPRO($B$1,$H136,"COSBASIS"),$B$3,$B$5,$B$6,$B$7,$B$9,AG$16,AG$17,AG$18),""))</f>
        <v/>
      </c>
      <c r="AI136" s="47">
        <f t="shared" si="60"/>
        <v>0</v>
      </c>
    </row>
    <row r="137" spans="3:35" x14ac:dyDescent="0.2">
      <c r="C137" s="23"/>
      <c r="H137" s="133" t="s">
        <v>759</v>
      </c>
      <c r="I137" s="25"/>
      <c r="J137" s="25"/>
      <c r="L137" s="24" t="e">
        <f ca="1">_xll.EVPRO($B$1,H137,"JDEID")</f>
        <v>#NAME?</v>
      </c>
      <c r="M137" s="24" t="str">
        <f>IF(AND(I137="N",J137="N"),_xll.EVPRO($B$1,H137,"PSFTID"),"")</f>
        <v/>
      </c>
      <c r="N137" s="439" t="e">
        <f ca="1">IF(_xll.EVDES(H137,$B$1)="#NODATA","",_xll.EVDES(H137,$B$1))</f>
        <v>#NAME?</v>
      </c>
      <c r="O137" s="153"/>
      <c r="P137" s="153"/>
      <c r="Q137" s="153"/>
      <c r="R137" s="153"/>
      <c r="S137" s="153"/>
      <c r="T137" s="153"/>
      <c r="U137" s="153"/>
      <c r="V137" s="153"/>
      <c r="W137" s="153"/>
      <c r="X137" s="153"/>
      <c r="Y137" s="153"/>
      <c r="Z137" s="153"/>
      <c r="AA137" s="153"/>
      <c r="AB137" s="284"/>
      <c r="AD137" s="153"/>
      <c r="AE137" s="284"/>
      <c r="AF137" s="440" t="str">
        <f t="shared" si="59"/>
        <v/>
      </c>
      <c r="AG137" s="153"/>
      <c r="AH137" s="284"/>
      <c r="AI137" s="440" t="str">
        <f t="shared" si="60"/>
        <v/>
      </c>
    </row>
    <row r="138" spans="3:35" x14ac:dyDescent="0.2">
      <c r="H138" s="133">
        <v>561500</v>
      </c>
      <c r="I138" s="25"/>
      <c r="J138" s="25"/>
      <c r="L138" s="24" t="e">
        <f ca="1">_xll.EVPRO($B$1,H138,"JDEID")</f>
        <v>#NAME?</v>
      </c>
      <c r="M138" s="24" t="str">
        <f>IF(AND(I138="N",J138="N"),_xll.EVPRO($B$1,H138,"PSFTID"),"")</f>
        <v/>
      </c>
      <c r="N138" s="24" t="e">
        <f ca="1">IF(_xll.EVDES(H138,$B$1)="#NODATA","",_xll.EVDES(H138,$B$1))</f>
        <v>#NAME?</v>
      </c>
      <c r="O138" s="19"/>
      <c r="P138" s="19"/>
      <c r="Q138" s="19"/>
      <c r="R138" s="19"/>
      <c r="S138" s="19"/>
      <c r="T138" s="19"/>
      <c r="U138" s="19"/>
      <c r="V138" s="19"/>
      <c r="W138" s="19"/>
      <c r="X138" s="19"/>
      <c r="Y138" s="19"/>
      <c r="Z138" s="19"/>
      <c r="AA138" s="19">
        <f>SUM(O138:Z138)</f>
        <v>0</v>
      </c>
      <c r="AB138" s="284" t="str">
        <f>IF(AA138=0,"",IFERROR(AA138/_xll.EVGTS($B$1,1,_xll.EVPRO($B$1,$H138,"COSBASIS"),$B$3,$B$5,$B$6,$B$7,$B$9,AA$16,AA$17,AA$11),""))</f>
        <v/>
      </c>
      <c r="AD138" s="19"/>
      <c r="AE138" s="284" t="str">
        <f>IF(AD138=0,"",IFERROR(AD138/_xll.EVGTS($B$1,1,_xll.EVPRO($B$1,$H138,"COSBASIS"),$B$3,$B$5,$B$6,$B$7,$B$9,AD$16,AD$17,AD$18),""))</f>
        <v/>
      </c>
      <c r="AF138" s="47">
        <f t="shared" si="59"/>
        <v>0</v>
      </c>
      <c r="AG138" s="19"/>
      <c r="AH138" s="284" t="str">
        <f>IF(AG138=0,"",IFERROR(AG138/_xll.EVGTS($B$1,1,_xll.EVPRO($B$1,$H138,"COSBASIS"),$B$3,$B$5,$B$6,$B$7,$B$9,AG$16,AG$17,AG$18),""))</f>
        <v/>
      </c>
      <c r="AI138" s="47">
        <f t="shared" si="60"/>
        <v>0</v>
      </c>
    </row>
    <row r="139" spans="3:35" x14ac:dyDescent="0.2">
      <c r="C139" s="23"/>
      <c r="H139" s="133" t="s">
        <v>760</v>
      </c>
      <c r="I139" s="25"/>
      <c r="J139" s="25"/>
      <c r="L139" s="24" t="e">
        <f ca="1">_xll.EVPRO($B$1,H139,"JDEID")</f>
        <v>#NAME?</v>
      </c>
      <c r="M139" s="24" t="str">
        <f>IF(AND(I139="N",J139="N"),_xll.EVPRO($B$1,H139,"PSFTID"),"")</f>
        <v/>
      </c>
      <c r="N139" s="439" t="e">
        <f ca="1">IF(_xll.EVDES(H139,$B$1)="#NODATA","",_xll.EVDES(H139,$B$1))</f>
        <v>#NAME?</v>
      </c>
      <c r="O139" s="153"/>
      <c r="P139" s="153"/>
      <c r="Q139" s="153"/>
      <c r="R139" s="153"/>
      <c r="S139" s="153"/>
      <c r="T139" s="153"/>
      <c r="U139" s="153"/>
      <c r="V139" s="153"/>
      <c r="W139" s="153"/>
      <c r="X139" s="153"/>
      <c r="Y139" s="153"/>
      <c r="Z139" s="153"/>
      <c r="AA139" s="153"/>
      <c r="AB139" s="284"/>
      <c r="AD139" s="153"/>
      <c r="AE139" s="284"/>
      <c r="AF139" s="440" t="str">
        <f t="shared" si="59"/>
        <v/>
      </c>
      <c r="AG139" s="153"/>
      <c r="AH139" s="284"/>
      <c r="AI139" s="440" t="str">
        <f t="shared" si="60"/>
        <v/>
      </c>
    </row>
    <row r="140" spans="3:35" x14ac:dyDescent="0.2">
      <c r="C140" s="23"/>
      <c r="H140" s="133" t="s">
        <v>286</v>
      </c>
      <c r="I140" s="25"/>
      <c r="J140" s="25"/>
      <c r="L140" s="24" t="e">
        <f ca="1">_xll.EVPRO($B$1,H140,"JDEID")</f>
        <v>#NAME?</v>
      </c>
      <c r="M140" s="24" t="str">
        <f>IF(AND(I140="N",J140="N"),_xll.EVPRO($B$1,H140,"PSFTID"),"")</f>
        <v/>
      </c>
      <c r="N140" s="24" t="e">
        <f ca="1">IF(_xll.EVDES(H140,$B$1)="#NODATA","",_xll.EVDES(H140,$B$1))</f>
        <v>#NAME?</v>
      </c>
      <c r="O140" s="19"/>
      <c r="P140" s="19"/>
      <c r="Q140" s="19"/>
      <c r="R140" s="19"/>
      <c r="S140" s="19"/>
      <c r="T140" s="19"/>
      <c r="U140" s="19"/>
      <c r="V140" s="19"/>
      <c r="W140" s="19"/>
      <c r="X140" s="19"/>
      <c r="Y140" s="19"/>
      <c r="Z140" s="19"/>
      <c r="AA140" s="19">
        <f>SUM(O140:Z140)</f>
        <v>0</v>
      </c>
      <c r="AB140" s="284" t="str">
        <f>IF(AA140=0,"",IFERROR(AA140/_xll.EVGTS($B$1,1,_xll.EVPRO($B$1,$H140,"COSBASIS"),$B$3,$B$5,$B$6,$B$7,$B$9,AA$16,AA$17,AA$11),""))</f>
        <v/>
      </c>
      <c r="AD140" s="19"/>
      <c r="AE140" s="284" t="str">
        <f>IF(AD140=0,"",IFERROR(AD140/_xll.EVGTS($B$1,1,_xll.EVPRO($B$1,$H140,"COSBASIS"),$B$3,$B$5,$B$6,$B$7,$B$9,AD$16,AD$17,AD$18),""))</f>
        <v/>
      </c>
      <c r="AF140" s="47">
        <f t="shared" si="59"/>
        <v>0</v>
      </c>
      <c r="AG140" s="19"/>
      <c r="AH140" s="284" t="str">
        <f>IF(AG140=0,"",IFERROR(AG140/_xll.EVGTS($B$1,1,_xll.EVPRO($B$1,$H140,"COSBASIS"),$B$3,$B$5,$B$6,$B$7,$B$9,AG$16,AG$17,AG$18),""))</f>
        <v/>
      </c>
      <c r="AI140" s="47">
        <f t="shared" si="60"/>
        <v>0</v>
      </c>
    </row>
    <row r="141" spans="3:35" x14ac:dyDescent="0.2">
      <c r="C141" s="23"/>
      <c r="H141" s="133"/>
      <c r="I141" s="25"/>
      <c r="J141" s="25"/>
      <c r="L141" s="24"/>
      <c r="M141" s="24"/>
      <c r="N141" s="439" t="s">
        <v>762</v>
      </c>
      <c r="O141" s="153" t="str">
        <f>IFERROR(O140/O85,"")</f>
        <v/>
      </c>
      <c r="P141" s="153" t="str">
        <f t="shared" ref="P141:AA141" si="61">IFERROR(P140/P85,"")</f>
        <v/>
      </c>
      <c r="Q141" s="153" t="str">
        <f t="shared" si="61"/>
        <v/>
      </c>
      <c r="R141" s="153" t="str">
        <f t="shared" si="61"/>
        <v/>
      </c>
      <c r="S141" s="153" t="str">
        <f t="shared" si="61"/>
        <v/>
      </c>
      <c r="T141" s="153" t="str">
        <f t="shared" si="61"/>
        <v/>
      </c>
      <c r="U141" s="153" t="str">
        <f t="shared" si="61"/>
        <v/>
      </c>
      <c r="V141" s="153" t="str">
        <f t="shared" si="61"/>
        <v/>
      </c>
      <c r="W141" s="153" t="str">
        <f t="shared" si="61"/>
        <v/>
      </c>
      <c r="X141" s="153" t="str">
        <f t="shared" si="61"/>
        <v/>
      </c>
      <c r="Y141" s="153" t="str">
        <f t="shared" si="61"/>
        <v/>
      </c>
      <c r="Z141" s="153" t="str">
        <f t="shared" si="61"/>
        <v/>
      </c>
      <c r="AA141" s="153" t="str">
        <f t="shared" si="61"/>
        <v/>
      </c>
      <c r="AB141" s="284"/>
      <c r="AD141" s="153" t="str">
        <f>IFERROR(AD140/AD85,"")</f>
        <v/>
      </c>
      <c r="AE141" s="284"/>
      <c r="AF141" s="440" t="str">
        <f t="shared" ref="AF141" si="62">IF(AND($AA141="",AD141=""),"",$AA141-AD141)</f>
        <v/>
      </c>
      <c r="AG141" s="153" t="str">
        <f>IFERROR(AG140/AG85,"")</f>
        <v/>
      </c>
      <c r="AH141" s="284"/>
      <c r="AI141" s="440" t="str">
        <f t="shared" si="60"/>
        <v/>
      </c>
    </row>
    <row r="142" spans="3:35" x14ac:dyDescent="0.2">
      <c r="C142" s="23"/>
    </row>
    <row r="143" spans="3:35" x14ac:dyDescent="0.2">
      <c r="C143" s="23"/>
      <c r="H143" s="133"/>
      <c r="I143" s="25"/>
      <c r="J143" s="25"/>
      <c r="N143" s="24" t="e">
        <f ca="1">N85&amp;" - Check"</f>
        <v>#NAME?</v>
      </c>
      <c r="O143" s="124">
        <f t="shared" ref="O143:AA143" si="63">O39+O49+O59+O69+O79+O83-O85</f>
        <v>0</v>
      </c>
      <c r="P143" s="124">
        <f t="shared" si="63"/>
        <v>0</v>
      </c>
      <c r="Q143" s="124">
        <f t="shared" si="63"/>
        <v>0</v>
      </c>
      <c r="R143" s="124">
        <f t="shared" si="63"/>
        <v>0</v>
      </c>
      <c r="S143" s="124">
        <f t="shared" si="63"/>
        <v>0</v>
      </c>
      <c r="T143" s="124">
        <f t="shared" si="63"/>
        <v>0</v>
      </c>
      <c r="U143" s="124">
        <f t="shared" si="63"/>
        <v>0</v>
      </c>
      <c r="V143" s="124">
        <f t="shared" si="63"/>
        <v>0</v>
      </c>
      <c r="W143" s="124">
        <f t="shared" si="63"/>
        <v>0</v>
      </c>
      <c r="X143" s="124">
        <f t="shared" si="63"/>
        <v>0</v>
      </c>
      <c r="Y143" s="124">
        <f t="shared" si="63"/>
        <v>0</v>
      </c>
      <c r="Z143" s="124">
        <f t="shared" si="63"/>
        <v>0</v>
      </c>
      <c r="AA143" s="124">
        <f t="shared" si="63"/>
        <v>0</v>
      </c>
      <c r="AB143" s="15"/>
      <c r="AD143" s="124">
        <f>AD39+AD49+AD59+AD69+AD79+AD83-AD85</f>
        <v>0</v>
      </c>
      <c r="AE143" s="15"/>
      <c r="AF143" s="19"/>
      <c r="AG143" s="124">
        <f>AG39+AG49+AG59+AG69+AG79+AG83-AG85</f>
        <v>0</v>
      </c>
      <c r="AH143" s="15"/>
      <c r="AI143" s="19"/>
    </row>
    <row r="144" spans="3:35" x14ac:dyDescent="0.2">
      <c r="C144" s="23"/>
      <c r="H144" s="133"/>
      <c r="I144" s="25"/>
      <c r="J144" s="25"/>
      <c r="N144" s="24" t="e">
        <f ca="1">N87&amp;" - Check"</f>
        <v>#NAME?</v>
      </c>
      <c r="O144" s="124">
        <f t="shared" ref="O144:AA144" si="64">O41+O51+O61+O71+O80-O87</f>
        <v>0</v>
      </c>
      <c r="P144" s="124">
        <f t="shared" si="64"/>
        <v>0</v>
      </c>
      <c r="Q144" s="124">
        <f t="shared" si="64"/>
        <v>0</v>
      </c>
      <c r="R144" s="124">
        <f t="shared" si="64"/>
        <v>0</v>
      </c>
      <c r="S144" s="124">
        <f t="shared" si="64"/>
        <v>0</v>
      </c>
      <c r="T144" s="124">
        <f t="shared" si="64"/>
        <v>0</v>
      </c>
      <c r="U144" s="124">
        <f t="shared" si="64"/>
        <v>0</v>
      </c>
      <c r="V144" s="124">
        <f t="shared" si="64"/>
        <v>0</v>
      </c>
      <c r="W144" s="124">
        <f t="shared" si="64"/>
        <v>0</v>
      </c>
      <c r="X144" s="124">
        <f t="shared" si="64"/>
        <v>0</v>
      </c>
      <c r="Y144" s="124">
        <f t="shared" si="64"/>
        <v>0</v>
      </c>
      <c r="Z144" s="124">
        <f t="shared" si="64"/>
        <v>0</v>
      </c>
      <c r="AA144" s="124">
        <f t="shared" si="64"/>
        <v>0</v>
      </c>
      <c r="AB144" s="15"/>
      <c r="AD144" s="124">
        <f>AD41+AD51+AD61+AD71+AD80-AD87</f>
        <v>0</v>
      </c>
      <c r="AE144" s="15"/>
      <c r="AF144" s="19"/>
      <c r="AG144" s="124">
        <f>AG41+AG51+AG61+AG71+AG80-AG87</f>
        <v>0</v>
      </c>
      <c r="AH144" s="15"/>
      <c r="AI144" s="19"/>
    </row>
    <row r="145" spans="3:35" x14ac:dyDescent="0.2">
      <c r="C145" s="23"/>
      <c r="H145" s="133"/>
      <c r="I145" s="25"/>
      <c r="J145" s="25"/>
      <c r="N145" s="24" t="e">
        <f ca="1">N88&amp;" - Check"</f>
        <v>#NAME?</v>
      </c>
      <c r="O145" s="159" t="e">
        <f>IFERROR(O$85/O87,"")-O88</f>
        <v>#VALUE!</v>
      </c>
      <c r="P145" s="159" t="e">
        <f t="shared" ref="P145:Z145" si="65">IFERROR(P$85/P87,"")-P88</f>
        <v>#VALUE!</v>
      </c>
      <c r="Q145" s="159" t="e">
        <f t="shared" si="65"/>
        <v>#VALUE!</v>
      </c>
      <c r="R145" s="159" t="e">
        <f t="shared" si="65"/>
        <v>#VALUE!</v>
      </c>
      <c r="S145" s="159" t="e">
        <f t="shared" si="65"/>
        <v>#VALUE!</v>
      </c>
      <c r="T145" s="159" t="e">
        <f t="shared" si="65"/>
        <v>#VALUE!</v>
      </c>
      <c r="U145" s="159" t="e">
        <f t="shared" si="65"/>
        <v>#VALUE!</v>
      </c>
      <c r="V145" s="159" t="e">
        <f t="shared" si="65"/>
        <v>#VALUE!</v>
      </c>
      <c r="W145" s="159" t="e">
        <f t="shared" si="65"/>
        <v>#VALUE!</v>
      </c>
      <c r="X145" s="159" t="e">
        <f t="shared" si="65"/>
        <v>#VALUE!</v>
      </c>
      <c r="Y145" s="159" t="e">
        <f t="shared" si="65"/>
        <v>#VALUE!</v>
      </c>
      <c r="Z145" s="159" t="e">
        <f t="shared" si="65"/>
        <v>#VALUE!</v>
      </c>
      <c r="AA145" s="159" t="e">
        <f>IFERROR(AA$85/AA87,"")-AA88</f>
        <v>#VALUE!</v>
      </c>
      <c r="AB145" s="15"/>
      <c r="AD145" s="159" t="e">
        <f>IFERROR(AD$85/AD87,"")-AD88</f>
        <v>#VALUE!</v>
      </c>
      <c r="AE145" s="15"/>
      <c r="AF145" s="19"/>
      <c r="AG145" s="159" t="e">
        <f>IFERROR(AG$85/AG87,"")-AG88</f>
        <v>#VALUE!</v>
      </c>
      <c r="AH145" s="15"/>
      <c r="AI145" s="19"/>
    </row>
    <row r="146" spans="3:35" x14ac:dyDescent="0.2">
      <c r="C146" s="23"/>
      <c r="H146" s="133"/>
      <c r="I146" s="25"/>
      <c r="J146" s="25"/>
      <c r="N146" s="24" t="s">
        <v>768</v>
      </c>
      <c r="O146" s="124">
        <f>(O130+O132)-O140</f>
        <v>0</v>
      </c>
      <c r="P146" s="124">
        <f t="shared" ref="P146:AA146" si="66">(P130+P132)-P140</f>
        <v>0</v>
      </c>
      <c r="Q146" s="124">
        <f t="shared" si="66"/>
        <v>0</v>
      </c>
      <c r="R146" s="124">
        <f t="shared" si="66"/>
        <v>0</v>
      </c>
      <c r="S146" s="124">
        <f t="shared" si="66"/>
        <v>0</v>
      </c>
      <c r="T146" s="124">
        <f t="shared" si="66"/>
        <v>0</v>
      </c>
      <c r="U146" s="124">
        <f t="shared" si="66"/>
        <v>0</v>
      </c>
      <c r="V146" s="124">
        <f t="shared" si="66"/>
        <v>0</v>
      </c>
      <c r="W146" s="124">
        <f t="shared" si="66"/>
        <v>0</v>
      </c>
      <c r="X146" s="124">
        <f t="shared" si="66"/>
        <v>0</v>
      </c>
      <c r="Y146" s="124">
        <f t="shared" si="66"/>
        <v>0</v>
      </c>
      <c r="Z146" s="124">
        <f t="shared" si="66"/>
        <v>0</v>
      </c>
      <c r="AA146" s="124">
        <f t="shared" si="66"/>
        <v>0</v>
      </c>
      <c r="AB146" s="15"/>
      <c r="AD146" s="124">
        <f>(AD130+AD132)-AD140</f>
        <v>0</v>
      </c>
      <c r="AE146" s="15"/>
      <c r="AF146" s="19"/>
      <c r="AG146" s="124">
        <f>(AG130+AG132)-AG140</f>
        <v>0</v>
      </c>
      <c r="AH146" s="15"/>
      <c r="AI146" s="19"/>
    </row>
    <row r="147" spans="3:35" x14ac:dyDescent="0.2">
      <c r="C147" s="23"/>
    </row>
    <row r="148" spans="3:35" x14ac:dyDescent="0.2">
      <c r="C148" s="23"/>
    </row>
    <row r="149" spans="3:35" x14ac:dyDescent="0.2">
      <c r="C149" s="23"/>
    </row>
    <row r="150" spans="3:35" x14ac:dyDescent="0.2">
      <c r="C150" s="23"/>
    </row>
    <row r="151" spans="3:35" x14ac:dyDescent="0.2">
      <c r="C151" s="23"/>
    </row>
    <row r="152" spans="3:35" x14ac:dyDescent="0.2">
      <c r="C152" s="23"/>
    </row>
    <row r="153" spans="3:35" x14ac:dyDescent="0.2">
      <c r="C153" s="23"/>
    </row>
    <row r="169" spans="9:34" x14ac:dyDescent="0.2">
      <c r="I169" s="72"/>
      <c r="J169" s="1"/>
      <c r="K169" s="72"/>
      <c r="L169" s="72"/>
      <c r="M169" s="72"/>
      <c r="O169" s="72"/>
      <c r="P169" s="72"/>
      <c r="Q169" s="72"/>
      <c r="R169" s="72"/>
      <c r="S169" s="72"/>
      <c r="T169" s="72"/>
      <c r="U169" s="72"/>
      <c r="V169" s="72"/>
      <c r="W169" s="72"/>
      <c r="X169" s="72"/>
      <c r="Y169" s="72"/>
      <c r="Z169" s="72"/>
      <c r="AA169" s="72"/>
      <c r="AD169" s="72"/>
      <c r="AF169" s="72"/>
      <c r="AH169" s="72"/>
    </row>
    <row r="173" spans="9:34" x14ac:dyDescent="0.2">
      <c r="I173" s="72"/>
      <c r="J173" s="1"/>
      <c r="K173" s="72"/>
      <c r="L173" s="72"/>
      <c r="M173" s="72"/>
      <c r="O173" s="72"/>
      <c r="P173" s="72"/>
      <c r="Q173" s="72"/>
      <c r="R173" s="72"/>
      <c r="S173" s="72"/>
      <c r="T173" s="72"/>
      <c r="U173" s="72"/>
      <c r="V173" s="72"/>
      <c r="W173" s="72"/>
      <c r="X173" s="72"/>
      <c r="Y173" s="72"/>
      <c r="Z173" s="72"/>
      <c r="AA173" s="72"/>
      <c r="AD173" s="72"/>
      <c r="AF173" s="72"/>
      <c r="AH173" s="72"/>
    </row>
    <row r="207" spans="5:5" x14ac:dyDescent="0.2">
      <c r="E207" s="72"/>
    </row>
    <row r="211" spans="5:5" x14ac:dyDescent="0.2">
      <c r="E211" s="72"/>
    </row>
  </sheetData>
  <mergeCells count="2">
    <mergeCell ref="AD31:AE31"/>
    <mergeCell ref="AG31:AH31"/>
  </mergeCells>
  <conditionalFormatting sqref="N43">
    <cfRule type="expression" dxfId="110" priority="14">
      <formula>$G43&lt;&gt;0</formula>
    </cfRule>
  </conditionalFormatting>
  <conditionalFormatting sqref="N53">
    <cfRule type="expression" dxfId="109" priority="12">
      <formula>$G53&lt;&gt;0</formula>
    </cfRule>
  </conditionalFormatting>
  <conditionalFormatting sqref="N63">
    <cfRule type="expression" dxfId="108" priority="10">
      <formula>$G63&lt;&gt;0</formula>
    </cfRule>
  </conditionalFormatting>
  <conditionalFormatting sqref="N73">
    <cfRule type="expression" dxfId="107" priority="8">
      <formula>$G73&lt;&gt;0</formula>
    </cfRule>
  </conditionalFormatting>
  <conditionalFormatting sqref="N82">
    <cfRule type="expression" dxfId="106" priority="7">
      <formula>$G82&lt;&gt;0</formula>
    </cfRule>
  </conditionalFormatting>
  <conditionalFormatting sqref="O43:AA43 AD43 AF43:AG43">
    <cfRule type="expression" dxfId="105" priority="15">
      <formula>ROUND(O42,2)&lt;&gt;ROUND(O43,2)</formula>
    </cfRule>
  </conditionalFormatting>
  <conditionalFormatting sqref="O53:AA53 AD53 AF53:AG53">
    <cfRule type="expression" dxfId="104" priority="13">
      <formula>ROUND(O52,2)&lt;&gt;ROUND(O53,2)</formula>
    </cfRule>
  </conditionalFormatting>
  <conditionalFormatting sqref="O63:AA63 AD63 AF63:AG63">
    <cfRule type="expression" dxfId="103" priority="11">
      <formula>ROUND(O62,2)&lt;&gt;ROUND(O63,2)</formula>
    </cfRule>
  </conditionalFormatting>
  <conditionalFormatting sqref="O73:AA73 AD73 AF73:AG73">
    <cfRule type="expression" dxfId="102" priority="9">
      <formula>ROUND(O72,2)&lt;&gt;ROUND(O73,2)</formula>
    </cfRule>
  </conditionalFormatting>
  <conditionalFormatting sqref="O82:AA82 AD82 AF82:AG82">
    <cfRule type="expression" dxfId="101" priority="6">
      <formula>ROUND(O81,2)&lt;&gt;ROUND(O82,2)</formula>
    </cfRule>
  </conditionalFormatting>
  <conditionalFormatting sqref="AI43">
    <cfRule type="expression" dxfId="100" priority="5">
      <formula>ROUND(AI42,2)&lt;&gt;ROUND(AI43,2)</formula>
    </cfRule>
  </conditionalFormatting>
  <conditionalFormatting sqref="AI53">
    <cfRule type="expression" dxfId="99" priority="4">
      <formula>ROUND(AI52,2)&lt;&gt;ROUND(AI53,2)</formula>
    </cfRule>
  </conditionalFormatting>
  <conditionalFormatting sqref="AI63">
    <cfRule type="expression" dxfId="98" priority="3">
      <formula>ROUND(AI62,2)&lt;&gt;ROUND(AI63,2)</formula>
    </cfRule>
  </conditionalFormatting>
  <conditionalFormatting sqref="AI73">
    <cfRule type="expression" dxfId="97" priority="2">
      <formula>ROUND(AI72,2)&lt;&gt;ROUND(AI73,2)</formula>
    </cfRule>
  </conditionalFormatting>
  <conditionalFormatting sqref="AI82">
    <cfRule type="expression" dxfId="96" priority="1">
      <formula>ROUND(AI81,2)&lt;&gt;ROUND(AI82,2)</formula>
    </cfRule>
  </conditionalFormatting>
  <dataValidations count="2">
    <dataValidation type="list" allowBlank="1" sqref="B28" xr:uid="{00000000-0002-0000-1C00-000000000000}">
      <formula1>"ACCOUNT,BUSINESSUNIT,CATEGORY,DATASRC,DEPARTMENT,INTCO,MEASURES,RPTCURRENCY,TIME"</formula1>
    </dataValidation>
    <dataValidation type="list" allowBlank="1" sqref="B29" xr:uid="{00000000-0002-0000-1C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2">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0"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G1" s="319" t="s">
        <v>22</v>
      </c>
      <c r="H1" s="46" t="s">
        <v>728</v>
      </c>
      <c r="I1" s="1"/>
      <c r="J1" s="1"/>
      <c r="N1" s="16" t="e">
        <f ca="1">IF(OR(_xll.EVCGT($B$1,$B$6,$H$1,$H$2,$H$3,$H$4,$H$5,$H$6,$H$7,$H$8)="#RFR",_xll.EVCGT($B$1,$B$6,$H$1,$H$2,$H$3,$H$4,$H$5,$H$6,$H$7,$H$8)="#NODATA"),"",_xll.EVCGT($B$1,$B$6,$H$1,$H$2,$H$3,$H$4,$H$5,$H$6,$H$7,$H$8))</f>
        <v>#NAME?</v>
      </c>
      <c r="O1" s="1" t="s">
        <v>731</v>
      </c>
    </row>
    <row r="2" spans="1:35" hidden="1" outlineLevel="1" x14ac:dyDescent="0.2">
      <c r="A2" s="8" t="s">
        <v>22</v>
      </c>
      <c r="B2" s="12" t="s">
        <v>56</v>
      </c>
      <c r="C2" s="1" t="e">
        <f ca="1">_xll.EVDES(B2,$B$1)</f>
        <v>#NAME?</v>
      </c>
      <c r="G2" s="319" t="s">
        <v>50</v>
      </c>
      <c r="H2" s="46" t="e">
        <f ca="1">"BU"&amp;RIGHT(B3,4)</f>
        <v>#NAME?</v>
      </c>
      <c r="I2" s="1"/>
      <c r="J2" s="1"/>
    </row>
    <row r="3" spans="1:35" hidden="1" outlineLevel="1" x14ac:dyDescent="0.2">
      <c r="A3" s="8" t="s">
        <v>50</v>
      </c>
      <c r="B3" s="9" t="e">
        <f ca="1">_xll.EVCVW($B$1,A3)</f>
        <v>#NAME?</v>
      </c>
      <c r="C3" s="1" t="e">
        <f ca="1">_xll.EVDES(B3,$B$1)</f>
        <v>#NAME?</v>
      </c>
      <c r="G3" s="319" t="s">
        <v>19</v>
      </c>
      <c r="H3" s="46" t="s">
        <v>683</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c r="G4" s="319" t="s">
        <v>51</v>
      </c>
      <c r="H4" s="46" t="s">
        <v>730</v>
      </c>
    </row>
    <row r="5" spans="1:35" hidden="1" outlineLevel="1" x14ac:dyDescent="0.2">
      <c r="A5" s="8" t="s">
        <v>51</v>
      </c>
      <c r="B5" s="12" t="s">
        <v>59</v>
      </c>
      <c r="C5" s="1" t="e">
        <f ca="1">_xll.EVDES(B5,$B$1)</f>
        <v>#NAME?</v>
      </c>
      <c r="G5" s="319" t="s">
        <v>53</v>
      </c>
      <c r="H5" s="46" t="s">
        <v>729</v>
      </c>
    </row>
    <row r="6" spans="1:35" hidden="1" outlineLevel="1" x14ac:dyDescent="0.2">
      <c r="A6" s="8" t="s">
        <v>52</v>
      </c>
      <c r="B6" s="12" t="s">
        <v>787</v>
      </c>
      <c r="C6" s="1" t="e">
        <f ca="1">_xll.EVDES(B6,$B$1)</f>
        <v>#NAME?</v>
      </c>
      <c r="E6" s="46" t="e">
        <f ca="1">_xll.EVPRO($B$1,$B$6,$F$6)</f>
        <v>#NAME?</v>
      </c>
      <c r="F6" s="1" t="s">
        <v>278</v>
      </c>
      <c r="G6" s="319" t="s">
        <v>20</v>
      </c>
      <c r="H6" s="46" t="s">
        <v>55</v>
      </c>
    </row>
    <row r="7" spans="1:35" hidden="1" outlineLevel="1" x14ac:dyDescent="0.2">
      <c r="A7" s="8" t="s">
        <v>53</v>
      </c>
      <c r="B7" s="12" t="s">
        <v>61</v>
      </c>
      <c r="C7" s="1" t="e">
        <f ca="1">_xll.EVDES(B7,$B$1)</f>
        <v>#NAME?</v>
      </c>
      <c r="G7" s="319" t="s">
        <v>54</v>
      </c>
      <c r="H7" s="46" t="s">
        <v>62</v>
      </c>
    </row>
    <row r="8" spans="1:35" hidden="1" outlineLevel="1" x14ac:dyDescent="0.2">
      <c r="A8" s="8" t="s">
        <v>20</v>
      </c>
      <c r="B8" s="12" t="s">
        <v>63</v>
      </c>
      <c r="C8" s="1" t="e">
        <f ca="1">_xll.EVDES(B8,$B$1)</f>
        <v>#NAME?</v>
      </c>
      <c r="G8" s="319" t="s">
        <v>18</v>
      </c>
      <c r="H8" s="46" t="s">
        <v>727</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_xll.EVRNG(H35:H58)</f>
        <v>#NAME?</v>
      </c>
      <c r="G19" s="16" t="str">
        <f>$B$6</f>
        <v>D2143</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tr">
        <f>$B$6</f>
        <v>D2143</v>
      </c>
      <c r="H20" s="16">
        <v>946000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I21" s="1"/>
      <c r="J21" s="1"/>
    </row>
    <row r="22" spans="1:40" hidden="1" outlineLevel="1" x14ac:dyDescent="0.2">
      <c r="A22" s="6" t="s">
        <v>7</v>
      </c>
      <c r="B22" s="7" t="e">
        <f ca="1">_xll.EVRNG(A36:F44)</f>
        <v>#NAME?</v>
      </c>
      <c r="I22" s="1"/>
      <c r="J22" s="1"/>
    </row>
    <row r="23" spans="1:40" hidden="1" outlineLevel="1" x14ac:dyDescent="0.2">
      <c r="A23" s="6" t="s">
        <v>47</v>
      </c>
      <c r="B23" s="7" t="e">
        <f ca="1">_xll.EVRNG($A$125:$B$146)</f>
        <v>#NAME?</v>
      </c>
      <c r="K23" s="53"/>
      <c r="L23" s="53"/>
      <c r="M23" s="53"/>
      <c r="AD23" s="136"/>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IF($N$1="",IF(_xll.EVDES(B6,$B$1)="#NODATA","",_xll.EVDES(B6,$B$1)&amp;" Department"),$N$1)</f>
        <v>#NAME?</v>
      </c>
    </row>
    <row r="28" spans="1:40" ht="16" x14ac:dyDescent="0.2">
      <c r="A28" s="6" t="s">
        <v>12</v>
      </c>
      <c r="B28" s="7" t="s">
        <v>22</v>
      </c>
      <c r="N28" s="67" t="e">
        <f ca="1">"For the Period ended"&amp;" "&amp;IF(_xll.EVDES($B$10,$B$1)="#NODATA","",_xll.EVDES($B$10,$B$1))</f>
        <v>#NAME?</v>
      </c>
    </row>
    <row r="29" spans="1:40" ht="15" customHeight="1" x14ac:dyDescent="0.2">
      <c r="A29" s="6" t="s">
        <v>13</v>
      </c>
      <c r="B29" s="7" t="e">
        <f ca="1">"DEP(REV_F) AND "&amp;$E$6&amp;"=Y,REV_F,BEV,DEP(REV_BEV) AND "&amp;$E$6&amp;"=Y,REV_BEV,ALLOW_FB,REV_FB,OTHR_REV,DEP(REV_OTHR) AND "&amp;$E$6&amp;"=Y,REV_OTHR,400000"</f>
        <v>#NAME?</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751</v>
      </c>
      <c r="AK30" s="209"/>
      <c r="AL30" s="210"/>
      <c r="AM30" s="209" t="s">
        <v>750</v>
      </c>
      <c r="AN30" s="209"/>
    </row>
    <row r="31" spans="1:40" x14ac:dyDescent="0.2">
      <c r="A31" s="6" t="s">
        <v>15</v>
      </c>
      <c r="B31" s="7"/>
      <c r="G31" s="13"/>
      <c r="K31" s="11"/>
      <c r="L31" s="11"/>
      <c r="M31" s="1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69</v>
      </c>
      <c r="I33" s="11" t="e">
        <f ca="1">_xll.EVPRO($B$1,$H33,"STYLE")</f>
        <v>#NAME?</v>
      </c>
      <c r="J33" s="11" t="e">
        <f ca="1">_xll.EVPRO($B$1,$H33,"CALC")</f>
        <v>#NAME?</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0" x14ac:dyDescent="0.2">
      <c r="H34" s="1" t="s">
        <v>259</v>
      </c>
      <c r="I34" s="11" t="e">
        <f ca="1">_xll.EVPRO($B$1,$H34,"STYLE")</f>
        <v>#NAME?</v>
      </c>
      <c r="J34" s="11" t="e">
        <f ca="1">_xll.EVPRO($B$1,$H34,"CALC")</f>
        <v>#NAME?</v>
      </c>
      <c r="L34" s="175" t="s">
        <v>364</v>
      </c>
      <c r="M34" s="175" t="s">
        <v>782</v>
      </c>
      <c r="N34" s="8" t="e">
        <f ca="1">IF(_xll.EVDES(H34,$B$1)="#NODATA","",_xll.EVDES(H34,$B$1))</f>
        <v>#NAME?</v>
      </c>
      <c r="O34" s="50"/>
      <c r="AB34" s="51"/>
      <c r="AD34" s="50"/>
      <c r="AF34" s="51"/>
      <c r="AG34" s="50"/>
      <c r="AI34" s="51"/>
    </row>
    <row r="35" spans="1:40" x14ac:dyDescent="0.2">
      <c r="A35" s="20" t="s">
        <v>92</v>
      </c>
      <c r="B35" s="21" t="s">
        <v>93</v>
      </c>
      <c r="C35" s="21" t="s">
        <v>94</v>
      </c>
      <c r="D35" s="21" t="s">
        <v>95</v>
      </c>
      <c r="E35" s="21" t="s">
        <v>96</v>
      </c>
      <c r="F35" s="22" t="s">
        <v>97</v>
      </c>
      <c r="H35" s="10" t="s">
        <v>260</v>
      </c>
      <c r="I35" s="25" t="e">
        <f ca="1">_xll.EVPRO($B$1,$H35,"STYLE")</f>
        <v>#NAME?</v>
      </c>
      <c r="J35" s="25" t="e">
        <f ca="1">_xll.EVPRO($B$1,$H35,"CALC")</f>
        <v>#NAME?</v>
      </c>
      <c r="K35" s="64" t="e">
        <f ca="1">IF(AND(I35&gt;="T5"),"&gt;","")</f>
        <v>#NAME?</v>
      </c>
      <c r="L35" s="24" t="e">
        <f ca="1">_xll.EVPRO($B$1,H35,"JDEID")</f>
        <v>#NAME?</v>
      </c>
      <c r="M35" s="24" t="e">
        <f ca="1">IF(AND(I35="N",J35="N"),_xll.EVPRO($B$1,H35,"PSFTID"),"")</f>
        <v>#NAME?</v>
      </c>
      <c r="N35" s="24" t="e">
        <f ca="1">IF(_xll.EVDES(H35,$B$1)="#NODATA","",_xll.EVDES(H35,$B$1))</f>
        <v>#NAME?</v>
      </c>
      <c r="O35" s="282"/>
      <c r="P35" s="283"/>
      <c r="Q35" s="283"/>
      <c r="R35" s="283"/>
      <c r="S35" s="283"/>
      <c r="T35" s="283"/>
      <c r="U35" s="283"/>
      <c r="V35" s="283"/>
      <c r="W35" s="283"/>
      <c r="X35" s="283"/>
      <c r="Y35" s="283"/>
      <c r="Z35" s="283"/>
      <c r="AA35" s="283" t="e">
        <f t="shared" ref="AA35:AA58" ca="1" si="0">IF($I35="B1","",SUM(O35:Z35))</f>
        <v>#NAME?</v>
      </c>
      <c r="AB35" s="284" t="e">
        <f t="shared" ref="AB35:AB58" ca="1" si="1">IF(AA35=0,"",IFERROR(AA35/AA$19,""))</f>
        <v>#NAME?</v>
      </c>
      <c r="AC35" s="300"/>
      <c r="AD35" s="283"/>
      <c r="AE35" s="284" t="str">
        <f t="shared" ref="AE35:AE58" si="2">IF(AD35=0,"",IFERROR(AD35/AD$19,""))</f>
        <v/>
      </c>
      <c r="AF35" s="285" t="e">
        <f t="shared" ref="AF35:AF58" ca="1" si="3">IF(AND($AA35="",AD35=""),"",$AA35-AD35)</f>
        <v>#NAME?</v>
      </c>
      <c r="AG35" s="283"/>
      <c r="AH35" s="284" t="str">
        <f>IF(AG35=0,"",IFERROR(AG35/AG$19,""))</f>
        <v/>
      </c>
      <c r="AI35" s="286" t="e">
        <f ca="1">IF(AND($AA35="",AG35=""),"",$AA35-AG35)</f>
        <v>#NAME?</v>
      </c>
      <c r="AJ35" s="371">
        <f ca="1">IFERROR(AA35/AA$20,0)</f>
        <v>0</v>
      </c>
      <c r="AK35" s="372">
        <f ca="1">IFERROR(AD35/AD$20,0)</f>
        <v>0</v>
      </c>
      <c r="AL35" s="373">
        <f ca="1">IFERROR(AG35/AG$20,0)</f>
        <v>0</v>
      </c>
      <c r="AM35" s="374">
        <f ca="1">+IFERROR(ROUND(($AB35-AE35)*100,2)&amp;" pts.",0)</f>
        <v>0</v>
      </c>
      <c r="AN35" s="375">
        <f ca="1">+IFERROR(ROUND(($AB35-AH35)*100,2)&amp;" pts.",0)</f>
        <v>0</v>
      </c>
    </row>
    <row r="36" spans="1:40" x14ac:dyDescent="0.2">
      <c r="H36" s="10" t="s">
        <v>261</v>
      </c>
      <c r="I36" s="25" t="e">
        <f ca="1">_xll.EVPRO($B$1,$H36,"STYLE")</f>
        <v>#NAME?</v>
      </c>
      <c r="J36" s="25" t="e">
        <f ca="1">_xll.EVPRO($B$1,$H36,"CALC")</f>
        <v>#NAME?</v>
      </c>
      <c r="K36" s="64" t="e">
        <f t="shared" ref="K36:K58" ca="1" si="4">IF(AND(I36&gt;="T5"),"&gt;","")</f>
        <v>#NAME?</v>
      </c>
      <c r="L36" s="24" t="e">
        <f ca="1">_xll.EVPRO($B$1,H36,"JDEID")</f>
        <v>#NAME?</v>
      </c>
      <c r="M36" s="24" t="e">
        <f ca="1">IF(AND(I36="N",J36="N"),_xll.EVPRO($B$1,H36,"PSFTID"),"")</f>
        <v>#NAME?</v>
      </c>
      <c r="N36" s="24" t="e">
        <f ca="1">IF(_xll.EVDES(H36,$B$1)="#NODATA","",_xll.EVDES(H36,$B$1))</f>
        <v>#NAME?</v>
      </c>
      <c r="O36" s="282"/>
      <c r="P36" s="283"/>
      <c r="Q36" s="283"/>
      <c r="R36" s="283"/>
      <c r="S36" s="283"/>
      <c r="T36" s="283"/>
      <c r="U36" s="283"/>
      <c r="V36" s="283"/>
      <c r="W36" s="283"/>
      <c r="X36" s="283"/>
      <c r="Y36" s="283"/>
      <c r="Z36" s="283"/>
      <c r="AA36" s="283" t="e">
        <f t="shared" ca="1" si="0"/>
        <v>#NAME?</v>
      </c>
      <c r="AB36" s="284" t="e">
        <f t="shared" ca="1" si="1"/>
        <v>#NAME?</v>
      </c>
      <c r="AC36" s="300"/>
      <c r="AD36" s="283"/>
      <c r="AE36" s="284" t="str">
        <f t="shared" si="2"/>
        <v/>
      </c>
      <c r="AF36" s="285" t="e">
        <f t="shared" ca="1" si="3"/>
        <v>#NAME?</v>
      </c>
      <c r="AG36" s="283"/>
      <c r="AH36" s="284" t="str">
        <f t="shared" ref="AH36:AH58" si="5">IF(AG36=0,"",IFERROR(AG36/AG$19,""))</f>
        <v/>
      </c>
      <c r="AI36" s="286" t="e">
        <f t="shared" ref="AI36:AI58" ca="1" si="6">IF(AND($AA36="",AG36=""),"",$AA36-AG36)</f>
        <v>#NAME?</v>
      </c>
      <c r="AJ36" s="371">
        <f t="shared" ref="AJ36:AJ58" ca="1" si="7">IFERROR(AA36/AA$20,0)</f>
        <v>0</v>
      </c>
      <c r="AK36" s="372">
        <f t="shared" ref="AK36:AK58" ca="1" si="8">IFERROR(AD36/AD$20,0)</f>
        <v>0</v>
      </c>
      <c r="AL36" s="373">
        <f t="shared" ref="AL36:AL58" ca="1" si="9">IFERROR(AG36/AG$20,0)</f>
        <v>0</v>
      </c>
      <c r="AM36" s="374">
        <f t="shared" ref="AM36:AM58" ca="1" si="10">+IFERROR(ROUND(($AB36-AE36)*100,2)&amp;" pts.",0)</f>
        <v>0</v>
      </c>
      <c r="AN36" s="375">
        <f t="shared" ref="AN36:AN58" ca="1" si="11">+IFERROR(ROUND(($AB36-AH36)*100,2)&amp;" pts.",0)</f>
        <v>0</v>
      </c>
    </row>
    <row r="37" spans="1:40" x14ac:dyDescent="0.2">
      <c r="A37" s="1" t="s">
        <v>209</v>
      </c>
      <c r="B37" s="1" t="s">
        <v>21</v>
      </c>
      <c r="C37" s="70"/>
      <c r="D37" s="1" t="s">
        <v>590</v>
      </c>
      <c r="F37" s="1" t="s">
        <v>99</v>
      </c>
      <c r="H37" s="10" t="s">
        <v>262</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282"/>
      <c r="P37" s="283"/>
      <c r="Q37" s="283"/>
      <c r="R37" s="283"/>
      <c r="S37" s="283"/>
      <c r="T37" s="283"/>
      <c r="U37" s="283"/>
      <c r="V37" s="283"/>
      <c r="W37" s="283"/>
      <c r="X37" s="283"/>
      <c r="Y37" s="283"/>
      <c r="Z37" s="283"/>
      <c r="AA37" s="283" t="e">
        <f t="shared" ca="1" si="0"/>
        <v>#NAME?</v>
      </c>
      <c r="AB37" s="284" t="e">
        <f t="shared" ca="1" si="1"/>
        <v>#NAME?</v>
      </c>
      <c r="AC37" s="300"/>
      <c r="AD37" s="283"/>
      <c r="AE37" s="284" t="str">
        <f t="shared" si="2"/>
        <v/>
      </c>
      <c r="AF37" s="285" t="e">
        <f t="shared" ca="1" si="3"/>
        <v>#NAME?</v>
      </c>
      <c r="AG37" s="283"/>
      <c r="AH37" s="284" t="str">
        <f t="shared" si="5"/>
        <v/>
      </c>
      <c r="AI37" s="286" t="e">
        <f t="shared" ca="1" si="6"/>
        <v>#NAME?</v>
      </c>
      <c r="AJ37" s="371">
        <f t="shared" ca="1" si="7"/>
        <v>0</v>
      </c>
      <c r="AK37" s="372">
        <f t="shared" ca="1" si="8"/>
        <v>0</v>
      </c>
      <c r="AL37" s="373">
        <f t="shared" ca="1" si="9"/>
        <v>0</v>
      </c>
      <c r="AM37" s="374">
        <f t="shared" ca="1" si="10"/>
        <v>0</v>
      </c>
      <c r="AN37" s="375">
        <f t="shared" ca="1" si="11"/>
        <v>0</v>
      </c>
    </row>
    <row r="38" spans="1:40" x14ac:dyDescent="0.2">
      <c r="A38" s="1" t="s">
        <v>105</v>
      </c>
      <c r="C38" s="24" t="s">
        <v>101</v>
      </c>
      <c r="D38" s="1" t="s">
        <v>106</v>
      </c>
      <c r="F38" s="1" t="s">
        <v>98</v>
      </c>
      <c r="H38" s="10" t="s">
        <v>263</v>
      </c>
      <c r="I38" s="25" t="e">
        <f ca="1">_xll.EVPRO($B$1,$H38,"STYLE")</f>
        <v>#NAME?</v>
      </c>
      <c r="J38" s="25" t="e">
        <f ca="1">_xll.EVPRO($B$1,$H38,"CALC")</f>
        <v>#NAME?</v>
      </c>
      <c r="K38" s="64" t="e">
        <f t="shared" ca="1" si="4"/>
        <v>#NAME?</v>
      </c>
      <c r="L38" s="24" t="e">
        <f ca="1">_xll.EVPRO($B$1,H38,"JDEID")</f>
        <v>#NAME?</v>
      </c>
      <c r="M38" s="24" t="e">
        <f ca="1">IF(AND(I38="N",J38="N"),_xll.EVPRO($B$1,H38,"PSFTID"),"")</f>
        <v>#NAME?</v>
      </c>
      <c r="N38" s="24" t="e">
        <f ca="1">IF(_xll.EVDES(H38,$B$1)="#NODATA","",_xll.EVDES(H38,$B$1))</f>
        <v>#NAME?</v>
      </c>
      <c r="O38" s="282"/>
      <c r="P38" s="283"/>
      <c r="Q38" s="283"/>
      <c r="R38" s="283"/>
      <c r="S38" s="283"/>
      <c r="T38" s="283"/>
      <c r="U38" s="283"/>
      <c r="V38" s="283"/>
      <c r="W38" s="283"/>
      <c r="X38" s="283"/>
      <c r="Y38" s="283"/>
      <c r="Z38" s="283"/>
      <c r="AA38" s="283" t="e">
        <f t="shared" ca="1" si="0"/>
        <v>#NAME?</v>
      </c>
      <c r="AB38" s="284" t="e">
        <f t="shared" ca="1" si="1"/>
        <v>#NAME?</v>
      </c>
      <c r="AC38" s="300"/>
      <c r="AD38" s="283"/>
      <c r="AE38" s="284" t="str">
        <f t="shared" si="2"/>
        <v/>
      </c>
      <c r="AF38" s="285" t="e">
        <f t="shared" ca="1" si="3"/>
        <v>#NAME?</v>
      </c>
      <c r="AG38" s="283"/>
      <c r="AH38" s="284" t="str">
        <f t="shared" si="5"/>
        <v/>
      </c>
      <c r="AI38" s="286" t="e">
        <f t="shared" ca="1" si="6"/>
        <v>#NAME?</v>
      </c>
      <c r="AJ38" s="371">
        <f t="shared" ca="1" si="7"/>
        <v>0</v>
      </c>
      <c r="AK38" s="372">
        <f t="shared" ca="1" si="8"/>
        <v>0</v>
      </c>
      <c r="AL38" s="373">
        <f t="shared" ca="1" si="9"/>
        <v>0</v>
      </c>
      <c r="AM38" s="374">
        <f t="shared" ca="1" si="10"/>
        <v>0</v>
      </c>
      <c r="AN38" s="375">
        <f t="shared" ca="1" si="11"/>
        <v>0</v>
      </c>
    </row>
    <row r="39" spans="1:40" x14ac:dyDescent="0.2">
      <c r="A39" s="1" t="s">
        <v>104</v>
      </c>
      <c r="C39" s="24" t="s">
        <v>101</v>
      </c>
      <c r="D39" s="1" t="s">
        <v>106</v>
      </c>
      <c r="F39" s="1" t="s">
        <v>98</v>
      </c>
      <c r="H39" s="10" t="s">
        <v>264</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295"/>
      <c r="P39" s="296"/>
      <c r="Q39" s="296"/>
      <c r="R39" s="296"/>
      <c r="S39" s="296"/>
      <c r="T39" s="296"/>
      <c r="U39" s="296"/>
      <c r="V39" s="296"/>
      <c r="W39" s="296"/>
      <c r="X39" s="296"/>
      <c r="Y39" s="296"/>
      <c r="Z39" s="296"/>
      <c r="AA39" s="296" t="e">
        <f t="shared" ca="1" si="0"/>
        <v>#NAME?</v>
      </c>
      <c r="AB39" s="297" t="e">
        <f t="shared" ca="1" si="1"/>
        <v>#NAME?</v>
      </c>
      <c r="AC39" s="263"/>
      <c r="AD39" s="296"/>
      <c r="AE39" s="297" t="str">
        <f t="shared" si="2"/>
        <v/>
      </c>
      <c r="AF39" s="298" t="e">
        <f t="shared" ca="1" si="3"/>
        <v>#NAME?</v>
      </c>
      <c r="AG39" s="296"/>
      <c r="AH39" s="297" t="str">
        <f t="shared" si="5"/>
        <v/>
      </c>
      <c r="AI39" s="299" t="e">
        <f t="shared" ca="1" si="6"/>
        <v>#NAME?</v>
      </c>
      <c r="AJ39" s="381">
        <f t="shared" ca="1" si="7"/>
        <v>0</v>
      </c>
      <c r="AK39" s="382">
        <f t="shared" ca="1" si="8"/>
        <v>0</v>
      </c>
      <c r="AL39" s="383">
        <f t="shared" ca="1" si="9"/>
        <v>0</v>
      </c>
      <c r="AM39" s="384">
        <f t="shared" ca="1" si="10"/>
        <v>0</v>
      </c>
      <c r="AN39" s="385">
        <f t="shared" ca="1" si="11"/>
        <v>0</v>
      </c>
    </row>
    <row r="40" spans="1:40" x14ac:dyDescent="0.2">
      <c r="A40" s="1" t="s">
        <v>100</v>
      </c>
      <c r="C40" s="8" t="s">
        <v>101</v>
      </c>
      <c r="D40" s="1" t="s">
        <v>106</v>
      </c>
      <c r="F40" s="1" t="s">
        <v>98</v>
      </c>
      <c r="H40" s="10" t="s">
        <v>265</v>
      </c>
      <c r="I40" s="447" t="e">
        <f ca="1">_xll.EVPRO($B$1,$H40,"STYLE")</f>
        <v>#NAME?</v>
      </c>
      <c r="J40" s="447" t="e">
        <f ca="1">_xll.EVPRO($B$1,$H40,"CALC")</f>
        <v>#NAME?</v>
      </c>
      <c r="K40" s="448" t="e">
        <f t="shared" ca="1" si="4"/>
        <v>#NAME?</v>
      </c>
      <c r="L40" s="151" t="e">
        <f ca="1">_xll.EVPRO($B$1,H40,"JDEID")</f>
        <v>#NAME?</v>
      </c>
      <c r="M40" s="151" t="e">
        <f ca="1">IF(AND(I40="N",J40="N"),_xll.EVPRO($B$1,H40,"PSFTID"),"")</f>
        <v>#NAME?</v>
      </c>
      <c r="N40" s="151" t="e">
        <f ca="1">IF(_xll.EVDES(H40,$B$1)="#NODATA","",_xll.EVDES(H40,$B$1))</f>
        <v>#NAME?</v>
      </c>
      <c r="O40" s="202"/>
      <c r="P40" s="120"/>
      <c r="Q40" s="120"/>
      <c r="R40" s="120"/>
      <c r="S40" s="120"/>
      <c r="T40" s="120"/>
      <c r="U40" s="120"/>
      <c r="V40" s="120"/>
      <c r="W40" s="120"/>
      <c r="X40" s="120"/>
      <c r="Y40" s="120"/>
      <c r="Z40" s="120"/>
      <c r="AA40" s="120" t="e">
        <f t="shared" ca="1" si="0"/>
        <v>#NAME?</v>
      </c>
      <c r="AB40" s="121" t="e">
        <f t="shared" ca="1" si="1"/>
        <v>#NAME?</v>
      </c>
      <c r="AC40" s="123"/>
      <c r="AD40" s="120"/>
      <c r="AE40" s="121" t="str">
        <f t="shared" si="2"/>
        <v/>
      </c>
      <c r="AF40" s="122" t="e">
        <f t="shared" ca="1" si="3"/>
        <v>#NAME?</v>
      </c>
      <c r="AG40" s="120"/>
      <c r="AH40" s="121" t="str">
        <f t="shared" si="5"/>
        <v/>
      </c>
      <c r="AI40" s="264" t="e">
        <f t="shared" ca="1" si="6"/>
        <v>#NAME?</v>
      </c>
      <c r="AJ40" s="332">
        <f t="shared" ca="1" si="7"/>
        <v>0</v>
      </c>
      <c r="AK40" s="333">
        <f t="shared" ca="1" si="8"/>
        <v>0</v>
      </c>
      <c r="AL40" s="335">
        <f t="shared" ca="1" si="9"/>
        <v>0</v>
      </c>
      <c r="AM40" s="377">
        <f t="shared" ca="1" si="10"/>
        <v>0</v>
      </c>
      <c r="AN40" s="378">
        <f t="shared" ca="1" si="11"/>
        <v>0</v>
      </c>
    </row>
    <row r="41" spans="1:40" x14ac:dyDescent="0.2">
      <c r="A41" s="1" t="s">
        <v>102</v>
      </c>
      <c r="C41" s="23" t="s">
        <v>101</v>
      </c>
      <c r="D41" s="1" t="s">
        <v>106</v>
      </c>
      <c r="F41" s="1" t="s">
        <v>98</v>
      </c>
      <c r="H41" s="10" t="s">
        <v>266</v>
      </c>
      <c r="I41" s="447" t="e">
        <f ca="1">_xll.EVPRO($B$1,$H41,"STYLE")</f>
        <v>#NAME?</v>
      </c>
      <c r="J41" s="447" t="e">
        <f ca="1">_xll.EVPRO($B$1,$H41,"CALC")</f>
        <v>#NAME?</v>
      </c>
      <c r="K41" s="448" t="e">
        <f t="shared" ca="1" si="4"/>
        <v>#NAME?</v>
      </c>
      <c r="L41" s="151" t="e">
        <f ca="1">_xll.EVPRO($B$1,H41,"JDEID")</f>
        <v>#NAME?</v>
      </c>
      <c r="M41" s="151" t="e">
        <f ca="1">IF(AND(I41="N",J41="N"),_xll.EVPRO($B$1,H41,"PSFTID"),"")</f>
        <v>#NAME?</v>
      </c>
      <c r="N41" s="151" t="e">
        <f ca="1">IF(_xll.EVDES(H41,$B$1)="#NODATA","",_xll.EVDES(H41,$B$1))</f>
        <v>#NAME?</v>
      </c>
      <c r="O41" s="287"/>
      <c r="P41" s="288"/>
      <c r="Q41" s="288"/>
      <c r="R41" s="288"/>
      <c r="S41" s="288"/>
      <c r="T41" s="288"/>
      <c r="U41" s="288"/>
      <c r="V41" s="288"/>
      <c r="W41" s="288"/>
      <c r="X41" s="288"/>
      <c r="Y41" s="288"/>
      <c r="Z41" s="288"/>
      <c r="AA41" s="288" t="e">
        <f t="shared" ca="1" si="0"/>
        <v>#NAME?</v>
      </c>
      <c r="AB41" s="289" t="e">
        <f t="shared" ca="1" si="1"/>
        <v>#NAME?</v>
      </c>
      <c r="AC41" s="301"/>
      <c r="AD41" s="288"/>
      <c r="AE41" s="289" t="str">
        <f t="shared" si="2"/>
        <v/>
      </c>
      <c r="AF41" s="290" t="e">
        <f t="shared" ca="1" si="3"/>
        <v>#NAME?</v>
      </c>
      <c r="AG41" s="288"/>
      <c r="AH41" s="289" t="str">
        <f t="shared" si="5"/>
        <v/>
      </c>
      <c r="AI41" s="291" t="e">
        <f t="shared" ca="1" si="6"/>
        <v>#NAME?</v>
      </c>
      <c r="AJ41" s="325">
        <f t="shared" ca="1" si="7"/>
        <v>0</v>
      </c>
      <c r="AK41" s="326">
        <f t="shared" ca="1" si="8"/>
        <v>0</v>
      </c>
      <c r="AL41" s="328">
        <f t="shared" ca="1" si="9"/>
        <v>0</v>
      </c>
      <c r="AM41" s="362">
        <f t="shared" ca="1" si="10"/>
        <v>0</v>
      </c>
      <c r="AN41" s="376">
        <f t="shared" ca="1" si="11"/>
        <v>0</v>
      </c>
    </row>
    <row r="42" spans="1:40" x14ac:dyDescent="0.2">
      <c r="A42" s="1" t="s">
        <v>102</v>
      </c>
      <c r="C42" s="135" t="s">
        <v>101</v>
      </c>
      <c r="D42" s="1" t="s">
        <v>107</v>
      </c>
      <c r="F42" s="1" t="s">
        <v>99</v>
      </c>
      <c r="H42" s="10" t="s">
        <v>267</v>
      </c>
      <c r="I42" s="25" t="e">
        <f ca="1">_xll.EVPRO($B$1,$H42,"STYLE")</f>
        <v>#NAME?</v>
      </c>
      <c r="J42" s="25" t="e">
        <f ca="1">_xll.EVPRO($B$1,$H42,"CALC")</f>
        <v>#NAME?</v>
      </c>
      <c r="K42" s="64" t="e">
        <f t="shared" ca="1" si="4"/>
        <v>#NAME?</v>
      </c>
      <c r="L42" s="24" t="e">
        <f ca="1">_xll.EVPRO($B$1,H42,"JDEID")</f>
        <v>#NAME?</v>
      </c>
      <c r="M42" s="24" t="e">
        <f ca="1">IF(AND(I42="N",J42="N"),_xll.EVPRO($B$1,H42,"PSFTID"),"")</f>
        <v>#NAME?</v>
      </c>
      <c r="N42" s="24" t="e">
        <f ca="1">IF(_xll.EVDES(H42,$B$1)="#NODATA","",_xll.EVDES(H42,$B$1))</f>
        <v>#NAME?</v>
      </c>
      <c r="O42" s="282"/>
      <c r="P42" s="283"/>
      <c r="Q42" s="283"/>
      <c r="R42" s="283"/>
      <c r="S42" s="283"/>
      <c r="T42" s="283"/>
      <c r="U42" s="283"/>
      <c r="V42" s="283"/>
      <c r="W42" s="283"/>
      <c r="X42" s="283"/>
      <c r="Y42" s="283"/>
      <c r="Z42" s="283"/>
      <c r="AA42" s="283" t="e">
        <f t="shared" ca="1" si="0"/>
        <v>#NAME?</v>
      </c>
      <c r="AB42" s="284" t="e">
        <f t="shared" ca="1" si="1"/>
        <v>#NAME?</v>
      </c>
      <c r="AC42" s="300"/>
      <c r="AD42" s="283"/>
      <c r="AE42" s="284" t="str">
        <f t="shared" si="2"/>
        <v/>
      </c>
      <c r="AF42" s="285" t="e">
        <f t="shared" ca="1" si="3"/>
        <v>#NAME?</v>
      </c>
      <c r="AG42" s="283"/>
      <c r="AH42" s="284" t="str">
        <f t="shared" si="5"/>
        <v/>
      </c>
      <c r="AI42" s="286" t="e">
        <f t="shared" ca="1" si="6"/>
        <v>#NAME?</v>
      </c>
      <c r="AJ42" s="371">
        <f t="shared" ca="1" si="7"/>
        <v>0</v>
      </c>
      <c r="AK42" s="372">
        <f t="shared" ca="1" si="8"/>
        <v>0</v>
      </c>
      <c r="AL42" s="373">
        <f t="shared" ca="1" si="9"/>
        <v>0</v>
      </c>
      <c r="AM42" s="374">
        <f t="shared" ca="1" si="10"/>
        <v>0</v>
      </c>
      <c r="AN42" s="375">
        <f t="shared" ca="1" si="11"/>
        <v>0</v>
      </c>
    </row>
    <row r="43" spans="1:40" x14ac:dyDescent="0.2">
      <c r="A43" s="1" t="s">
        <v>108</v>
      </c>
      <c r="C43" s="23" t="s">
        <v>101</v>
      </c>
      <c r="D43" s="1" t="s">
        <v>106</v>
      </c>
      <c r="F43" s="1" t="s">
        <v>98</v>
      </c>
      <c r="H43" s="10" t="s">
        <v>268</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282"/>
      <c r="P43" s="283"/>
      <c r="Q43" s="283"/>
      <c r="R43" s="283"/>
      <c r="S43" s="283"/>
      <c r="T43" s="283"/>
      <c r="U43" s="283"/>
      <c r="V43" s="283"/>
      <c r="W43" s="283"/>
      <c r="X43" s="283"/>
      <c r="Y43" s="283"/>
      <c r="Z43" s="283"/>
      <c r="AA43" s="283" t="e">
        <f t="shared" ca="1" si="0"/>
        <v>#NAME?</v>
      </c>
      <c r="AB43" s="284" t="e">
        <f t="shared" ca="1" si="1"/>
        <v>#NAME?</v>
      </c>
      <c r="AC43" s="300"/>
      <c r="AD43" s="283"/>
      <c r="AE43" s="284" t="str">
        <f t="shared" si="2"/>
        <v/>
      </c>
      <c r="AF43" s="285" t="e">
        <f t="shared" ca="1" si="3"/>
        <v>#NAME?</v>
      </c>
      <c r="AG43" s="283"/>
      <c r="AH43" s="284" t="str">
        <f t="shared" si="5"/>
        <v/>
      </c>
      <c r="AI43" s="286" t="e">
        <f t="shared" ca="1" si="6"/>
        <v>#NAME?</v>
      </c>
      <c r="AJ43" s="371">
        <f t="shared" ca="1" si="7"/>
        <v>0</v>
      </c>
      <c r="AK43" s="372">
        <f t="shared" ca="1" si="8"/>
        <v>0</v>
      </c>
      <c r="AL43" s="373">
        <f t="shared" ca="1" si="9"/>
        <v>0</v>
      </c>
      <c r="AM43" s="374">
        <f t="shared" ca="1" si="10"/>
        <v>0</v>
      </c>
      <c r="AN43" s="375">
        <f t="shared" ca="1" si="11"/>
        <v>0</v>
      </c>
    </row>
    <row r="44" spans="1:40" x14ac:dyDescent="0.2">
      <c r="A44" s="1" t="s">
        <v>108</v>
      </c>
      <c r="C44" s="135" t="s">
        <v>101</v>
      </c>
      <c r="D44" s="1" t="s">
        <v>107</v>
      </c>
      <c r="F44" s="1" t="s">
        <v>99</v>
      </c>
      <c r="H44" s="10" t="s">
        <v>269</v>
      </c>
      <c r="I44" s="25" t="e">
        <f ca="1">_xll.EVPRO($B$1,$H44,"STYLE")</f>
        <v>#NAME?</v>
      </c>
      <c r="J44" s="25" t="e">
        <f ca="1">_xll.EVPRO($B$1,$H44,"CALC")</f>
        <v>#NAME?</v>
      </c>
      <c r="K44" s="64" t="e">
        <f t="shared" ca="1" si="4"/>
        <v>#NAME?</v>
      </c>
      <c r="L44" s="24" t="e">
        <f ca="1">_xll.EVPRO($B$1,H44,"JDEID")</f>
        <v>#NAME?</v>
      </c>
      <c r="M44" s="24" t="e">
        <f ca="1">IF(AND(I44="N",J44="N"),_xll.EVPRO($B$1,H44,"PSFTID"),"")</f>
        <v>#NAME?</v>
      </c>
      <c r="N44" s="24" t="e">
        <f ca="1">IF(_xll.EVDES(H44,$B$1)="#NODATA","",_xll.EVDES(H44,$B$1))</f>
        <v>#NAME?</v>
      </c>
      <c r="O44" s="282"/>
      <c r="P44" s="283"/>
      <c r="Q44" s="283"/>
      <c r="R44" s="283"/>
      <c r="S44" s="283"/>
      <c r="T44" s="283"/>
      <c r="U44" s="283"/>
      <c r="V44" s="283"/>
      <c r="W44" s="283"/>
      <c r="X44" s="283"/>
      <c r="Y44" s="283"/>
      <c r="Z44" s="283"/>
      <c r="AA44" s="283" t="e">
        <f t="shared" ca="1" si="0"/>
        <v>#NAME?</v>
      </c>
      <c r="AB44" s="284" t="e">
        <f t="shared" ca="1" si="1"/>
        <v>#NAME?</v>
      </c>
      <c r="AC44" s="300"/>
      <c r="AD44" s="283"/>
      <c r="AE44" s="284" t="str">
        <f t="shared" si="2"/>
        <v/>
      </c>
      <c r="AF44" s="285" t="e">
        <f t="shared" ca="1" si="3"/>
        <v>#NAME?</v>
      </c>
      <c r="AG44" s="283"/>
      <c r="AH44" s="284" t="str">
        <f t="shared" si="5"/>
        <v/>
      </c>
      <c r="AI44" s="286" t="e">
        <f t="shared" ca="1" si="6"/>
        <v>#NAME?</v>
      </c>
      <c r="AJ44" s="371">
        <f t="shared" ca="1" si="7"/>
        <v>0</v>
      </c>
      <c r="AK44" s="372">
        <f t="shared" ca="1" si="8"/>
        <v>0</v>
      </c>
      <c r="AL44" s="373">
        <f t="shared" ca="1" si="9"/>
        <v>0</v>
      </c>
      <c r="AM44" s="374">
        <f t="shared" ca="1" si="10"/>
        <v>0</v>
      </c>
      <c r="AN44" s="375">
        <f t="shared" ca="1" si="11"/>
        <v>0</v>
      </c>
    </row>
    <row r="45" spans="1:40" x14ac:dyDescent="0.2">
      <c r="H45" s="10" t="s">
        <v>270</v>
      </c>
      <c r="I45" s="25" t="e">
        <f ca="1">_xll.EVPRO($B$1,$H45,"STYLE")</f>
        <v>#NAME?</v>
      </c>
      <c r="J45" s="25" t="e">
        <f ca="1">_xll.EVPRO($B$1,$H45,"CALC")</f>
        <v>#NAME?</v>
      </c>
      <c r="K45" s="64" t="e">
        <f t="shared" ca="1" si="4"/>
        <v>#NAME?</v>
      </c>
      <c r="L45" s="24" t="e">
        <f ca="1">_xll.EVPRO($B$1,H45,"JDEID")</f>
        <v>#NAME?</v>
      </c>
      <c r="M45" s="24" t="e">
        <f ca="1">IF(AND(I45="N",J45="N"),_xll.EVPRO($B$1,H45,"PSFTID"),"")</f>
        <v>#NAME?</v>
      </c>
      <c r="N45" s="24" t="e">
        <f ca="1">IF(_xll.EVDES(H45,$B$1)="#NODATA","",_xll.EVDES(H45,$B$1))</f>
        <v>#NAME?</v>
      </c>
      <c r="O45" s="282"/>
      <c r="P45" s="283"/>
      <c r="Q45" s="283"/>
      <c r="R45" s="283"/>
      <c r="S45" s="283"/>
      <c r="T45" s="283"/>
      <c r="U45" s="283"/>
      <c r="V45" s="283"/>
      <c r="W45" s="283"/>
      <c r="X45" s="283"/>
      <c r="Y45" s="283"/>
      <c r="Z45" s="283"/>
      <c r="AA45" s="283" t="e">
        <f t="shared" ca="1" si="0"/>
        <v>#NAME?</v>
      </c>
      <c r="AB45" s="284" t="e">
        <f t="shared" ca="1" si="1"/>
        <v>#NAME?</v>
      </c>
      <c r="AC45" s="300"/>
      <c r="AD45" s="283"/>
      <c r="AE45" s="284" t="str">
        <f t="shared" si="2"/>
        <v/>
      </c>
      <c r="AF45" s="285" t="e">
        <f t="shared" ca="1" si="3"/>
        <v>#NAME?</v>
      </c>
      <c r="AG45" s="283"/>
      <c r="AH45" s="284" t="str">
        <f t="shared" si="5"/>
        <v/>
      </c>
      <c r="AI45" s="286" t="e">
        <f t="shared" ca="1" si="6"/>
        <v>#NAME?</v>
      </c>
      <c r="AJ45" s="371">
        <f t="shared" ca="1" si="7"/>
        <v>0</v>
      </c>
      <c r="AK45" s="372">
        <f t="shared" ca="1" si="8"/>
        <v>0</v>
      </c>
      <c r="AL45" s="373">
        <f t="shared" ca="1" si="9"/>
        <v>0</v>
      </c>
      <c r="AM45" s="374">
        <f t="shared" ca="1" si="10"/>
        <v>0</v>
      </c>
      <c r="AN45" s="375">
        <f t="shared" ca="1" si="11"/>
        <v>0</v>
      </c>
    </row>
    <row r="46" spans="1:40" x14ac:dyDescent="0.2">
      <c r="H46" s="10" t="s">
        <v>271</v>
      </c>
      <c r="I46" s="25" t="e">
        <f ca="1">_xll.EVPRO($B$1,$H46,"STYLE")</f>
        <v>#NAME?</v>
      </c>
      <c r="J46" s="25" t="e">
        <f ca="1">_xll.EVPRO($B$1,$H46,"CALC")</f>
        <v>#NAME?</v>
      </c>
      <c r="K46" s="64" t="e">
        <f t="shared" ca="1" si="4"/>
        <v>#NAME?</v>
      </c>
      <c r="L46" s="24" t="e">
        <f ca="1">_xll.EVPRO($B$1,H46,"JDEID")</f>
        <v>#NAME?</v>
      </c>
      <c r="M46" s="24" t="e">
        <f ca="1">IF(AND(I46="N",J46="N"),_xll.EVPRO($B$1,H46,"PSFTID"),"")</f>
        <v>#NAME?</v>
      </c>
      <c r="N46" s="24" t="e">
        <f ca="1">IF(_xll.EVDES(H46,$B$1)="#NODATA","",_xll.EVDES(H46,$B$1))</f>
        <v>#NAME?</v>
      </c>
      <c r="O46" s="295"/>
      <c r="P46" s="296"/>
      <c r="Q46" s="296"/>
      <c r="R46" s="296"/>
      <c r="S46" s="296"/>
      <c r="T46" s="296"/>
      <c r="U46" s="296"/>
      <c r="V46" s="296"/>
      <c r="W46" s="296"/>
      <c r="X46" s="296"/>
      <c r="Y46" s="296"/>
      <c r="Z46" s="296"/>
      <c r="AA46" s="296" t="e">
        <f t="shared" ca="1" si="0"/>
        <v>#NAME?</v>
      </c>
      <c r="AB46" s="297" t="e">
        <f t="shared" ca="1" si="1"/>
        <v>#NAME?</v>
      </c>
      <c r="AC46" s="263"/>
      <c r="AD46" s="296"/>
      <c r="AE46" s="297" t="str">
        <f t="shared" si="2"/>
        <v/>
      </c>
      <c r="AF46" s="298" t="e">
        <f t="shared" ca="1" si="3"/>
        <v>#NAME?</v>
      </c>
      <c r="AG46" s="296"/>
      <c r="AH46" s="297" t="str">
        <f t="shared" si="5"/>
        <v/>
      </c>
      <c r="AI46" s="299" t="e">
        <f t="shared" ca="1" si="6"/>
        <v>#NAME?</v>
      </c>
      <c r="AJ46" s="381">
        <f t="shared" ca="1" si="7"/>
        <v>0</v>
      </c>
      <c r="AK46" s="382">
        <f t="shared" ca="1" si="8"/>
        <v>0</v>
      </c>
      <c r="AL46" s="383">
        <f t="shared" ca="1" si="9"/>
        <v>0</v>
      </c>
      <c r="AM46" s="384">
        <f t="shared" ca="1" si="10"/>
        <v>0</v>
      </c>
      <c r="AN46" s="385">
        <f t="shared" ca="1" si="11"/>
        <v>0</v>
      </c>
    </row>
    <row r="47" spans="1:40" x14ac:dyDescent="0.2">
      <c r="A47" s="4" t="e">
        <f ca="1">_xll.EVDRE($B$1,A50:B57,A60:B66)</f>
        <v>#NAME?</v>
      </c>
      <c r="H47" s="10" t="s">
        <v>272</v>
      </c>
      <c r="I47" s="447" t="e">
        <f ca="1">_xll.EVPRO($B$1,$H47,"STYLE")</f>
        <v>#NAME?</v>
      </c>
      <c r="J47" s="447" t="e">
        <f ca="1">_xll.EVPRO($B$1,$H47,"CALC")</f>
        <v>#NAME?</v>
      </c>
      <c r="K47" s="448" t="e">
        <f t="shared" ca="1" si="4"/>
        <v>#NAME?</v>
      </c>
      <c r="L47" s="151" t="e">
        <f ca="1">_xll.EVPRO($B$1,H47,"JDEID")</f>
        <v>#NAME?</v>
      </c>
      <c r="M47" s="151" t="e">
        <f ca="1">IF(AND(I47="N",J47="N"),_xll.EVPRO($B$1,H47,"PSFTID"),"")</f>
        <v>#NAME?</v>
      </c>
      <c r="N47" s="151" t="e">
        <f ca="1">IF(_xll.EVDES(H47,$B$1)="#NODATA","",_xll.EVDES(H47,$B$1))</f>
        <v>#NAME?</v>
      </c>
      <c r="O47" s="202"/>
      <c r="P47" s="120"/>
      <c r="Q47" s="120"/>
      <c r="R47" s="120"/>
      <c r="S47" s="120"/>
      <c r="T47" s="120"/>
      <c r="U47" s="120"/>
      <c r="V47" s="120"/>
      <c r="W47" s="120"/>
      <c r="X47" s="120"/>
      <c r="Y47" s="120"/>
      <c r="Z47" s="120"/>
      <c r="AA47" s="120" t="e">
        <f t="shared" ca="1" si="0"/>
        <v>#NAME?</v>
      </c>
      <c r="AB47" s="121" t="e">
        <f t="shared" ca="1" si="1"/>
        <v>#NAME?</v>
      </c>
      <c r="AC47" s="123"/>
      <c r="AD47" s="120"/>
      <c r="AE47" s="121" t="str">
        <f t="shared" si="2"/>
        <v/>
      </c>
      <c r="AF47" s="122" t="e">
        <f t="shared" ca="1" si="3"/>
        <v>#NAME?</v>
      </c>
      <c r="AG47" s="120"/>
      <c r="AH47" s="121" t="str">
        <f t="shared" si="5"/>
        <v/>
      </c>
      <c r="AI47" s="264" t="e">
        <f t="shared" ca="1" si="6"/>
        <v>#NAME?</v>
      </c>
      <c r="AJ47" s="332">
        <f t="shared" ca="1" si="7"/>
        <v>0</v>
      </c>
      <c r="AK47" s="333">
        <f t="shared" ca="1" si="8"/>
        <v>0</v>
      </c>
      <c r="AL47" s="335">
        <f t="shared" ca="1" si="9"/>
        <v>0</v>
      </c>
      <c r="AM47" s="377">
        <f t="shared" ca="1" si="10"/>
        <v>0</v>
      </c>
      <c r="AN47" s="378">
        <f t="shared" ca="1" si="11"/>
        <v>0</v>
      </c>
    </row>
    <row r="48" spans="1:40" x14ac:dyDescent="0.2">
      <c r="H48" s="10" t="s">
        <v>486</v>
      </c>
      <c r="I48" s="25" t="e">
        <f ca="1">_xll.EVPRO($B$1,$H48,"STYLE")</f>
        <v>#NAME?</v>
      </c>
      <c r="J48" s="25" t="e">
        <f ca="1">_xll.EVPRO($B$1,$H48,"CALC")</f>
        <v>#NAME?</v>
      </c>
      <c r="K48" s="64" t="e">
        <f t="shared" ca="1" si="4"/>
        <v>#NAME?</v>
      </c>
      <c r="L48" s="24" t="e">
        <f ca="1">_xll.EVPRO($B$1,H48,"JDEID")</f>
        <v>#NAME?</v>
      </c>
      <c r="M48" s="24" t="e">
        <f ca="1">IF(AND(I48="N",J48="N"),_xll.EVPRO($B$1,H48,"PSFTID"),"")</f>
        <v>#NAME?</v>
      </c>
      <c r="N48" s="24" t="e">
        <f ca="1">IF(_xll.EVDES(H48,$B$1)="#NODATA","",_xll.EVDES(H48,$B$1))</f>
        <v>#NAME?</v>
      </c>
      <c r="O48" s="302"/>
      <c r="P48" s="44"/>
      <c r="Q48" s="44"/>
      <c r="R48" s="44"/>
      <c r="S48" s="44"/>
      <c r="T48" s="44"/>
      <c r="U48" s="44"/>
      <c r="V48" s="44"/>
      <c r="W48" s="44"/>
      <c r="X48" s="44"/>
      <c r="Y48" s="44"/>
      <c r="Z48" s="44"/>
      <c r="AA48" s="44" t="e">
        <f t="shared" ca="1" si="0"/>
        <v>#NAME?</v>
      </c>
      <c r="AB48" s="45" t="e">
        <f t="shared" ca="1" si="1"/>
        <v>#NAME?</v>
      </c>
      <c r="AD48" s="44"/>
      <c r="AE48" s="45" t="str">
        <f t="shared" si="2"/>
        <v/>
      </c>
      <c r="AF48" s="134" t="e">
        <f t="shared" ca="1" si="3"/>
        <v>#NAME?</v>
      </c>
      <c r="AG48" s="44"/>
      <c r="AH48" s="45" t="str">
        <f t="shared" si="5"/>
        <v/>
      </c>
      <c r="AI48" s="303" t="e">
        <f t="shared" ca="1" si="6"/>
        <v>#NAME?</v>
      </c>
      <c r="AJ48" s="392">
        <f t="shared" ca="1" si="7"/>
        <v>0</v>
      </c>
      <c r="AK48" s="393">
        <f t="shared" ca="1" si="8"/>
        <v>0</v>
      </c>
      <c r="AL48" s="394">
        <f t="shared" ca="1" si="9"/>
        <v>0</v>
      </c>
      <c r="AM48" s="395">
        <f t="shared" ca="1" si="10"/>
        <v>0</v>
      </c>
      <c r="AN48" s="396">
        <f t="shared" ca="1" si="11"/>
        <v>0</v>
      </c>
    </row>
    <row r="49" spans="1:40" x14ac:dyDescent="0.2">
      <c r="A49" s="3" t="s">
        <v>0</v>
      </c>
      <c r="B49" s="5" t="s">
        <v>1</v>
      </c>
      <c r="H49" s="10" t="s">
        <v>273</v>
      </c>
      <c r="I49" s="447" t="e">
        <f ca="1">_xll.EVPRO($B$1,$H49,"STYLE")</f>
        <v>#NAME?</v>
      </c>
      <c r="J49" s="447" t="e">
        <f ca="1">_xll.EVPRO($B$1,$H49,"CALC")</f>
        <v>#NAME?</v>
      </c>
      <c r="K49" s="448" t="e">
        <f t="shared" ca="1" si="4"/>
        <v>#NAME?</v>
      </c>
      <c r="L49" s="151" t="e">
        <f ca="1">_xll.EVPRO($B$1,H49,"JDEID")</f>
        <v>#NAME?</v>
      </c>
      <c r="M49" s="151" t="e">
        <f ca="1">IF(AND(I49="N",J49="N"),_xll.EVPRO($B$1,H49,"PSFTID"),"")</f>
        <v>#NAME?</v>
      </c>
      <c r="N49" s="151" t="e">
        <f ca="1">IF(_xll.EVDES(H49,$B$1)="#NODATA","",_xll.EVDES(H49,$B$1))</f>
        <v>#NAME?</v>
      </c>
      <c r="O49" s="202"/>
      <c r="P49" s="120"/>
      <c r="Q49" s="120"/>
      <c r="R49" s="120"/>
      <c r="S49" s="120"/>
      <c r="T49" s="120"/>
      <c r="U49" s="120"/>
      <c r="V49" s="120"/>
      <c r="W49" s="120"/>
      <c r="X49" s="120"/>
      <c r="Y49" s="120"/>
      <c r="Z49" s="120"/>
      <c r="AA49" s="120" t="e">
        <f t="shared" ca="1" si="0"/>
        <v>#NAME?</v>
      </c>
      <c r="AB49" s="121" t="e">
        <f t="shared" ca="1" si="1"/>
        <v>#NAME?</v>
      </c>
      <c r="AC49" s="123"/>
      <c r="AD49" s="120"/>
      <c r="AE49" s="121" t="str">
        <f t="shared" si="2"/>
        <v/>
      </c>
      <c r="AF49" s="122" t="e">
        <f t="shared" ca="1" si="3"/>
        <v>#NAME?</v>
      </c>
      <c r="AG49" s="120"/>
      <c r="AH49" s="121" t="str">
        <f t="shared" si="5"/>
        <v/>
      </c>
      <c r="AI49" s="264" t="e">
        <f t="shared" ca="1" si="6"/>
        <v>#NAME?</v>
      </c>
      <c r="AJ49" s="332">
        <f t="shared" ca="1" si="7"/>
        <v>0</v>
      </c>
      <c r="AK49" s="333">
        <f t="shared" ca="1" si="8"/>
        <v>0</v>
      </c>
      <c r="AL49" s="335">
        <f t="shared" ca="1" si="9"/>
        <v>0</v>
      </c>
      <c r="AM49" s="377">
        <f t="shared" ca="1" si="10"/>
        <v>0</v>
      </c>
      <c r="AN49" s="378">
        <f t="shared" ca="1" si="11"/>
        <v>0</v>
      </c>
    </row>
    <row r="50" spans="1:40" x14ac:dyDescent="0.2">
      <c r="A50" s="6" t="s">
        <v>2</v>
      </c>
      <c r="B50" s="7" t="e">
        <f ca="1">_xll.EVRNG($B$2:$B$10)</f>
        <v>#NAME?</v>
      </c>
      <c r="H50" s="10" t="s">
        <v>279</v>
      </c>
      <c r="I50" s="447" t="e">
        <f ca="1">_xll.EVPRO($B$1,$H50,"STYLE")</f>
        <v>#NAME?</v>
      </c>
      <c r="J50" s="447" t="e">
        <f ca="1">_xll.EVPRO($B$1,$H50,"CALC")</f>
        <v>#NAME?</v>
      </c>
      <c r="K50" s="448" t="e">
        <f t="shared" ca="1" si="4"/>
        <v>#NAME?</v>
      </c>
      <c r="L50" s="151" t="e">
        <f ca="1">_xll.EVPRO($B$1,H50,"JDEID")</f>
        <v>#NAME?</v>
      </c>
      <c r="M50" s="151" t="e">
        <f ca="1">IF(AND(I50="N",J50="N"),_xll.EVPRO($B$1,H50,"PSFTID"),"")</f>
        <v>#NAME?</v>
      </c>
      <c r="N50" s="151" t="e">
        <f ca="1">IF(_xll.EVDES(H50,$B$1)="#NODATA","",_xll.EVDES(H50,$B$1))</f>
        <v>#NAME?</v>
      </c>
      <c r="O50" s="287"/>
      <c r="P50" s="288"/>
      <c r="Q50" s="288"/>
      <c r="R50" s="288"/>
      <c r="S50" s="288"/>
      <c r="T50" s="288"/>
      <c r="U50" s="288"/>
      <c r="V50" s="288"/>
      <c r="W50" s="288"/>
      <c r="X50" s="288"/>
      <c r="Y50" s="288"/>
      <c r="Z50" s="288"/>
      <c r="AA50" s="288" t="e">
        <f t="shared" ca="1" si="0"/>
        <v>#NAME?</v>
      </c>
      <c r="AB50" s="289" t="e">
        <f t="shared" ca="1" si="1"/>
        <v>#NAME?</v>
      </c>
      <c r="AC50" s="301"/>
      <c r="AD50" s="288"/>
      <c r="AE50" s="289" t="str">
        <f t="shared" si="2"/>
        <v/>
      </c>
      <c r="AF50" s="290" t="e">
        <f t="shared" ca="1" si="3"/>
        <v>#NAME?</v>
      </c>
      <c r="AG50" s="288"/>
      <c r="AH50" s="289" t="str">
        <f t="shared" si="5"/>
        <v/>
      </c>
      <c r="AI50" s="291" t="e">
        <f t="shared" ca="1" si="6"/>
        <v>#NAME?</v>
      </c>
      <c r="AJ50" s="325">
        <f t="shared" ca="1" si="7"/>
        <v>0</v>
      </c>
      <c r="AK50" s="326">
        <f t="shared" ca="1" si="8"/>
        <v>0</v>
      </c>
      <c r="AL50" s="328">
        <f t="shared" ca="1" si="9"/>
        <v>0</v>
      </c>
      <c r="AM50" s="362">
        <f t="shared" ca="1" si="10"/>
        <v>0</v>
      </c>
      <c r="AN50" s="376">
        <f t="shared" ca="1" si="11"/>
        <v>0</v>
      </c>
    </row>
    <row r="51" spans="1:40" x14ac:dyDescent="0.2">
      <c r="A51" s="6" t="s">
        <v>3</v>
      </c>
      <c r="B51" s="7" t="e">
        <f ca="1">_xll.EVRNG($O$16:$AN$18)</f>
        <v>#NAME?</v>
      </c>
      <c r="H51" s="10" t="s">
        <v>274</v>
      </c>
      <c r="I51" s="25" t="e">
        <f ca="1">_xll.EVPRO($B$1,$H51,"STYLE")</f>
        <v>#NAME?</v>
      </c>
      <c r="J51" s="25" t="e">
        <f ca="1">_xll.EVPRO($B$1,$H51,"CALC")</f>
        <v>#NAME?</v>
      </c>
      <c r="K51" s="64" t="e">
        <f t="shared" ca="1" si="4"/>
        <v>#NAME?</v>
      </c>
      <c r="L51" s="24" t="e">
        <f ca="1">_xll.EVPRO($B$1,H51,"JDEID")</f>
        <v>#NAME?</v>
      </c>
      <c r="M51" s="24" t="e">
        <f ca="1">IF(AND(I51="N",J51="N"),_xll.EVPRO($B$1,H51,"PSFTID"),"")</f>
        <v>#NAME?</v>
      </c>
      <c r="N51" s="24" t="e">
        <f ca="1">IF(_xll.EVDES(H51,$B$1)="#NODATA","",_xll.EVDES(H51,$B$1))</f>
        <v>#NAME?</v>
      </c>
      <c r="O51" s="282"/>
      <c r="P51" s="283"/>
      <c r="Q51" s="283"/>
      <c r="R51" s="283"/>
      <c r="S51" s="283"/>
      <c r="T51" s="283"/>
      <c r="U51" s="283"/>
      <c r="V51" s="283"/>
      <c r="W51" s="283"/>
      <c r="X51" s="283"/>
      <c r="Y51" s="283"/>
      <c r="Z51" s="283"/>
      <c r="AA51" s="283" t="e">
        <f t="shared" ca="1" si="0"/>
        <v>#NAME?</v>
      </c>
      <c r="AB51" s="284" t="e">
        <f t="shared" ca="1" si="1"/>
        <v>#NAME?</v>
      </c>
      <c r="AC51" s="300"/>
      <c r="AD51" s="283"/>
      <c r="AE51" s="284" t="str">
        <f t="shared" si="2"/>
        <v/>
      </c>
      <c r="AF51" s="285" t="e">
        <f t="shared" ca="1" si="3"/>
        <v>#NAME?</v>
      </c>
      <c r="AG51" s="283"/>
      <c r="AH51" s="284" t="str">
        <f t="shared" si="5"/>
        <v/>
      </c>
      <c r="AI51" s="286" t="e">
        <f t="shared" ca="1" si="6"/>
        <v>#NAME?</v>
      </c>
      <c r="AJ51" s="371">
        <f t="shared" ca="1" si="7"/>
        <v>0</v>
      </c>
      <c r="AK51" s="372">
        <f t="shared" ca="1" si="8"/>
        <v>0</v>
      </c>
      <c r="AL51" s="373">
        <f t="shared" ca="1" si="9"/>
        <v>0</v>
      </c>
      <c r="AM51" s="374">
        <f t="shared" ca="1" si="10"/>
        <v>0</v>
      </c>
      <c r="AN51" s="375">
        <f t="shared" ca="1" si="11"/>
        <v>0</v>
      </c>
    </row>
    <row r="52" spans="1:40" x14ac:dyDescent="0.2">
      <c r="A52" s="6" t="s">
        <v>4</v>
      </c>
      <c r="B52" s="7" t="e">
        <f ca="1">_xll.EVRNG(H62:H70)</f>
        <v>#NAME?</v>
      </c>
      <c r="H52" s="10" t="s">
        <v>275</v>
      </c>
      <c r="I52" s="25" t="e">
        <f ca="1">_xll.EVPRO($B$1,$H52,"STYLE")</f>
        <v>#NAME?</v>
      </c>
      <c r="J52" s="25" t="e">
        <f ca="1">_xll.EVPRO($B$1,$H52,"CALC")</f>
        <v>#NAME?</v>
      </c>
      <c r="K52" s="64" t="e">
        <f t="shared" ca="1" si="4"/>
        <v>#NAME?</v>
      </c>
      <c r="L52" s="24" t="e">
        <f ca="1">_xll.EVPRO($B$1,H52,"JDEID")</f>
        <v>#NAME?</v>
      </c>
      <c r="M52" s="24" t="e">
        <f ca="1">IF(AND(I52="N",J52="N"),_xll.EVPRO($B$1,H52,"PSFTID"),"")</f>
        <v>#NAME?</v>
      </c>
      <c r="N52" s="24" t="e">
        <f ca="1">IF(_xll.EVDES(H52,$B$1)="#NODATA","",_xll.EVDES(H52,$B$1))</f>
        <v>#NAME?</v>
      </c>
      <c r="O52" s="282"/>
      <c r="P52" s="283"/>
      <c r="Q52" s="283"/>
      <c r="R52" s="283"/>
      <c r="S52" s="283"/>
      <c r="T52" s="283"/>
      <c r="U52" s="283"/>
      <c r="V52" s="283"/>
      <c r="W52" s="283"/>
      <c r="X52" s="283"/>
      <c r="Y52" s="283"/>
      <c r="Z52" s="283"/>
      <c r="AA52" s="283" t="e">
        <f t="shared" ca="1" si="0"/>
        <v>#NAME?</v>
      </c>
      <c r="AB52" s="284" t="e">
        <f t="shared" ca="1" si="1"/>
        <v>#NAME?</v>
      </c>
      <c r="AC52" s="300"/>
      <c r="AD52" s="283"/>
      <c r="AE52" s="284" t="str">
        <f t="shared" si="2"/>
        <v/>
      </c>
      <c r="AF52" s="285" t="e">
        <f t="shared" ca="1" si="3"/>
        <v>#NAME?</v>
      </c>
      <c r="AG52" s="283"/>
      <c r="AH52" s="284" t="str">
        <f t="shared" si="5"/>
        <v/>
      </c>
      <c r="AI52" s="286" t="e">
        <f t="shared" ca="1" si="6"/>
        <v>#NAME?</v>
      </c>
      <c r="AJ52" s="371">
        <f t="shared" ca="1" si="7"/>
        <v>0</v>
      </c>
      <c r="AK52" s="372">
        <f t="shared" ca="1" si="8"/>
        <v>0</v>
      </c>
      <c r="AL52" s="373">
        <f t="shared" ca="1" si="9"/>
        <v>0</v>
      </c>
      <c r="AM52" s="374">
        <f t="shared" ca="1" si="10"/>
        <v>0</v>
      </c>
      <c r="AN52" s="375">
        <f t="shared" ca="1" si="11"/>
        <v>0</v>
      </c>
    </row>
    <row r="53" spans="1:40" x14ac:dyDescent="0.2">
      <c r="A53" s="6" t="s">
        <v>5</v>
      </c>
      <c r="B53" s="7"/>
      <c r="F53" s="136"/>
      <c r="H53" s="10" t="s">
        <v>276</v>
      </c>
      <c r="I53" s="25" t="e">
        <f ca="1">_xll.EVPRO($B$1,$H53,"STYLE")</f>
        <v>#NAME?</v>
      </c>
      <c r="J53" s="25" t="e">
        <f ca="1">_xll.EVPRO($B$1,$H53,"CALC")</f>
        <v>#NAME?</v>
      </c>
      <c r="K53" s="64" t="e">
        <f t="shared" ca="1" si="4"/>
        <v>#NAME?</v>
      </c>
      <c r="L53" s="24" t="e">
        <f ca="1">_xll.EVPRO($B$1,H53,"JDEID")</f>
        <v>#NAME?</v>
      </c>
      <c r="M53" s="24" t="e">
        <f ca="1">IF(AND(I53="N",J53="N"),_xll.EVPRO($B$1,H53,"PSFTID"),"")</f>
        <v>#NAME?</v>
      </c>
      <c r="N53" s="24" t="e">
        <f ca="1">IF(_xll.EVDES(H53,$B$1)="#NODATA","",_xll.EVDES(H53,$B$1))</f>
        <v>#NAME?</v>
      </c>
      <c r="O53" s="282"/>
      <c r="P53" s="283"/>
      <c r="Q53" s="283"/>
      <c r="R53" s="283"/>
      <c r="S53" s="283"/>
      <c r="T53" s="283"/>
      <c r="U53" s="283"/>
      <c r="V53" s="283"/>
      <c r="W53" s="283"/>
      <c r="X53" s="283"/>
      <c r="Y53" s="283"/>
      <c r="Z53" s="283"/>
      <c r="AA53" s="283" t="e">
        <f t="shared" ca="1" si="0"/>
        <v>#NAME?</v>
      </c>
      <c r="AB53" s="284" t="e">
        <f t="shared" ca="1" si="1"/>
        <v>#NAME?</v>
      </c>
      <c r="AC53" s="300"/>
      <c r="AD53" s="283"/>
      <c r="AE53" s="284" t="str">
        <f t="shared" si="2"/>
        <v/>
      </c>
      <c r="AF53" s="285" t="e">
        <f t="shared" ca="1" si="3"/>
        <v>#NAME?</v>
      </c>
      <c r="AG53" s="283"/>
      <c r="AH53" s="284" t="str">
        <f t="shared" si="5"/>
        <v/>
      </c>
      <c r="AI53" s="286" t="e">
        <f t="shared" ca="1" si="6"/>
        <v>#NAME?</v>
      </c>
      <c r="AJ53" s="371">
        <f t="shared" ca="1" si="7"/>
        <v>0</v>
      </c>
      <c r="AK53" s="372">
        <f t="shared" ca="1" si="8"/>
        <v>0</v>
      </c>
      <c r="AL53" s="373">
        <f t="shared" ca="1" si="9"/>
        <v>0</v>
      </c>
      <c r="AM53" s="374">
        <f t="shared" ca="1" si="10"/>
        <v>0</v>
      </c>
      <c r="AN53" s="375">
        <f t="shared" ca="1" si="11"/>
        <v>0</v>
      </c>
    </row>
    <row r="54" spans="1:40" x14ac:dyDescent="0.2">
      <c r="A54" s="6" t="s">
        <v>6</v>
      </c>
      <c r="B54" s="7"/>
      <c r="F54" s="136"/>
      <c r="H54" s="10" t="s">
        <v>282</v>
      </c>
      <c r="I54" s="25" t="e">
        <f ca="1">_xll.EVPRO($B$1,$H54,"STYLE")</f>
        <v>#NAME?</v>
      </c>
      <c r="J54" s="25" t="e">
        <f ca="1">_xll.EVPRO($B$1,$H54,"CALC")</f>
        <v>#NAME?</v>
      </c>
      <c r="K54" s="64" t="e">
        <f t="shared" ca="1" si="4"/>
        <v>#NAME?</v>
      </c>
      <c r="L54" s="24" t="e">
        <f ca="1">_xll.EVPRO($B$1,H54,"JDEID")</f>
        <v>#NAME?</v>
      </c>
      <c r="M54" s="24" t="e">
        <f ca="1">IF(AND(I54="N",J54="N"),_xll.EVPRO($B$1,H54,"PSFTID"),"")</f>
        <v>#NAME?</v>
      </c>
      <c r="N54" s="24" t="e">
        <f ca="1">IF(_xll.EVDES(H54,$B$1)="#NODATA","",_xll.EVDES(H54,$B$1))</f>
        <v>#NAME?</v>
      </c>
      <c r="O54" s="282"/>
      <c r="P54" s="283"/>
      <c r="Q54" s="283"/>
      <c r="R54" s="283"/>
      <c r="S54" s="283"/>
      <c r="T54" s="283"/>
      <c r="U54" s="283"/>
      <c r="V54" s="283"/>
      <c r="W54" s="283"/>
      <c r="X54" s="283"/>
      <c r="Y54" s="283"/>
      <c r="Z54" s="283"/>
      <c r="AA54" s="283" t="e">
        <f t="shared" ca="1" si="0"/>
        <v>#NAME?</v>
      </c>
      <c r="AB54" s="284" t="e">
        <f t="shared" ca="1" si="1"/>
        <v>#NAME?</v>
      </c>
      <c r="AC54" s="300"/>
      <c r="AD54" s="283"/>
      <c r="AE54" s="284" t="str">
        <f t="shared" si="2"/>
        <v/>
      </c>
      <c r="AF54" s="285" t="e">
        <f t="shared" ca="1" si="3"/>
        <v>#NAME?</v>
      </c>
      <c r="AG54" s="283"/>
      <c r="AH54" s="284" t="str">
        <f t="shared" si="5"/>
        <v/>
      </c>
      <c r="AI54" s="286" t="e">
        <f t="shared" ca="1" si="6"/>
        <v>#NAME?</v>
      </c>
      <c r="AJ54" s="371">
        <f t="shared" ca="1" si="7"/>
        <v>0</v>
      </c>
      <c r="AK54" s="372">
        <f t="shared" ca="1" si="8"/>
        <v>0</v>
      </c>
      <c r="AL54" s="373">
        <f t="shared" ca="1" si="9"/>
        <v>0</v>
      </c>
      <c r="AM54" s="374">
        <f t="shared" ca="1" si="10"/>
        <v>0</v>
      </c>
      <c r="AN54" s="375">
        <f t="shared" ca="1" si="11"/>
        <v>0</v>
      </c>
    </row>
    <row r="55" spans="1:40" x14ac:dyDescent="0.2">
      <c r="A55" s="6" t="s">
        <v>7</v>
      </c>
      <c r="B55" s="7" t="e">
        <f ca="1">_xll.EVRNG(A69:F77)</f>
        <v>#NAME?</v>
      </c>
      <c r="F55" s="136"/>
      <c r="H55" s="10" t="s">
        <v>283</v>
      </c>
      <c r="I55" s="25" t="e">
        <f ca="1">_xll.EVPRO($B$1,$H55,"STYLE")</f>
        <v>#NAME?</v>
      </c>
      <c r="J55" s="25" t="e">
        <f ca="1">_xll.EVPRO($B$1,$H55,"CALC")</f>
        <v>#NAME?</v>
      </c>
      <c r="K55" s="64" t="e">
        <f t="shared" ca="1" si="4"/>
        <v>#NAME?</v>
      </c>
      <c r="L55" s="24" t="e">
        <f ca="1">_xll.EVPRO($B$1,H55,"JDEID")</f>
        <v>#NAME?</v>
      </c>
      <c r="M55" s="24" t="e">
        <f ca="1">IF(AND(I55="N",J55="N"),_xll.EVPRO($B$1,H55,"PSFTID"),"")</f>
        <v>#NAME?</v>
      </c>
      <c r="N55" s="24" t="e">
        <f ca="1">IF(_xll.EVDES(H55,$B$1)="#NODATA","",_xll.EVDES(H55,$B$1))</f>
        <v>#NAME?</v>
      </c>
      <c r="O55" s="282"/>
      <c r="P55" s="283"/>
      <c r="Q55" s="283"/>
      <c r="R55" s="283"/>
      <c r="S55" s="283"/>
      <c r="T55" s="283"/>
      <c r="U55" s="283"/>
      <c r="V55" s="283"/>
      <c r="W55" s="283"/>
      <c r="X55" s="283"/>
      <c r="Y55" s="283"/>
      <c r="Z55" s="283"/>
      <c r="AA55" s="283" t="e">
        <f t="shared" ca="1" si="0"/>
        <v>#NAME?</v>
      </c>
      <c r="AB55" s="284" t="e">
        <f t="shared" ca="1" si="1"/>
        <v>#NAME?</v>
      </c>
      <c r="AC55" s="300"/>
      <c r="AD55" s="283"/>
      <c r="AE55" s="284" t="str">
        <f t="shared" si="2"/>
        <v/>
      </c>
      <c r="AF55" s="285" t="e">
        <f t="shared" ca="1" si="3"/>
        <v>#NAME?</v>
      </c>
      <c r="AG55" s="283"/>
      <c r="AH55" s="284" t="str">
        <f t="shared" si="5"/>
        <v/>
      </c>
      <c r="AI55" s="286" t="e">
        <f t="shared" ca="1" si="6"/>
        <v>#NAME?</v>
      </c>
      <c r="AJ55" s="371">
        <f t="shared" ca="1" si="7"/>
        <v>0</v>
      </c>
      <c r="AK55" s="372">
        <f t="shared" ca="1" si="8"/>
        <v>0</v>
      </c>
      <c r="AL55" s="373">
        <f t="shared" ca="1" si="9"/>
        <v>0</v>
      </c>
      <c r="AM55" s="374">
        <f t="shared" ca="1" si="10"/>
        <v>0</v>
      </c>
      <c r="AN55" s="375">
        <f t="shared" ca="1" si="11"/>
        <v>0</v>
      </c>
    </row>
    <row r="56" spans="1:40" x14ac:dyDescent="0.2">
      <c r="A56" s="6" t="s">
        <v>47</v>
      </c>
      <c r="B56" s="7" t="e">
        <f ca="1">_xll.EVRNG($A$125:$B$146)</f>
        <v>#NAME?</v>
      </c>
      <c r="H56" s="10" t="s">
        <v>473</v>
      </c>
      <c r="I56" s="25" t="e">
        <f ca="1">_xll.EVPRO($B$1,$H56,"STYLE")</f>
        <v>#NAME?</v>
      </c>
      <c r="J56" s="25" t="e">
        <f ca="1">_xll.EVPRO($B$1,$H56,"CALC")</f>
        <v>#NAME?</v>
      </c>
      <c r="K56" s="64" t="e">
        <f t="shared" ca="1" si="4"/>
        <v>#NAME?</v>
      </c>
      <c r="L56" s="24" t="e">
        <f ca="1">_xll.EVPRO($B$1,H56,"JDEID")</f>
        <v>#NAME?</v>
      </c>
      <c r="M56" s="24" t="e">
        <f ca="1">IF(AND(I56="N",J56="N"),_xll.EVPRO($B$1,H56,"PSFTID"),"")</f>
        <v>#NAME?</v>
      </c>
      <c r="N56" s="24" t="e">
        <f ca="1">IF(_xll.EVDES(H56,$B$1)="#NODATA","",_xll.EVDES(H56,$B$1))</f>
        <v>#NAME?</v>
      </c>
      <c r="O56" s="295"/>
      <c r="P56" s="296"/>
      <c r="Q56" s="296"/>
      <c r="R56" s="296"/>
      <c r="S56" s="296"/>
      <c r="T56" s="296"/>
      <c r="U56" s="296"/>
      <c r="V56" s="296"/>
      <c r="W56" s="296"/>
      <c r="X56" s="296"/>
      <c r="Y56" s="296"/>
      <c r="Z56" s="296"/>
      <c r="AA56" s="296" t="e">
        <f t="shared" ca="1" si="0"/>
        <v>#NAME?</v>
      </c>
      <c r="AB56" s="297" t="e">
        <f t="shared" ca="1" si="1"/>
        <v>#NAME?</v>
      </c>
      <c r="AC56" s="263"/>
      <c r="AD56" s="296"/>
      <c r="AE56" s="297" t="str">
        <f t="shared" si="2"/>
        <v/>
      </c>
      <c r="AF56" s="298" t="e">
        <f t="shared" ca="1" si="3"/>
        <v>#NAME?</v>
      </c>
      <c r="AG56" s="296"/>
      <c r="AH56" s="297" t="str">
        <f t="shared" si="5"/>
        <v/>
      </c>
      <c r="AI56" s="299" t="e">
        <f t="shared" ca="1" si="6"/>
        <v>#NAME?</v>
      </c>
      <c r="AJ56" s="381">
        <f t="shared" ca="1" si="7"/>
        <v>0</v>
      </c>
      <c r="AK56" s="382">
        <f t="shared" ca="1" si="8"/>
        <v>0</v>
      </c>
      <c r="AL56" s="383">
        <f t="shared" ca="1" si="9"/>
        <v>0</v>
      </c>
      <c r="AM56" s="384">
        <f t="shared" ca="1" si="10"/>
        <v>0</v>
      </c>
      <c r="AN56" s="385">
        <f t="shared" ca="1" si="11"/>
        <v>0</v>
      </c>
    </row>
    <row r="57" spans="1:40" x14ac:dyDescent="0.2">
      <c r="A57" s="6" t="s">
        <v>8</v>
      </c>
      <c r="B57" s="7"/>
      <c r="H57" s="10" t="s">
        <v>277</v>
      </c>
      <c r="I57" s="447" t="e">
        <f ca="1">_xll.EVPRO($B$1,$H57,"STYLE")</f>
        <v>#NAME?</v>
      </c>
      <c r="J57" s="447" t="e">
        <f ca="1">_xll.EVPRO($B$1,$H57,"CALC")</f>
        <v>#NAME?</v>
      </c>
      <c r="K57" s="448" t="e">
        <f t="shared" ca="1" si="4"/>
        <v>#NAME?</v>
      </c>
      <c r="L57" s="151" t="e">
        <f ca="1">_xll.EVPRO($B$1,H57,"JDEID")</f>
        <v>#NAME?</v>
      </c>
      <c r="M57" s="151" t="e">
        <f ca="1">IF(AND(I57="N",J57="N"),_xll.EVPRO($B$1,H57,"PSFTID"),"")</f>
        <v>#NAME?</v>
      </c>
      <c r="N57" s="151" t="e">
        <f ca="1">IF(_xll.EVDES(H57,$B$1)="#NODATA","",_xll.EVDES(H57,$B$1))</f>
        <v>#NAME?</v>
      </c>
      <c r="O57" s="203"/>
      <c r="P57" s="33"/>
      <c r="Q57" s="33"/>
      <c r="R57" s="33"/>
      <c r="S57" s="33"/>
      <c r="T57" s="33"/>
      <c r="U57" s="33"/>
      <c r="V57" s="33"/>
      <c r="W57" s="33"/>
      <c r="X57" s="33"/>
      <c r="Y57" s="33"/>
      <c r="Z57" s="33"/>
      <c r="AA57" s="33" t="e">
        <f t="shared" ca="1" si="0"/>
        <v>#NAME?</v>
      </c>
      <c r="AB57" s="34" t="e">
        <f t="shared" ca="1" si="1"/>
        <v>#NAME?</v>
      </c>
      <c r="AC57" s="32"/>
      <c r="AD57" s="33"/>
      <c r="AE57" s="34" t="str">
        <f t="shared" si="2"/>
        <v/>
      </c>
      <c r="AF57" s="54" t="e">
        <f t="shared" ca="1" si="3"/>
        <v>#NAME?</v>
      </c>
      <c r="AG57" s="33"/>
      <c r="AH57" s="34" t="str">
        <f t="shared" si="5"/>
        <v/>
      </c>
      <c r="AI57" s="265" t="e">
        <f t="shared" ca="1" si="6"/>
        <v>#NAME?</v>
      </c>
      <c r="AJ57" s="344">
        <f t="shared" ca="1" si="7"/>
        <v>0</v>
      </c>
      <c r="AK57" s="345">
        <f t="shared" ca="1" si="8"/>
        <v>0</v>
      </c>
      <c r="AL57" s="347">
        <f t="shared" ca="1" si="9"/>
        <v>0</v>
      </c>
      <c r="AM57" s="379">
        <f t="shared" ca="1" si="10"/>
        <v>0</v>
      </c>
      <c r="AN57" s="380">
        <f t="shared" ca="1" si="11"/>
        <v>0</v>
      </c>
    </row>
    <row r="58" spans="1:40" x14ac:dyDescent="0.2">
      <c r="G58" s="13"/>
      <c r="H58" s="10" t="s">
        <v>280</v>
      </c>
      <c r="I58" s="447" t="e">
        <f ca="1">_xll.EVPRO($B$1,$H58,"STYLE")</f>
        <v>#NAME?</v>
      </c>
      <c r="J58" s="447" t="e">
        <f ca="1">_xll.EVPRO($B$1,$H58,"CALC")</f>
        <v>#NAME?</v>
      </c>
      <c r="K58" s="448" t="e">
        <f t="shared" ca="1" si="4"/>
        <v>#NAME?</v>
      </c>
      <c r="L58" s="151" t="e">
        <f ca="1">_xll.EVPRO($B$1,H58,"JDEID")</f>
        <v>#NAME?</v>
      </c>
      <c r="M58" s="151" t="e">
        <f ca="1">IF(AND(I58="N",J58="N"),_xll.EVPRO($B$1,H58,"PSFTID"),"")</f>
        <v>#NAME?</v>
      </c>
      <c r="N58" s="151" t="e">
        <f ca="1">IF(_xll.EVDES(H58,$B$1)="#NODATA","",_xll.EVDES(H58,$B$1))</f>
        <v>#NAME?</v>
      </c>
      <c r="O58" s="202"/>
      <c r="P58" s="120"/>
      <c r="Q58" s="120"/>
      <c r="R58" s="120"/>
      <c r="S58" s="120"/>
      <c r="T58" s="120"/>
      <c r="U58" s="120"/>
      <c r="V58" s="120"/>
      <c r="W58" s="120"/>
      <c r="X58" s="120"/>
      <c r="Y58" s="120"/>
      <c r="Z58" s="120"/>
      <c r="AA58" s="120" t="e">
        <f t="shared" ca="1" si="0"/>
        <v>#NAME?</v>
      </c>
      <c r="AB58" s="121" t="e">
        <f t="shared" ca="1" si="1"/>
        <v>#NAME?</v>
      </c>
      <c r="AC58" s="123"/>
      <c r="AD58" s="120"/>
      <c r="AE58" s="121" t="str">
        <f t="shared" si="2"/>
        <v/>
      </c>
      <c r="AF58" s="122" t="e">
        <f t="shared" ca="1" si="3"/>
        <v>#NAME?</v>
      </c>
      <c r="AG58" s="120"/>
      <c r="AH58" s="121" t="str">
        <f t="shared" si="5"/>
        <v/>
      </c>
      <c r="AI58" s="264" t="e">
        <f t="shared" ca="1" si="6"/>
        <v>#NAME?</v>
      </c>
      <c r="AJ58" s="332">
        <f t="shared" ca="1" si="7"/>
        <v>0</v>
      </c>
      <c r="AK58" s="333">
        <f t="shared" ca="1" si="8"/>
        <v>0</v>
      </c>
      <c r="AL58" s="335">
        <f t="shared" ca="1" si="9"/>
        <v>0</v>
      </c>
      <c r="AM58" s="377">
        <f t="shared" ca="1" si="10"/>
        <v>0</v>
      </c>
      <c r="AN58" s="378">
        <f t="shared" ca="1" si="11"/>
        <v>0</v>
      </c>
    </row>
    <row r="59" spans="1:40" x14ac:dyDescent="0.2">
      <c r="A59" s="3" t="s">
        <v>9</v>
      </c>
      <c r="B59" s="5" t="s">
        <v>10</v>
      </c>
      <c r="O59" s="50"/>
      <c r="AB59" s="51"/>
      <c r="AD59" s="50"/>
      <c r="AF59" s="51"/>
      <c r="AG59" s="50"/>
      <c r="AI59" s="51"/>
    </row>
    <row r="60" spans="1:40" x14ac:dyDescent="0.2">
      <c r="A60" s="6" t="s">
        <v>11</v>
      </c>
      <c r="B60" s="7" t="s">
        <v>21</v>
      </c>
      <c r="H60" s="1" t="s">
        <v>281</v>
      </c>
      <c r="I60" s="11" t="e">
        <f ca="1">_xll.EVPRO($B$1,$H60,"STYLE")</f>
        <v>#NAME?</v>
      </c>
      <c r="J60" s="11" t="e">
        <f ca="1">_xll.EVPRO($B$1,$H60,"CALC")</f>
        <v>#NAME?</v>
      </c>
      <c r="N60" s="37" t="e">
        <f ca="1">IF(_xll.EVDES(H60,$B$1)="#NODATA","",_xll.EVDES(H60,$B$1))</f>
        <v>#NAME?</v>
      </c>
      <c r="O60" s="50"/>
      <c r="AB60" s="51"/>
      <c r="AD60" s="50"/>
      <c r="AF60" s="51"/>
      <c r="AG60" s="50"/>
      <c r="AI60" s="51"/>
    </row>
    <row r="61" spans="1:40" x14ac:dyDescent="0.2">
      <c r="A61" s="6" t="s">
        <v>12</v>
      </c>
      <c r="B61" s="7" t="s">
        <v>22</v>
      </c>
      <c r="H61" s="1" t="s">
        <v>284</v>
      </c>
      <c r="I61" s="11" t="e">
        <f ca="1">_xll.EVPRO($B$1,$H61,"STYLE")</f>
        <v>#NAME?</v>
      </c>
      <c r="J61" s="11" t="e">
        <f ca="1">_xll.EVPRO($B$1,$H61,"CALC")</f>
        <v>#NAME?</v>
      </c>
      <c r="N61" s="8" t="e">
        <f ca="1">IF(_xll.EVDES(H61,$B$1)="#NODATA","",_xll.EVDES(H61,$B$1))</f>
        <v>#NAME?</v>
      </c>
      <c r="O61" s="50"/>
      <c r="AB61" s="51"/>
      <c r="AD61" s="50"/>
      <c r="AF61" s="51"/>
      <c r="AG61" s="50"/>
      <c r="AI61" s="51"/>
    </row>
    <row r="62" spans="1:40" x14ac:dyDescent="0.2">
      <c r="A62" s="6" t="s">
        <v>13</v>
      </c>
      <c r="B62" s="7" t="e">
        <f ca="1">"DEP(COS_FB) AND "&amp;$E$6&amp;"=Y,COS_FB,COSOTH,DEP(COS_OTHR) AND "&amp;$E$6&amp;"=Y,COS_OTHR,500001"</f>
        <v>#NAME?</v>
      </c>
      <c r="H62" s="10" t="s">
        <v>285</v>
      </c>
      <c r="I62" s="25" t="e">
        <f ca="1">_xll.EVPRO($B$1,$H62,"STYLE")</f>
        <v>#NAME?</v>
      </c>
      <c r="J62" s="25" t="e">
        <f ca="1">_xll.EVPRO($B$1,$H62,"CALC")</f>
        <v>#NAME?</v>
      </c>
      <c r="K62" s="64" t="e">
        <f ca="1">IF(AND(I62&gt;="T5"),"&gt;","")</f>
        <v>#NAME?</v>
      </c>
      <c r="L62" s="24" t="e">
        <f ca="1">_xll.EVPRO($B$1,H62,"JDEID")</f>
        <v>#NAME?</v>
      </c>
      <c r="M62" s="24" t="e">
        <f ca="1">IF(AND(I62="N",J62="N"),_xll.EVPRO($B$1,H62,"PSFTID"),"")</f>
        <v>#NAME?</v>
      </c>
      <c r="N62" s="24" t="e">
        <f ca="1">IF(_xll.EVDES(H62,$B$1)="#NODATA","",_xll.EVDES(H62,$B$1))</f>
        <v>#NAME?</v>
      </c>
      <c r="O62" s="282"/>
      <c r="P62" s="283"/>
      <c r="Q62" s="283"/>
      <c r="R62" s="283"/>
      <c r="S62" s="283"/>
      <c r="T62" s="283"/>
      <c r="U62" s="283"/>
      <c r="V62" s="283"/>
      <c r="W62" s="283"/>
      <c r="X62" s="283"/>
      <c r="Y62" s="283"/>
      <c r="Z62" s="283"/>
      <c r="AA62" s="283" t="e">
        <f t="shared" ref="AA62:AA70" ca="1" si="12">IF($I62="B1","",SUM(O62:Z62))</f>
        <v>#NAME?</v>
      </c>
      <c r="AB62" s="284" t="e">
        <f ca="1">IF(AA62=0,"",IFERROR(AA62/_xll.EVGTS($B$1,1,_xll.EVPRO($B$1,$H62,"COSBASIS"),$B$3,$B$5,$B$6,$B$7,$B$9,AA$16,AA$17,AA$11),""))</f>
        <v>#NAME?</v>
      </c>
      <c r="AC62" s="300"/>
      <c r="AD62" s="283"/>
      <c r="AE62" s="284" t="str">
        <f>IF(AD62=0,"",IFERROR(AD62/_xll.EVGTS($B$1,1,_xll.EVPRO($B$1,$H62,"COSBASIS"),$B$3,$B$5,$B$6,$B$7,$B$9,AD$16,AD$17,AD$18),""))</f>
        <v/>
      </c>
      <c r="AF62" s="285" t="e">
        <f t="shared" ref="AF62:AF70" ca="1" si="13">IF(AND($AA62="",AD62=""),"",$AA62-AD62)</f>
        <v>#NAME?</v>
      </c>
      <c r="AG62" s="283"/>
      <c r="AH62" s="284" t="str">
        <f>IF(AG62=0,"",IFERROR(AG62/_xll.EVGTS($B$1,1,_xll.EVPRO($B$1,$H62,"COSBASIS"),$B$3,$B$5,$B$6,$B$7,$B$9,AG$16,AG$17,AG$18),""))</f>
        <v/>
      </c>
      <c r="AI62" s="286" t="e">
        <f ca="1">IF(AND($AA62="",AG62=""),"",$AA62-AG62)</f>
        <v>#NAME?</v>
      </c>
      <c r="AJ62" s="371">
        <f ca="1">IFERROR(AA62/AA$20,0)</f>
        <v>0</v>
      </c>
      <c r="AK62" s="372">
        <f ca="1">IFERROR(AD62/AD$20,0)</f>
        <v>0</v>
      </c>
      <c r="AL62" s="373">
        <f ca="1">IFERROR(AG62/AG$20,0)</f>
        <v>0</v>
      </c>
      <c r="AM62" s="374">
        <f ca="1">+IFERROR(ROUND(($AB62-AE62)*100,2)&amp;" pts.",0)</f>
        <v>0</v>
      </c>
      <c r="AN62" s="375">
        <f ca="1">+IFERROR(ROUND(($AB62-AH62)*100,2)&amp;" pts.",0)</f>
        <v>0</v>
      </c>
    </row>
    <row r="63" spans="1:40" x14ac:dyDescent="0.2">
      <c r="A63" s="6" t="s">
        <v>14</v>
      </c>
      <c r="B63" s="7"/>
      <c r="H63" s="10" t="s">
        <v>636</v>
      </c>
      <c r="I63" s="25" t="e">
        <f ca="1">_xll.EVPRO($B$1,$H63,"STYLE")</f>
        <v>#NAME?</v>
      </c>
      <c r="J63" s="25" t="e">
        <f ca="1">_xll.EVPRO($B$1,$H63,"CALC")</f>
        <v>#NAME?</v>
      </c>
      <c r="K63" s="64" t="e">
        <f t="shared" ref="K63:K70" ca="1" si="14">IF(AND(I63&gt;="T5"),"&gt;","")</f>
        <v>#NAME?</v>
      </c>
      <c r="L63" s="24" t="e">
        <f ca="1">_xll.EVPRO($B$1,H63,"JDEID")</f>
        <v>#NAME?</v>
      </c>
      <c r="M63" s="24" t="e">
        <f ca="1">IF(AND(I63="N",J63="N"),_xll.EVPRO($B$1,H63,"PSFTID"),"")</f>
        <v>#NAME?</v>
      </c>
      <c r="N63" s="24" t="e">
        <f ca="1">IF(_xll.EVDES(H63,$B$1)="#NODATA","",_xll.EVDES(H63,$B$1))</f>
        <v>#NAME?</v>
      </c>
      <c r="O63" s="295"/>
      <c r="P63" s="296"/>
      <c r="Q63" s="296"/>
      <c r="R63" s="296"/>
      <c r="S63" s="296"/>
      <c r="T63" s="296"/>
      <c r="U63" s="296"/>
      <c r="V63" s="296"/>
      <c r="W63" s="296"/>
      <c r="X63" s="296"/>
      <c r="Y63" s="296"/>
      <c r="Z63" s="296"/>
      <c r="AA63" s="296" t="e">
        <f t="shared" ca="1" si="12"/>
        <v>#NAME?</v>
      </c>
      <c r="AB63" s="297" t="e">
        <f ca="1">IF(AA63=0,"",IFERROR(AA63/_xll.EVGTS($B$1,1,_xll.EVPRO($B$1,$H63,"COSBASIS"),$B$3,$B$5,$B$6,$B$7,$B$9,AA$16,AA$17,AA$11),""))</f>
        <v>#NAME?</v>
      </c>
      <c r="AC63" s="263"/>
      <c r="AD63" s="296"/>
      <c r="AE63" s="297" t="str">
        <f>IF(AD63=0,"",IFERROR(AD63/_xll.EVGTS($B$1,1,_xll.EVPRO($B$1,$H63,"COSBASIS"),$B$3,$B$5,$B$6,$B$7,$B$9,AD$16,AD$17,AD$18),""))</f>
        <v/>
      </c>
      <c r="AF63" s="298" t="e">
        <f t="shared" ca="1" si="13"/>
        <v>#NAME?</v>
      </c>
      <c r="AG63" s="296"/>
      <c r="AH63" s="297" t="str">
        <f>IF(AG63=0,"",IFERROR(AG63/_xll.EVGTS($B$1,1,_xll.EVPRO($B$1,$H63,"COSBASIS"),$B$3,$B$5,$B$6,$B$7,$B$9,AG$16,AG$17,AG$18),""))</f>
        <v/>
      </c>
      <c r="AI63" s="299" t="e">
        <f t="shared" ref="AI63:AI70" ca="1" si="15">IF(AND($AA63="",AG63=""),"",$AA63-AG63)</f>
        <v>#NAME?</v>
      </c>
      <c r="AJ63" s="381">
        <f t="shared" ref="AJ63:AJ70" ca="1" si="16">IFERROR(AA63/AA$20,0)</f>
        <v>0</v>
      </c>
      <c r="AK63" s="382">
        <f t="shared" ref="AK63:AK70" ca="1" si="17">IFERROR(AD63/AD$20,0)</f>
        <v>0</v>
      </c>
      <c r="AL63" s="383">
        <f t="shared" ref="AL63:AL70" ca="1" si="18">IFERROR(AG63/AG$20,0)</f>
        <v>0</v>
      </c>
      <c r="AM63" s="384">
        <f t="shared" ref="AM63:AM70" ca="1" si="19">+IFERROR(ROUND(($AB63-AE63)*100,2)&amp;" pts.",0)</f>
        <v>0</v>
      </c>
      <c r="AN63" s="385">
        <f t="shared" ref="AN63:AN70" ca="1" si="20">+IFERROR(ROUND(($AB63-AH63)*100,2)&amp;" pts.",0)</f>
        <v>0</v>
      </c>
    </row>
    <row r="64" spans="1:40" x14ac:dyDescent="0.2">
      <c r="A64" s="6" t="s">
        <v>15</v>
      </c>
      <c r="B64" s="7"/>
      <c r="H64" s="10" t="s">
        <v>286</v>
      </c>
      <c r="I64" s="447" t="e">
        <f ca="1">_xll.EVPRO($B$1,$H64,"STYLE")</f>
        <v>#NAME?</v>
      </c>
      <c r="J64" s="447" t="e">
        <f ca="1">_xll.EVPRO($B$1,$H64,"CALC")</f>
        <v>#NAME?</v>
      </c>
      <c r="K64" s="448" t="e">
        <f t="shared" ca="1" si="14"/>
        <v>#NAME?</v>
      </c>
      <c r="L64" s="151" t="e">
        <f ca="1">_xll.EVPRO($B$1,H64,"JDEID")</f>
        <v>#NAME?</v>
      </c>
      <c r="M64" s="151" t="e">
        <f ca="1">IF(AND(I64="N",J64="N"),_xll.EVPRO($B$1,H64,"PSFTID"),"")</f>
        <v>#NAME?</v>
      </c>
      <c r="N64" s="151" t="e">
        <f ca="1">IF(_xll.EVDES(H64,$B$1)="#NODATA","",_xll.EVDES(H64,$B$1))</f>
        <v>#NAME?</v>
      </c>
      <c r="O64" s="202"/>
      <c r="P64" s="120"/>
      <c r="Q64" s="120"/>
      <c r="R64" s="120"/>
      <c r="S64" s="120"/>
      <c r="T64" s="120"/>
      <c r="U64" s="120"/>
      <c r="V64" s="120"/>
      <c r="W64" s="120"/>
      <c r="X64" s="120"/>
      <c r="Y64" s="120"/>
      <c r="Z64" s="120"/>
      <c r="AA64" s="120" t="e">
        <f t="shared" ca="1" si="12"/>
        <v>#NAME?</v>
      </c>
      <c r="AB64" s="121" t="e">
        <f ca="1">IF(AA64=0,"",IFERROR(AA64/_xll.EVGTS($B$1,1,_xll.EVPRO($B$1,$H64,"COSBASIS"),$B$3,$B$5,$B$6,$B$7,$B$9,AA$16,AA$17,AA$11),""))</f>
        <v>#NAME?</v>
      </c>
      <c r="AC64" s="123"/>
      <c r="AD64" s="120"/>
      <c r="AE64" s="121" t="str">
        <f>IF(AD64=0,"",IFERROR(AD64/_xll.EVGTS($B$1,1,_xll.EVPRO($B$1,$H64,"COSBASIS"),$B$3,$B$5,$B$6,$B$7,$B$9,AD$16,AD$17,AD$18),""))</f>
        <v/>
      </c>
      <c r="AF64" s="122" t="e">
        <f t="shared" ca="1" si="13"/>
        <v>#NAME?</v>
      </c>
      <c r="AG64" s="120"/>
      <c r="AH64" s="121" t="str">
        <f>IF(AG64=0,"",IFERROR(AG64/_xll.EVGTS($B$1,1,_xll.EVPRO($B$1,$H64,"COSBASIS"),$B$3,$B$5,$B$6,$B$7,$B$9,AG$16,AG$17,AG$18),""))</f>
        <v/>
      </c>
      <c r="AI64" s="264" t="e">
        <f t="shared" ca="1" si="15"/>
        <v>#NAME?</v>
      </c>
      <c r="AJ64" s="332">
        <f t="shared" ca="1" si="16"/>
        <v>0</v>
      </c>
      <c r="AK64" s="333">
        <f t="shared" ca="1" si="17"/>
        <v>0</v>
      </c>
      <c r="AL64" s="335">
        <f t="shared" ca="1" si="18"/>
        <v>0</v>
      </c>
      <c r="AM64" s="377">
        <f t="shared" ca="1" si="19"/>
        <v>0</v>
      </c>
      <c r="AN64" s="378">
        <f t="shared" ca="1" si="20"/>
        <v>0</v>
      </c>
    </row>
    <row r="65" spans="1:40" x14ac:dyDescent="0.2">
      <c r="A65" s="6" t="s">
        <v>16</v>
      </c>
      <c r="B65" s="7"/>
      <c r="H65" s="10" t="s">
        <v>287</v>
      </c>
      <c r="I65" s="447" t="e">
        <f ca="1">_xll.EVPRO($B$1,$H65,"STYLE")</f>
        <v>#NAME?</v>
      </c>
      <c r="J65" s="447" t="e">
        <f ca="1">_xll.EVPRO($B$1,$H65,"CALC")</f>
        <v>#NAME?</v>
      </c>
      <c r="K65" s="448" t="e">
        <f t="shared" ca="1" si="14"/>
        <v>#NAME?</v>
      </c>
      <c r="L65" s="151" t="e">
        <f ca="1">_xll.EVPRO($B$1,H65,"JDEID")</f>
        <v>#NAME?</v>
      </c>
      <c r="M65" s="151" t="e">
        <f ca="1">IF(AND(I65="N",J65="N"),_xll.EVPRO($B$1,H65,"PSFTID"),"")</f>
        <v>#NAME?</v>
      </c>
      <c r="N65" s="151" t="e">
        <f ca="1">IF(_xll.EVDES(H65,$B$1)="#NODATA","",_xll.EVDES(H65,$B$1))</f>
        <v>#NAME?</v>
      </c>
      <c r="O65" s="287"/>
      <c r="P65" s="288"/>
      <c r="Q65" s="288"/>
      <c r="R65" s="288"/>
      <c r="S65" s="288"/>
      <c r="T65" s="288"/>
      <c r="U65" s="288"/>
      <c r="V65" s="288"/>
      <c r="W65" s="288"/>
      <c r="X65" s="288"/>
      <c r="Y65" s="288"/>
      <c r="Z65" s="288"/>
      <c r="AA65" s="288" t="e">
        <f t="shared" ca="1" si="12"/>
        <v>#NAME?</v>
      </c>
      <c r="AB65" s="289" t="e">
        <f ca="1">IF(AA65=0,"",IFERROR(AA65/_xll.EVGTS($B$1,1,_xll.EVPRO($B$1,$H65,"COSBASIS"),$B$3,$B$5,$B$6,$B$7,$B$9,AA$16,AA$17,AA$11),""))</f>
        <v>#NAME?</v>
      </c>
      <c r="AC65" s="301"/>
      <c r="AD65" s="288"/>
      <c r="AE65" s="289" t="str">
        <f>IF(AD65=0,"",IFERROR(AD65/_xll.EVGTS($B$1,1,_xll.EVPRO($B$1,$H65,"COSBASIS"),$B$3,$B$5,$B$6,$B$7,$B$9,AD$16,AD$17,AD$18),""))</f>
        <v/>
      </c>
      <c r="AF65" s="290" t="e">
        <f t="shared" ca="1" si="13"/>
        <v>#NAME?</v>
      </c>
      <c r="AG65" s="288"/>
      <c r="AH65" s="289" t="str">
        <f>IF(AG65=0,"",IFERROR(AG65/_xll.EVGTS($B$1,1,_xll.EVPRO($B$1,$H65,"COSBASIS"),$B$3,$B$5,$B$6,$B$7,$B$9,AG$16,AG$17,AG$18),""))</f>
        <v/>
      </c>
      <c r="AI65" s="291" t="e">
        <f t="shared" ca="1" si="15"/>
        <v>#NAME?</v>
      </c>
      <c r="AJ65" s="325">
        <f t="shared" ca="1" si="16"/>
        <v>0</v>
      </c>
      <c r="AK65" s="326">
        <f t="shared" ca="1" si="17"/>
        <v>0</v>
      </c>
      <c r="AL65" s="328">
        <f t="shared" ca="1" si="18"/>
        <v>0</v>
      </c>
      <c r="AM65" s="362">
        <f t="shared" ca="1" si="19"/>
        <v>0</v>
      </c>
      <c r="AN65" s="376">
        <f t="shared" ca="1" si="20"/>
        <v>0</v>
      </c>
    </row>
    <row r="66" spans="1:40" x14ac:dyDescent="0.2">
      <c r="A66" s="6" t="s">
        <v>17</v>
      </c>
      <c r="B66" s="7"/>
      <c r="H66" s="10" t="s">
        <v>637</v>
      </c>
      <c r="I66" s="25" t="e">
        <f ca="1">_xll.EVPRO($B$1,$H66,"STYLE")</f>
        <v>#NAME?</v>
      </c>
      <c r="J66" s="25" t="e">
        <f ca="1">_xll.EVPRO($B$1,$H66,"CALC")</f>
        <v>#NAME?</v>
      </c>
      <c r="K66" s="64" t="e">
        <f t="shared" ca="1" si="14"/>
        <v>#NAME?</v>
      </c>
      <c r="L66" s="24" t="e">
        <f ca="1">_xll.EVPRO($B$1,H66,"JDEID")</f>
        <v>#NAME?</v>
      </c>
      <c r="M66" s="24" t="e">
        <f ca="1">IF(AND(I66="N",J66="N"),_xll.EVPRO($B$1,H66,"PSFTID"),"")</f>
        <v>#NAME?</v>
      </c>
      <c r="N66" s="24" t="e">
        <f ca="1">IF(_xll.EVDES(H66,$B$1)="#NODATA","",_xll.EVDES(H66,$B$1))</f>
        <v>#NAME?</v>
      </c>
      <c r="O66" s="282"/>
      <c r="P66" s="283"/>
      <c r="Q66" s="283"/>
      <c r="R66" s="283"/>
      <c r="S66" s="283"/>
      <c r="T66" s="283"/>
      <c r="U66" s="283"/>
      <c r="V66" s="283"/>
      <c r="W66" s="283"/>
      <c r="X66" s="283"/>
      <c r="Y66" s="283"/>
      <c r="Z66" s="283"/>
      <c r="AA66" s="283" t="e">
        <f t="shared" ca="1" si="12"/>
        <v>#NAME?</v>
      </c>
      <c r="AB66" s="284" t="e">
        <f ca="1">IF(AA66=0,"",IFERROR(AA66/_xll.EVGTS($B$1,1,_xll.EVPRO($B$1,$H66,"COSBASIS"),$B$3,$B$5,$B$6,$B$7,$B$9,AA$16,AA$17,AA$11),""))</f>
        <v>#NAME?</v>
      </c>
      <c r="AC66" s="300"/>
      <c r="AD66" s="283"/>
      <c r="AE66" s="284" t="str">
        <f>IF(AD66=0,"",IFERROR(AD66/_xll.EVGTS($B$1,1,_xll.EVPRO($B$1,$H66,"COSBASIS"),$B$3,$B$5,$B$6,$B$7,$B$9,AD$16,AD$17,AD$18),""))</f>
        <v/>
      </c>
      <c r="AF66" s="285" t="e">
        <f t="shared" ca="1" si="13"/>
        <v>#NAME?</v>
      </c>
      <c r="AG66" s="283"/>
      <c r="AH66" s="284" t="str">
        <f>IF(AG66=0,"",IFERROR(AG66/_xll.EVGTS($B$1,1,_xll.EVPRO($B$1,$H66,"COSBASIS"),$B$3,$B$5,$B$6,$B$7,$B$9,AG$16,AG$17,AG$18),""))</f>
        <v/>
      </c>
      <c r="AI66" s="286" t="e">
        <f t="shared" ca="1" si="15"/>
        <v>#NAME?</v>
      </c>
      <c r="AJ66" s="371">
        <f t="shared" ca="1" si="16"/>
        <v>0</v>
      </c>
      <c r="AK66" s="372">
        <f t="shared" ca="1" si="17"/>
        <v>0</v>
      </c>
      <c r="AL66" s="373">
        <f t="shared" ca="1" si="18"/>
        <v>0</v>
      </c>
      <c r="AM66" s="374">
        <f t="shared" ca="1" si="19"/>
        <v>0</v>
      </c>
      <c r="AN66" s="375">
        <f t="shared" ca="1" si="20"/>
        <v>0</v>
      </c>
    </row>
    <row r="67" spans="1:40" x14ac:dyDescent="0.2">
      <c r="H67" s="10" t="s">
        <v>638</v>
      </c>
      <c r="I67" s="25" t="e">
        <f ca="1">_xll.EVPRO($B$1,$H67,"STYLE")</f>
        <v>#NAME?</v>
      </c>
      <c r="J67" s="25" t="e">
        <f ca="1">_xll.EVPRO($B$1,$H67,"CALC")</f>
        <v>#NAME?</v>
      </c>
      <c r="K67" s="64" t="e">
        <f t="shared" ca="1" si="14"/>
        <v>#NAME?</v>
      </c>
      <c r="L67" s="24" t="e">
        <f ca="1">_xll.EVPRO($B$1,H67,"JDEID")</f>
        <v>#NAME?</v>
      </c>
      <c r="M67" s="24" t="e">
        <f ca="1">IF(AND(I67="N",J67="N"),_xll.EVPRO($B$1,H67,"PSFTID"),"")</f>
        <v>#NAME?</v>
      </c>
      <c r="N67" s="24" t="e">
        <f ca="1">IF(_xll.EVDES(H67,$B$1)="#NODATA","",_xll.EVDES(H67,$B$1))</f>
        <v>#NAME?</v>
      </c>
      <c r="O67" s="282"/>
      <c r="P67" s="283"/>
      <c r="Q67" s="283"/>
      <c r="R67" s="283"/>
      <c r="S67" s="283"/>
      <c r="T67" s="283"/>
      <c r="U67" s="283"/>
      <c r="V67" s="283"/>
      <c r="W67" s="283"/>
      <c r="X67" s="283"/>
      <c r="Y67" s="283"/>
      <c r="Z67" s="283"/>
      <c r="AA67" s="283" t="e">
        <f t="shared" ca="1" si="12"/>
        <v>#NAME?</v>
      </c>
      <c r="AB67" s="284" t="e">
        <f ca="1">IF(AA67=0,"",IFERROR(AA67/_xll.EVGTS($B$1,1,_xll.EVPRO($B$1,$H67,"COSBASIS"),$B$3,$B$5,$B$6,$B$7,$B$9,AA$16,AA$17,AA$11),""))</f>
        <v>#NAME?</v>
      </c>
      <c r="AC67" s="300"/>
      <c r="AD67" s="283"/>
      <c r="AE67" s="284" t="str">
        <f>IF(AD67=0,"",IFERROR(AD67/_xll.EVGTS($B$1,1,_xll.EVPRO($B$1,$H67,"COSBASIS"),$B$3,$B$5,$B$6,$B$7,$B$9,AD$16,AD$17,AD$18),""))</f>
        <v/>
      </c>
      <c r="AF67" s="285" t="e">
        <f t="shared" ca="1" si="13"/>
        <v>#NAME?</v>
      </c>
      <c r="AG67" s="283"/>
      <c r="AH67" s="284" t="str">
        <f>IF(AG67=0,"",IFERROR(AG67/_xll.EVGTS($B$1,1,_xll.EVPRO($B$1,$H67,"COSBASIS"),$B$3,$B$5,$B$6,$B$7,$B$9,AG$16,AG$17,AG$18),""))</f>
        <v/>
      </c>
      <c r="AI67" s="286" t="e">
        <f t="shared" ca="1" si="15"/>
        <v>#NAME?</v>
      </c>
      <c r="AJ67" s="371">
        <f t="shared" ca="1" si="16"/>
        <v>0</v>
      </c>
      <c r="AK67" s="372">
        <f t="shared" ca="1" si="17"/>
        <v>0</v>
      </c>
      <c r="AL67" s="373">
        <f t="shared" ca="1" si="18"/>
        <v>0</v>
      </c>
      <c r="AM67" s="374">
        <f t="shared" ca="1" si="19"/>
        <v>0</v>
      </c>
      <c r="AN67" s="375">
        <f t="shared" ca="1" si="20"/>
        <v>0</v>
      </c>
    </row>
    <row r="68" spans="1:40" x14ac:dyDescent="0.2">
      <c r="A68" s="20" t="s">
        <v>92</v>
      </c>
      <c r="B68" s="21" t="s">
        <v>93</v>
      </c>
      <c r="C68" s="21" t="s">
        <v>94</v>
      </c>
      <c r="D68" s="21" t="s">
        <v>95</v>
      </c>
      <c r="E68" s="21" t="s">
        <v>96</v>
      </c>
      <c r="F68" s="22" t="s">
        <v>97</v>
      </c>
      <c r="H68" s="10" t="s">
        <v>639</v>
      </c>
      <c r="I68" s="25" t="e">
        <f ca="1">_xll.EVPRO($B$1,$H68,"STYLE")</f>
        <v>#NAME?</v>
      </c>
      <c r="J68" s="25" t="e">
        <f ca="1">_xll.EVPRO($B$1,$H68,"CALC")</f>
        <v>#NAME?</v>
      </c>
      <c r="K68" s="64" t="e">
        <f t="shared" ca="1" si="14"/>
        <v>#NAME?</v>
      </c>
      <c r="L68" s="24" t="e">
        <f ca="1">_xll.EVPRO($B$1,H68,"JDEID")</f>
        <v>#NAME?</v>
      </c>
      <c r="M68" s="24" t="e">
        <f ca="1">IF(AND(I68="N",J68="N"),_xll.EVPRO($B$1,H68,"PSFTID"),"")</f>
        <v>#NAME?</v>
      </c>
      <c r="N68" s="24" t="e">
        <f ca="1">IF(_xll.EVDES(H68,$B$1)="#NODATA","",_xll.EVDES(H68,$B$1))</f>
        <v>#NAME?</v>
      </c>
      <c r="O68" s="295"/>
      <c r="P68" s="296"/>
      <c r="Q68" s="296"/>
      <c r="R68" s="296"/>
      <c r="S68" s="296"/>
      <c r="T68" s="296"/>
      <c r="U68" s="296"/>
      <c r="V68" s="296"/>
      <c r="W68" s="296"/>
      <c r="X68" s="296"/>
      <c r="Y68" s="296"/>
      <c r="Z68" s="296"/>
      <c r="AA68" s="296" t="e">
        <f t="shared" ca="1" si="12"/>
        <v>#NAME?</v>
      </c>
      <c r="AB68" s="297" t="e">
        <f ca="1">IF(AA68=0,"",IFERROR(AA68/_xll.EVGTS($B$1,1,_xll.EVPRO($B$1,$H68,"COSBASIS"),$B$3,$B$5,$B$6,$B$7,$B$9,AA$16,AA$17,AA$11),""))</f>
        <v>#NAME?</v>
      </c>
      <c r="AC68" s="263"/>
      <c r="AD68" s="296"/>
      <c r="AE68" s="297" t="str">
        <f>IF(AD68=0,"",IFERROR(AD68/_xll.EVGTS($B$1,1,_xll.EVPRO($B$1,$H68,"COSBASIS"),$B$3,$B$5,$B$6,$B$7,$B$9,AD$16,AD$17,AD$18),""))</f>
        <v/>
      </c>
      <c r="AF68" s="298" t="e">
        <f t="shared" ca="1" si="13"/>
        <v>#NAME?</v>
      </c>
      <c r="AG68" s="296"/>
      <c r="AH68" s="297" t="str">
        <f>IF(AG68=0,"",IFERROR(AG68/_xll.EVGTS($B$1,1,_xll.EVPRO($B$1,$H68,"COSBASIS"),$B$3,$B$5,$B$6,$B$7,$B$9,AG$16,AG$17,AG$18),""))</f>
        <v/>
      </c>
      <c r="AI68" s="299" t="e">
        <f t="shared" ca="1" si="15"/>
        <v>#NAME?</v>
      </c>
      <c r="AJ68" s="381">
        <f t="shared" ca="1" si="16"/>
        <v>0</v>
      </c>
      <c r="AK68" s="382">
        <f t="shared" ca="1" si="17"/>
        <v>0</v>
      </c>
      <c r="AL68" s="383">
        <f t="shared" ca="1" si="18"/>
        <v>0</v>
      </c>
      <c r="AM68" s="384">
        <f t="shared" ca="1" si="19"/>
        <v>0</v>
      </c>
      <c r="AN68" s="385">
        <f t="shared" ca="1" si="20"/>
        <v>0</v>
      </c>
    </row>
    <row r="69" spans="1:40" x14ac:dyDescent="0.2">
      <c r="H69" s="10" t="s">
        <v>288</v>
      </c>
      <c r="I69" s="447" t="e">
        <f ca="1">_xll.EVPRO($B$1,$H69,"STYLE")</f>
        <v>#NAME?</v>
      </c>
      <c r="J69" s="447" t="e">
        <f ca="1">_xll.EVPRO($B$1,$H69,"CALC")</f>
        <v>#NAME?</v>
      </c>
      <c r="K69" s="448" t="e">
        <f t="shared" ca="1" si="14"/>
        <v>#NAME?</v>
      </c>
      <c r="L69" s="151" t="e">
        <f ca="1">_xll.EVPRO($B$1,H69,"JDEID")</f>
        <v>#NAME?</v>
      </c>
      <c r="M69" s="151" t="e">
        <f ca="1">IF(AND(I69="N",J69="N"),_xll.EVPRO($B$1,H69,"PSFTID"),"")</f>
        <v>#NAME?</v>
      </c>
      <c r="N69" s="151" t="e">
        <f ca="1">IF(_xll.EVDES(H69,$B$1)="#NODATA","",_xll.EVDES(H69,$B$1))</f>
        <v>#NAME?</v>
      </c>
      <c r="O69" s="203"/>
      <c r="P69" s="33"/>
      <c r="Q69" s="33"/>
      <c r="R69" s="33"/>
      <c r="S69" s="33"/>
      <c r="T69" s="33"/>
      <c r="U69" s="33"/>
      <c r="V69" s="33"/>
      <c r="W69" s="33"/>
      <c r="X69" s="33"/>
      <c r="Y69" s="33"/>
      <c r="Z69" s="33"/>
      <c r="AA69" s="33" t="e">
        <f t="shared" ca="1" si="12"/>
        <v>#NAME?</v>
      </c>
      <c r="AB69" s="34" t="e">
        <f ca="1">IF(AA69=0,"",IFERROR(AA69/_xll.EVGTS($B$1,1,_xll.EVPRO($B$1,$H69,"COSBASIS"),$B$3,$B$5,$B$6,$B$7,$B$9,AA$16,AA$17,AA$11),""))</f>
        <v>#NAME?</v>
      </c>
      <c r="AC69" s="32"/>
      <c r="AD69" s="33"/>
      <c r="AE69" s="34" t="str">
        <f>IF(AD69=0,"",IFERROR(AD69/_xll.EVGTS($B$1,1,_xll.EVPRO($B$1,$H69,"COSBASIS"),$B$3,$B$5,$B$6,$B$7,$B$9,AD$16,AD$17,AD$18),""))</f>
        <v/>
      </c>
      <c r="AF69" s="54" t="e">
        <f t="shared" ca="1" si="13"/>
        <v>#NAME?</v>
      </c>
      <c r="AG69" s="33"/>
      <c r="AH69" s="34" t="str">
        <f>IF(AG69=0,"",IFERROR(AG69/_xll.EVGTS($B$1,1,_xll.EVPRO($B$1,$H69,"COSBASIS"),$B$3,$B$5,$B$6,$B$7,$B$9,AG$16,AG$17,AG$18),""))</f>
        <v/>
      </c>
      <c r="AI69" s="265" t="e">
        <f t="shared" ca="1" si="15"/>
        <v>#NAME?</v>
      </c>
      <c r="AJ69" s="344">
        <f t="shared" ca="1" si="16"/>
        <v>0</v>
      </c>
      <c r="AK69" s="345">
        <f t="shared" ca="1" si="17"/>
        <v>0</v>
      </c>
      <c r="AL69" s="347">
        <f t="shared" ca="1" si="18"/>
        <v>0</v>
      </c>
      <c r="AM69" s="379">
        <f t="shared" ca="1" si="19"/>
        <v>0</v>
      </c>
      <c r="AN69" s="380">
        <f t="shared" ca="1" si="20"/>
        <v>0</v>
      </c>
    </row>
    <row r="70" spans="1:40" x14ac:dyDescent="0.2">
      <c r="A70" s="1" t="s">
        <v>209</v>
      </c>
      <c r="B70" s="1" t="s">
        <v>21</v>
      </c>
      <c r="C70" s="70"/>
      <c r="D70" s="1" t="s">
        <v>590</v>
      </c>
      <c r="F70" s="1" t="s">
        <v>99</v>
      </c>
      <c r="H70" s="10" t="s">
        <v>289</v>
      </c>
      <c r="I70" s="447" t="e">
        <f ca="1">_xll.EVPRO($B$1,$H70,"STYLE")</f>
        <v>#NAME?</v>
      </c>
      <c r="J70" s="447" t="e">
        <f ca="1">_xll.EVPRO($B$1,$H70,"CALC")</f>
        <v>#NAME?</v>
      </c>
      <c r="K70" s="448" t="e">
        <f t="shared" ca="1" si="14"/>
        <v>#NAME?</v>
      </c>
      <c r="L70" s="151" t="e">
        <f ca="1">_xll.EVPRO($B$1,H70,"JDEID")</f>
        <v>#NAME?</v>
      </c>
      <c r="M70" s="151" t="e">
        <f ca="1">IF(AND(I70="N",J70="N"),_xll.EVPRO($B$1,H70,"PSFTID"),"")</f>
        <v>#NAME?</v>
      </c>
      <c r="N70" s="151" t="e">
        <f ca="1">IF(_xll.EVDES(H70,$B$1)="#NODATA","",_xll.EVDES(H70,$B$1))</f>
        <v>#NAME?</v>
      </c>
      <c r="O70" s="202"/>
      <c r="P70" s="120"/>
      <c r="Q70" s="120"/>
      <c r="R70" s="120"/>
      <c r="S70" s="120"/>
      <c r="T70" s="120"/>
      <c r="U70" s="120"/>
      <c r="V70" s="120"/>
      <c r="W70" s="120"/>
      <c r="X70" s="120"/>
      <c r="Y70" s="120"/>
      <c r="Z70" s="120"/>
      <c r="AA70" s="120" t="e">
        <f t="shared" ca="1" si="12"/>
        <v>#NAME?</v>
      </c>
      <c r="AB70" s="121" t="e">
        <f ca="1">IF(AA70=0,"",IFERROR(AA70/_xll.EVGTS($B$1,1,_xll.EVPRO($B$1,$H70,"COSBASIS"),$B$3,$B$5,$B$6,$B$7,$B$9,AA$16,AA$17,AA$11),""))</f>
        <v>#NAME?</v>
      </c>
      <c r="AC70" s="123"/>
      <c r="AD70" s="120"/>
      <c r="AE70" s="121" t="str">
        <f>IF(AD70=0,"",IFERROR(AD70/_xll.EVGTS($B$1,1,_xll.EVPRO($B$1,$H70,"COSBASIS"),$B$3,$B$5,$B$6,$B$7,$B$9,AD$16,AD$17,AD$18),""))</f>
        <v/>
      </c>
      <c r="AF70" s="122" t="e">
        <f t="shared" ca="1" si="13"/>
        <v>#NAME?</v>
      </c>
      <c r="AG70" s="120"/>
      <c r="AH70" s="121" t="str">
        <f>IF(AG70=0,"",IFERROR(AG70/_xll.EVGTS($B$1,1,_xll.EVPRO($B$1,$H70,"COSBASIS"),$B$3,$B$5,$B$6,$B$7,$B$9,AG$16,AG$17,AG$18),""))</f>
        <v/>
      </c>
      <c r="AI70" s="264" t="e">
        <f t="shared" ca="1" si="15"/>
        <v>#NAME?</v>
      </c>
      <c r="AJ70" s="332">
        <f t="shared" ca="1" si="16"/>
        <v>0</v>
      </c>
      <c r="AK70" s="333">
        <f t="shared" ca="1" si="17"/>
        <v>0</v>
      </c>
      <c r="AL70" s="335">
        <f t="shared" ca="1" si="18"/>
        <v>0</v>
      </c>
      <c r="AM70" s="377">
        <f t="shared" ca="1" si="19"/>
        <v>0</v>
      </c>
      <c r="AN70" s="378">
        <f t="shared" ca="1" si="20"/>
        <v>0</v>
      </c>
    </row>
    <row r="71" spans="1:40" x14ac:dyDescent="0.2">
      <c r="A71" s="1" t="s">
        <v>105</v>
      </c>
      <c r="C71" s="24" t="s">
        <v>101</v>
      </c>
      <c r="D71" s="1" t="s">
        <v>106</v>
      </c>
      <c r="F71" s="1" t="s">
        <v>98</v>
      </c>
      <c r="H71" s="133" t="s">
        <v>175</v>
      </c>
      <c r="I71" s="26" t="e">
        <f ca="1">_xll.EVPRO($B$1,$H71,"STYLE")</f>
        <v>#NAME?</v>
      </c>
      <c r="J71" s="26" t="e">
        <f ca="1">_xll.EVPRO($B$1,$H71,"CALC")</f>
        <v>#NAME?</v>
      </c>
      <c r="K71" s="65" t="e">
        <f ca="1">IF(AND(I71&gt;="T5"),"&gt;","")</f>
        <v>#NAME?</v>
      </c>
      <c r="L71" s="65"/>
      <c r="M71" s="65"/>
      <c r="N71" s="23" t="e">
        <f ca="1">IF(_xll.EVDES(H71,$B$1)="#NODATA","",_xll.EVDES(H71,$B$1))</f>
        <v>#NAME?</v>
      </c>
      <c r="O71" s="44"/>
      <c r="P71" s="44"/>
      <c r="Q71" s="44"/>
      <c r="R71" s="44"/>
      <c r="S71" s="44"/>
      <c r="T71" s="44"/>
      <c r="U71" s="44"/>
      <c r="V71" s="44"/>
      <c r="W71" s="44"/>
      <c r="X71" s="44"/>
      <c r="Y71" s="44"/>
      <c r="Z71" s="44"/>
      <c r="AA71" s="44"/>
      <c r="AB71" s="45" t="str">
        <f>IF(O71=0,"",IFERROR(O71/_xll.EVGTS($B$1,1,INDEX($C$152:$C$175,MATCH($H71,$A$152:$A$175,0)),$B$3,$B$5,$B$6,$B$7,$B$9,O$16,O$17,O$18),""))</f>
        <v/>
      </c>
      <c r="AD71" s="44"/>
      <c r="AE71" s="45" t="str">
        <f>IF(AD71=0,"",IFERROR(AD71/_xll.EVGTS($B$1,1,INDEX($C$152:$C$175,MATCH($H71,$A$152:$A$175,0)),$B$3,$B$5,$B$6,$B$7,$B$9,AD$16,AD$17,AD$18),""))</f>
        <v/>
      </c>
      <c r="AF71" s="134" t="str">
        <f t="shared" ref="AF71:AF72" si="21">IF(AND($AA71="",AD71=""),"",$AA71-AD71)</f>
        <v/>
      </c>
      <c r="AG71" s="44"/>
      <c r="AH71" s="45" t="str">
        <f>IF(AG71=0,"",IFERROR(AG71/_xll.EVGTS($B$1,1,INDEX($C$152:$C$175,MATCH($H71,$A$152:$A$175,0)),$B$3,$B$5,$B$6,$B$7,$B$9,AG$16,AG$17,AG$18),""))</f>
        <v/>
      </c>
      <c r="AI71" s="134" t="str">
        <f>IF(AND($AA71="",AG71=""),"",$AA71-AG71)</f>
        <v/>
      </c>
    </row>
    <row r="72" spans="1:40" x14ac:dyDescent="0.2">
      <c r="A72" s="1" t="s">
        <v>104</v>
      </c>
      <c r="C72" s="24" t="s">
        <v>101</v>
      </c>
      <c r="D72" s="1" t="s">
        <v>106</v>
      </c>
      <c r="F72" s="1" t="s">
        <v>98</v>
      </c>
      <c r="H72" s="133" t="s">
        <v>292</v>
      </c>
      <c r="I72" s="26" t="e">
        <f ca="1">_xll.EVPRO($B$1,$H72,"STYLE")</f>
        <v>#NAME?</v>
      </c>
      <c r="J72" s="26" t="e">
        <f ca="1">_xll.EVPRO($B$1,$H72,"CALC")</f>
        <v>#NAME?</v>
      </c>
      <c r="K72" s="65" t="e">
        <f ca="1">IF(AND(I72&gt;="T5"),"&gt;","")</f>
        <v>#NAME?</v>
      </c>
      <c r="L72" s="65"/>
      <c r="M72" s="65"/>
      <c r="N72" s="23" t="e">
        <f ca="1">IF(_xll.EVDES(H72,$B$1)="#NODATA","",_xll.EVDES(H72,$B$1))</f>
        <v>#NAME?</v>
      </c>
      <c r="O72" s="145">
        <f>SUMIF($H$35:$H$70,"400000",O35:O70)-SUMIF($H$35:$H$70,"500001",O35:O70)</f>
        <v>0</v>
      </c>
      <c r="P72" s="145">
        <f t="shared" ref="P72:Y72" si="22">SUMIF($H$35:$H$70,"400000",P35:P70)-SUMIF($H$35:$H$70,"500001",P35:P70)</f>
        <v>0</v>
      </c>
      <c r="Q72" s="145">
        <f t="shared" si="22"/>
        <v>0</v>
      </c>
      <c r="R72" s="145">
        <f t="shared" si="22"/>
        <v>0</v>
      </c>
      <c r="S72" s="145">
        <f t="shared" si="22"/>
        <v>0</v>
      </c>
      <c r="T72" s="145">
        <f t="shared" si="22"/>
        <v>0</v>
      </c>
      <c r="U72" s="145">
        <f t="shared" si="22"/>
        <v>0</v>
      </c>
      <c r="V72" s="145">
        <f t="shared" si="22"/>
        <v>0</v>
      </c>
      <c r="W72" s="145">
        <f t="shared" si="22"/>
        <v>0</v>
      </c>
      <c r="X72" s="145">
        <f t="shared" si="22"/>
        <v>0</v>
      </c>
      <c r="Y72" s="145">
        <f t="shared" si="22"/>
        <v>0</v>
      </c>
      <c r="Z72" s="145">
        <f>SUMIF($H$35:$H$70,"400000",Z35:Z70)-SUMIF($H$35:$H$70,"500001",Z35:Z70)</f>
        <v>0</v>
      </c>
      <c r="AA72" s="120" t="e">
        <f ca="1">IF($I72="B1","",SUM(O72:Z72))</f>
        <v>#NAME?</v>
      </c>
      <c r="AB72" s="121" t="e">
        <f ca="1">IF(AA72=0,"",IFERROR(AA72/AA$19,""))</f>
        <v>#NAME?</v>
      </c>
      <c r="AD72" s="145">
        <f>SUMIF($H$35:$H$70,"400000",AD35:AD70)-SUMIF($H$35:$H$70,"500001",AD35:AD70)</f>
        <v>0</v>
      </c>
      <c r="AE72" s="121" t="str">
        <f>IF(AD72=0,"",IFERROR(AD72/AD$19,""))</f>
        <v/>
      </c>
      <c r="AF72" s="146" t="e">
        <f t="shared" ca="1" si="21"/>
        <v>#NAME?</v>
      </c>
      <c r="AG72" s="145">
        <f>SUMIF($H$35:$H$70,"400000",AG35:AG70)-SUMIF($H$35:$H$70,"500001",AG35:AG70)</f>
        <v>0</v>
      </c>
      <c r="AH72" s="121" t="str">
        <f>IF(AG72=0,"",IFERROR(AG72/AG$19,""))</f>
        <v/>
      </c>
      <c r="AI72" s="146" t="e">
        <f ca="1">IF(AND($AA72="",AG72=""),"",$AA72-AG72)</f>
        <v>#NAME?</v>
      </c>
      <c r="AJ72" s="332">
        <f ca="1">IFERROR(AA72/AA$20,0)</f>
        <v>0</v>
      </c>
      <c r="AK72" s="333">
        <f ca="1">IFERROR(AD72/AD$20,0)</f>
        <v>0</v>
      </c>
      <c r="AL72" s="335">
        <f ca="1">IFERROR(AG72/AG$20,0)</f>
        <v>0</v>
      </c>
      <c r="AM72" s="377">
        <f ca="1">+IFERROR(ROUND(($AB72-AE72)*100,2)&amp;" pts.",0)</f>
        <v>0</v>
      </c>
      <c r="AN72" s="378">
        <f ca="1">+IFERROR(ROUND(($AB72-AH72)*100,2)&amp;" pts.",0)</f>
        <v>0</v>
      </c>
    </row>
    <row r="73" spans="1:40" x14ac:dyDescent="0.2">
      <c r="A73" s="1" t="s">
        <v>100</v>
      </c>
      <c r="C73" s="8" t="s">
        <v>101</v>
      </c>
      <c r="D73" s="1" t="s">
        <v>106</v>
      </c>
      <c r="F73" s="1" t="s">
        <v>98</v>
      </c>
      <c r="O73" s="144"/>
      <c r="P73" s="147"/>
      <c r="Q73" s="147"/>
      <c r="R73" s="147"/>
      <c r="S73" s="147"/>
      <c r="T73" s="147"/>
      <c r="U73" s="147"/>
      <c r="V73" s="147"/>
      <c r="W73" s="147"/>
      <c r="X73" s="147"/>
      <c r="Y73" s="147"/>
      <c r="Z73" s="147"/>
      <c r="AA73" s="147"/>
      <c r="AB73" s="51"/>
      <c r="AD73" s="50"/>
      <c r="AF73" s="51"/>
      <c r="AI73" s="51"/>
    </row>
    <row r="74" spans="1:40" x14ac:dyDescent="0.2">
      <c r="A74" s="1" t="s">
        <v>102</v>
      </c>
      <c r="C74" s="23" t="s">
        <v>101</v>
      </c>
      <c r="D74" s="1" t="s">
        <v>106</v>
      </c>
      <c r="F74" s="1" t="s">
        <v>98</v>
      </c>
      <c r="H74" s="1" t="s">
        <v>73</v>
      </c>
      <c r="I74" s="11" t="e">
        <f ca="1">_xll.EVPRO($B$1,$H74,"STYLE")</f>
        <v>#NAME?</v>
      </c>
      <c r="J74" s="11" t="e">
        <f ca="1">_xll.EVPRO($B$1,$H74,"CALC")</f>
        <v>#NAME?</v>
      </c>
      <c r="N74" s="37" t="e">
        <f ca="1">IF(_xll.EVDES(H74,$B$1)="#NODATA","",_xll.EVDES(H74,$B$1))</f>
        <v>#NAME?</v>
      </c>
      <c r="O74" s="50"/>
      <c r="AB74" s="149"/>
      <c r="AD74" s="148"/>
      <c r="AE74" s="150"/>
      <c r="AF74" s="51"/>
      <c r="AH74" s="150"/>
      <c r="AI74" s="51"/>
    </row>
    <row r="75" spans="1:40" x14ac:dyDescent="0.2">
      <c r="A75" s="1" t="s">
        <v>102</v>
      </c>
      <c r="C75" s="135" t="s">
        <v>101</v>
      </c>
      <c r="D75" s="1" t="s">
        <v>107</v>
      </c>
      <c r="F75" s="1" t="s">
        <v>99</v>
      </c>
      <c r="H75" s="1" t="s">
        <v>74</v>
      </c>
      <c r="I75" s="11" t="e">
        <f ca="1">_xll.EVPRO($B$1,$H75,"STYLE")</f>
        <v>#NAME?</v>
      </c>
      <c r="J75" s="11" t="e">
        <f ca="1">_xll.EVPRO($B$1,$H75,"CALC")</f>
        <v>#NAME?</v>
      </c>
      <c r="N75" s="8" t="e">
        <f ca="1">IF(_xll.EVDES(H75,$B$1)="#NODATA","",_xll.EVDES(H75,$B$1))</f>
        <v>#NAME?</v>
      </c>
      <c r="O75" s="40"/>
      <c r="P75" s="43"/>
      <c r="Q75" s="43"/>
      <c r="R75" s="43"/>
      <c r="S75" s="43"/>
      <c r="T75" s="43"/>
      <c r="U75" s="43"/>
      <c r="V75" s="43"/>
      <c r="W75" s="43"/>
      <c r="X75" s="43"/>
      <c r="Y75" s="43"/>
      <c r="Z75" s="43"/>
      <c r="AA75" s="43"/>
      <c r="AB75" s="41"/>
      <c r="AD75" s="40"/>
      <c r="AE75" s="43"/>
      <c r="AF75" s="41"/>
      <c r="AG75" s="43"/>
      <c r="AH75" s="43"/>
      <c r="AI75" s="41"/>
    </row>
    <row r="76" spans="1:40" hidden="1" x14ac:dyDescent="0.2">
      <c r="A76" s="1" t="s">
        <v>108</v>
      </c>
      <c r="C76" s="23" t="s">
        <v>101</v>
      </c>
      <c r="D76" s="1" t="s">
        <v>106</v>
      </c>
      <c r="F76" s="1" t="s">
        <v>98</v>
      </c>
      <c r="H76" s="10" t="s">
        <v>667</v>
      </c>
      <c r="I76" s="25" t="e">
        <f ca="1">_xll.EVPRO($B$1,$H76,"STYLE")</f>
        <v>#NAME?</v>
      </c>
      <c r="J76" s="25" t="e">
        <f ca="1">_xll.EVPRO($B$1,$H76,"CALC")</f>
        <v>#NAME?</v>
      </c>
      <c r="K76" s="64" t="e">
        <f ca="1">IF(AND(I76&gt;="T3"),"&gt;","")</f>
        <v>#NAME?</v>
      </c>
      <c r="L76" s="24" t="e">
        <f ca="1">_xll.EVPRO($B$1,H76,"JDEID")</f>
        <v>#NAME?</v>
      </c>
      <c r="M76" s="24" t="e">
        <f ca="1">IF(AND(I76="N",J76="N"),_xll.EVPRO($B$1,H76,"PSFTID"),"")</f>
        <v>#NAME?</v>
      </c>
      <c r="N76" s="24" t="e">
        <f ca="1">IF(_xll.EVDES(H76,$B$1)="#NODATA","",_xll.EVDES(H76,$B$1))</f>
        <v>#NAME?</v>
      </c>
      <c r="O76" s="35"/>
      <c r="P76" s="35"/>
      <c r="Q76" s="35"/>
      <c r="R76" s="35"/>
      <c r="S76" s="35"/>
      <c r="T76" s="35"/>
      <c r="U76" s="35"/>
      <c r="V76" s="35"/>
      <c r="W76" s="35"/>
      <c r="X76" s="35"/>
      <c r="Y76" s="35"/>
      <c r="Z76" s="35"/>
      <c r="AA76" s="283" t="e">
        <f ca="1">IF($I76="B1","",SUM(O76:Z76))</f>
        <v>#NAME?</v>
      </c>
      <c r="AB76" s="36" t="e">
        <f ca="1">IF(AA76=0,"",IFERROR(AA76/AA$19,""))</f>
        <v>#NAME?</v>
      </c>
      <c r="AD76" s="35"/>
      <c r="AE76" s="36" t="str">
        <f>IF(AD76=0,"",IFERROR(AD76/AD$19,""))</f>
        <v/>
      </c>
      <c r="AF76" s="118" t="e">
        <f ca="1">IF(AND($AA76="",AD76=""),"",$AA76-AD76)</f>
        <v>#NAME?</v>
      </c>
      <c r="AG76" s="35"/>
      <c r="AH76" s="36" t="str">
        <f>IF(AG76=0,"",IFERROR(AG76/AG$19,""))</f>
        <v/>
      </c>
      <c r="AI76" s="118" t="e">
        <f ca="1">IF(AND($AA76="",AG76=""),"",$AA76-AG76)</f>
        <v>#NAME?</v>
      </c>
      <c r="AJ76" s="371">
        <f ca="1">IFERROR(AA76/AA$20,0)</f>
        <v>0</v>
      </c>
      <c r="AK76" s="372">
        <f ca="1">IFERROR(AD76/AD$20,0)</f>
        <v>0</v>
      </c>
      <c r="AL76" s="373">
        <f ca="1">IFERROR(AG76/AG$20,0)</f>
        <v>0</v>
      </c>
      <c r="AM76" s="374">
        <f ca="1">+IFERROR(ROUND(($AB76-AE76)*100,2)&amp;" pts.",0)</f>
        <v>0</v>
      </c>
      <c r="AN76" s="375">
        <f ca="1">+IFERROR(ROUND(($AB76-AH76)*100,2)&amp;" pts.",0)</f>
        <v>0</v>
      </c>
    </row>
    <row r="77" spans="1:40" hidden="1" x14ac:dyDescent="0.2">
      <c r="A77" s="1" t="s">
        <v>108</v>
      </c>
      <c r="C77" s="135" t="s">
        <v>101</v>
      </c>
      <c r="D77" s="1" t="s">
        <v>107</v>
      </c>
      <c r="F77" s="1" t="s">
        <v>99</v>
      </c>
      <c r="H77" s="10"/>
      <c r="I77" s="25" t="e">
        <f ca="1">_xll.EVPRO($B$1,$H77,"STYLE")</f>
        <v>#NAME?</v>
      </c>
      <c r="J77" s="25" t="e">
        <f ca="1">_xll.EVPRO($B$1,$H77,"CALC")</f>
        <v>#NAME?</v>
      </c>
      <c r="K77" s="64" t="e">
        <f ca="1">IF(AND(I77&gt;="T3"),"&gt;","")</f>
        <v>#NAME?</v>
      </c>
      <c r="L77" s="24" t="e">
        <f ca="1">_xll.EVPRO($B$1,H77,"JDEID")</f>
        <v>#NAME?</v>
      </c>
      <c r="M77" s="24" t="e">
        <f ca="1">IF(AND(I77="N",J77="N"),_xll.EVPRO($B$1,H77,"PSFTID"),"")</f>
        <v>#NAME?</v>
      </c>
      <c r="N77" s="24" t="e">
        <f ca="1">IF(_xll.EVDES(H77,$B$1)="#NODATA","",_xll.EVDES(H77,$B$1))</f>
        <v>#NAME?</v>
      </c>
      <c r="O77" s="35"/>
      <c r="P77" s="35"/>
      <c r="Q77" s="35"/>
      <c r="R77" s="35"/>
      <c r="S77" s="35"/>
      <c r="T77" s="35"/>
      <c r="U77" s="35"/>
      <c r="V77" s="35"/>
      <c r="W77" s="35"/>
      <c r="X77" s="35"/>
      <c r="Y77" s="35"/>
      <c r="Z77" s="35"/>
      <c r="AA77" s="283" t="e">
        <f ca="1">IF($I77="B1","",SUM(O77:Z77))</f>
        <v>#NAME?</v>
      </c>
      <c r="AB77" s="36" t="e">
        <f ca="1">IF(AA77=0,"",IFERROR(AA77/AA$19,""))</f>
        <v>#NAME?</v>
      </c>
      <c r="AD77" s="35"/>
      <c r="AE77" s="36" t="str">
        <f>IF(AD77=0,"",IFERROR(AD77/AD$19,""))</f>
        <v/>
      </c>
      <c r="AF77" s="118" t="e">
        <f ca="1">IF(AND($AA77="",AD77=""),"",$AA77-AD77)</f>
        <v>#NAME?</v>
      </c>
      <c r="AG77" s="35"/>
      <c r="AH77" s="36" t="str">
        <f>IF(AG77=0,"",IFERROR(AG77/AG$19,""))</f>
        <v/>
      </c>
      <c r="AI77" s="118" t="e">
        <f ca="1">IF(AND($AA77="",AG77=""),"",$AA77-AG77)</f>
        <v>#NAME?</v>
      </c>
      <c r="AJ77" s="371">
        <f ca="1">IFERROR(AA77/AA$20,0)</f>
        <v>0</v>
      </c>
      <c r="AK77" s="372">
        <f ca="1">IFERROR(AD77/AD$20,0)</f>
        <v>0</v>
      </c>
      <c r="AL77" s="373">
        <f ca="1">IFERROR(AG77/AG$20,0)</f>
        <v>0</v>
      </c>
      <c r="AM77" s="374">
        <f ca="1">+IFERROR(ROUND(($AB77-AE77)*100,2)&amp;" pts.",0)</f>
        <v>0</v>
      </c>
      <c r="AN77" s="375">
        <f ca="1">+IFERROR(ROUND(($AB77-AH77)*100,2)&amp;" pts.",0)</f>
        <v>0</v>
      </c>
    </row>
    <row r="78" spans="1:40" x14ac:dyDescent="0.2">
      <c r="H78" s="10" t="s">
        <v>75</v>
      </c>
      <c r="I78" s="26" t="e">
        <f ca="1">_xll.EVPRO($B$1,$H78,"STYLE")</f>
        <v>#NAME?</v>
      </c>
      <c r="J78" s="26" t="e">
        <f ca="1">_xll.EVPRO($B$1,$H78,"CALC")</f>
        <v>#NAME?</v>
      </c>
      <c r="K78" s="65" t="e">
        <f ca="1">IF(AND(I78&gt;="T3"),"&gt;","")</f>
        <v>#NAME?</v>
      </c>
      <c r="L78" s="23" t="e">
        <f ca="1">_xll.EVPRO($B$1,H78,"JDEID")</f>
        <v>#NAME?</v>
      </c>
      <c r="M78" s="24" t="e">
        <f ca="1">IF(AND(I78="N",J78="N"),_xll.EVPRO($B$1,H78,"PSFTID"),"")</f>
        <v>#NAME?</v>
      </c>
      <c r="N78" s="23" t="e">
        <f ca="1">IF(_xll.EVDES(H78,$B$1)="#NODATA","",_xll.EVDES(H78,$B$1))</f>
        <v>#NAME?</v>
      </c>
      <c r="O78" s="35"/>
      <c r="P78" s="35"/>
      <c r="Q78" s="35"/>
      <c r="R78" s="35"/>
      <c r="S78" s="35"/>
      <c r="T78" s="35"/>
      <c r="U78" s="35"/>
      <c r="V78" s="35"/>
      <c r="W78" s="35"/>
      <c r="X78" s="35"/>
      <c r="Y78" s="35"/>
      <c r="Z78" s="35"/>
      <c r="AA78" s="283" t="e">
        <f ca="1">IF($I78="B1","",SUM(O78:Z78))</f>
        <v>#NAME?</v>
      </c>
      <c r="AB78" s="36" t="e">
        <f ca="1">IF(AA78=0,"",IFERROR(AA78/AA$19,""))</f>
        <v>#NAME?</v>
      </c>
      <c r="AD78" s="35"/>
      <c r="AE78" s="36" t="str">
        <f>IF(AD78=0,"",IFERROR(AD78/AD$19,""))</f>
        <v/>
      </c>
      <c r="AF78" s="118" t="e">
        <f ca="1">IF(AND($AA78="",AD78=""),"",$AA78-AD78)</f>
        <v>#NAME?</v>
      </c>
      <c r="AG78" s="35"/>
      <c r="AH78" s="36" t="str">
        <f>IF(AG78=0,"",IFERROR(AG78/AG$19,""))</f>
        <v/>
      </c>
      <c r="AI78" s="118" t="e">
        <f ca="1">IF(AND($AA78="",AG78=""),"",$AA78-AG78)</f>
        <v>#NAME?</v>
      </c>
      <c r="AJ78" s="371">
        <f ca="1">IFERROR(AA78/AA$20,0)</f>
        <v>0</v>
      </c>
      <c r="AK78" s="372">
        <f ca="1">IFERROR(AD78/AD$20,0)</f>
        <v>0</v>
      </c>
      <c r="AL78" s="373">
        <f ca="1">IFERROR(AG78/AG$20,0)</f>
        <v>0</v>
      </c>
      <c r="AM78" s="374">
        <f ca="1">+IFERROR(ROUND(($AB78-AE78)*100,2)&amp;" pts.",0)</f>
        <v>0</v>
      </c>
      <c r="AN78" s="375">
        <f ca="1">+IFERROR(ROUND(($AB78-AH78)*100,2)&amp;" pts.",0)</f>
        <v>0</v>
      </c>
    </row>
    <row r="79" spans="1:40" hidden="1" x14ac:dyDescent="0.2">
      <c r="C79" s="23"/>
      <c r="H79" s="10" t="s">
        <v>667</v>
      </c>
      <c r="I79" s="25" t="e">
        <f ca="1">_xll.EVPRO($B$1,$H79,"STYLE")</f>
        <v>#NAME?</v>
      </c>
      <c r="J79" s="25" t="e">
        <f ca="1">_xll.EVPRO($B$1,$H79,"CALC")</f>
        <v>#NAME?</v>
      </c>
      <c r="K79" s="64" t="e">
        <f ca="1">IF(AND(I79&gt;="T3"),"&gt;","")</f>
        <v>#NAME?</v>
      </c>
      <c r="L79" s="24" t="e">
        <f ca="1">_xll.EVPRO($B$1,H79,"JDEID")</f>
        <v>#NAME?</v>
      </c>
      <c r="M79" s="24" t="e">
        <f ca="1">IF(AND(I79="N",J79="N"),_xll.EVPRO($B$1,H79,"PSFTID"),"")</f>
        <v>#NAME?</v>
      </c>
      <c r="N79" s="24" t="e">
        <f ca="1">IF(_xll.EVDES(H79,$B$1)="#NODATA","",_xll.EVDES(H79,$B$1))</f>
        <v>#NAME?</v>
      </c>
      <c r="O79" s="44"/>
      <c r="P79" s="44"/>
      <c r="Q79" s="44"/>
      <c r="R79" s="44"/>
      <c r="S79" s="44"/>
      <c r="T79" s="44"/>
      <c r="U79" s="44"/>
      <c r="V79" s="44"/>
      <c r="W79" s="44"/>
      <c r="X79" s="44"/>
      <c r="Y79" s="44"/>
      <c r="Z79" s="44"/>
      <c r="AA79" s="296" t="e">
        <f ca="1">IF($I79="B1","",SUM(O79:Z79))</f>
        <v>#NAME?</v>
      </c>
      <c r="AB79" s="45" t="e">
        <f ca="1">IF(AA79=0,"",IFERROR(AA79/AA$19,""))</f>
        <v>#NAME?</v>
      </c>
      <c r="AD79" s="44"/>
      <c r="AE79" s="45" t="str">
        <f>IF(AD79=0,"",IFERROR(AD79/AD$19,""))</f>
        <v/>
      </c>
      <c r="AF79" s="134" t="e">
        <f ca="1">IF(AND($AA79="",AD79=""),"",$AA79-AD79)</f>
        <v>#NAME?</v>
      </c>
      <c r="AG79" s="44"/>
      <c r="AH79" s="45" t="str">
        <f>IF(AG79=0,"",IFERROR(AG79/AG$19,""))</f>
        <v/>
      </c>
      <c r="AI79" s="134" t="e">
        <f ca="1">IF(AND($AA79="",AG79=""),"",$AA79-AG79)</f>
        <v>#NAME?</v>
      </c>
      <c r="AJ79" s="371">
        <f ca="1">IFERROR(AA79/AA$20,0)</f>
        <v>0</v>
      </c>
      <c r="AK79" s="372">
        <f ca="1">IFERROR(AD79/AD$20,0)</f>
        <v>0</v>
      </c>
      <c r="AL79" s="373">
        <f ca="1">IFERROR(AG79/AG$20,0)</f>
        <v>0</v>
      </c>
      <c r="AM79" s="374">
        <f ca="1">+IFERROR(ROUND(($AB79-AE79)*100,2)&amp;" pts.",0)</f>
        <v>0</v>
      </c>
      <c r="AN79" s="375">
        <f ca="1">+IFERROR(ROUND(($AB79-AH79)*100,2)&amp;" pts.",0)</f>
        <v>0</v>
      </c>
    </row>
    <row r="80" spans="1:40" hidden="1" x14ac:dyDescent="0.2">
      <c r="A80" s="4" t="e">
        <f ca="1">_xll.EVDRE($B$1,A83:B90,A93:B99)</f>
        <v>#NAME?</v>
      </c>
      <c r="H80" s="10"/>
      <c r="I80" s="25" t="e">
        <f ca="1">_xll.EVPRO($B$1,$H80,"STYLE")</f>
        <v>#NAME?</v>
      </c>
      <c r="J80" s="25" t="e">
        <f ca="1">_xll.EVPRO($B$1,$H80,"CALC")</f>
        <v>#NAME?</v>
      </c>
      <c r="K80" s="64" t="e">
        <f ca="1">IF(AND(I80&gt;="T3"),"&gt;","")</f>
        <v>#NAME?</v>
      </c>
      <c r="L80" s="24" t="e">
        <f ca="1">_xll.EVPRO($B$1,H80,"JDEID")</f>
        <v>#NAME?</v>
      </c>
      <c r="M80" s="24" t="e">
        <f ca="1">IF(AND(I80="N",J80="N"),_xll.EVPRO($B$1,H80,"PSFTID"),"")</f>
        <v>#NAME?</v>
      </c>
      <c r="N80" s="24" t="e">
        <f ca="1">IF(_xll.EVDES(H80,$B$1)="#NODATA","",_xll.EVDES(H80,$B$1))</f>
        <v>#NAME?</v>
      </c>
      <c r="O80" s="44"/>
      <c r="P80" s="44"/>
      <c r="Q80" s="44"/>
      <c r="R80" s="44"/>
      <c r="S80" s="44"/>
      <c r="T80" s="44"/>
      <c r="U80" s="44"/>
      <c r="V80" s="44"/>
      <c r="W80" s="44"/>
      <c r="X80" s="44"/>
      <c r="Y80" s="44"/>
      <c r="Z80" s="44"/>
      <c r="AA80" s="296" t="e">
        <f ca="1">IF($I80="B1","",SUM(O80:Z80))</f>
        <v>#NAME?</v>
      </c>
      <c r="AB80" s="45" t="e">
        <f ca="1">IF(AA80=0,"",IFERROR(AA80/AA$19,""))</f>
        <v>#NAME?</v>
      </c>
      <c r="AD80" s="44"/>
      <c r="AE80" s="45" t="str">
        <f>IF(AD80=0,"",IFERROR(AD80/AD$19,""))</f>
        <v/>
      </c>
      <c r="AF80" s="134" t="e">
        <f ca="1">IF(AND($AA80="",AD80=""),"",$AA80-AD80)</f>
        <v>#NAME?</v>
      </c>
      <c r="AG80" s="44"/>
      <c r="AH80" s="45" t="str">
        <f>IF(AG80=0,"",IFERROR(AG80/AG$19,""))</f>
        <v/>
      </c>
      <c r="AI80" s="134" t="e">
        <f ca="1">IF(AND($AA80="",AG80=""),"",$AA80-AG80)</f>
        <v>#NAME?</v>
      </c>
      <c r="AJ80" s="371">
        <f ca="1">IFERROR(AA80/AA$20,0)</f>
        <v>0</v>
      </c>
      <c r="AK80" s="372">
        <f ca="1">IFERROR(AD80/AD$20,0)</f>
        <v>0</v>
      </c>
      <c r="AL80" s="373">
        <f ca="1">IFERROR(AG80/AG$20,0)</f>
        <v>0</v>
      </c>
      <c r="AM80" s="374">
        <f ca="1">+IFERROR(ROUND(($AB80-AE80)*100,2)&amp;" pts.",0)</f>
        <v>0</v>
      </c>
      <c r="AN80" s="375">
        <f ca="1">+IFERROR(ROUND(($AB80-AH80)*100,2)&amp;" pts.",0)</f>
        <v>0</v>
      </c>
    </row>
    <row r="81" spans="1:40" x14ac:dyDescent="0.2">
      <c r="O81" s="38"/>
      <c r="P81" s="42"/>
      <c r="Q81" s="42"/>
      <c r="R81" s="42"/>
      <c r="S81" s="42"/>
      <c r="T81" s="42"/>
      <c r="U81" s="42"/>
      <c r="V81" s="42"/>
      <c r="W81" s="42"/>
      <c r="X81" s="42"/>
      <c r="Y81" s="42"/>
      <c r="Z81" s="42"/>
      <c r="AA81" s="42"/>
      <c r="AB81" s="39"/>
      <c r="AD81" s="38"/>
      <c r="AE81" s="42"/>
      <c r="AF81" s="39"/>
      <c r="AG81" s="38"/>
      <c r="AH81" s="42"/>
      <c r="AI81" s="39"/>
    </row>
    <row r="82" spans="1:40" x14ac:dyDescent="0.2">
      <c r="A82" s="3" t="s">
        <v>0</v>
      </c>
      <c r="B82" s="5" t="s">
        <v>1</v>
      </c>
      <c r="H82" s="1" t="s">
        <v>82</v>
      </c>
      <c r="I82" s="11" t="e">
        <f ca="1">_xll.EVPRO($B$1,$H82,"STYLE")</f>
        <v>#NAME?</v>
      </c>
      <c r="J82" s="11" t="e">
        <f ca="1">_xll.EVPRO($B$1,$H82,"CALC")</f>
        <v>#NAME?</v>
      </c>
      <c r="N82" s="37" t="e">
        <f ca="1">IF(_xll.EVDES(H82,$B$1)="#NODATA","",_xll.EVDES(H82,$B$1))</f>
        <v>#NAME?</v>
      </c>
      <c r="O82" s="40"/>
      <c r="P82" s="43"/>
      <c r="Q82" s="43"/>
      <c r="R82" s="43"/>
      <c r="S82" s="43"/>
      <c r="T82" s="43"/>
      <c r="U82" s="43"/>
      <c r="V82" s="43"/>
      <c r="W82" s="43"/>
      <c r="X82" s="43"/>
      <c r="Y82" s="43"/>
      <c r="Z82" s="43"/>
      <c r="AA82" s="43"/>
      <c r="AB82" s="41"/>
      <c r="AD82" s="40"/>
      <c r="AE82" s="43"/>
      <c r="AF82" s="41"/>
      <c r="AG82" s="40"/>
      <c r="AH82" s="43"/>
      <c r="AI82" s="41"/>
    </row>
    <row r="83" spans="1:40" hidden="1" x14ac:dyDescent="0.2">
      <c r="A83" s="6" t="s">
        <v>2</v>
      </c>
      <c r="B83" s="7" t="e">
        <f ca="1">_xll.EVRNG($B$2:$B$10)</f>
        <v>#NAME?</v>
      </c>
      <c r="H83" s="10" t="s">
        <v>667</v>
      </c>
      <c r="I83" s="25" t="e">
        <f ca="1">_xll.EVPRO($B$1,$H83,"STYLE")</f>
        <v>#NAME?</v>
      </c>
      <c r="J83" s="25" t="e">
        <f ca="1">_xll.EVPRO($B$1,$H83,"CALC")</f>
        <v>#NAME?</v>
      </c>
      <c r="K83" s="64" t="e">
        <f ca="1">IF(AND(I83&lt;&gt;"B1",J83="Y"),"&gt;","")</f>
        <v>#NAME?</v>
      </c>
      <c r="L83" s="24" t="e">
        <f ca="1">_xll.EVPRO($B$1,H83,"JDEID")</f>
        <v>#NAME?</v>
      </c>
      <c r="M83" s="24" t="e">
        <f ca="1">IF(AND(I83="N",J83="N"),_xll.EVPRO($B$1,H83,"PSFTID"),"")</f>
        <v>#NAME?</v>
      </c>
      <c r="N83" s="24" t="e">
        <f ca="1">IF(_xll.EVDES(H83,$B$1)="#NODATA","",_xll.EVDES(H83,$B$1))</f>
        <v>#NAME?</v>
      </c>
      <c r="O83" s="19"/>
      <c r="P83" s="19"/>
      <c r="Q83" s="19"/>
      <c r="R83" s="19"/>
      <c r="S83" s="19"/>
      <c r="T83" s="19"/>
      <c r="U83" s="19"/>
      <c r="V83" s="19"/>
      <c r="W83" s="19"/>
      <c r="X83" s="19"/>
      <c r="Y83" s="19"/>
      <c r="Z83" s="19"/>
      <c r="AA83" s="283" t="e">
        <f ca="1">IF($I83="B1","",SUM(O83:Z83))</f>
        <v>#NAME?</v>
      </c>
      <c r="AB83" s="15" t="e">
        <f ca="1">IF(AA83=0,"",IFERROR(AA83/AA$19,""))</f>
        <v>#NAME?</v>
      </c>
      <c r="AD83" s="19"/>
      <c r="AE83" s="15" t="str">
        <f>IF(AD83=0,"",IFERROR(AD83/AD$19,""))</f>
        <v/>
      </c>
      <c r="AF83" s="47" t="e">
        <f ca="1">IF(AND($AA83="",AD83=""),"",$AA83-AD83)</f>
        <v>#NAME?</v>
      </c>
      <c r="AG83" s="19"/>
      <c r="AH83" s="15" t="str">
        <f>IF(AG83=0,"",IFERROR(AG83/AG$19,""))</f>
        <v/>
      </c>
      <c r="AI83" s="47" t="e">
        <f ca="1">IF(AND($AA83="",AG83=""),"",$AA83-AG83)</f>
        <v>#NAME?</v>
      </c>
      <c r="AJ83" s="371">
        <f ca="1">IFERROR(AA83/AA$20,0)</f>
        <v>0</v>
      </c>
      <c r="AK83" s="372">
        <f ca="1">IFERROR(AD83/AD$20,0)</f>
        <v>0</v>
      </c>
      <c r="AL83" s="373">
        <f ca="1">IFERROR(AG83/AG$20,0)</f>
        <v>0</v>
      </c>
      <c r="AM83" s="374">
        <f ca="1">+IFERROR(ROUND(($AB83-AE83)*100,2)&amp;" pts.",0)</f>
        <v>0</v>
      </c>
      <c r="AN83" s="375">
        <f ca="1">+IFERROR(ROUND(($AB83-AH83)*100,2)&amp;" pts.",0)</f>
        <v>0</v>
      </c>
    </row>
    <row r="84" spans="1:40" hidden="1" x14ac:dyDescent="0.2">
      <c r="A84" s="6" t="s">
        <v>3</v>
      </c>
      <c r="B84" s="7" t="e">
        <f ca="1">_xll.EVRNG($O$16:$AN$18)</f>
        <v>#NAME?</v>
      </c>
      <c r="H84" s="10"/>
      <c r="I84" s="25" t="e">
        <f ca="1">_xll.EVPRO($B$1,$H84,"STYLE")</f>
        <v>#NAME?</v>
      </c>
      <c r="J84" s="25" t="e">
        <f ca="1">_xll.EVPRO($B$1,$H84,"CALC")</f>
        <v>#NAME?</v>
      </c>
      <c r="K84" s="64" t="e">
        <f ca="1">IF(AND(I84&lt;&gt;"B1",J84="Y"),"&gt;","")</f>
        <v>#NAME?</v>
      </c>
      <c r="L84" s="24" t="e">
        <f ca="1">_xll.EVPRO($B$1,H84,"JDEID")</f>
        <v>#NAME?</v>
      </c>
      <c r="M84" s="24" t="e">
        <f ca="1">IF(AND(I84="N",J84="N"),_xll.EVPRO($B$1,H84,"PSFTID"),"")</f>
        <v>#NAME?</v>
      </c>
      <c r="N84" s="24" t="e">
        <f ca="1">IF(_xll.EVDES(H84,$B$1)="#NODATA","",_xll.EVDES(H84,$B$1))</f>
        <v>#NAME?</v>
      </c>
      <c r="O84" s="19"/>
      <c r="P84" s="19"/>
      <c r="Q84" s="19"/>
      <c r="R84" s="19"/>
      <c r="S84" s="19"/>
      <c r="T84" s="19"/>
      <c r="U84" s="19"/>
      <c r="V84" s="19"/>
      <c r="W84" s="19"/>
      <c r="X84" s="19"/>
      <c r="Y84" s="19"/>
      <c r="Z84" s="19"/>
      <c r="AA84" s="283" t="e">
        <f ca="1">IF($I84="B1","",SUM(O84:Z84))</f>
        <v>#NAME?</v>
      </c>
      <c r="AB84" s="15" t="e">
        <f ca="1">IF(AA84=0,"",IFERROR(AA84/AA$19,""))</f>
        <v>#NAME?</v>
      </c>
      <c r="AD84" s="19"/>
      <c r="AE84" s="15" t="str">
        <f>IF(AD84=0,"",IFERROR(AD84/AD$19,""))</f>
        <v/>
      </c>
      <c r="AF84" s="47" t="e">
        <f ca="1">IF(AND($AA84="",AD84=""),"",$AA84-AD84)</f>
        <v>#NAME?</v>
      </c>
      <c r="AG84" s="19"/>
      <c r="AH84" s="15" t="str">
        <f>IF(AG84=0,"",IFERROR(AG84/AG$19,""))</f>
        <v/>
      </c>
      <c r="AI84" s="47" t="e">
        <f ca="1">IF(AND($AA84="",AG84=""),"",$AA84-AG84)</f>
        <v>#NAME?</v>
      </c>
      <c r="AJ84" s="371">
        <f ca="1">IFERROR(AA84/AA$20,0)</f>
        <v>0</v>
      </c>
      <c r="AK84" s="372">
        <f ca="1">IFERROR(AD84/AD$20,0)</f>
        <v>0</v>
      </c>
      <c r="AL84" s="373">
        <f ca="1">IFERROR(AG84/AG$20,0)</f>
        <v>0</v>
      </c>
      <c r="AM84" s="374">
        <f ca="1">+IFERROR(ROUND(($AB84-AE84)*100,2)&amp;" pts.",0)</f>
        <v>0</v>
      </c>
      <c r="AN84" s="375">
        <f ca="1">+IFERROR(ROUND(($AB84-AH84)*100,2)&amp;" pts.",0)</f>
        <v>0</v>
      </c>
    </row>
    <row r="85" spans="1:40" x14ac:dyDescent="0.2">
      <c r="A85" s="6" t="s">
        <v>4</v>
      </c>
      <c r="B85" s="7" t="e">
        <f ca="1">_xll.EVRNG(H76:H77,H79:H80,H83:H84)</f>
        <v>#NAME?</v>
      </c>
      <c r="H85" s="10" t="s">
        <v>79</v>
      </c>
      <c r="I85" s="25" t="e">
        <f ca="1">_xll.EVPRO($B$1,$H85,"STYLE")</f>
        <v>#NAME?</v>
      </c>
      <c r="J85" s="25" t="e">
        <f ca="1">_xll.EVPRO($B$1,$H85,"CALC")</f>
        <v>#NAME?</v>
      </c>
      <c r="K85" s="24"/>
      <c r="L85" s="24"/>
      <c r="M85" s="24"/>
      <c r="N85" s="23" t="e">
        <f ca="1">IF(_xll.EVDES(H85,$B$1)="#NODATA","",_xll.EVDES(H85,$B$1))</f>
        <v>#NAME?</v>
      </c>
      <c r="O85" s="30"/>
      <c r="P85" s="30"/>
      <c r="Q85" s="30"/>
      <c r="R85" s="30"/>
      <c r="S85" s="30"/>
      <c r="T85" s="30"/>
      <c r="U85" s="30"/>
      <c r="V85" s="30"/>
      <c r="W85" s="30"/>
      <c r="X85" s="30"/>
      <c r="Y85" s="30"/>
      <c r="Z85" s="30"/>
      <c r="AA85" s="30" t="e">
        <f ca="1">IF($I85="B1","",SUM(O85:Z85))</f>
        <v>#NAME?</v>
      </c>
      <c r="AB85" s="31" t="e">
        <f ca="1">IF(AA85=0,"",IFERROR(AA85/AA$19,""))</f>
        <v>#NAME?</v>
      </c>
      <c r="AD85" s="30"/>
      <c r="AE85" s="31" t="str">
        <f>IF(AD85=0,"",IFERROR(AD85/AD$19,""))</f>
        <v/>
      </c>
      <c r="AF85" s="49" t="e">
        <f ca="1">IF(AND($AA85="",AD85=""),"",$AA85-AD85)</f>
        <v>#NAME?</v>
      </c>
      <c r="AG85" s="30"/>
      <c r="AH85" s="31" t="str">
        <f>IF(AG85=0,"",IFERROR(AG85/AG$19,""))</f>
        <v/>
      </c>
      <c r="AI85" s="49" t="e">
        <f ca="1">IF(AND($AA85="",AG85=""),"",$AA85-AG85)</f>
        <v>#NAME?</v>
      </c>
      <c r="AJ85" s="387">
        <f ca="1">IFERROR(AA85/AA$20,0)</f>
        <v>0</v>
      </c>
      <c r="AK85" s="388">
        <f ca="1">IFERROR(AD85/AD$20,0)</f>
        <v>0</v>
      </c>
      <c r="AL85" s="389">
        <f ca="1">IFERROR(AG85/AG$20,0)</f>
        <v>0</v>
      </c>
      <c r="AM85" s="390">
        <f ca="1">+IFERROR(ROUND(($AB85-AE85)*100,2)&amp;" pts.",0)</f>
        <v>0</v>
      </c>
      <c r="AN85" s="408">
        <f ca="1">+IFERROR(ROUND(($AB85-AH85)*100,2)&amp;" pts.",0)</f>
        <v>0</v>
      </c>
    </row>
    <row r="86" spans="1:40" x14ac:dyDescent="0.2">
      <c r="A86" s="6" t="s">
        <v>5</v>
      </c>
      <c r="B86" s="7"/>
    </row>
    <row r="87" spans="1:40" x14ac:dyDescent="0.2">
      <c r="A87" s="6" t="s">
        <v>6</v>
      </c>
      <c r="B87" s="7"/>
      <c r="H87" s="10" t="s">
        <v>80</v>
      </c>
      <c r="I87" s="25" t="e">
        <f ca="1">_xll.EVPRO($B$1,$H87,"STYLE")</f>
        <v>#NAME?</v>
      </c>
      <c r="J87" s="25" t="e">
        <f ca="1">_xll.EVPRO($B$1,$H87,"CALC")</f>
        <v>#NAME?</v>
      </c>
      <c r="K87" s="23"/>
      <c r="L87" s="23"/>
      <c r="M87" s="23"/>
      <c r="N87" s="23" t="e">
        <f ca="1">IF(_xll.EVDES(H87,$B$1)="#NODATA","",_xll.EVDES(H87,$B$1))</f>
        <v>#NAME?</v>
      </c>
      <c r="O87" s="33"/>
      <c r="P87" s="33"/>
      <c r="Q87" s="33"/>
      <c r="R87" s="33"/>
      <c r="S87" s="33"/>
      <c r="T87" s="33"/>
      <c r="U87" s="33"/>
      <c r="V87" s="33"/>
      <c r="W87" s="33"/>
      <c r="X87" s="33"/>
      <c r="Y87" s="33"/>
      <c r="Z87" s="33"/>
      <c r="AA87" s="33" t="e">
        <f ca="1">IF($I87="B1","",SUM(O87:Z87))</f>
        <v>#NAME?</v>
      </c>
      <c r="AB87" s="34" t="e">
        <f ca="1">IF(AA87=0,"",IFERROR(AA87/AA$19,""))</f>
        <v>#NAME?</v>
      </c>
      <c r="AD87" s="33"/>
      <c r="AE87" s="34" t="str">
        <f>IF(AD87=0,"",IFERROR(AD87/AD$19,""))</f>
        <v/>
      </c>
      <c r="AF87" s="55" t="e">
        <f ca="1">IF(AND($AA87="",AD87=""),"",$AA87-AD87)</f>
        <v>#NAME?</v>
      </c>
      <c r="AG87" s="56"/>
      <c r="AH87" s="57" t="str">
        <f>IF(AG87=0,"",IFERROR(AG87/AG$19,""))</f>
        <v/>
      </c>
      <c r="AI87" s="55" t="e">
        <f ca="1">IF(AND($AA87="",AG87=""),"",$AA87-AG87)</f>
        <v>#NAME?</v>
      </c>
      <c r="AJ87" s="364">
        <f ca="1">IFERROR(AA87/AA$20,0)</f>
        <v>0</v>
      </c>
      <c r="AK87" s="365">
        <f ca="1">IFERROR(AD87/AD$20,0)</f>
        <v>0</v>
      </c>
      <c r="AL87" s="366">
        <f ca="1">IFERROR(AG87/AG$20,0)</f>
        <v>0</v>
      </c>
      <c r="AM87" s="367">
        <f ca="1">+IFERROR(ROUND(($AB87-AE87)*100,2)&amp;" pts.",0)</f>
        <v>0</v>
      </c>
      <c r="AN87" s="409">
        <f ca="1">+IFERROR(ROUND(($AB87-AH87)*100,2)&amp;" pts.",0)</f>
        <v>0</v>
      </c>
    </row>
    <row r="88" spans="1:40" ht="16" thickBot="1" x14ac:dyDescent="0.25">
      <c r="A88" s="6" t="s">
        <v>7</v>
      </c>
      <c r="B88" s="7" t="e">
        <f ca="1">_xll.EVRNG(A102:F108)</f>
        <v>#NAME?</v>
      </c>
      <c r="H88" s="10" t="s">
        <v>81</v>
      </c>
      <c r="I88" s="25" t="e">
        <f ca="1">_xll.EVPRO($B$1,$H88,"STYLE")</f>
        <v>#NAME?</v>
      </c>
      <c r="J88" s="25" t="e">
        <f ca="1">_xll.EVPRO($B$1,$H88,"CALC")</f>
        <v>#NAME?</v>
      </c>
      <c r="K88" s="23"/>
      <c r="L88" s="23"/>
      <c r="M88" s="23"/>
      <c r="N88" s="23" t="e">
        <f ca="1">IF(_xll.EVDES(H88,$B$1)="#NODATA","",_xll.EVDES(H88,$B$1))</f>
        <v>#NAME?</v>
      </c>
      <c r="O88" s="58"/>
      <c r="P88" s="58"/>
      <c r="Q88" s="58"/>
      <c r="R88" s="58"/>
      <c r="S88" s="58"/>
      <c r="T88" s="58"/>
      <c r="U88" s="58"/>
      <c r="V88" s="58"/>
      <c r="W88" s="58"/>
      <c r="X88" s="58"/>
      <c r="Y88" s="58"/>
      <c r="Z88" s="58"/>
      <c r="AA88" s="58" t="e">
        <f ca="1">IF($I88="B1","",SUM(O88:Z88))</f>
        <v>#NAME?</v>
      </c>
      <c r="AB88" s="59" t="e">
        <f ca="1">IF(AA88=0,"",IFERROR(AA88/AA$19,""))</f>
        <v>#NAME?</v>
      </c>
      <c r="AD88" s="58"/>
      <c r="AE88" s="59" t="str">
        <f>IF(AD88=0,"",IFERROR(AD88/AD$19,""))</f>
        <v/>
      </c>
      <c r="AF88" s="60" t="e">
        <f ca="1">IF(AND($AA88="",AD88=""),"",$AA88-AD88)</f>
        <v>#NAME?</v>
      </c>
      <c r="AG88" s="58"/>
      <c r="AH88" s="59" t="str">
        <f>IF(AG88=0,"",IFERROR(AG88/AG$19,""))</f>
        <v/>
      </c>
      <c r="AI88" s="60" t="e">
        <f ca="1">IF(AND($AA88="",AG88=""),"",$AA88-AG88)</f>
        <v>#NAME?</v>
      </c>
      <c r="AJ88" s="402">
        <f ca="1">IFERROR(AA88/AA$20,0)</f>
        <v>0</v>
      </c>
      <c r="AK88" s="403">
        <f ca="1">IFERROR(AD88/AD$20,0)</f>
        <v>0</v>
      </c>
      <c r="AL88" s="404">
        <f ca="1">IFERROR(AG88/AG$20,0)</f>
        <v>0</v>
      </c>
      <c r="AM88" s="405">
        <f ca="1">+IFERROR(ROUND(($AB88-AE88)*100,2)&amp;" pts.",0)</f>
        <v>0</v>
      </c>
      <c r="AN88" s="410">
        <f ca="1">+IFERROR(ROUND(($AB88-AH88)*100,2)&amp;" pts.",0)</f>
        <v>0</v>
      </c>
    </row>
    <row r="89" spans="1:40" ht="16" thickTop="1" x14ac:dyDescent="0.2">
      <c r="A89" s="6" t="s">
        <v>47</v>
      </c>
      <c r="B89" s="7" t="e">
        <f ca="1">_xll.EVRNG($A$125:$B$146)</f>
        <v>#NAME?</v>
      </c>
    </row>
    <row r="90" spans="1:40" x14ac:dyDescent="0.2">
      <c r="A90" s="6" t="s">
        <v>8</v>
      </c>
      <c r="B90" s="7"/>
      <c r="N90" s="24" t="e">
        <f ca="1">N87&amp;" - Check"</f>
        <v>#NAME?</v>
      </c>
      <c r="O90" s="124">
        <f t="shared" ref="O90:AA90" si="23">SUMIF($H$35:$H$88,"600000",O$35:O$88)+SUMIF($H$35:$H$88,"700000",O$35:O$88)-SUMIF($H$35:$H$88,"TOTDEPTEXP",O$35:O$88)</f>
        <v>0</v>
      </c>
      <c r="P90" s="124">
        <f t="shared" si="23"/>
        <v>0</v>
      </c>
      <c r="Q90" s="124">
        <f t="shared" si="23"/>
        <v>0</v>
      </c>
      <c r="R90" s="124">
        <f t="shared" si="23"/>
        <v>0</v>
      </c>
      <c r="S90" s="124">
        <f t="shared" si="23"/>
        <v>0</v>
      </c>
      <c r="T90" s="124">
        <f t="shared" si="23"/>
        <v>0</v>
      </c>
      <c r="U90" s="124">
        <f t="shared" si="23"/>
        <v>0</v>
      </c>
      <c r="V90" s="124">
        <f t="shared" si="23"/>
        <v>0</v>
      </c>
      <c r="W90" s="124">
        <f t="shared" si="23"/>
        <v>0</v>
      </c>
      <c r="X90" s="124">
        <f t="shared" si="23"/>
        <v>0</v>
      </c>
      <c r="Y90" s="124">
        <f t="shared" si="23"/>
        <v>0</v>
      </c>
      <c r="Z90" s="124">
        <f t="shared" si="23"/>
        <v>0</v>
      </c>
      <c r="AA90" s="124" t="e">
        <f t="shared" ca="1" si="23"/>
        <v>#NAME?</v>
      </c>
      <c r="AB90" s="15"/>
      <c r="AD90" s="124">
        <f>SUMIF($H$35:$H$88,"600000",AD$35:AD$88)+SUMIF($H$35:$H$88,"700000",AD$35:AD$88)-SUMIF($H$35:$H$88,"TOTDEPTEXP",AD$35:AD$88)</f>
        <v>0</v>
      </c>
      <c r="AE90" s="15"/>
      <c r="AF90" s="19"/>
      <c r="AG90" s="124">
        <f>SUMIF($H$35:$H$88,"600000",AG$35:AG$88)+SUMIF($H$35:$H$88,"700000",AG$35:AG$88)-SUMIF($H$35:$H$88,"TOTDEPTEXP",AG$35:AG$88)</f>
        <v>0</v>
      </c>
      <c r="AH90" s="15"/>
      <c r="AI90" s="19"/>
    </row>
    <row r="91" spans="1:40" x14ac:dyDescent="0.2">
      <c r="G91" s="13"/>
      <c r="N91" s="24" t="e">
        <f ca="1">N88&amp;" - Check"</f>
        <v>#NAME?</v>
      </c>
      <c r="O91" s="124">
        <f t="shared" ref="O91:AA91" si="24">SUMIF($H$35:$H$88,"KPI_GP",O$35:O$88)-SUMIF($H$35:$H$88,"TOTDEPTEXP",O$35:O$88)-SUMIF($H$35:$H$88,"TOTDEPTPL",O$35:O$88)</f>
        <v>0</v>
      </c>
      <c r="P91" s="124">
        <f t="shared" si="24"/>
        <v>0</v>
      </c>
      <c r="Q91" s="124">
        <f t="shared" si="24"/>
        <v>0</v>
      </c>
      <c r="R91" s="124">
        <f t="shared" si="24"/>
        <v>0</v>
      </c>
      <c r="S91" s="124">
        <f t="shared" si="24"/>
        <v>0</v>
      </c>
      <c r="T91" s="124">
        <f t="shared" si="24"/>
        <v>0</v>
      </c>
      <c r="U91" s="124">
        <f t="shared" si="24"/>
        <v>0</v>
      </c>
      <c r="V91" s="124">
        <f t="shared" si="24"/>
        <v>0</v>
      </c>
      <c r="W91" s="124">
        <f t="shared" si="24"/>
        <v>0</v>
      </c>
      <c r="X91" s="124">
        <f t="shared" si="24"/>
        <v>0</v>
      </c>
      <c r="Y91" s="124">
        <f t="shared" si="24"/>
        <v>0</v>
      </c>
      <c r="Z91" s="124">
        <f t="shared" si="24"/>
        <v>0</v>
      </c>
      <c r="AA91" s="124" t="e">
        <f t="shared" ca="1" si="24"/>
        <v>#NAME?</v>
      </c>
      <c r="AB91" s="15"/>
      <c r="AD91" s="124">
        <f>SUMIF($H$35:$H$88,"KPI_GP",AD$35:AD$88)-SUMIF($H$35:$H$88,"TOTDEPTEXP",AD$35:AD$88)-SUMIF($H$35:$H$88,"TOTDEPTPL",AD$35:AD$88)</f>
        <v>0</v>
      </c>
      <c r="AE91" s="15"/>
      <c r="AF91" s="19"/>
      <c r="AG91" s="124">
        <f>SUMIF($H$35:$H$88,"KPI_GP",AG$35:AG$88)-SUMIF($H$35:$H$88,"TOTDEPTEXP",AG$35:AG$88)-SUMIF($H$35:$H$88,"TOTDEPTPL",AG$35:AG$88)</f>
        <v>0</v>
      </c>
      <c r="AH91" s="15"/>
      <c r="AI91" s="19"/>
    </row>
    <row r="92" spans="1:40" x14ac:dyDescent="0.2">
      <c r="A92" s="3" t="s">
        <v>9</v>
      </c>
      <c r="B92" s="5" t="s">
        <v>10</v>
      </c>
    </row>
    <row r="93" spans="1:40" x14ac:dyDescent="0.2">
      <c r="A93" s="6" t="s">
        <v>11</v>
      </c>
      <c r="B93" s="7" t="s">
        <v>21</v>
      </c>
      <c r="O93" s="147"/>
      <c r="P93" s="147"/>
      <c r="Q93" s="147"/>
      <c r="R93" s="147"/>
      <c r="S93" s="147"/>
      <c r="T93" s="147"/>
      <c r="U93" s="147"/>
      <c r="V93" s="147"/>
      <c r="W93" s="147"/>
      <c r="X93" s="147"/>
      <c r="Y93" s="147"/>
      <c r="Z93" s="147"/>
      <c r="AA93" s="147"/>
      <c r="AD93" s="147"/>
      <c r="AG93" s="147"/>
    </row>
    <row r="94" spans="1:40" x14ac:dyDescent="0.2">
      <c r="A94" s="6" t="s">
        <v>12</v>
      </c>
      <c r="B94" s="7" t="s">
        <v>22</v>
      </c>
    </row>
    <row r="95" spans="1:40" x14ac:dyDescent="0.2">
      <c r="A95" s="6" t="s">
        <v>13</v>
      </c>
      <c r="B95" s="7" t="s">
        <v>737</v>
      </c>
      <c r="O95" s="147"/>
      <c r="P95" s="147"/>
      <c r="Q95" s="147"/>
      <c r="R95" s="147"/>
      <c r="S95" s="147"/>
      <c r="T95" s="147"/>
      <c r="U95" s="147"/>
      <c r="V95" s="147"/>
      <c r="W95" s="147"/>
      <c r="X95" s="147"/>
      <c r="Y95" s="147"/>
      <c r="Z95" s="147"/>
      <c r="AA95" s="147"/>
      <c r="AD95" s="147"/>
      <c r="AG95" s="147"/>
    </row>
    <row r="96" spans="1:40" x14ac:dyDescent="0.2">
      <c r="A96" s="6" t="s">
        <v>14</v>
      </c>
      <c r="B96" s="7"/>
    </row>
    <row r="97" spans="1:10" x14ac:dyDescent="0.2">
      <c r="A97" s="6" t="s">
        <v>15</v>
      </c>
      <c r="B97" s="7"/>
    </row>
    <row r="98" spans="1:10" x14ac:dyDescent="0.2">
      <c r="A98" s="6" t="s">
        <v>16</v>
      </c>
      <c r="B98" s="7" t="s">
        <v>78</v>
      </c>
      <c r="H98" s="11"/>
      <c r="J98" s="1"/>
    </row>
    <row r="99" spans="1:10" x14ac:dyDescent="0.2">
      <c r="A99" s="6" t="s">
        <v>17</v>
      </c>
      <c r="B99" s="7"/>
      <c r="H99" s="11"/>
      <c r="J99" s="1"/>
    </row>
    <row r="100" spans="1:10" x14ac:dyDescent="0.2">
      <c r="H100" s="11"/>
      <c r="J100" s="1"/>
    </row>
    <row r="101" spans="1:10" x14ac:dyDescent="0.2">
      <c r="A101" s="20" t="s">
        <v>92</v>
      </c>
      <c r="B101" s="21" t="s">
        <v>93</v>
      </c>
      <c r="C101" s="21" t="s">
        <v>94</v>
      </c>
      <c r="D101" s="21" t="s">
        <v>95</v>
      </c>
      <c r="E101" s="21" t="s">
        <v>96</v>
      </c>
      <c r="F101" s="22" t="s">
        <v>97</v>
      </c>
      <c r="H101" s="11"/>
      <c r="J101" s="1"/>
    </row>
    <row r="102" spans="1:10" x14ac:dyDescent="0.2">
      <c r="H102" s="11"/>
      <c r="J102" s="1"/>
    </row>
    <row r="103" spans="1:10" x14ac:dyDescent="0.2">
      <c r="A103" s="1" t="s">
        <v>108</v>
      </c>
      <c r="C103" s="24" t="s">
        <v>101</v>
      </c>
      <c r="D103" s="1" t="s">
        <v>106</v>
      </c>
      <c r="F103" s="1" t="s">
        <v>98</v>
      </c>
      <c r="H103" s="11"/>
      <c r="J103" s="1"/>
    </row>
    <row r="104" spans="1:10" x14ac:dyDescent="0.2">
      <c r="A104" s="1" t="s">
        <v>100</v>
      </c>
      <c r="C104" s="8" t="s">
        <v>101</v>
      </c>
      <c r="D104" s="1" t="s">
        <v>106</v>
      </c>
      <c r="F104" s="1" t="s">
        <v>98</v>
      </c>
      <c r="H104" s="11"/>
      <c r="J104" s="1"/>
    </row>
    <row r="105" spans="1:10" x14ac:dyDescent="0.2">
      <c r="A105" s="1" t="s">
        <v>109</v>
      </c>
      <c r="C105" s="23" t="s">
        <v>101</v>
      </c>
      <c r="D105" s="1" t="s">
        <v>106</v>
      </c>
      <c r="F105" s="1" t="s">
        <v>98</v>
      </c>
      <c r="G105" s="13"/>
      <c r="H105" s="11"/>
      <c r="J105" s="1"/>
    </row>
    <row r="106" spans="1:10" x14ac:dyDescent="0.2">
      <c r="A106" s="1" t="s">
        <v>109</v>
      </c>
      <c r="C106" s="135" t="s">
        <v>101</v>
      </c>
      <c r="D106" s="1" t="s">
        <v>107</v>
      </c>
      <c r="F106" s="1" t="s">
        <v>99</v>
      </c>
      <c r="H106" s="11"/>
      <c r="J106" s="1"/>
    </row>
    <row r="107" spans="1:10" x14ac:dyDescent="0.2">
      <c r="A107" s="1" t="s">
        <v>110</v>
      </c>
      <c r="C107" s="23" t="s">
        <v>101</v>
      </c>
      <c r="D107" s="1" t="s">
        <v>106</v>
      </c>
      <c r="F107" s="1" t="s">
        <v>98</v>
      </c>
      <c r="H107" s="11"/>
      <c r="J107" s="1"/>
    </row>
    <row r="108" spans="1:10" x14ac:dyDescent="0.2">
      <c r="A108" s="1" t="s">
        <v>110</v>
      </c>
      <c r="C108" s="27" t="s">
        <v>101</v>
      </c>
      <c r="D108" s="1" t="s">
        <v>107</v>
      </c>
      <c r="F108" s="1" t="s">
        <v>99</v>
      </c>
      <c r="H108" s="11"/>
      <c r="J108" s="1"/>
    </row>
    <row r="109" spans="1:10" x14ac:dyDescent="0.2">
      <c r="C109" s="23"/>
      <c r="H109" s="11"/>
      <c r="J109" s="1"/>
    </row>
    <row r="110" spans="1:10" x14ac:dyDescent="0.2">
      <c r="H110" s="11"/>
      <c r="J110" s="1"/>
    </row>
    <row r="111" spans="1:10" x14ac:dyDescent="0.2">
      <c r="A111" s="4" t="e">
        <f ca="1">_xll.EVDRE($B$1,A114:B121)</f>
        <v>#NAME?</v>
      </c>
      <c r="B111" s="1" t="s">
        <v>736</v>
      </c>
      <c r="G111" s="13"/>
      <c r="H111" s="11"/>
      <c r="J111" s="1"/>
    </row>
    <row r="112" spans="1:10" x14ac:dyDescent="0.2">
      <c r="H112" s="11"/>
      <c r="J112" s="1"/>
    </row>
    <row r="113" spans="1:10" x14ac:dyDescent="0.2">
      <c r="A113" s="3" t="s">
        <v>0</v>
      </c>
      <c r="B113" s="5" t="s">
        <v>1</v>
      </c>
      <c r="H113" s="11"/>
      <c r="J113" s="1"/>
    </row>
    <row r="114" spans="1:10" x14ac:dyDescent="0.2">
      <c r="A114" s="6" t="s">
        <v>2</v>
      </c>
      <c r="B114" s="7" t="e">
        <f ca="1">_xll.EVRNG($B$2:$B$10)</f>
        <v>#NAME?</v>
      </c>
      <c r="H114" s="11"/>
      <c r="J114" s="1"/>
    </row>
    <row r="115" spans="1:10" x14ac:dyDescent="0.2">
      <c r="A115" s="6" t="s">
        <v>3</v>
      </c>
      <c r="B115" s="7" t="e">
        <f ca="1">_xll.EVRNG($O$16:$AN$18)</f>
        <v>#NAME?</v>
      </c>
      <c r="H115" s="11"/>
      <c r="J115" s="1"/>
    </row>
    <row r="116" spans="1:10" x14ac:dyDescent="0.2">
      <c r="A116" s="6" t="s">
        <v>4</v>
      </c>
      <c r="B116" s="7" t="e">
        <f ca="1">_xll.EVRNG(H85:H88)</f>
        <v>#NAME?</v>
      </c>
      <c r="H116" s="11"/>
      <c r="J116" s="1"/>
    </row>
    <row r="117" spans="1:10" x14ac:dyDescent="0.2">
      <c r="A117" s="6" t="s">
        <v>5</v>
      </c>
      <c r="B117" s="7"/>
      <c r="H117" s="11"/>
      <c r="J117" s="1"/>
    </row>
    <row r="118" spans="1:10" x14ac:dyDescent="0.2">
      <c r="A118" s="6" t="s">
        <v>6</v>
      </c>
      <c r="B118" s="7"/>
      <c r="H118" s="11"/>
      <c r="J118" s="1"/>
    </row>
    <row r="119" spans="1:10" x14ac:dyDescent="0.2">
      <c r="A119" s="6" t="s">
        <v>7</v>
      </c>
      <c r="B119" s="7"/>
      <c r="H119" s="11"/>
      <c r="J119" s="1"/>
    </row>
    <row r="120" spans="1:10" x14ac:dyDescent="0.2">
      <c r="A120" s="6" t="s">
        <v>47</v>
      </c>
      <c r="B120" s="7" t="e">
        <f ca="1">_xll.EVRNG($A$125:$B$146)</f>
        <v>#NAME?</v>
      </c>
      <c r="H120" s="11"/>
      <c r="J120" s="1"/>
    </row>
    <row r="121" spans="1:10" x14ac:dyDescent="0.2">
      <c r="A121" s="6" t="s">
        <v>8</v>
      </c>
      <c r="B121" s="7"/>
    </row>
    <row r="124" spans="1:10" x14ac:dyDescent="0.2">
      <c r="A124" s="3" t="s">
        <v>23</v>
      </c>
      <c r="B124" s="5" t="s">
        <v>24</v>
      </c>
    </row>
    <row r="125" spans="1:10" x14ac:dyDescent="0.2">
      <c r="A125" s="6" t="s">
        <v>25</v>
      </c>
      <c r="B125" s="7"/>
    </row>
    <row r="126" spans="1:10" x14ac:dyDescent="0.2">
      <c r="A126" s="6" t="s">
        <v>26</v>
      </c>
      <c r="B126" s="7"/>
    </row>
    <row r="127" spans="1:10" x14ac:dyDescent="0.2">
      <c r="A127" s="6" t="s">
        <v>27</v>
      </c>
      <c r="B127" s="7"/>
    </row>
    <row r="128" spans="1:10" x14ac:dyDescent="0.2">
      <c r="A128" s="6" t="s">
        <v>28</v>
      </c>
      <c r="B128" s="7"/>
    </row>
    <row r="129" spans="1:2" x14ac:dyDescent="0.2">
      <c r="A129" s="6" t="s">
        <v>29</v>
      </c>
      <c r="B129" s="7"/>
    </row>
    <row r="130" spans="1:2" x14ac:dyDescent="0.2">
      <c r="A130" s="6" t="s">
        <v>30</v>
      </c>
      <c r="B130" s="7" t="s">
        <v>78</v>
      </c>
    </row>
    <row r="131" spans="1:2" x14ac:dyDescent="0.2">
      <c r="A131" s="6" t="s">
        <v>31</v>
      </c>
      <c r="B131" s="7" t="s">
        <v>78</v>
      </c>
    </row>
    <row r="132" spans="1:2" x14ac:dyDescent="0.2">
      <c r="A132" s="6" t="s">
        <v>32</v>
      </c>
      <c r="B132" s="7"/>
    </row>
    <row r="133" spans="1:2" x14ac:dyDescent="0.2">
      <c r="A133" s="6" t="s">
        <v>33</v>
      </c>
      <c r="B133" s="7"/>
    </row>
    <row r="134" spans="1:2" x14ac:dyDescent="0.2">
      <c r="A134" s="6" t="s">
        <v>34</v>
      </c>
      <c r="B134" s="7"/>
    </row>
    <row r="135" spans="1:2" x14ac:dyDescent="0.2">
      <c r="A135" s="6" t="s">
        <v>35</v>
      </c>
      <c r="B135" s="7"/>
    </row>
    <row r="136" spans="1:2" x14ac:dyDescent="0.2">
      <c r="A136" s="6" t="s">
        <v>36</v>
      </c>
      <c r="B136" s="7"/>
    </row>
    <row r="137" spans="1:2" x14ac:dyDescent="0.2">
      <c r="A137" s="6" t="s">
        <v>37</v>
      </c>
      <c r="B137" s="7"/>
    </row>
    <row r="138" spans="1:2" x14ac:dyDescent="0.2">
      <c r="A138" s="6" t="s">
        <v>38</v>
      </c>
      <c r="B138" s="7"/>
    </row>
    <row r="139" spans="1:2" x14ac:dyDescent="0.2">
      <c r="A139" s="6" t="s">
        <v>39</v>
      </c>
      <c r="B139" s="7"/>
    </row>
    <row r="140" spans="1:2" x14ac:dyDescent="0.2">
      <c r="A140" s="6" t="s">
        <v>40</v>
      </c>
      <c r="B140" s="7"/>
    </row>
    <row r="141" spans="1:2" x14ac:dyDescent="0.2">
      <c r="A141" s="6" t="s">
        <v>41</v>
      </c>
      <c r="B141" s="7"/>
    </row>
    <row r="142" spans="1:2" x14ac:dyDescent="0.2">
      <c r="A142" s="6" t="s">
        <v>42</v>
      </c>
      <c r="B142" s="7"/>
    </row>
    <row r="143" spans="1:2" x14ac:dyDescent="0.2">
      <c r="A143" s="6" t="s">
        <v>43</v>
      </c>
      <c r="B143" s="7"/>
    </row>
    <row r="144" spans="1:2" x14ac:dyDescent="0.2">
      <c r="A144" s="6" t="s">
        <v>44</v>
      </c>
      <c r="B144" s="7"/>
    </row>
    <row r="145" spans="1:2" x14ac:dyDescent="0.2">
      <c r="A145" s="6" t="s">
        <v>45</v>
      </c>
      <c r="B145" s="7"/>
    </row>
    <row r="146" spans="1:2" x14ac:dyDescent="0.2">
      <c r="A146" s="6" t="s">
        <v>46</v>
      </c>
      <c r="B146" s="7"/>
    </row>
    <row r="161" spans="5:34" x14ac:dyDescent="0.2">
      <c r="I161" s="72"/>
      <c r="J161" s="1"/>
      <c r="K161" s="72"/>
      <c r="L161" s="72"/>
      <c r="M161" s="72"/>
      <c r="O161" s="72"/>
      <c r="P161" s="72"/>
      <c r="Q161" s="72"/>
      <c r="R161" s="72"/>
      <c r="S161" s="72"/>
      <c r="T161" s="72"/>
      <c r="U161" s="72"/>
      <c r="V161" s="72"/>
      <c r="W161" s="72"/>
      <c r="X161" s="72"/>
      <c r="Y161" s="72"/>
      <c r="Z161" s="72"/>
      <c r="AA161" s="72"/>
      <c r="AD161" s="72"/>
      <c r="AF161" s="72"/>
      <c r="AH161" s="72"/>
    </row>
    <row r="163" spans="5:34" x14ac:dyDescent="0.2">
      <c r="E163" s="72"/>
    </row>
    <row r="165" spans="5:34" x14ac:dyDescent="0.2">
      <c r="I165" s="72"/>
      <c r="J165" s="1"/>
      <c r="K165" s="72"/>
      <c r="L165" s="72"/>
      <c r="M165" s="72"/>
      <c r="O165" s="72"/>
      <c r="P165" s="72"/>
      <c r="Q165" s="72"/>
      <c r="R165" s="72"/>
      <c r="S165" s="72"/>
      <c r="T165" s="72"/>
      <c r="U165" s="72"/>
      <c r="V165" s="72"/>
      <c r="W165" s="72"/>
      <c r="X165" s="72"/>
      <c r="Y165" s="72"/>
      <c r="Z165" s="72"/>
      <c r="AA165" s="72"/>
      <c r="AD165" s="72"/>
      <c r="AF165" s="72"/>
      <c r="AH165" s="72"/>
    </row>
    <row r="167" spans="5:34" x14ac:dyDescent="0.2">
      <c r="E167" s="72"/>
    </row>
    <row r="190" spans="7:7" x14ac:dyDescent="0.2">
      <c r="G190" s="72"/>
    </row>
    <row r="194" spans="7:7" x14ac:dyDescent="0.2">
      <c r="G194" s="72"/>
    </row>
  </sheetData>
  <mergeCells count="2">
    <mergeCell ref="AD31:AE31"/>
    <mergeCell ref="AG31:AH31"/>
  </mergeCells>
  <dataValidations count="2">
    <dataValidation type="list" allowBlank="1" sqref="B28 B94 B61" xr:uid="{00000000-0002-0000-1E00-000000000000}">
      <formula1>"ACCOUNT,BUSINESSUNIT,CATEGORY,DATASRC,DEPARTMENT,INTCO,MEASURES,RPTCURRENCY,TIME"</formula1>
    </dataValidation>
    <dataValidation type="list" allowBlank="1" sqref="B29 B95 B62" xr:uid="{00000000-0002-0000-1E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53">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8"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16384" width="9.1640625" style="1"/>
  </cols>
  <sheetData>
    <row r="1" spans="1:35" hidden="1" outlineLevel="1" x14ac:dyDescent="0.2">
      <c r="A1" s="8" t="s">
        <v>48</v>
      </c>
      <c r="B1" s="2" t="s">
        <v>49</v>
      </c>
      <c r="C1" s="8" t="e">
        <f ca="1">_xll.EVAPD($B$1)</f>
        <v>#NAME?</v>
      </c>
      <c r="I1" s="1"/>
      <c r="J1" s="1"/>
      <c r="N1" s="16" t="e">
        <f ca="1">'wwcXak0520qpT4K9TgcLVA=='!N1</f>
        <v>#NAME?</v>
      </c>
      <c r="O1" s="1" t="s">
        <v>731</v>
      </c>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787</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35"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35" hidden="1" outlineLevel="1" x14ac:dyDescent="0.2">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2" t="e">
        <f ca="1">AA11</f>
        <v>#NAME?</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35" hidden="1" outlineLevel="1" x14ac:dyDescent="0.2">
      <c r="A19" s="6" t="s">
        <v>4</v>
      </c>
      <c r="B19" s="7" t="e">
        <f ca="1">_xll.EVRNG(H35:H146)</f>
        <v>#NAME?</v>
      </c>
      <c r="G19" s="16" t="str">
        <f>$B$6</f>
        <v>D2143</v>
      </c>
      <c r="H19" s="16" t="s">
        <v>273</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35" hidden="1" outlineLevel="1" x14ac:dyDescent="0.2">
      <c r="A20" s="6" t="s">
        <v>5</v>
      </c>
      <c r="B20" s="7"/>
      <c r="G20" s="16" t="str">
        <f>$B$6</f>
        <v>D2143</v>
      </c>
      <c r="H20" s="16">
        <v>946000</v>
      </c>
      <c r="I20" s="17"/>
      <c r="J20" s="17"/>
      <c r="K20" s="16"/>
      <c r="L20" s="16"/>
      <c r="M20" s="16"/>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35" hidden="1" outlineLevel="1" x14ac:dyDescent="0.2">
      <c r="A21" s="6" t="s">
        <v>6</v>
      </c>
      <c r="B21" s="7"/>
      <c r="I21" s="1"/>
      <c r="J21" s="1"/>
    </row>
    <row r="22" spans="1:35" hidden="1" outlineLevel="1" x14ac:dyDescent="0.2">
      <c r="A22" s="6" t="s">
        <v>7</v>
      </c>
      <c r="B22" s="7"/>
      <c r="I22" s="1"/>
      <c r="J22" s="1"/>
    </row>
    <row r="23" spans="1:35" hidden="1" outlineLevel="1" x14ac:dyDescent="0.2">
      <c r="A23" s="6" t="s">
        <v>47</v>
      </c>
      <c r="B23" s="7" t="e">
        <f ca="1">_xll.EVRNG($A$37:$B$58)</f>
        <v>#NAME?</v>
      </c>
      <c r="K23" s="53"/>
      <c r="L23" s="53"/>
      <c r="M23" s="53"/>
      <c r="AD23" s="136"/>
    </row>
    <row r="24" spans="1:35" hidden="1" outlineLevel="1" x14ac:dyDescent="0.2">
      <c r="A24" s="6" t="s">
        <v>8</v>
      </c>
      <c r="B24" s="7"/>
    </row>
    <row r="25" spans="1:35" collapsed="1" x14ac:dyDescent="0.2"/>
    <row r="26" spans="1:35" ht="23" x14ac:dyDescent="0.25">
      <c r="A26" s="3" t="s">
        <v>9</v>
      </c>
      <c r="B26" s="5" t="s">
        <v>10</v>
      </c>
      <c r="N26" s="61" t="e">
        <f ca="1">IF(_xll.EVDES(B3,$B$1)="#NODATA","",_xll.EVDES(B3,$B$1))</f>
        <v>#NAME?</v>
      </c>
    </row>
    <row r="27" spans="1:35" ht="18" x14ac:dyDescent="0.2">
      <c r="A27" s="6" t="s">
        <v>11</v>
      </c>
      <c r="B27" s="7" t="s">
        <v>21</v>
      </c>
      <c r="N27" s="66" t="e">
        <f ca="1">IF($N$1="",IF(_xll.EVDES(B6,$B$1)="#NODATA","",_xll.EVDES(B6,$B$1)&amp;" Department"),$N$1)</f>
        <v>#NAME?</v>
      </c>
    </row>
    <row r="28" spans="1:35" ht="16" x14ac:dyDescent="0.2">
      <c r="A28" s="6" t="s">
        <v>12</v>
      </c>
      <c r="B28" s="7" t="s">
        <v>22</v>
      </c>
      <c r="N28" s="67" t="e">
        <f ca="1">"For the Period ended"&amp;" "&amp;IF(_xll.EVDES($B$10,$B$1)="#NODATA","",_xll.EVDES($B$10,$B$1))</f>
        <v>#NAME?</v>
      </c>
    </row>
    <row r="29" spans="1:35" ht="15" customHeight="1" x14ac:dyDescent="0.2">
      <c r="A29" s="6" t="s">
        <v>13</v>
      </c>
      <c r="B29" s="7" t="s">
        <v>293</v>
      </c>
      <c r="N29" s="67" t="e">
        <f ca="1">_xll.EVDES(B9,B1)</f>
        <v>#NAME?</v>
      </c>
      <c r="O29" s="62" t="s">
        <v>344</v>
      </c>
      <c r="P29" s="62"/>
      <c r="Q29" s="62"/>
      <c r="R29" s="62"/>
      <c r="S29" s="62"/>
      <c r="T29" s="62"/>
      <c r="U29" s="62"/>
      <c r="V29" s="62"/>
      <c r="W29" s="62"/>
      <c r="X29" s="62"/>
      <c r="Y29" s="62"/>
      <c r="Z29" s="62"/>
      <c r="AA29" s="62"/>
    </row>
    <row r="30" spans="1:35"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row>
    <row r="31" spans="1:35" x14ac:dyDescent="0.2">
      <c r="A31" s="6" t="s">
        <v>15</v>
      </c>
      <c r="B31" s="7"/>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row>
    <row r="32" spans="1:35" s="232" customFormat="1" ht="30" customHeight="1" x14ac:dyDescent="0.2">
      <c r="A32" s="230" t="s">
        <v>16</v>
      </c>
      <c r="B32" s="231"/>
      <c r="E32" s="1"/>
      <c r="H32" s="233"/>
      <c r="I32" s="234"/>
      <c r="J32" s="234"/>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row>
    <row r="33" spans="1:35" ht="16" x14ac:dyDescent="0.2">
      <c r="A33" s="6" t="s">
        <v>17</v>
      </c>
      <c r="B33" s="7"/>
      <c r="N33" s="155" t="s">
        <v>330</v>
      </c>
      <c r="O33" s="38"/>
      <c r="P33" s="42"/>
      <c r="Q33" s="42"/>
      <c r="R33" s="42"/>
      <c r="S33" s="42"/>
      <c r="T33" s="42"/>
      <c r="U33" s="42"/>
      <c r="V33" s="42"/>
      <c r="W33" s="42"/>
      <c r="X33" s="42"/>
      <c r="Y33" s="42"/>
      <c r="Z33" s="42"/>
      <c r="AA33" s="42"/>
      <c r="AB33" s="39"/>
      <c r="AD33" s="38"/>
      <c r="AE33" s="42"/>
      <c r="AF33" s="39"/>
      <c r="AG33" s="38"/>
      <c r="AH33" s="42"/>
      <c r="AI33" s="39"/>
    </row>
    <row r="34" spans="1:35" x14ac:dyDescent="0.2">
      <c r="L34" s="175" t="s">
        <v>364</v>
      </c>
      <c r="M34" s="175" t="s">
        <v>782</v>
      </c>
      <c r="N34" s="8" t="s">
        <v>312</v>
      </c>
      <c r="O34" s="50"/>
      <c r="AB34" s="51"/>
      <c r="AD34" s="50"/>
      <c r="AF34" s="51"/>
      <c r="AG34" s="50"/>
      <c r="AI34" s="51"/>
    </row>
    <row r="35" spans="1:35" x14ac:dyDescent="0.2">
      <c r="H35" s="10" t="s">
        <v>260</v>
      </c>
      <c r="I35" s="25" t="e">
        <f ca="1">_xll.EVPRO($B$1,$H35,"STYLE")</f>
        <v>#NAME?</v>
      </c>
      <c r="J35" s="25" t="e">
        <f ca="1">_xll.EVPRO($B$1,$H35,"CALC")</f>
        <v>#NAME?</v>
      </c>
      <c r="K35" s="24"/>
      <c r="L35" s="24" t="e">
        <f ca="1">_xll.EVPRO($B$1,H35,"JDEID")</f>
        <v>#NAME?</v>
      </c>
      <c r="M35" s="24" t="e">
        <f ca="1">IF(AND(I35="N",J35="N"),_xll.EVPRO($B$1,H35,"PSFTID"),"")</f>
        <v>#NAME?</v>
      </c>
      <c r="N35" s="24" t="e">
        <f ca="1">IF(_xll.EVDES(H35,$B$1)="#NODATA","",_xll.EVDES(H35,$B$1))</f>
        <v>#NAME?</v>
      </c>
      <c r="O35" s="19"/>
      <c r="P35" s="19"/>
      <c r="Q35" s="19"/>
      <c r="R35" s="19"/>
      <c r="S35" s="19"/>
      <c r="T35" s="19"/>
      <c r="U35" s="19"/>
      <c r="V35" s="19"/>
      <c r="W35" s="19"/>
      <c r="X35" s="19"/>
      <c r="Y35" s="19"/>
      <c r="Z35" s="19"/>
      <c r="AA35" s="19">
        <f t="shared" ref="AA35:AA41" si="0">SUM(O35:Z35)</f>
        <v>0</v>
      </c>
      <c r="AB35" s="15" t="str">
        <f>IF(AA35=0,"",IFERROR(AA35/AA$19,""))</f>
        <v/>
      </c>
      <c r="AD35" s="19"/>
      <c r="AE35" s="15" t="str">
        <f>IF(AD35=0,"",IFERROR(AD35/AD$19,""))</f>
        <v/>
      </c>
      <c r="AF35" s="47">
        <f t="shared" ref="AF35:AF42" si="1">IF(AND($AA35="",AD35=""),"",$AA35-AD35)</f>
        <v>0</v>
      </c>
      <c r="AG35" s="19"/>
      <c r="AH35" s="15" t="str">
        <f>IF(AG35=0,"",IFERROR(AG35/AG$19,""))</f>
        <v/>
      </c>
      <c r="AI35" s="47">
        <f t="shared" ref="AI35:AI42" si="2">IF(AND($AA35="",AG35=""),"",$AA35-AG35)</f>
        <v>0</v>
      </c>
    </row>
    <row r="36" spans="1:35" x14ac:dyDescent="0.2">
      <c r="A36" s="3" t="s">
        <v>23</v>
      </c>
      <c r="B36" s="5" t="s">
        <v>24</v>
      </c>
      <c r="H36" s="10" t="s">
        <v>294</v>
      </c>
      <c r="I36" s="25" t="e">
        <f ca="1">_xll.EVPRO($B$1,$H36,"STYLE")</f>
        <v>#NAME?</v>
      </c>
      <c r="J36" s="25" t="e">
        <f ca="1">_xll.EVPRO($B$1,$H36,"CALC")</f>
        <v>#NAME?</v>
      </c>
      <c r="K36" s="24"/>
      <c r="L36" s="24" t="e">
        <f ca="1">_xll.EVPRO($B$1,H36,"JDEID")</f>
        <v>#NAME?</v>
      </c>
      <c r="M36" s="24" t="e">
        <f ca="1">IF(AND(I36="N",J36="N"),_xll.EVPRO($B$1,H36,"PSFTID"),"")</f>
        <v>#NAME?</v>
      </c>
      <c r="N36" s="24" t="e">
        <f ca="1">IF(_xll.EVDES(H36,$B$1)="#NODATA","",_xll.EVDES(H36,$B$1))</f>
        <v>#NAME?</v>
      </c>
      <c r="O36" s="19"/>
      <c r="P36" s="19"/>
      <c r="Q36" s="19"/>
      <c r="R36" s="19"/>
      <c r="S36" s="19"/>
      <c r="T36" s="19"/>
      <c r="U36" s="19"/>
      <c r="V36" s="19"/>
      <c r="W36" s="19"/>
      <c r="X36" s="19"/>
      <c r="Y36" s="19"/>
      <c r="Z36" s="19"/>
      <c r="AA36" s="19">
        <f t="shared" si="0"/>
        <v>0</v>
      </c>
      <c r="AB36" s="15" t="str">
        <f>IF(AA36=0,"",IFERROR(AA36/AA$19,""))</f>
        <v/>
      </c>
      <c r="AD36" s="19"/>
      <c r="AE36" s="15" t="str">
        <f>IF(AD36=0,"",IFERROR(AD36/AD$19,""))</f>
        <v/>
      </c>
      <c r="AF36" s="47">
        <f t="shared" si="1"/>
        <v>0</v>
      </c>
      <c r="AG36" s="19"/>
      <c r="AH36" s="15" t="str">
        <f t="shared" ref="AH36:AH79" si="3">IF(AG36=0,"",IFERROR(AG36/AG$19,""))</f>
        <v/>
      </c>
      <c r="AI36" s="47">
        <f t="shared" si="2"/>
        <v>0</v>
      </c>
    </row>
    <row r="37" spans="1:35" x14ac:dyDescent="0.2">
      <c r="A37" s="6" t="s">
        <v>25</v>
      </c>
      <c r="B37" s="7"/>
      <c r="H37" s="10" t="s">
        <v>295</v>
      </c>
      <c r="I37" s="25" t="e">
        <f ca="1">_xll.EVPRO($B$1,$H37,"STYLE")</f>
        <v>#NAME?</v>
      </c>
      <c r="J37" s="25" t="e">
        <f ca="1">_xll.EVPRO($B$1,$H37,"CALC")</f>
        <v>#NAME?</v>
      </c>
      <c r="K37" s="24"/>
      <c r="L37" s="24" t="e">
        <f ca="1">_xll.EVPRO($B$1,H37,"JDEID")</f>
        <v>#NAME?</v>
      </c>
      <c r="M37" s="24" t="e">
        <f ca="1">IF(AND(I37="N",J37="N"),_xll.EVPRO($B$1,H37,"PSFTID"),"")</f>
        <v>#NAME?</v>
      </c>
      <c r="N37" s="24" t="e">
        <f ca="1">IF(_xll.EVDES(H37,$B$1)="#NODATA","",_xll.EVDES(H37,$B$1))</f>
        <v>#NAME?</v>
      </c>
      <c r="O37" s="19"/>
      <c r="P37" s="19"/>
      <c r="Q37" s="19"/>
      <c r="R37" s="19"/>
      <c r="S37" s="19"/>
      <c r="T37" s="19"/>
      <c r="U37" s="19"/>
      <c r="V37" s="19"/>
      <c r="W37" s="19"/>
      <c r="X37" s="19"/>
      <c r="Y37" s="19"/>
      <c r="Z37" s="19"/>
      <c r="AA37" s="19">
        <f t="shared" si="0"/>
        <v>0</v>
      </c>
      <c r="AB37" s="15" t="str">
        <f>IF(AA37=0,"",IFERROR(AA37/AA$19,""))</f>
        <v/>
      </c>
      <c r="AD37" s="19"/>
      <c r="AE37" s="15" t="str">
        <f>IF(AD37=0,"",IFERROR(AD37/AD$19,""))</f>
        <v/>
      </c>
      <c r="AF37" s="47">
        <f t="shared" si="1"/>
        <v>0</v>
      </c>
      <c r="AG37" s="19"/>
      <c r="AH37" s="15" t="str">
        <f t="shared" si="3"/>
        <v/>
      </c>
      <c r="AI37" s="47">
        <f t="shared" si="2"/>
        <v>0</v>
      </c>
    </row>
    <row r="38" spans="1:35" x14ac:dyDescent="0.2">
      <c r="A38" s="6" t="s">
        <v>26</v>
      </c>
      <c r="B38" s="7"/>
      <c r="H38" s="10" t="s">
        <v>296</v>
      </c>
      <c r="I38" s="25" t="e">
        <f ca="1">_xll.EVPRO($B$1,$H38,"STYLE")</f>
        <v>#NAME?</v>
      </c>
      <c r="J38" s="25" t="e">
        <f ca="1">_xll.EVPRO($B$1,$H38,"CALC")</f>
        <v>#NAME?</v>
      </c>
      <c r="K38" s="24"/>
      <c r="L38" s="24" t="e">
        <f ca="1">_xll.EVPRO($B$1,H38,"JDEID")</f>
        <v>#NAME?</v>
      </c>
      <c r="M38" s="24" t="e">
        <f ca="1">IF(AND(I38="N",J38="N"),_xll.EVPRO($B$1,H38,"PSFTID"),"")</f>
        <v>#NAME?</v>
      </c>
      <c r="N38" s="24" t="e">
        <f ca="1">IF(_xll.EVDES(H38,$B$1)="#NODATA","",_xll.EVDES(H38,$B$1))</f>
        <v>#NAME?</v>
      </c>
      <c r="O38" s="28"/>
      <c r="P38" s="28"/>
      <c r="Q38" s="28"/>
      <c r="R38" s="28"/>
      <c r="S38" s="28"/>
      <c r="T38" s="28"/>
      <c r="U38" s="28"/>
      <c r="V38" s="28"/>
      <c r="W38" s="28"/>
      <c r="X38" s="28"/>
      <c r="Y38" s="28"/>
      <c r="Z38" s="28"/>
      <c r="AA38" s="28">
        <f t="shared" si="0"/>
        <v>0</v>
      </c>
      <c r="AB38" s="29" t="str">
        <f>IF(AA38=0,"",IFERROR(AA38/AA$19,""))</f>
        <v/>
      </c>
      <c r="AD38" s="28"/>
      <c r="AE38" s="29" t="str">
        <f>IF(AD38=0,"",IFERROR(AD38/AD$19,""))</f>
        <v/>
      </c>
      <c r="AF38" s="48">
        <f t="shared" si="1"/>
        <v>0</v>
      </c>
      <c r="AG38" s="28"/>
      <c r="AH38" s="29" t="str">
        <f t="shared" si="3"/>
        <v/>
      </c>
      <c r="AI38" s="48">
        <f t="shared" si="2"/>
        <v>0</v>
      </c>
    </row>
    <row r="39" spans="1:35" x14ac:dyDescent="0.2">
      <c r="A39" s="6" t="s">
        <v>27</v>
      </c>
      <c r="B39" s="7"/>
      <c r="H39" s="10" t="s">
        <v>318</v>
      </c>
      <c r="I39" s="25" t="e">
        <f ca="1">_xll.EVPRO($B$1,$H39,"STYLE")</f>
        <v>#NAME?</v>
      </c>
      <c r="J39" s="25" t="e">
        <f ca="1">_xll.EVPRO($B$1,$H39,"CALC")</f>
        <v>#NAME?</v>
      </c>
      <c r="K39" s="24"/>
      <c r="L39" s="24" t="e">
        <f ca="1">_xll.EVPRO($B$1,H39,"JDEID")</f>
        <v>#NAME?</v>
      </c>
      <c r="M39" s="24" t="e">
        <f ca="1">IF(AND(I39="N",J39="N"),_xll.EVPRO($B$1,H39,"PSFTID"),"")</f>
        <v>#NAME?</v>
      </c>
      <c r="N39" s="23" t="e">
        <f ca="1">IF(_xll.EVDES(H39,$B$1)="#NODATA","",_xll.EVDES(H39,$B$1))</f>
        <v>#NAME?</v>
      </c>
      <c r="O39" s="145"/>
      <c r="P39" s="145"/>
      <c r="Q39" s="145"/>
      <c r="R39" s="145"/>
      <c r="S39" s="145"/>
      <c r="T39" s="145"/>
      <c r="U39" s="145"/>
      <c r="V39" s="145"/>
      <c r="W39" s="145"/>
      <c r="X39" s="145"/>
      <c r="Y39" s="145"/>
      <c r="Z39" s="145"/>
      <c r="AA39" s="145">
        <f t="shared" si="0"/>
        <v>0</v>
      </c>
      <c r="AB39" s="156" t="str">
        <f>IF(AA39=0,"",IFERROR(AA39/AA$19,""))</f>
        <v/>
      </c>
      <c r="AD39" s="145"/>
      <c r="AE39" s="156" t="str">
        <f>IF(AD39=0,"",IFERROR(AD39/AD$19,""))</f>
        <v/>
      </c>
      <c r="AF39" s="146">
        <f t="shared" si="1"/>
        <v>0</v>
      </c>
      <c r="AG39" s="145"/>
      <c r="AH39" s="156" t="str">
        <f t="shared" si="3"/>
        <v/>
      </c>
      <c r="AI39" s="146">
        <f t="shared" si="2"/>
        <v>0</v>
      </c>
    </row>
    <row r="40" spans="1:35" x14ac:dyDescent="0.2">
      <c r="A40" s="6" t="s">
        <v>28</v>
      </c>
      <c r="B40" s="7"/>
      <c r="H40" s="10" t="s">
        <v>763</v>
      </c>
      <c r="I40" s="25" t="e">
        <f ca="1">_xll.EVPRO($B$1,$H40,"STYLE")</f>
        <v>#NAME?</v>
      </c>
      <c r="J40" s="25" t="e">
        <f ca="1">_xll.EVPRO($B$1,$H40,"CALC")</f>
        <v>#NAME?</v>
      </c>
      <c r="K40" s="24"/>
      <c r="L40" s="24" t="e">
        <f ca="1">_xll.EVPRO($B$1,H40,"JDEID")</f>
        <v>#NAME?</v>
      </c>
      <c r="M40" s="24" t="e">
        <f ca="1">IF(AND(I40="N",J40="N"),_xll.EVPRO($B$1,H40,"PSFTID"),"")</f>
        <v>#NAME?</v>
      </c>
      <c r="N40" s="24" t="e">
        <f ca="1">IF(_xll.EVDES(H40,$B$1)="#NODATA","",_xll.EVDES(H40,$B$1))</f>
        <v>#NAME?</v>
      </c>
      <c r="O40" s="35"/>
      <c r="P40" s="35"/>
      <c r="Q40" s="35"/>
      <c r="R40" s="35"/>
      <c r="S40" s="35"/>
      <c r="T40" s="35"/>
      <c r="U40" s="35"/>
      <c r="V40" s="35"/>
      <c r="W40" s="35"/>
      <c r="X40" s="35"/>
      <c r="Y40" s="35"/>
      <c r="Z40" s="35"/>
      <c r="AA40" s="35">
        <f t="shared" si="0"/>
        <v>0</v>
      </c>
      <c r="AB40" s="36"/>
      <c r="AD40" s="35"/>
      <c r="AE40" s="36"/>
      <c r="AF40" s="118">
        <f t="shared" si="1"/>
        <v>0</v>
      </c>
      <c r="AG40" s="35"/>
      <c r="AH40" s="36"/>
      <c r="AI40" s="118">
        <f t="shared" si="2"/>
        <v>0</v>
      </c>
    </row>
    <row r="41" spans="1:35" x14ac:dyDescent="0.2">
      <c r="A41" s="6" t="s">
        <v>29</v>
      </c>
      <c r="B41" s="7"/>
      <c r="H41" s="10" t="s">
        <v>297</v>
      </c>
      <c r="I41" s="25" t="e">
        <f ca="1">_xll.EVPRO($B$1,$H41,"STYLE")</f>
        <v>#NAME?</v>
      </c>
      <c r="J41" s="25" t="e">
        <f ca="1">_xll.EVPRO($B$1,$H41,"CALC")</f>
        <v>#NAME?</v>
      </c>
      <c r="K41" s="24"/>
      <c r="L41" s="24" t="e">
        <f ca="1">_xll.EVPRO($B$1,H41,"JDEID")</f>
        <v>#NAME?</v>
      </c>
      <c r="M41" s="24" t="e">
        <f ca="1">IF(AND(I41="N",J41="N"),_xll.EVPRO($B$1,H41,"PSFTID"),"")</f>
        <v>#NAME?</v>
      </c>
      <c r="N41" s="24" t="e">
        <f ca="1">IF(_xll.EVDES(H41,$B$1)="#NODATA","",_xll.EVDES(H41,$B$1))</f>
        <v>#NAME?</v>
      </c>
      <c r="O41" s="35"/>
      <c r="P41" s="35"/>
      <c r="Q41" s="35"/>
      <c r="R41" s="35"/>
      <c r="S41" s="35"/>
      <c r="T41" s="35"/>
      <c r="U41" s="35"/>
      <c r="V41" s="35"/>
      <c r="W41" s="35"/>
      <c r="X41" s="35"/>
      <c r="Y41" s="35"/>
      <c r="Z41" s="35"/>
      <c r="AA41" s="35">
        <f t="shared" si="0"/>
        <v>0</v>
      </c>
      <c r="AB41" s="36" t="str">
        <f>IF(AA41=0,"",IFERROR(AA41/AA$87,""))</f>
        <v/>
      </c>
      <c r="AD41" s="35"/>
      <c r="AE41" s="36" t="str">
        <f>IF(AD41=0,"",IFERROR(AD41/AD$87,""))</f>
        <v/>
      </c>
      <c r="AF41" s="118">
        <f t="shared" si="1"/>
        <v>0</v>
      </c>
      <c r="AG41" s="35"/>
      <c r="AH41" s="36" t="str">
        <f>IF(AG41=0,"",IFERROR(AG41/AG$87,""))</f>
        <v/>
      </c>
      <c r="AI41" s="118">
        <f t="shared" si="2"/>
        <v>0</v>
      </c>
    </row>
    <row r="42" spans="1:35" x14ac:dyDescent="0.2">
      <c r="A42" s="6" t="s">
        <v>30</v>
      </c>
      <c r="B42" s="7" t="s">
        <v>78</v>
      </c>
      <c r="H42" s="10" t="s">
        <v>313</v>
      </c>
      <c r="I42" s="25" t="e">
        <f ca="1">_xll.EVPRO($B$1,$H42,"STYLE")</f>
        <v>#NAME?</v>
      </c>
      <c r="J42" s="25" t="e">
        <f ca="1">_xll.EVPRO($B$1,$H42,"CALC")</f>
        <v>#NAME?</v>
      </c>
      <c r="K42" s="24"/>
      <c r="L42" s="24" t="e">
        <f ca="1">_xll.EVPRO($B$1,H42,"JDEID")</f>
        <v>#NAME?</v>
      </c>
      <c r="M42" s="24" t="e">
        <f ca="1">IF(AND(I42="N",J42="N"),_xll.EVPRO($B$1,H42,"PSFTID"),"")</f>
        <v>#NAME?</v>
      </c>
      <c r="N42" s="151" t="e">
        <f ca="1">IF(_xll.EVDES(H42,$B$1)="#NODATA","",_xll.EVDES(H42,$B$1))</f>
        <v>#NAME?</v>
      </c>
      <c r="O42" s="157"/>
      <c r="P42" s="157"/>
      <c r="Q42" s="157"/>
      <c r="R42" s="157"/>
      <c r="S42" s="157"/>
      <c r="T42" s="157"/>
      <c r="U42" s="157"/>
      <c r="V42" s="157"/>
      <c r="W42" s="157"/>
      <c r="X42" s="157"/>
      <c r="Y42" s="157"/>
      <c r="Z42" s="157"/>
      <c r="AA42" s="157" t="str">
        <f>IFERROR(AA39/AA41,"")</f>
        <v/>
      </c>
      <c r="AB42" s="157"/>
      <c r="AD42" s="157"/>
      <c r="AE42" s="157"/>
      <c r="AF42" s="158" t="str">
        <f t="shared" si="1"/>
        <v/>
      </c>
      <c r="AG42" s="157"/>
      <c r="AH42" s="157"/>
      <c r="AI42" s="158" t="str">
        <f t="shared" si="2"/>
        <v/>
      </c>
    </row>
    <row r="43" spans="1:35" x14ac:dyDescent="0.2">
      <c r="A43" s="6" t="s">
        <v>31</v>
      </c>
      <c r="B43" s="7" t="s">
        <v>78</v>
      </c>
      <c r="G43" s="162">
        <f>COUNTIF(O44:AI44,FALSE)</f>
        <v>0</v>
      </c>
      <c r="H43" s="10"/>
      <c r="I43" s="25"/>
      <c r="J43" s="25"/>
      <c r="K43" s="24"/>
      <c r="L43" s="24"/>
      <c r="M43" s="24"/>
      <c r="N43" s="163" t="s">
        <v>345</v>
      </c>
      <c r="O43" s="160">
        <f t="shared" ref="O43:AA43" si="4">ROUND(IFERROR(O39/O41,0),2)</f>
        <v>0</v>
      </c>
      <c r="P43" s="165">
        <f t="shared" si="4"/>
        <v>0</v>
      </c>
      <c r="Q43" s="165">
        <f t="shared" si="4"/>
        <v>0</v>
      </c>
      <c r="R43" s="165">
        <f t="shared" si="4"/>
        <v>0</v>
      </c>
      <c r="S43" s="165">
        <f t="shared" si="4"/>
        <v>0</v>
      </c>
      <c r="T43" s="165">
        <f t="shared" si="4"/>
        <v>0</v>
      </c>
      <c r="U43" s="165">
        <f t="shared" si="4"/>
        <v>0</v>
      </c>
      <c r="V43" s="165">
        <f t="shared" si="4"/>
        <v>0</v>
      </c>
      <c r="W43" s="165">
        <f t="shared" si="4"/>
        <v>0</v>
      </c>
      <c r="X43" s="165">
        <f t="shared" si="4"/>
        <v>0</v>
      </c>
      <c r="Y43" s="165">
        <f t="shared" si="4"/>
        <v>0</v>
      </c>
      <c r="Z43" s="165">
        <f t="shared" si="4"/>
        <v>0</v>
      </c>
      <c r="AA43" s="165">
        <f t="shared" si="4"/>
        <v>0</v>
      </c>
      <c r="AB43" s="164"/>
      <c r="AD43" s="160">
        <f>ROUND(IFERROR(AD39/AD41,0),2)</f>
        <v>0</v>
      </c>
      <c r="AE43" s="165"/>
      <c r="AF43" s="161"/>
      <c r="AG43" s="160">
        <f>ROUND(IFERROR(AG39/AG41,0),2)</f>
        <v>0</v>
      </c>
      <c r="AH43" s="165"/>
      <c r="AI43" s="161"/>
    </row>
    <row r="44" spans="1:35" x14ac:dyDescent="0.2">
      <c r="A44" s="6" t="s">
        <v>32</v>
      </c>
      <c r="B44" s="7"/>
      <c r="H44" s="10"/>
      <c r="I44" s="25"/>
      <c r="J44" s="25"/>
      <c r="K44" s="24"/>
      <c r="L44" s="24"/>
      <c r="M44" s="24"/>
      <c r="N44" s="8" t="s">
        <v>314</v>
      </c>
      <c r="O44" s="292" t="b">
        <f t="shared" ref="O44:AA44" si="5">ROUND(O42,2)=ROUND(O43,2)</f>
        <v>1</v>
      </c>
      <c r="P44" s="293" t="b">
        <f t="shared" si="5"/>
        <v>1</v>
      </c>
      <c r="Q44" s="293" t="b">
        <f t="shared" si="5"/>
        <v>1</v>
      </c>
      <c r="R44" s="293" t="b">
        <f t="shared" si="5"/>
        <v>1</v>
      </c>
      <c r="S44" s="293" t="b">
        <f t="shared" si="5"/>
        <v>1</v>
      </c>
      <c r="T44" s="293" t="b">
        <f t="shared" si="5"/>
        <v>1</v>
      </c>
      <c r="U44" s="293" t="b">
        <f t="shared" si="5"/>
        <v>1</v>
      </c>
      <c r="V44" s="293" t="b">
        <f t="shared" si="5"/>
        <v>1</v>
      </c>
      <c r="W44" s="293" t="b">
        <f t="shared" si="5"/>
        <v>1</v>
      </c>
      <c r="X44" s="293" t="b">
        <f t="shared" si="5"/>
        <v>1</v>
      </c>
      <c r="Y44" s="293" t="b">
        <f t="shared" si="5"/>
        <v>1</v>
      </c>
      <c r="Z44" s="293" t="b">
        <f t="shared" si="5"/>
        <v>1</v>
      </c>
      <c r="AA44" s="293" t="e">
        <f t="shared" si="5"/>
        <v>#VALUE!</v>
      </c>
      <c r="AB44" s="294"/>
      <c r="AC44" s="206"/>
      <c r="AD44" s="292"/>
      <c r="AE44" s="293" t="b">
        <f>ROUND(AD42,2)=ROUND(AD43,2)</f>
        <v>1</v>
      </c>
      <c r="AF44" s="294"/>
      <c r="AG44" s="292"/>
      <c r="AH44" s="293" t="b">
        <f>ROUND(AG42,2)=ROUND(AG43,2)</f>
        <v>1</v>
      </c>
      <c r="AI44" s="294"/>
    </row>
    <row r="45" spans="1:35" x14ac:dyDescent="0.2">
      <c r="A45" s="6" t="s">
        <v>33</v>
      </c>
      <c r="B45" s="7"/>
      <c r="H45" s="10" t="s">
        <v>261</v>
      </c>
      <c r="I45" s="25" t="e">
        <f ca="1">_xll.EVPRO($B$1,$H45,"STYLE")</f>
        <v>#NAME?</v>
      </c>
      <c r="J45" s="25" t="e">
        <f ca="1">_xll.EVPRO($B$1,$H45,"CALC")</f>
        <v>#NAME?</v>
      </c>
      <c r="K45" s="24"/>
      <c r="L45" s="24" t="e">
        <f ca="1">_xll.EVPRO($B$1,H45,"JDEID")</f>
        <v>#NAME?</v>
      </c>
      <c r="M45" s="24" t="e">
        <f ca="1">IF(AND(I45="N",J45="N"),_xll.EVPRO($B$1,H45,"PSFTID"),"")</f>
        <v>#NAME?</v>
      </c>
      <c r="N45" s="24" t="e">
        <f ca="1">IF(_xll.EVDES(H45,$B$1)="#NODATA","",_xll.EVDES(H45,$B$1))</f>
        <v>#NAME?</v>
      </c>
      <c r="O45" s="19"/>
      <c r="P45" s="19"/>
      <c r="Q45" s="19"/>
      <c r="R45" s="19"/>
      <c r="S45" s="19"/>
      <c r="T45" s="19"/>
      <c r="U45" s="19"/>
      <c r="V45" s="19"/>
      <c r="W45" s="19"/>
      <c r="X45" s="19"/>
      <c r="Y45" s="19"/>
      <c r="Z45" s="19"/>
      <c r="AA45" s="19">
        <f t="shared" ref="AA45:AA51" si="6">SUM(O45:Z45)</f>
        <v>0</v>
      </c>
      <c r="AB45" s="15" t="str">
        <f>IF(AA45=0,"",IFERROR(AA45/AA$19,""))</f>
        <v/>
      </c>
      <c r="AD45" s="19"/>
      <c r="AE45" s="15" t="str">
        <f>IF(AD45=0,"",IFERROR(AD45/AD$19,""))</f>
        <v/>
      </c>
      <c r="AF45" s="47">
        <f t="shared" ref="AF45:AF52" si="7">IF(AND($AA45="",AD45=""),"",$AA45-AD45)</f>
        <v>0</v>
      </c>
      <c r="AG45" s="19"/>
      <c r="AH45" s="15" t="str">
        <f t="shared" si="3"/>
        <v/>
      </c>
      <c r="AI45" s="47">
        <f t="shared" ref="AI45:AI52" si="8">IF(AND($AA45="",AG45=""),"",$AA45-AG45)</f>
        <v>0</v>
      </c>
    </row>
    <row r="46" spans="1:35" x14ac:dyDescent="0.2">
      <c r="A46" s="6" t="s">
        <v>34</v>
      </c>
      <c r="B46" s="7"/>
      <c r="H46" s="133" t="s">
        <v>301</v>
      </c>
      <c r="I46" s="25" t="e">
        <f ca="1">_xll.EVPRO($B$1,$H46,"STYLE")</f>
        <v>#NAME?</v>
      </c>
      <c r="J46" s="25" t="e">
        <f ca="1">_xll.EVPRO($B$1,$H46,"CALC")</f>
        <v>#NAME?</v>
      </c>
      <c r="K46" s="24"/>
      <c r="L46" s="24" t="e">
        <f ca="1">_xll.EVPRO($B$1,H46,"JDEID")</f>
        <v>#NAME?</v>
      </c>
      <c r="M46" s="24" t="e">
        <f ca="1">IF(AND(I46="N",J46="N"),_xll.EVPRO($B$1,H46,"PSFTID"),"")</f>
        <v>#NAME?</v>
      </c>
      <c r="N46" s="24" t="e">
        <f ca="1">IF(_xll.EVDES(H46,$B$1)="#NODATA","",_xll.EVDES(H46,$B$1))</f>
        <v>#NAME?</v>
      </c>
      <c r="O46" s="19"/>
      <c r="P46" s="19"/>
      <c r="Q46" s="19"/>
      <c r="R46" s="19"/>
      <c r="S46" s="19"/>
      <c r="T46" s="19"/>
      <c r="U46" s="19"/>
      <c r="V46" s="19"/>
      <c r="W46" s="19"/>
      <c r="X46" s="19"/>
      <c r="Y46" s="19"/>
      <c r="Z46" s="19"/>
      <c r="AA46" s="19">
        <f t="shared" si="6"/>
        <v>0</v>
      </c>
      <c r="AB46" s="15" t="str">
        <f>IF(AA46=0,"",IFERROR(AA46/AA$19,""))</f>
        <v/>
      </c>
      <c r="AD46" s="19"/>
      <c r="AE46" s="15" t="str">
        <f>IF(AD46=0,"",IFERROR(AD46/AD$19,""))</f>
        <v/>
      </c>
      <c r="AF46" s="47">
        <f t="shared" si="7"/>
        <v>0</v>
      </c>
      <c r="AG46" s="19"/>
      <c r="AH46" s="15" t="str">
        <f t="shared" si="3"/>
        <v/>
      </c>
      <c r="AI46" s="47">
        <f t="shared" si="8"/>
        <v>0</v>
      </c>
    </row>
    <row r="47" spans="1:35" x14ac:dyDescent="0.2">
      <c r="A47" s="6" t="s">
        <v>35</v>
      </c>
      <c r="B47" s="7"/>
      <c r="H47" s="133" t="s">
        <v>305</v>
      </c>
      <c r="I47" s="25" t="e">
        <f ca="1">_xll.EVPRO($B$1,$H47,"STYLE")</f>
        <v>#NAME?</v>
      </c>
      <c r="J47" s="25" t="e">
        <f ca="1">_xll.EVPRO($B$1,$H47,"CALC")</f>
        <v>#NAME?</v>
      </c>
      <c r="K47" s="24"/>
      <c r="L47" s="24" t="e">
        <f ca="1">_xll.EVPRO($B$1,H47,"JDEID")</f>
        <v>#NAME?</v>
      </c>
      <c r="M47" s="24" t="e">
        <f ca="1">IF(AND(I47="N",J47="N"),_xll.EVPRO($B$1,H47,"PSFTID"),"")</f>
        <v>#NAME?</v>
      </c>
      <c r="N47" s="24" t="e">
        <f ca="1">IF(_xll.EVDES(H47,$B$1)="#NODATA","",_xll.EVDES(H47,$B$1))</f>
        <v>#NAME?</v>
      </c>
      <c r="O47" s="19"/>
      <c r="P47" s="19"/>
      <c r="Q47" s="19"/>
      <c r="R47" s="19"/>
      <c r="S47" s="19"/>
      <c r="T47" s="19"/>
      <c r="U47" s="19"/>
      <c r="V47" s="19"/>
      <c r="W47" s="19"/>
      <c r="X47" s="19"/>
      <c r="Y47" s="19"/>
      <c r="Z47" s="19"/>
      <c r="AA47" s="19">
        <f t="shared" si="6"/>
        <v>0</v>
      </c>
      <c r="AB47" s="15" t="str">
        <f>IF(AA47=0,"",IFERROR(AA47/AA$19,""))</f>
        <v/>
      </c>
      <c r="AD47" s="19"/>
      <c r="AE47" s="15" t="str">
        <f>IF(AD47=0,"",IFERROR(AD47/AD$19,""))</f>
        <v/>
      </c>
      <c r="AF47" s="47">
        <f t="shared" si="7"/>
        <v>0</v>
      </c>
      <c r="AG47" s="19"/>
      <c r="AH47" s="15" t="str">
        <f t="shared" si="3"/>
        <v/>
      </c>
      <c r="AI47" s="47">
        <f t="shared" si="8"/>
        <v>0</v>
      </c>
    </row>
    <row r="48" spans="1:35" x14ac:dyDescent="0.2">
      <c r="A48" s="6" t="s">
        <v>36</v>
      </c>
      <c r="B48" s="7"/>
      <c r="H48" s="133" t="s">
        <v>303</v>
      </c>
      <c r="I48" s="25" t="e">
        <f ca="1">_xll.EVPRO($B$1,$H48,"STYLE")</f>
        <v>#NAME?</v>
      </c>
      <c r="J48" s="25" t="e">
        <f ca="1">_xll.EVPRO($B$1,$H48,"CALC")</f>
        <v>#NAME?</v>
      </c>
      <c r="K48" s="24"/>
      <c r="L48" s="24" t="e">
        <f ca="1">_xll.EVPRO($B$1,H48,"JDEID")</f>
        <v>#NAME?</v>
      </c>
      <c r="M48" s="24" t="e">
        <f ca="1">IF(AND(I48="N",J48="N"),_xll.EVPRO($B$1,H48,"PSFTID"),"")</f>
        <v>#NAME?</v>
      </c>
      <c r="N48" s="24" t="e">
        <f ca="1">IF(_xll.EVDES(H48,$B$1)="#NODATA","",_xll.EVDES(H48,$B$1))</f>
        <v>#NAME?</v>
      </c>
      <c r="O48" s="28"/>
      <c r="P48" s="28"/>
      <c r="Q48" s="28"/>
      <c r="R48" s="28"/>
      <c r="S48" s="28"/>
      <c r="T48" s="28"/>
      <c r="U48" s="28"/>
      <c r="V48" s="28"/>
      <c r="W48" s="28"/>
      <c r="X48" s="28"/>
      <c r="Y48" s="28"/>
      <c r="Z48" s="28"/>
      <c r="AA48" s="28">
        <f t="shared" si="6"/>
        <v>0</v>
      </c>
      <c r="AB48" s="29" t="str">
        <f>IF(AA48=0,"",IFERROR(AA48/AA$19,""))</f>
        <v/>
      </c>
      <c r="AD48" s="28"/>
      <c r="AE48" s="29" t="str">
        <f>IF(AD48=0,"",IFERROR(AD48/AD$19,""))</f>
        <v/>
      </c>
      <c r="AF48" s="48">
        <f t="shared" si="7"/>
        <v>0</v>
      </c>
      <c r="AG48" s="28"/>
      <c r="AH48" s="29" t="str">
        <f t="shared" si="3"/>
        <v/>
      </c>
      <c r="AI48" s="48">
        <f t="shared" si="8"/>
        <v>0</v>
      </c>
    </row>
    <row r="49" spans="1:35" x14ac:dyDescent="0.2">
      <c r="A49" s="6" t="s">
        <v>37</v>
      </c>
      <c r="B49" s="7"/>
      <c r="H49" s="10" t="s">
        <v>319</v>
      </c>
      <c r="I49" s="25" t="e">
        <f ca="1">_xll.EVPRO($B$1,$H49,"STYLE")</f>
        <v>#NAME?</v>
      </c>
      <c r="J49" s="25" t="e">
        <f ca="1">_xll.EVPRO($B$1,$H49,"CALC")</f>
        <v>#NAME?</v>
      </c>
      <c r="K49" s="24"/>
      <c r="L49" s="24" t="e">
        <f ca="1">_xll.EVPRO($B$1,H49,"JDEID")</f>
        <v>#NAME?</v>
      </c>
      <c r="M49" s="24" t="e">
        <f ca="1">IF(AND(I49="N",J49="N"),_xll.EVPRO($B$1,H49,"PSFTID"),"")</f>
        <v>#NAME?</v>
      </c>
      <c r="N49" s="23" t="e">
        <f ca="1">IF(_xll.EVDES(H49,$B$1)="#NODATA","",_xll.EVDES(H49,$B$1))</f>
        <v>#NAME?</v>
      </c>
      <c r="O49" s="145"/>
      <c r="P49" s="145"/>
      <c r="Q49" s="145"/>
      <c r="R49" s="145"/>
      <c r="S49" s="145"/>
      <c r="T49" s="145"/>
      <c r="U49" s="145"/>
      <c r="V49" s="145"/>
      <c r="W49" s="145"/>
      <c r="X49" s="145"/>
      <c r="Y49" s="145"/>
      <c r="Z49" s="145"/>
      <c r="AA49" s="145">
        <f t="shared" si="6"/>
        <v>0</v>
      </c>
      <c r="AB49" s="156" t="str">
        <f>IF(AA49=0,"",IFERROR(AA49/AA$19,""))</f>
        <v/>
      </c>
      <c r="AD49" s="145"/>
      <c r="AE49" s="156" t="str">
        <f>IF(AD49=0,"",IFERROR(AD49/AD$19,""))</f>
        <v/>
      </c>
      <c r="AF49" s="146">
        <f t="shared" si="7"/>
        <v>0</v>
      </c>
      <c r="AG49" s="145"/>
      <c r="AH49" s="156" t="str">
        <f t="shared" si="3"/>
        <v/>
      </c>
      <c r="AI49" s="146">
        <f t="shared" si="8"/>
        <v>0</v>
      </c>
    </row>
    <row r="50" spans="1:35" x14ac:dyDescent="0.2">
      <c r="A50" s="6" t="s">
        <v>38</v>
      </c>
      <c r="B50" s="7"/>
      <c r="H50" s="10" t="s">
        <v>764</v>
      </c>
      <c r="I50" s="25" t="e">
        <f ca="1">_xll.EVPRO($B$1,$H50,"STYLE")</f>
        <v>#NAME?</v>
      </c>
      <c r="J50" s="25" t="e">
        <f ca="1">_xll.EVPRO($B$1,$H50,"CALC")</f>
        <v>#NAME?</v>
      </c>
      <c r="K50" s="24"/>
      <c r="L50" s="24" t="e">
        <f ca="1">_xll.EVPRO($B$1,H50,"JDEID")</f>
        <v>#NAME?</v>
      </c>
      <c r="M50" s="24" t="e">
        <f ca="1">IF(AND(I50="N",J50="N"),_xll.EVPRO($B$1,H50,"PSFTID"),"")</f>
        <v>#NAME?</v>
      </c>
      <c r="N50" s="24" t="e">
        <f ca="1">IF(_xll.EVDES(H50,$B$1)="#NODATA","",_xll.EVDES(H50,$B$1))</f>
        <v>#NAME?</v>
      </c>
      <c r="O50" s="35"/>
      <c r="P50" s="35"/>
      <c r="Q50" s="35"/>
      <c r="R50" s="35"/>
      <c r="S50" s="35"/>
      <c r="T50" s="35"/>
      <c r="U50" s="35"/>
      <c r="V50" s="35"/>
      <c r="W50" s="35"/>
      <c r="X50" s="35"/>
      <c r="Y50" s="35"/>
      <c r="Z50" s="35"/>
      <c r="AA50" s="35">
        <f t="shared" si="6"/>
        <v>0</v>
      </c>
      <c r="AB50" s="36"/>
      <c r="AD50" s="35"/>
      <c r="AE50" s="36"/>
      <c r="AF50" s="118">
        <f t="shared" si="7"/>
        <v>0</v>
      </c>
      <c r="AG50" s="35"/>
      <c r="AH50" s="36"/>
      <c r="AI50" s="118">
        <f t="shared" si="8"/>
        <v>0</v>
      </c>
    </row>
    <row r="51" spans="1:35" x14ac:dyDescent="0.2">
      <c r="A51" s="6" t="s">
        <v>39</v>
      </c>
      <c r="B51" s="7"/>
      <c r="H51" s="10" t="s">
        <v>298</v>
      </c>
      <c r="I51" s="25" t="e">
        <f ca="1">_xll.EVPRO($B$1,$H51,"STYLE")</f>
        <v>#NAME?</v>
      </c>
      <c r="J51" s="25" t="e">
        <f ca="1">_xll.EVPRO($B$1,$H51,"CALC")</f>
        <v>#NAME?</v>
      </c>
      <c r="K51" s="24"/>
      <c r="L51" s="24" t="e">
        <f ca="1">_xll.EVPRO($B$1,H51,"JDEID")</f>
        <v>#NAME?</v>
      </c>
      <c r="M51" s="24" t="e">
        <f ca="1">IF(AND(I51="N",J51="N"),_xll.EVPRO($B$1,H51,"PSFTID"),"")</f>
        <v>#NAME?</v>
      </c>
      <c r="N51" s="24" t="e">
        <f ca="1">IF(_xll.EVDES(H51,$B$1)="#NODATA","",_xll.EVDES(H51,$B$1))</f>
        <v>#NAME?</v>
      </c>
      <c r="O51" s="35"/>
      <c r="P51" s="35"/>
      <c r="Q51" s="35"/>
      <c r="R51" s="35"/>
      <c r="S51" s="35"/>
      <c r="T51" s="35"/>
      <c r="U51" s="35"/>
      <c r="V51" s="35"/>
      <c r="W51" s="35"/>
      <c r="X51" s="35"/>
      <c r="Y51" s="35"/>
      <c r="Z51" s="35"/>
      <c r="AA51" s="35">
        <f t="shared" si="6"/>
        <v>0</v>
      </c>
      <c r="AB51" s="36" t="str">
        <f>IF(AA51=0,"",IFERROR(AA51/AA$87,""))</f>
        <v/>
      </c>
      <c r="AD51" s="35"/>
      <c r="AE51" s="36" t="str">
        <f>IF(AD51=0,"",IFERROR(AD51/AD$87,""))</f>
        <v/>
      </c>
      <c r="AF51" s="118">
        <f t="shared" si="7"/>
        <v>0</v>
      </c>
      <c r="AG51" s="35"/>
      <c r="AH51" s="36" t="str">
        <f>IF(AG51=0,"",IFERROR(AG51/AG$87,""))</f>
        <v/>
      </c>
      <c r="AI51" s="118">
        <f t="shared" si="8"/>
        <v>0</v>
      </c>
    </row>
    <row r="52" spans="1:35" x14ac:dyDescent="0.2">
      <c r="A52" s="6" t="s">
        <v>40</v>
      </c>
      <c r="B52" s="7"/>
      <c r="H52" s="10" t="s">
        <v>315</v>
      </c>
      <c r="I52" s="25" t="e">
        <f ca="1">_xll.EVPRO($B$1,$H52,"STYLE")</f>
        <v>#NAME?</v>
      </c>
      <c r="J52" s="25" t="e">
        <f ca="1">_xll.EVPRO($B$1,$H52,"CALC")</f>
        <v>#NAME?</v>
      </c>
      <c r="K52" s="24"/>
      <c r="L52" s="24" t="e">
        <f ca="1">_xll.EVPRO($B$1,H52,"JDEID")</f>
        <v>#NAME?</v>
      </c>
      <c r="M52" s="24" t="e">
        <f ca="1">IF(AND(I52="N",J52="N"),_xll.EVPRO($B$1,H52,"PSFTID"),"")</f>
        <v>#NAME?</v>
      </c>
      <c r="N52" s="151" t="e">
        <f ca="1">IF(_xll.EVDES(H52,$B$1)="#NODATA","",_xll.EVDES(H52,$B$1))</f>
        <v>#NAME?</v>
      </c>
      <c r="O52" s="157"/>
      <c r="P52" s="157"/>
      <c r="Q52" s="157"/>
      <c r="R52" s="157"/>
      <c r="S52" s="157"/>
      <c r="T52" s="157"/>
      <c r="U52" s="157"/>
      <c r="V52" s="157"/>
      <c r="W52" s="157"/>
      <c r="X52" s="157"/>
      <c r="Y52" s="157"/>
      <c r="Z52" s="157"/>
      <c r="AA52" s="157" t="str">
        <f>IFERROR(AA49/AA51,"")</f>
        <v/>
      </c>
      <c r="AB52" s="157"/>
      <c r="AD52" s="157"/>
      <c r="AE52" s="157"/>
      <c r="AF52" s="158" t="str">
        <f t="shared" si="7"/>
        <v/>
      </c>
      <c r="AG52" s="157"/>
      <c r="AH52" s="157"/>
      <c r="AI52" s="158" t="str">
        <f t="shared" si="8"/>
        <v/>
      </c>
    </row>
    <row r="53" spans="1:35" x14ac:dyDescent="0.2">
      <c r="A53" s="6" t="s">
        <v>41</v>
      </c>
      <c r="B53" s="7"/>
      <c r="G53" s="162">
        <f>COUNTIF(O54:AI54,FALSE)</f>
        <v>0</v>
      </c>
      <c r="H53" s="10"/>
      <c r="I53" s="25"/>
      <c r="J53" s="25"/>
      <c r="K53" s="24"/>
      <c r="L53" s="24"/>
      <c r="M53" s="24"/>
      <c r="N53" s="163" t="s">
        <v>345</v>
      </c>
      <c r="O53" s="160">
        <f t="shared" ref="O53:AA53" si="9">ROUND(IFERROR(O49/O51,0),2)</f>
        <v>0</v>
      </c>
      <c r="P53" s="165">
        <f t="shared" si="9"/>
        <v>0</v>
      </c>
      <c r="Q53" s="165">
        <f t="shared" si="9"/>
        <v>0</v>
      </c>
      <c r="R53" s="165">
        <f t="shared" si="9"/>
        <v>0</v>
      </c>
      <c r="S53" s="165">
        <f t="shared" si="9"/>
        <v>0</v>
      </c>
      <c r="T53" s="165">
        <f t="shared" si="9"/>
        <v>0</v>
      </c>
      <c r="U53" s="165">
        <f t="shared" si="9"/>
        <v>0</v>
      </c>
      <c r="V53" s="165">
        <f t="shared" si="9"/>
        <v>0</v>
      </c>
      <c r="W53" s="165">
        <f t="shared" si="9"/>
        <v>0</v>
      </c>
      <c r="X53" s="165">
        <f t="shared" si="9"/>
        <v>0</v>
      </c>
      <c r="Y53" s="165">
        <f t="shared" si="9"/>
        <v>0</v>
      </c>
      <c r="Z53" s="165">
        <f t="shared" si="9"/>
        <v>0</v>
      </c>
      <c r="AA53" s="165">
        <f t="shared" si="9"/>
        <v>0</v>
      </c>
      <c r="AB53" s="164"/>
      <c r="AD53" s="160">
        <f>ROUND(IFERROR(AD49/AD51,0),2)</f>
        <v>0</v>
      </c>
      <c r="AE53" s="165"/>
      <c r="AF53" s="161"/>
      <c r="AG53" s="160">
        <f>ROUND(IFERROR(AG49/AG51,0),2)</f>
        <v>0</v>
      </c>
      <c r="AH53" s="165"/>
      <c r="AI53" s="161"/>
    </row>
    <row r="54" spans="1:35" x14ac:dyDescent="0.2">
      <c r="A54" s="6" t="s">
        <v>42</v>
      </c>
      <c r="B54" s="7"/>
      <c r="H54" s="10"/>
      <c r="I54" s="25"/>
      <c r="J54" s="25"/>
      <c r="K54" s="24"/>
      <c r="L54" s="24"/>
      <c r="M54" s="24"/>
      <c r="N54" s="8" t="s">
        <v>316</v>
      </c>
      <c r="O54" s="292" t="b">
        <f t="shared" ref="O54:AA54" si="10">ROUND(O52,2)=ROUND(O53,2)</f>
        <v>1</v>
      </c>
      <c r="P54" s="293" t="b">
        <f t="shared" si="10"/>
        <v>1</v>
      </c>
      <c r="Q54" s="293" t="b">
        <f t="shared" si="10"/>
        <v>1</v>
      </c>
      <c r="R54" s="293" t="b">
        <f t="shared" si="10"/>
        <v>1</v>
      </c>
      <c r="S54" s="293" t="b">
        <f t="shared" si="10"/>
        <v>1</v>
      </c>
      <c r="T54" s="293" t="b">
        <f t="shared" si="10"/>
        <v>1</v>
      </c>
      <c r="U54" s="293" t="b">
        <f t="shared" si="10"/>
        <v>1</v>
      </c>
      <c r="V54" s="293" t="b">
        <f t="shared" si="10"/>
        <v>1</v>
      </c>
      <c r="W54" s="293" t="b">
        <f t="shared" si="10"/>
        <v>1</v>
      </c>
      <c r="X54" s="293" t="b">
        <f t="shared" si="10"/>
        <v>1</v>
      </c>
      <c r="Y54" s="293" t="b">
        <f t="shared" si="10"/>
        <v>1</v>
      </c>
      <c r="Z54" s="293" t="b">
        <f t="shared" si="10"/>
        <v>1</v>
      </c>
      <c r="AA54" s="293" t="e">
        <f t="shared" si="10"/>
        <v>#VALUE!</v>
      </c>
      <c r="AB54" s="294"/>
      <c r="AC54" s="206"/>
      <c r="AD54" s="292"/>
      <c r="AE54" s="293" t="b">
        <f>ROUND(AD52,2)=ROUND(AD53,2)</f>
        <v>1</v>
      </c>
      <c r="AF54" s="294"/>
      <c r="AG54" s="292"/>
      <c r="AH54" s="293" t="b">
        <f>ROUND(AG52,2)=ROUND(AG53,2)</f>
        <v>1</v>
      </c>
      <c r="AI54" s="294"/>
    </row>
    <row r="55" spans="1:35" x14ac:dyDescent="0.2">
      <c r="A55" s="6" t="s">
        <v>43</v>
      </c>
      <c r="B55" s="7"/>
      <c r="H55" s="10" t="s">
        <v>262</v>
      </c>
      <c r="I55" s="25" t="e">
        <f ca="1">_xll.EVPRO($B$1,$H55,"STYLE")</f>
        <v>#NAME?</v>
      </c>
      <c r="J55" s="25" t="e">
        <f ca="1">_xll.EVPRO($B$1,$H55,"CALC")</f>
        <v>#NAME?</v>
      </c>
      <c r="K55" s="24"/>
      <c r="L55" s="24" t="e">
        <f ca="1">_xll.EVPRO($B$1,H55,"JDEID")</f>
        <v>#NAME?</v>
      </c>
      <c r="M55" s="24" t="e">
        <f ca="1">IF(AND(I55="N",J55="N"),_xll.EVPRO($B$1,H55,"PSFTID"),"")</f>
        <v>#NAME?</v>
      </c>
      <c r="N55" s="24" t="e">
        <f ca="1">IF(_xll.EVDES(H55,$B$1)="#NODATA","",_xll.EVDES(H55,$B$1))</f>
        <v>#NAME?</v>
      </c>
      <c r="O55" s="19"/>
      <c r="P55" s="19"/>
      <c r="Q55" s="19"/>
      <c r="R55" s="19"/>
      <c r="S55" s="19"/>
      <c r="T55" s="19"/>
      <c r="U55" s="19"/>
      <c r="V55" s="19"/>
      <c r="W55" s="19"/>
      <c r="X55" s="19"/>
      <c r="Y55" s="19"/>
      <c r="Z55" s="19"/>
      <c r="AA55" s="19">
        <f t="shared" ref="AA55:AA61" si="11">SUM(O55:Z55)</f>
        <v>0</v>
      </c>
      <c r="AB55" s="15" t="str">
        <f>IF(AA55=0,"",IFERROR(AA55/AA$19,""))</f>
        <v/>
      </c>
      <c r="AD55" s="19"/>
      <c r="AE55" s="15" t="str">
        <f>IF(AD55=0,"",IFERROR(AD55/AD$19,""))</f>
        <v/>
      </c>
      <c r="AF55" s="47">
        <f t="shared" ref="AF55:AF62" si="12">IF(AND($AA55="",AD55=""),"",$AA55-AD55)</f>
        <v>0</v>
      </c>
      <c r="AG55" s="19"/>
      <c r="AH55" s="15" t="str">
        <f t="shared" si="3"/>
        <v/>
      </c>
      <c r="AI55" s="47">
        <f t="shared" ref="AI55:AI62" si="13">IF(AND($AA55="",AG55=""),"",$AA55-AG55)</f>
        <v>0</v>
      </c>
    </row>
    <row r="56" spans="1:35" x14ac:dyDescent="0.2">
      <c r="A56" s="6" t="s">
        <v>44</v>
      </c>
      <c r="B56" s="7"/>
      <c r="H56" s="10" t="s">
        <v>302</v>
      </c>
      <c r="I56" s="25" t="e">
        <f ca="1">_xll.EVPRO($B$1,$H56,"STYLE")</f>
        <v>#NAME?</v>
      </c>
      <c r="J56" s="25" t="e">
        <f ca="1">_xll.EVPRO($B$1,$H56,"CALC")</f>
        <v>#NAME?</v>
      </c>
      <c r="K56" s="24"/>
      <c r="L56" s="24" t="e">
        <f ca="1">_xll.EVPRO($B$1,H56,"JDEID")</f>
        <v>#NAME?</v>
      </c>
      <c r="M56" s="24" t="e">
        <f ca="1">IF(AND(I56="N",J56="N"),_xll.EVPRO($B$1,H56,"PSFTID"),"")</f>
        <v>#NAME?</v>
      </c>
      <c r="N56" s="24" t="e">
        <f ca="1">IF(_xll.EVDES(H56,$B$1)="#NODATA","",_xll.EVDES(H56,$B$1))</f>
        <v>#NAME?</v>
      </c>
      <c r="O56" s="19"/>
      <c r="P56" s="19"/>
      <c r="Q56" s="19"/>
      <c r="R56" s="19"/>
      <c r="S56" s="19"/>
      <c r="T56" s="19"/>
      <c r="U56" s="19"/>
      <c r="V56" s="19"/>
      <c r="W56" s="19"/>
      <c r="X56" s="19"/>
      <c r="Y56" s="19"/>
      <c r="Z56" s="19"/>
      <c r="AA56" s="19">
        <f t="shared" si="11"/>
        <v>0</v>
      </c>
      <c r="AB56" s="15" t="str">
        <f>IF(AA56=0,"",IFERROR(AA56/AA$19,""))</f>
        <v/>
      </c>
      <c r="AD56" s="19"/>
      <c r="AE56" s="15" t="str">
        <f>IF(AD56=0,"",IFERROR(AD56/AD$19,""))</f>
        <v/>
      </c>
      <c r="AF56" s="47">
        <f t="shared" si="12"/>
        <v>0</v>
      </c>
      <c r="AG56" s="19"/>
      <c r="AH56" s="15" t="str">
        <f t="shared" si="3"/>
        <v/>
      </c>
      <c r="AI56" s="47">
        <f t="shared" si="13"/>
        <v>0</v>
      </c>
    </row>
    <row r="57" spans="1:35" x14ac:dyDescent="0.2">
      <c r="A57" s="6" t="s">
        <v>45</v>
      </c>
      <c r="B57" s="7"/>
      <c r="H57" s="10" t="s">
        <v>306</v>
      </c>
      <c r="I57" s="25" t="e">
        <f ca="1">_xll.EVPRO($B$1,$H57,"STYLE")</f>
        <v>#NAME?</v>
      </c>
      <c r="J57" s="25" t="e">
        <f ca="1">_xll.EVPRO($B$1,$H57,"CALC")</f>
        <v>#NAME?</v>
      </c>
      <c r="K57" s="24"/>
      <c r="L57" s="24" t="e">
        <f ca="1">_xll.EVPRO($B$1,H57,"JDEID")</f>
        <v>#NAME?</v>
      </c>
      <c r="M57" s="24" t="e">
        <f ca="1">IF(AND(I57="N",J57="N"),_xll.EVPRO($B$1,H57,"PSFTID"),"")</f>
        <v>#NAME?</v>
      </c>
      <c r="N57" s="24" t="e">
        <f ca="1">IF(_xll.EVDES(H57,$B$1)="#NODATA","",_xll.EVDES(H57,$B$1))</f>
        <v>#NAME?</v>
      </c>
      <c r="O57" s="19"/>
      <c r="P57" s="19"/>
      <c r="Q57" s="19"/>
      <c r="R57" s="19"/>
      <c r="S57" s="19"/>
      <c r="T57" s="19"/>
      <c r="U57" s="19"/>
      <c r="V57" s="19"/>
      <c r="W57" s="19"/>
      <c r="X57" s="19"/>
      <c r="Y57" s="19"/>
      <c r="Z57" s="19"/>
      <c r="AA57" s="19">
        <f t="shared" si="11"/>
        <v>0</v>
      </c>
      <c r="AB57" s="15" t="str">
        <f>IF(AA57=0,"",IFERROR(AA57/AA$19,""))</f>
        <v/>
      </c>
      <c r="AD57" s="19"/>
      <c r="AE57" s="15" t="str">
        <f>IF(AD57=0,"",IFERROR(AD57/AD$19,""))</f>
        <v/>
      </c>
      <c r="AF57" s="47">
        <f t="shared" si="12"/>
        <v>0</v>
      </c>
      <c r="AG57" s="19"/>
      <c r="AH57" s="15" t="str">
        <f t="shared" si="3"/>
        <v/>
      </c>
      <c r="AI57" s="47">
        <f t="shared" si="13"/>
        <v>0</v>
      </c>
    </row>
    <row r="58" spans="1:35" x14ac:dyDescent="0.2">
      <c r="A58" s="6" t="s">
        <v>46</v>
      </c>
      <c r="B58" s="7"/>
      <c r="H58" s="10" t="s">
        <v>304</v>
      </c>
      <c r="I58" s="25" t="e">
        <f ca="1">_xll.EVPRO($B$1,$H58,"STYLE")</f>
        <v>#NAME?</v>
      </c>
      <c r="J58" s="25" t="e">
        <f ca="1">_xll.EVPRO($B$1,$H58,"CALC")</f>
        <v>#NAME?</v>
      </c>
      <c r="K58" s="24"/>
      <c r="L58" s="24" t="e">
        <f ca="1">_xll.EVPRO($B$1,H58,"JDEID")</f>
        <v>#NAME?</v>
      </c>
      <c r="M58" s="24" t="e">
        <f ca="1">IF(AND(I58="N",J58="N"),_xll.EVPRO($B$1,H58,"PSFTID"),"")</f>
        <v>#NAME?</v>
      </c>
      <c r="N58" s="24" t="e">
        <f ca="1">IF(_xll.EVDES(H58,$B$1)="#NODATA","",_xll.EVDES(H58,$B$1))</f>
        <v>#NAME?</v>
      </c>
      <c r="O58" s="28"/>
      <c r="P58" s="28"/>
      <c r="Q58" s="28"/>
      <c r="R58" s="28"/>
      <c r="S58" s="28"/>
      <c r="T58" s="28"/>
      <c r="U58" s="28"/>
      <c r="V58" s="28"/>
      <c r="W58" s="28"/>
      <c r="X58" s="28"/>
      <c r="Y58" s="28"/>
      <c r="Z58" s="28"/>
      <c r="AA58" s="28">
        <f t="shared" si="11"/>
        <v>0</v>
      </c>
      <c r="AB58" s="29" t="str">
        <f>IF(AA58=0,"",IFERROR(AA58/AA$19,""))</f>
        <v/>
      </c>
      <c r="AD58" s="28"/>
      <c r="AE58" s="29" t="str">
        <f>IF(AD58=0,"",IFERROR(AD58/AD$19,""))</f>
        <v/>
      </c>
      <c r="AF58" s="48">
        <f t="shared" si="12"/>
        <v>0</v>
      </c>
      <c r="AG58" s="28"/>
      <c r="AH58" s="29" t="str">
        <f t="shared" si="3"/>
        <v/>
      </c>
      <c r="AI58" s="48">
        <f t="shared" si="13"/>
        <v>0</v>
      </c>
    </row>
    <row r="59" spans="1:35" x14ac:dyDescent="0.2">
      <c r="H59" s="10" t="s">
        <v>320</v>
      </c>
      <c r="I59" s="25" t="e">
        <f ca="1">_xll.EVPRO($B$1,$H59,"STYLE")</f>
        <v>#NAME?</v>
      </c>
      <c r="J59" s="25" t="e">
        <f ca="1">_xll.EVPRO($B$1,$H59,"CALC")</f>
        <v>#NAME?</v>
      </c>
      <c r="K59" s="24"/>
      <c r="L59" s="24" t="e">
        <f ca="1">_xll.EVPRO($B$1,H59,"JDEID")</f>
        <v>#NAME?</v>
      </c>
      <c r="M59" s="24" t="e">
        <f ca="1">IF(AND(I59="N",J59="N"),_xll.EVPRO($B$1,H59,"PSFTID"),"")</f>
        <v>#NAME?</v>
      </c>
      <c r="N59" s="23" t="e">
        <f ca="1">IF(_xll.EVDES(H59,$B$1)="#NODATA","",_xll.EVDES(H59,$B$1))</f>
        <v>#NAME?</v>
      </c>
      <c r="O59" s="145"/>
      <c r="P59" s="145"/>
      <c r="Q59" s="145"/>
      <c r="R59" s="145"/>
      <c r="S59" s="145"/>
      <c r="T59" s="145"/>
      <c r="U59" s="145"/>
      <c r="V59" s="145"/>
      <c r="W59" s="145"/>
      <c r="X59" s="145"/>
      <c r="Y59" s="145"/>
      <c r="Z59" s="145"/>
      <c r="AA59" s="145">
        <f t="shared" si="11"/>
        <v>0</v>
      </c>
      <c r="AB59" s="156" t="str">
        <f>IF(AA59=0,"",IFERROR(AA59/AA$19,""))</f>
        <v/>
      </c>
      <c r="AD59" s="145"/>
      <c r="AE59" s="156" t="str">
        <f>IF(AD59=0,"",IFERROR(AD59/AD$19,""))</f>
        <v/>
      </c>
      <c r="AF59" s="146">
        <f t="shared" si="12"/>
        <v>0</v>
      </c>
      <c r="AG59" s="145"/>
      <c r="AH59" s="156" t="str">
        <f t="shared" si="3"/>
        <v/>
      </c>
      <c r="AI59" s="146">
        <f t="shared" si="13"/>
        <v>0</v>
      </c>
    </row>
    <row r="60" spans="1:35" x14ac:dyDescent="0.2">
      <c r="H60" s="10" t="s">
        <v>765</v>
      </c>
      <c r="I60" s="25" t="e">
        <f ca="1">_xll.EVPRO($B$1,$H60,"STYLE")</f>
        <v>#NAME?</v>
      </c>
      <c r="J60" s="25" t="e">
        <f ca="1">_xll.EVPRO($B$1,$H60,"CALC")</f>
        <v>#NAME?</v>
      </c>
      <c r="K60" s="24"/>
      <c r="L60" s="24" t="e">
        <f ca="1">_xll.EVPRO($B$1,H60,"JDEID")</f>
        <v>#NAME?</v>
      </c>
      <c r="M60" s="24" t="e">
        <f ca="1">IF(AND(I60="N",J60="N"),_xll.EVPRO($B$1,H60,"PSFTID"),"")</f>
        <v>#NAME?</v>
      </c>
      <c r="N60" s="24" t="e">
        <f ca="1">IF(_xll.EVDES(H60,$B$1)="#NODATA","",_xll.EVDES(H60,$B$1))</f>
        <v>#NAME?</v>
      </c>
      <c r="O60" s="35"/>
      <c r="P60" s="35"/>
      <c r="Q60" s="35"/>
      <c r="R60" s="35"/>
      <c r="S60" s="35"/>
      <c r="T60" s="35"/>
      <c r="U60" s="35"/>
      <c r="V60" s="35"/>
      <c r="W60" s="35"/>
      <c r="X60" s="35"/>
      <c r="Y60" s="35"/>
      <c r="Z60" s="35"/>
      <c r="AA60" s="35">
        <f t="shared" si="11"/>
        <v>0</v>
      </c>
      <c r="AB60" s="36"/>
      <c r="AD60" s="35"/>
      <c r="AE60" s="36"/>
      <c r="AF60" s="118">
        <f t="shared" si="12"/>
        <v>0</v>
      </c>
      <c r="AG60" s="35"/>
      <c r="AH60" s="36"/>
      <c r="AI60" s="118">
        <f t="shared" si="13"/>
        <v>0</v>
      </c>
    </row>
    <row r="61" spans="1:35" x14ac:dyDescent="0.2">
      <c r="H61" s="10" t="s">
        <v>299</v>
      </c>
      <c r="I61" s="25" t="e">
        <f ca="1">_xll.EVPRO($B$1,$H61,"STYLE")</f>
        <v>#NAME?</v>
      </c>
      <c r="J61" s="25" t="e">
        <f ca="1">_xll.EVPRO($B$1,$H61,"CALC")</f>
        <v>#NAME?</v>
      </c>
      <c r="K61" s="24"/>
      <c r="L61" s="24" t="e">
        <f ca="1">_xll.EVPRO($B$1,H61,"JDEID")</f>
        <v>#NAME?</v>
      </c>
      <c r="M61" s="24" t="e">
        <f ca="1">IF(AND(I61="N",J61="N"),_xll.EVPRO($B$1,H61,"PSFTID"),"")</f>
        <v>#NAME?</v>
      </c>
      <c r="N61" s="24" t="e">
        <f ca="1">IF(_xll.EVDES(H61,$B$1)="#NODATA","",_xll.EVDES(H61,$B$1))</f>
        <v>#NAME?</v>
      </c>
      <c r="O61" s="35"/>
      <c r="P61" s="35"/>
      <c r="Q61" s="35"/>
      <c r="R61" s="35"/>
      <c r="S61" s="35"/>
      <c r="T61" s="35"/>
      <c r="U61" s="35"/>
      <c r="V61" s="35"/>
      <c r="W61" s="35"/>
      <c r="X61" s="35"/>
      <c r="Y61" s="35"/>
      <c r="Z61" s="35"/>
      <c r="AA61" s="35">
        <f t="shared" si="11"/>
        <v>0</v>
      </c>
      <c r="AB61" s="36" t="str">
        <f>IF(AA61=0,"",IFERROR(AA61/AA$87,""))</f>
        <v/>
      </c>
      <c r="AD61" s="35"/>
      <c r="AE61" s="36" t="str">
        <f>IF(AD61=0,"",IFERROR(AD61/AD$87,""))</f>
        <v/>
      </c>
      <c r="AF61" s="118">
        <f t="shared" si="12"/>
        <v>0</v>
      </c>
      <c r="AG61" s="35"/>
      <c r="AH61" s="36" t="str">
        <f>IF(AG61=0,"",IFERROR(AG61/AG$87,""))</f>
        <v/>
      </c>
      <c r="AI61" s="118">
        <f t="shared" si="13"/>
        <v>0</v>
      </c>
    </row>
    <row r="62" spans="1:35" x14ac:dyDescent="0.2">
      <c r="H62" s="133" t="s">
        <v>317</v>
      </c>
      <c r="I62" s="25" t="e">
        <f ca="1">_xll.EVPRO($B$1,$H62,"STYLE")</f>
        <v>#NAME?</v>
      </c>
      <c r="J62" s="25" t="e">
        <f ca="1">_xll.EVPRO($B$1,$H62,"CALC")</f>
        <v>#NAME?</v>
      </c>
      <c r="K62" s="24"/>
      <c r="L62" s="24" t="e">
        <f ca="1">_xll.EVPRO($B$1,H62,"JDEID")</f>
        <v>#NAME?</v>
      </c>
      <c r="M62" s="24" t="e">
        <f ca="1">IF(AND(I62="N",J62="N"),_xll.EVPRO($B$1,H62,"PSFTID"),"")</f>
        <v>#NAME?</v>
      </c>
      <c r="N62" s="151" t="e">
        <f ca="1">IF(_xll.EVDES(H62,$B$1)="#NODATA","",_xll.EVDES(H62,$B$1))</f>
        <v>#NAME?</v>
      </c>
      <c r="O62" s="157"/>
      <c r="P62" s="157"/>
      <c r="Q62" s="157"/>
      <c r="R62" s="157"/>
      <c r="S62" s="157"/>
      <c r="T62" s="157"/>
      <c r="U62" s="157"/>
      <c r="V62" s="157"/>
      <c r="W62" s="157"/>
      <c r="X62" s="157"/>
      <c r="Y62" s="157"/>
      <c r="Z62" s="157"/>
      <c r="AA62" s="157" t="str">
        <f>IFERROR(AA59/AA61,"")</f>
        <v/>
      </c>
      <c r="AB62" s="157"/>
      <c r="AD62" s="157"/>
      <c r="AE62" s="157"/>
      <c r="AF62" s="158" t="str">
        <f t="shared" si="12"/>
        <v/>
      </c>
      <c r="AG62" s="157"/>
      <c r="AH62" s="157"/>
      <c r="AI62" s="158" t="str">
        <f t="shared" si="13"/>
        <v/>
      </c>
    </row>
    <row r="63" spans="1:35" x14ac:dyDescent="0.2">
      <c r="G63" s="162">
        <f>COUNTIF(O64:AI64,FALSE)</f>
        <v>0</v>
      </c>
      <c r="H63" s="10"/>
      <c r="I63" s="25"/>
      <c r="J63" s="25"/>
      <c r="K63" s="24"/>
      <c r="L63" s="24"/>
      <c r="M63" s="24"/>
      <c r="N63" s="163" t="s">
        <v>345</v>
      </c>
      <c r="O63" s="160">
        <f t="shared" ref="O63:AA63" si="14">ROUND(IFERROR(O59/O61,0),2)</f>
        <v>0</v>
      </c>
      <c r="P63" s="165">
        <f t="shared" si="14"/>
        <v>0</v>
      </c>
      <c r="Q63" s="165">
        <f t="shared" si="14"/>
        <v>0</v>
      </c>
      <c r="R63" s="165">
        <f t="shared" si="14"/>
        <v>0</v>
      </c>
      <c r="S63" s="165">
        <f t="shared" si="14"/>
        <v>0</v>
      </c>
      <c r="T63" s="165">
        <f t="shared" si="14"/>
        <v>0</v>
      </c>
      <c r="U63" s="165">
        <f t="shared" si="14"/>
        <v>0</v>
      </c>
      <c r="V63" s="165">
        <f t="shared" si="14"/>
        <v>0</v>
      </c>
      <c r="W63" s="165">
        <f t="shared" si="14"/>
        <v>0</v>
      </c>
      <c r="X63" s="165">
        <f t="shared" si="14"/>
        <v>0</v>
      </c>
      <c r="Y63" s="165">
        <f t="shared" si="14"/>
        <v>0</v>
      </c>
      <c r="Z63" s="165">
        <f t="shared" si="14"/>
        <v>0</v>
      </c>
      <c r="AA63" s="165">
        <f t="shared" si="14"/>
        <v>0</v>
      </c>
      <c r="AB63" s="164"/>
      <c r="AD63" s="160">
        <f>ROUND(IFERROR(AD59/AD61,0),2)</f>
        <v>0</v>
      </c>
      <c r="AE63" s="165"/>
      <c r="AF63" s="161"/>
      <c r="AG63" s="160">
        <f>ROUND(IFERROR(AG59/AG61,0),2)</f>
        <v>0</v>
      </c>
      <c r="AH63" s="165"/>
      <c r="AI63" s="161"/>
    </row>
    <row r="64" spans="1:35" x14ac:dyDescent="0.2">
      <c r="H64" s="133"/>
      <c r="I64" s="25"/>
      <c r="J64" s="25"/>
      <c r="K64" s="24"/>
      <c r="L64" s="24"/>
      <c r="M64" s="24"/>
      <c r="N64" s="8" t="s">
        <v>307</v>
      </c>
      <c r="O64" s="292" t="b">
        <f t="shared" ref="O64:AA64" si="15">ROUND(O62,2)=ROUND(O63,2)</f>
        <v>1</v>
      </c>
      <c r="P64" s="293" t="b">
        <f t="shared" si="15"/>
        <v>1</v>
      </c>
      <c r="Q64" s="293" t="b">
        <f t="shared" si="15"/>
        <v>1</v>
      </c>
      <c r="R64" s="293" t="b">
        <f t="shared" si="15"/>
        <v>1</v>
      </c>
      <c r="S64" s="293" t="b">
        <f t="shared" si="15"/>
        <v>1</v>
      </c>
      <c r="T64" s="293" t="b">
        <f t="shared" si="15"/>
        <v>1</v>
      </c>
      <c r="U64" s="293" t="b">
        <f t="shared" si="15"/>
        <v>1</v>
      </c>
      <c r="V64" s="293" t="b">
        <f t="shared" si="15"/>
        <v>1</v>
      </c>
      <c r="W64" s="293" t="b">
        <f t="shared" si="15"/>
        <v>1</v>
      </c>
      <c r="X64" s="293" t="b">
        <f t="shared" si="15"/>
        <v>1</v>
      </c>
      <c r="Y64" s="293" t="b">
        <f t="shared" si="15"/>
        <v>1</v>
      </c>
      <c r="Z64" s="293" t="b">
        <f t="shared" si="15"/>
        <v>1</v>
      </c>
      <c r="AA64" s="293" t="e">
        <f t="shared" si="15"/>
        <v>#VALUE!</v>
      </c>
      <c r="AB64" s="294"/>
      <c r="AC64" s="206"/>
      <c r="AD64" s="292"/>
      <c r="AE64" s="293" t="b">
        <f>ROUND(AD62,2)=ROUND(AD63,2)</f>
        <v>1</v>
      </c>
      <c r="AF64" s="294"/>
      <c r="AG64" s="292"/>
      <c r="AH64" s="293" t="b">
        <f>ROUND(AG62,2)=ROUND(AG63,2)</f>
        <v>1</v>
      </c>
      <c r="AI64" s="294"/>
    </row>
    <row r="65" spans="3:35" x14ac:dyDescent="0.2">
      <c r="H65" s="133" t="s">
        <v>263</v>
      </c>
      <c r="I65" s="25" t="e">
        <f ca="1">_xll.EVPRO($B$1,$H65,"STYLE")</f>
        <v>#NAME?</v>
      </c>
      <c r="J65" s="25" t="e">
        <f ca="1">_xll.EVPRO($B$1,$H65,"CALC")</f>
        <v>#NAME?</v>
      </c>
      <c r="K65" s="24"/>
      <c r="L65" s="24" t="e">
        <f ca="1">_xll.EVPRO($B$1,H65,"JDEID")</f>
        <v>#NAME?</v>
      </c>
      <c r="M65" s="24" t="e">
        <f ca="1">IF(AND(I65="N",J65="N"),_xll.EVPRO($B$1,H65,"PSFTID"),"")</f>
        <v>#NAME?</v>
      </c>
      <c r="N65" s="24" t="e">
        <f ca="1">IF(_xll.EVDES(H65,$B$1)="#NODATA","",_xll.EVDES(H65,$B$1))</f>
        <v>#NAME?</v>
      </c>
      <c r="O65" s="19"/>
      <c r="P65" s="19"/>
      <c r="Q65" s="19"/>
      <c r="R65" s="19"/>
      <c r="S65" s="19"/>
      <c r="T65" s="19"/>
      <c r="U65" s="19"/>
      <c r="V65" s="19"/>
      <c r="W65" s="19"/>
      <c r="X65" s="19"/>
      <c r="Y65" s="19"/>
      <c r="Z65" s="19"/>
      <c r="AA65" s="19">
        <f t="shared" ref="AA65:AA71" si="16">SUM(O65:Z65)</f>
        <v>0</v>
      </c>
      <c r="AB65" s="15" t="str">
        <f>IF(AA65=0,"",IFERROR(AA65/AA$19,""))</f>
        <v/>
      </c>
      <c r="AD65" s="19"/>
      <c r="AE65" s="15" t="str">
        <f>IF(AD65=0,"",IFERROR(AD65/AD$19,""))</f>
        <v/>
      </c>
      <c r="AF65" s="47">
        <f t="shared" ref="AF65:AF72" si="17">IF(AND($AA65="",AD65=""),"",$AA65-AD65)</f>
        <v>0</v>
      </c>
      <c r="AG65" s="19"/>
      <c r="AH65" s="15" t="str">
        <f t="shared" si="3"/>
        <v/>
      </c>
      <c r="AI65" s="47">
        <f t="shared" ref="AI65:AI72" si="18">IF(AND($AA65="",AG65=""),"",$AA65-AG65)</f>
        <v>0</v>
      </c>
    </row>
    <row r="66" spans="3:35" x14ac:dyDescent="0.2">
      <c r="H66" s="133" t="s">
        <v>308</v>
      </c>
      <c r="I66" s="25" t="e">
        <f ca="1">_xll.EVPRO($B$1,$H66,"STYLE")</f>
        <v>#NAME?</v>
      </c>
      <c r="J66" s="25" t="e">
        <f ca="1">_xll.EVPRO($B$1,$H66,"CALC")</f>
        <v>#NAME?</v>
      </c>
      <c r="K66" s="24"/>
      <c r="L66" s="24" t="e">
        <f ca="1">_xll.EVPRO($B$1,H66,"JDEID")</f>
        <v>#NAME?</v>
      </c>
      <c r="M66" s="24" t="e">
        <f ca="1">IF(AND(I66="N",J66="N"),_xll.EVPRO($B$1,H66,"PSFTID"),"")</f>
        <v>#NAME?</v>
      </c>
      <c r="N66" s="24" t="e">
        <f ca="1">IF(_xll.EVDES(H66,$B$1)="#NODATA","",_xll.EVDES(H66,$B$1))</f>
        <v>#NAME?</v>
      </c>
      <c r="O66" s="19"/>
      <c r="P66" s="19"/>
      <c r="Q66" s="19"/>
      <c r="R66" s="19"/>
      <c r="S66" s="19"/>
      <c r="T66" s="19"/>
      <c r="U66" s="19"/>
      <c r="V66" s="19"/>
      <c r="W66" s="19"/>
      <c r="X66" s="19"/>
      <c r="Y66" s="19"/>
      <c r="Z66" s="19"/>
      <c r="AA66" s="19">
        <f t="shared" si="16"/>
        <v>0</v>
      </c>
      <c r="AB66" s="15" t="str">
        <f>IF(AA66=0,"",IFERROR(AA66/AA$19,""))</f>
        <v/>
      </c>
      <c r="AD66" s="19"/>
      <c r="AE66" s="15" t="str">
        <f>IF(AD66=0,"",IFERROR(AD66/AD$19,""))</f>
        <v/>
      </c>
      <c r="AF66" s="47">
        <f t="shared" si="17"/>
        <v>0</v>
      </c>
      <c r="AG66" s="19"/>
      <c r="AH66" s="15" t="str">
        <f t="shared" si="3"/>
        <v/>
      </c>
      <c r="AI66" s="47">
        <f t="shared" si="18"/>
        <v>0</v>
      </c>
    </row>
    <row r="67" spans="3:35" x14ac:dyDescent="0.2">
      <c r="H67" s="133" t="s">
        <v>310</v>
      </c>
      <c r="I67" s="25" t="e">
        <f ca="1">_xll.EVPRO($B$1,$H67,"STYLE")</f>
        <v>#NAME?</v>
      </c>
      <c r="J67" s="25" t="e">
        <f ca="1">_xll.EVPRO($B$1,$H67,"CALC")</f>
        <v>#NAME?</v>
      </c>
      <c r="K67" s="24"/>
      <c r="L67" s="24" t="e">
        <f ca="1">_xll.EVPRO($B$1,H67,"JDEID")</f>
        <v>#NAME?</v>
      </c>
      <c r="M67" s="24" t="e">
        <f ca="1">IF(AND(I67="N",J67="N"),_xll.EVPRO($B$1,H67,"PSFTID"),"")</f>
        <v>#NAME?</v>
      </c>
      <c r="N67" s="24" t="e">
        <f ca="1">IF(_xll.EVDES(H67,$B$1)="#NODATA","",_xll.EVDES(H67,$B$1))</f>
        <v>#NAME?</v>
      </c>
      <c r="O67" s="19"/>
      <c r="P67" s="19"/>
      <c r="Q67" s="19"/>
      <c r="R67" s="19"/>
      <c r="S67" s="19"/>
      <c r="T67" s="19"/>
      <c r="U67" s="19"/>
      <c r="V67" s="19"/>
      <c r="W67" s="19"/>
      <c r="X67" s="19"/>
      <c r="Y67" s="19"/>
      <c r="Z67" s="19"/>
      <c r="AA67" s="19">
        <f t="shared" si="16"/>
        <v>0</v>
      </c>
      <c r="AB67" s="15" t="str">
        <f>IF(AA67=0,"",IFERROR(AA67/AA$19,""))</f>
        <v/>
      </c>
      <c r="AD67" s="19"/>
      <c r="AE67" s="15" t="str">
        <f>IF(AD67=0,"",IFERROR(AD67/AD$19,""))</f>
        <v/>
      </c>
      <c r="AF67" s="47">
        <f t="shared" si="17"/>
        <v>0</v>
      </c>
      <c r="AG67" s="19"/>
      <c r="AH67" s="15" t="str">
        <f t="shared" si="3"/>
        <v/>
      </c>
      <c r="AI67" s="47">
        <f t="shared" si="18"/>
        <v>0</v>
      </c>
    </row>
    <row r="68" spans="3:35" x14ac:dyDescent="0.2">
      <c r="H68" s="133" t="s">
        <v>309</v>
      </c>
      <c r="I68" s="25" t="e">
        <f ca="1">_xll.EVPRO($B$1,$H68,"STYLE")</f>
        <v>#NAME?</v>
      </c>
      <c r="J68" s="25" t="e">
        <f ca="1">_xll.EVPRO($B$1,$H68,"CALC")</f>
        <v>#NAME?</v>
      </c>
      <c r="K68" s="24"/>
      <c r="L68" s="24" t="e">
        <f ca="1">_xll.EVPRO($B$1,H68,"JDEID")</f>
        <v>#NAME?</v>
      </c>
      <c r="M68" s="24" t="e">
        <f ca="1">IF(AND(I68="N",J68="N"),_xll.EVPRO($B$1,H68,"PSFTID"),"")</f>
        <v>#NAME?</v>
      </c>
      <c r="N68" s="24" t="e">
        <f ca="1">IF(_xll.EVDES(H68,$B$1)="#NODATA","",_xll.EVDES(H68,$B$1))</f>
        <v>#NAME?</v>
      </c>
      <c r="O68" s="28"/>
      <c r="P68" s="28"/>
      <c r="Q68" s="28"/>
      <c r="R68" s="28"/>
      <c r="S68" s="28"/>
      <c r="T68" s="28"/>
      <c r="U68" s="28"/>
      <c r="V68" s="28"/>
      <c r="W68" s="28"/>
      <c r="X68" s="28"/>
      <c r="Y68" s="28"/>
      <c r="Z68" s="28"/>
      <c r="AA68" s="28">
        <f t="shared" si="16"/>
        <v>0</v>
      </c>
      <c r="AB68" s="29" t="str">
        <f>IF(AA68=0,"",IFERROR(AA68/AA$19,""))</f>
        <v/>
      </c>
      <c r="AD68" s="28"/>
      <c r="AE68" s="29" t="str">
        <f>IF(AD68=0,"",IFERROR(AD68/AD$19,""))</f>
        <v/>
      </c>
      <c r="AF68" s="48">
        <f t="shared" si="17"/>
        <v>0</v>
      </c>
      <c r="AG68" s="28"/>
      <c r="AH68" s="29" t="str">
        <f t="shared" si="3"/>
        <v/>
      </c>
      <c r="AI68" s="48">
        <f t="shared" si="18"/>
        <v>0</v>
      </c>
    </row>
    <row r="69" spans="3:35" x14ac:dyDescent="0.2">
      <c r="H69" s="133" t="s">
        <v>327</v>
      </c>
      <c r="I69" s="25" t="e">
        <f ca="1">_xll.EVPRO($B$1,$H69,"STYLE")</f>
        <v>#NAME?</v>
      </c>
      <c r="J69" s="25" t="e">
        <f ca="1">_xll.EVPRO($B$1,$H69,"CALC")</f>
        <v>#NAME?</v>
      </c>
      <c r="K69" s="24"/>
      <c r="L69" s="24" t="e">
        <f ca="1">_xll.EVPRO($B$1,H69,"JDEID")</f>
        <v>#NAME?</v>
      </c>
      <c r="M69" s="24" t="e">
        <f ca="1">IF(AND(I69="N",J69="N"),_xll.EVPRO($B$1,H69,"PSFTID"),"")</f>
        <v>#NAME?</v>
      </c>
      <c r="N69" s="23" t="e">
        <f ca="1">IF(_xll.EVDES(H69,$B$1)="#NODATA","",_xll.EVDES(H69,$B$1))</f>
        <v>#NAME?</v>
      </c>
      <c r="O69" s="145"/>
      <c r="P69" s="145"/>
      <c r="Q69" s="145"/>
      <c r="R69" s="145"/>
      <c r="S69" s="145"/>
      <c r="T69" s="145"/>
      <c r="U69" s="145"/>
      <c r="V69" s="145"/>
      <c r="W69" s="145"/>
      <c r="X69" s="145"/>
      <c r="Y69" s="145"/>
      <c r="Z69" s="145"/>
      <c r="AA69" s="145">
        <f t="shared" si="16"/>
        <v>0</v>
      </c>
      <c r="AB69" s="156" t="str">
        <f>IF(AA69=0,"",IFERROR(AA69/AA$19,""))</f>
        <v/>
      </c>
      <c r="AD69" s="145"/>
      <c r="AE69" s="156" t="str">
        <f>IF(AD69=0,"",IFERROR(AD69/AD$19,""))</f>
        <v/>
      </c>
      <c r="AF69" s="146">
        <f t="shared" si="17"/>
        <v>0</v>
      </c>
      <c r="AG69" s="145"/>
      <c r="AH69" s="156" t="str">
        <f t="shared" si="3"/>
        <v/>
      </c>
      <c r="AI69" s="146">
        <f t="shared" si="18"/>
        <v>0</v>
      </c>
    </row>
    <row r="70" spans="3:35" x14ac:dyDescent="0.2">
      <c r="H70" s="133" t="s">
        <v>766</v>
      </c>
      <c r="I70" s="25" t="e">
        <f ca="1">_xll.EVPRO($B$1,$H70,"STYLE")</f>
        <v>#NAME?</v>
      </c>
      <c r="J70" s="25" t="e">
        <f ca="1">_xll.EVPRO($B$1,$H70,"CALC")</f>
        <v>#NAME?</v>
      </c>
      <c r="K70" s="24"/>
      <c r="L70" s="24" t="e">
        <f ca="1">_xll.EVPRO($B$1,H70,"JDEID")</f>
        <v>#NAME?</v>
      </c>
      <c r="M70" s="24" t="e">
        <f ca="1">IF(AND(I70="N",J70="N"),_xll.EVPRO($B$1,H70,"PSFTID"),"")</f>
        <v>#NAME?</v>
      </c>
      <c r="N70" s="24" t="e">
        <f ca="1">IF(_xll.EVDES(H70,$B$1)="#NODATA","",_xll.EVDES(H70,$B$1))</f>
        <v>#NAME?</v>
      </c>
      <c r="O70" s="35"/>
      <c r="P70" s="35"/>
      <c r="Q70" s="35"/>
      <c r="R70" s="35"/>
      <c r="S70" s="35"/>
      <c r="T70" s="35"/>
      <c r="U70" s="35"/>
      <c r="V70" s="35"/>
      <c r="W70" s="35"/>
      <c r="X70" s="35"/>
      <c r="Y70" s="35"/>
      <c r="Z70" s="35"/>
      <c r="AA70" s="35">
        <f t="shared" si="16"/>
        <v>0</v>
      </c>
      <c r="AB70" s="36"/>
      <c r="AD70" s="35"/>
      <c r="AE70" s="36"/>
      <c r="AF70" s="118">
        <f t="shared" si="17"/>
        <v>0</v>
      </c>
      <c r="AG70" s="35"/>
      <c r="AH70" s="36"/>
      <c r="AI70" s="118">
        <f t="shared" si="18"/>
        <v>0</v>
      </c>
    </row>
    <row r="71" spans="3:35" x14ac:dyDescent="0.2">
      <c r="H71" s="133" t="s">
        <v>326</v>
      </c>
      <c r="I71" s="25" t="e">
        <f ca="1">_xll.EVPRO($B$1,$H71,"STYLE")</f>
        <v>#NAME?</v>
      </c>
      <c r="J71" s="25" t="e">
        <f ca="1">_xll.EVPRO($B$1,$H71,"CALC")</f>
        <v>#NAME?</v>
      </c>
      <c r="K71" s="24"/>
      <c r="L71" s="24" t="e">
        <f ca="1">_xll.EVPRO($B$1,H71,"JDEID")</f>
        <v>#NAME?</v>
      </c>
      <c r="M71" s="24" t="e">
        <f ca="1">IF(AND(I71="N",J71="N"),_xll.EVPRO($B$1,H71,"PSFTID"),"")</f>
        <v>#NAME?</v>
      </c>
      <c r="N71" s="24" t="e">
        <f ca="1">IF(_xll.EVDES(H71,$B$1)="#NODATA","",_xll.EVDES(H71,$B$1))</f>
        <v>#NAME?</v>
      </c>
      <c r="O71" s="35"/>
      <c r="P71" s="35"/>
      <c r="Q71" s="35"/>
      <c r="R71" s="35"/>
      <c r="S71" s="35"/>
      <c r="T71" s="35"/>
      <c r="U71" s="35"/>
      <c r="V71" s="35"/>
      <c r="W71" s="35"/>
      <c r="X71" s="35"/>
      <c r="Y71" s="35"/>
      <c r="Z71" s="35"/>
      <c r="AA71" s="35">
        <f t="shared" si="16"/>
        <v>0</v>
      </c>
      <c r="AB71" s="36" t="str">
        <f>IF(AA71=0,"",IFERROR(AA71/AA$87,""))</f>
        <v/>
      </c>
      <c r="AD71" s="35"/>
      <c r="AE71" s="36" t="str">
        <f>IF(AD71=0,"",IFERROR(AD71/AD$87,""))</f>
        <v/>
      </c>
      <c r="AF71" s="118">
        <f t="shared" si="17"/>
        <v>0</v>
      </c>
      <c r="AG71" s="35"/>
      <c r="AH71" s="36" t="str">
        <f>IF(AG71=0,"",IFERROR(AG71/AG$87,""))</f>
        <v/>
      </c>
      <c r="AI71" s="118">
        <f t="shared" si="18"/>
        <v>0</v>
      </c>
    </row>
    <row r="72" spans="3:35" x14ac:dyDescent="0.2">
      <c r="H72" s="133" t="s">
        <v>328</v>
      </c>
      <c r="I72" s="25" t="e">
        <f ca="1">_xll.EVPRO($B$1,$H72,"STYLE")</f>
        <v>#NAME?</v>
      </c>
      <c r="J72" s="25" t="e">
        <f ca="1">_xll.EVPRO($B$1,$H72,"CALC")</f>
        <v>#NAME?</v>
      </c>
      <c r="K72" s="24"/>
      <c r="L72" s="24" t="e">
        <f ca="1">_xll.EVPRO($B$1,H72,"JDEID")</f>
        <v>#NAME?</v>
      </c>
      <c r="M72" s="24" t="e">
        <f ca="1">IF(AND(I72="N",J72="N"),_xll.EVPRO($B$1,H72,"PSFTID"),"")</f>
        <v>#NAME?</v>
      </c>
      <c r="N72" s="151" t="e">
        <f ca="1">IF(_xll.EVDES(H72,$B$1)="#NODATA","",_xll.EVDES(H72,$B$1))</f>
        <v>#NAME?</v>
      </c>
      <c r="O72" s="157"/>
      <c r="P72" s="157"/>
      <c r="Q72" s="157"/>
      <c r="R72" s="157"/>
      <c r="S72" s="157"/>
      <c r="T72" s="157"/>
      <c r="U72" s="157"/>
      <c r="V72" s="157"/>
      <c r="W72" s="157"/>
      <c r="X72" s="157"/>
      <c r="Y72" s="157"/>
      <c r="Z72" s="157"/>
      <c r="AA72" s="157" t="str">
        <f>IFERROR(AA69/AA71,"")</f>
        <v/>
      </c>
      <c r="AB72" s="157"/>
      <c r="AD72" s="157"/>
      <c r="AE72" s="157"/>
      <c r="AF72" s="158" t="str">
        <f t="shared" si="17"/>
        <v/>
      </c>
      <c r="AG72" s="157"/>
      <c r="AH72" s="157"/>
      <c r="AI72" s="158" t="str">
        <f t="shared" si="18"/>
        <v/>
      </c>
    </row>
    <row r="73" spans="3:35" x14ac:dyDescent="0.2">
      <c r="G73" s="162">
        <f>COUNTIF(O74:AI74,FALSE)</f>
        <v>0</v>
      </c>
      <c r="H73" s="10"/>
      <c r="I73" s="25"/>
      <c r="J73" s="25"/>
      <c r="K73" s="24"/>
      <c r="L73" s="24"/>
      <c r="M73" s="24"/>
      <c r="N73" s="163" t="s">
        <v>345</v>
      </c>
      <c r="O73" s="160">
        <f t="shared" ref="O73:AA73" si="19">ROUND(IFERROR(O69/O71,0),2)</f>
        <v>0</v>
      </c>
      <c r="P73" s="165">
        <f t="shared" si="19"/>
        <v>0</v>
      </c>
      <c r="Q73" s="165">
        <f t="shared" si="19"/>
        <v>0</v>
      </c>
      <c r="R73" s="165">
        <f t="shared" si="19"/>
        <v>0</v>
      </c>
      <c r="S73" s="165">
        <f t="shared" si="19"/>
        <v>0</v>
      </c>
      <c r="T73" s="165">
        <f t="shared" si="19"/>
        <v>0</v>
      </c>
      <c r="U73" s="165">
        <f t="shared" si="19"/>
        <v>0</v>
      </c>
      <c r="V73" s="165">
        <f t="shared" si="19"/>
        <v>0</v>
      </c>
      <c r="W73" s="165">
        <f t="shared" si="19"/>
        <v>0</v>
      </c>
      <c r="X73" s="165">
        <f t="shared" si="19"/>
        <v>0</v>
      </c>
      <c r="Y73" s="165">
        <f t="shared" si="19"/>
        <v>0</v>
      </c>
      <c r="Z73" s="165">
        <f t="shared" si="19"/>
        <v>0</v>
      </c>
      <c r="AA73" s="165">
        <f t="shared" si="19"/>
        <v>0</v>
      </c>
      <c r="AB73" s="164"/>
      <c r="AD73" s="160">
        <f>ROUND(IFERROR(AD69/AD71,0),2)</f>
        <v>0</v>
      </c>
      <c r="AE73" s="165"/>
      <c r="AF73" s="161"/>
      <c r="AG73" s="160">
        <f>ROUND(IFERROR(AG69/AG71,0),2)</f>
        <v>0</v>
      </c>
      <c r="AH73" s="165"/>
      <c r="AI73" s="161"/>
    </row>
    <row r="74" spans="3:35" x14ac:dyDescent="0.2">
      <c r="H74" s="133"/>
      <c r="I74" s="25"/>
      <c r="J74" s="25"/>
      <c r="K74" s="24"/>
      <c r="L74" s="24"/>
      <c r="M74" s="24"/>
      <c r="N74" s="8" t="s">
        <v>324</v>
      </c>
      <c r="O74" s="292" t="b">
        <f t="shared" ref="O74:AA74" si="20">ROUND(O72,2)=ROUND(O73,2)</f>
        <v>1</v>
      </c>
      <c r="P74" s="293" t="b">
        <f t="shared" si="20"/>
        <v>1</v>
      </c>
      <c r="Q74" s="293" t="b">
        <f t="shared" si="20"/>
        <v>1</v>
      </c>
      <c r="R74" s="293" t="b">
        <f t="shared" si="20"/>
        <v>1</v>
      </c>
      <c r="S74" s="293" t="b">
        <f t="shared" si="20"/>
        <v>1</v>
      </c>
      <c r="T74" s="293" t="b">
        <f t="shared" si="20"/>
        <v>1</v>
      </c>
      <c r="U74" s="293" t="b">
        <f t="shared" si="20"/>
        <v>1</v>
      </c>
      <c r="V74" s="293" t="b">
        <f t="shared" si="20"/>
        <v>1</v>
      </c>
      <c r="W74" s="293" t="b">
        <f t="shared" si="20"/>
        <v>1</v>
      </c>
      <c r="X74" s="293" t="b">
        <f t="shared" si="20"/>
        <v>1</v>
      </c>
      <c r="Y74" s="293" t="b">
        <f t="shared" si="20"/>
        <v>1</v>
      </c>
      <c r="Z74" s="293" t="b">
        <f t="shared" si="20"/>
        <v>1</v>
      </c>
      <c r="AA74" s="293" t="e">
        <f t="shared" si="20"/>
        <v>#VALUE!</v>
      </c>
      <c r="AB74" s="294"/>
      <c r="AC74" s="206"/>
      <c r="AD74" s="292"/>
      <c r="AE74" s="293" t="b">
        <f>ROUND(AD72,2)=ROUND(AD73,2)</f>
        <v>1</v>
      </c>
      <c r="AF74" s="294"/>
      <c r="AG74" s="292"/>
      <c r="AH74" s="293" t="b">
        <f>ROUND(AG72,2)=ROUND(AG73,2)</f>
        <v>1</v>
      </c>
      <c r="AI74" s="294"/>
    </row>
    <row r="75" spans="3:35" x14ac:dyDescent="0.2">
      <c r="H75" s="133" t="s">
        <v>264</v>
      </c>
      <c r="I75" s="25" t="e">
        <f ca="1">_xll.EVPRO($B$1,$H75,"STYLE")</f>
        <v>#NAME?</v>
      </c>
      <c r="J75" s="25" t="e">
        <f ca="1">_xll.EVPRO($B$1,$H75,"CALC")</f>
        <v>#NAME?</v>
      </c>
      <c r="K75" s="24"/>
      <c r="L75" s="24" t="e">
        <f ca="1">_xll.EVPRO($B$1,H75,"JDEID")</f>
        <v>#NAME?</v>
      </c>
      <c r="M75" s="24" t="e">
        <f ca="1">IF(AND(I75="N",J75="N"),_xll.EVPRO($B$1,H75,"PSFTID"),"")</f>
        <v>#NAME?</v>
      </c>
      <c r="N75" s="24" t="e">
        <f ca="1">IF(_xll.EVDES(H75,$B$1)="#NODATA","",_xll.EVDES(H75,$B$1))</f>
        <v>#NAME?</v>
      </c>
      <c r="O75" s="19"/>
      <c r="P75" s="19"/>
      <c r="Q75" s="19"/>
      <c r="R75" s="19"/>
      <c r="S75" s="19"/>
      <c r="T75" s="19"/>
      <c r="U75" s="19"/>
      <c r="V75" s="19"/>
      <c r="W75" s="19"/>
      <c r="X75" s="19"/>
      <c r="Y75" s="19"/>
      <c r="Z75" s="19"/>
      <c r="AA75" s="19">
        <f t="shared" ref="AA75:AA80" si="21">SUM(O75:Z75)</f>
        <v>0</v>
      </c>
      <c r="AB75" s="15" t="str">
        <f>IF(AA75=0,"",IFERROR(AA75/AA$19,""))</f>
        <v/>
      </c>
      <c r="AD75" s="19"/>
      <c r="AE75" s="15" t="str">
        <f>IF(AD75=0,"",IFERROR(AD75/AD$19,""))</f>
        <v/>
      </c>
      <c r="AF75" s="47">
        <f t="shared" ref="AF75:AF81" si="22">IF(AND($AA75="",AD75=""),"",$AA75-AD75)</f>
        <v>0</v>
      </c>
      <c r="AG75" s="19"/>
      <c r="AH75" s="15" t="str">
        <f t="shared" si="3"/>
        <v/>
      </c>
      <c r="AI75" s="47">
        <f t="shared" ref="AI75:AI81" si="23">IF(AND($AA75="",AG75=""),"",$AA75-AG75)</f>
        <v>0</v>
      </c>
    </row>
    <row r="76" spans="3:35" x14ac:dyDescent="0.2">
      <c r="H76" s="133" t="s">
        <v>321</v>
      </c>
      <c r="I76" s="25" t="e">
        <f ca="1">_xll.EVPRO($B$1,$H76,"STYLE")</f>
        <v>#NAME?</v>
      </c>
      <c r="J76" s="25" t="e">
        <f ca="1">_xll.EVPRO($B$1,$H76,"CALC")</f>
        <v>#NAME?</v>
      </c>
      <c r="K76" s="24"/>
      <c r="L76" s="24" t="e">
        <f ca="1">_xll.EVPRO($B$1,H76,"JDEID")</f>
        <v>#NAME?</v>
      </c>
      <c r="M76" s="24" t="e">
        <f ca="1">IF(AND(I76="N",J76="N"),_xll.EVPRO($B$1,H76,"PSFTID"),"")</f>
        <v>#NAME?</v>
      </c>
      <c r="N76" s="24" t="e">
        <f ca="1">IF(_xll.EVDES(H76,$B$1)="#NODATA","",_xll.EVDES(H76,$B$1))</f>
        <v>#NAME?</v>
      </c>
      <c r="O76" s="19"/>
      <c r="P76" s="19"/>
      <c r="Q76" s="19"/>
      <c r="R76" s="19"/>
      <c r="S76" s="19"/>
      <c r="T76" s="19"/>
      <c r="U76" s="19"/>
      <c r="V76" s="19"/>
      <c r="W76" s="19"/>
      <c r="X76" s="19"/>
      <c r="Y76" s="19"/>
      <c r="Z76" s="19"/>
      <c r="AA76" s="19">
        <f t="shared" si="21"/>
        <v>0</v>
      </c>
      <c r="AB76" s="15" t="str">
        <f>IF(AA76=0,"",IFERROR(AA76/AA$19,""))</f>
        <v/>
      </c>
      <c r="AD76" s="19"/>
      <c r="AE76" s="15" t="str">
        <f>IF(AD76=0,"",IFERROR(AD76/AD$19,""))</f>
        <v/>
      </c>
      <c r="AF76" s="47">
        <f t="shared" si="22"/>
        <v>0</v>
      </c>
      <c r="AG76" s="19"/>
      <c r="AH76" s="15" t="str">
        <f t="shared" si="3"/>
        <v/>
      </c>
      <c r="AI76" s="47">
        <f t="shared" si="23"/>
        <v>0</v>
      </c>
    </row>
    <row r="77" spans="3:35" x14ac:dyDescent="0.2">
      <c r="H77" s="133" t="s">
        <v>323</v>
      </c>
      <c r="I77" s="25" t="e">
        <f ca="1">_xll.EVPRO($B$1,$H77,"STYLE")</f>
        <v>#NAME?</v>
      </c>
      <c r="J77" s="25" t="e">
        <f ca="1">_xll.EVPRO($B$1,$H77,"CALC")</f>
        <v>#NAME?</v>
      </c>
      <c r="K77" s="24"/>
      <c r="L77" s="24" t="e">
        <f ca="1">_xll.EVPRO($B$1,H77,"JDEID")</f>
        <v>#NAME?</v>
      </c>
      <c r="M77" s="24" t="e">
        <f ca="1">IF(AND(I77="N",J77="N"),_xll.EVPRO($B$1,H77,"PSFTID"),"")</f>
        <v>#NAME?</v>
      </c>
      <c r="N77" s="24" t="e">
        <f ca="1">IF(_xll.EVDES(H77,$B$1)="#NODATA","",_xll.EVDES(H77,$B$1))</f>
        <v>#NAME?</v>
      </c>
      <c r="O77" s="19"/>
      <c r="P77" s="19"/>
      <c r="Q77" s="19"/>
      <c r="R77" s="19"/>
      <c r="S77" s="19"/>
      <c r="T77" s="19"/>
      <c r="U77" s="19"/>
      <c r="V77" s="19"/>
      <c r="W77" s="19"/>
      <c r="X77" s="19"/>
      <c r="Y77" s="19"/>
      <c r="Z77" s="19"/>
      <c r="AA77" s="19">
        <f t="shared" si="21"/>
        <v>0</v>
      </c>
      <c r="AB77" s="15" t="str">
        <f>IF(AA77=0,"",IFERROR(AA77/AA$19,""))</f>
        <v/>
      </c>
      <c r="AD77" s="19"/>
      <c r="AE77" s="15" t="str">
        <f>IF(AD77=0,"",IFERROR(AD77/AD$19,""))</f>
        <v/>
      </c>
      <c r="AF77" s="47">
        <f t="shared" si="22"/>
        <v>0</v>
      </c>
      <c r="AG77" s="19"/>
      <c r="AH77" s="15" t="str">
        <f t="shared" si="3"/>
        <v/>
      </c>
      <c r="AI77" s="47">
        <f t="shared" si="23"/>
        <v>0</v>
      </c>
    </row>
    <row r="78" spans="3:35" x14ac:dyDescent="0.2">
      <c r="C78" s="23"/>
      <c r="H78" s="133" t="s">
        <v>322</v>
      </c>
      <c r="I78" s="25" t="e">
        <f ca="1">_xll.EVPRO($B$1,$H78,"STYLE")</f>
        <v>#NAME?</v>
      </c>
      <c r="J78" s="25" t="e">
        <f ca="1">_xll.EVPRO($B$1,$H78,"CALC")</f>
        <v>#NAME?</v>
      </c>
      <c r="K78" s="24"/>
      <c r="L78" s="24" t="e">
        <f ca="1">_xll.EVPRO($B$1,H78,"JDEID")</f>
        <v>#NAME?</v>
      </c>
      <c r="M78" s="24" t="e">
        <f ca="1">IF(AND(I78="N",J78="N"),_xll.EVPRO($B$1,H78,"PSFTID"),"")</f>
        <v>#NAME?</v>
      </c>
      <c r="N78" s="24" t="e">
        <f ca="1">IF(_xll.EVDES(H78,$B$1)="#NODATA","",_xll.EVDES(H78,$B$1))</f>
        <v>#NAME?</v>
      </c>
      <c r="O78" s="28"/>
      <c r="P78" s="28"/>
      <c r="Q78" s="28"/>
      <c r="R78" s="28"/>
      <c r="S78" s="28"/>
      <c r="T78" s="28"/>
      <c r="U78" s="28"/>
      <c r="V78" s="28"/>
      <c r="W78" s="28"/>
      <c r="X78" s="28"/>
      <c r="Y78" s="28"/>
      <c r="Z78" s="28"/>
      <c r="AA78" s="28">
        <f t="shared" si="21"/>
        <v>0</v>
      </c>
      <c r="AB78" s="29" t="str">
        <f>IF(AA78=0,"",IFERROR(AA78/AA$19,""))</f>
        <v/>
      </c>
      <c r="AD78" s="28"/>
      <c r="AE78" s="29" t="str">
        <f>IF(AD78=0,"",IFERROR(AD78/AD$19,""))</f>
        <v/>
      </c>
      <c r="AF78" s="48">
        <f t="shared" si="22"/>
        <v>0</v>
      </c>
      <c r="AG78" s="28"/>
      <c r="AH78" s="29" t="str">
        <f t="shared" si="3"/>
        <v/>
      </c>
      <c r="AI78" s="48">
        <f t="shared" si="23"/>
        <v>0</v>
      </c>
    </row>
    <row r="79" spans="3:35" x14ac:dyDescent="0.2">
      <c r="C79" s="23"/>
      <c r="H79" s="133" t="s">
        <v>329</v>
      </c>
      <c r="I79" s="25" t="e">
        <f ca="1">_xll.EVPRO($B$1,$H79,"STYLE")</f>
        <v>#NAME?</v>
      </c>
      <c r="J79" s="25" t="e">
        <f ca="1">_xll.EVPRO($B$1,$H79,"CALC")</f>
        <v>#NAME?</v>
      </c>
      <c r="K79" s="24"/>
      <c r="L79" s="24" t="e">
        <f ca="1">_xll.EVPRO($B$1,H79,"JDEID")</f>
        <v>#NAME?</v>
      </c>
      <c r="M79" s="24" t="e">
        <f ca="1">IF(AND(I79="N",J79="N"),_xll.EVPRO($B$1,H79,"PSFTID"),"")</f>
        <v>#NAME?</v>
      </c>
      <c r="N79" s="23" t="e">
        <f ca="1">IF(_xll.EVDES(H79,$B$1)="#NODATA","",_xll.EVDES(H79,$B$1))</f>
        <v>#NAME?</v>
      </c>
      <c r="O79" s="145"/>
      <c r="P79" s="145"/>
      <c r="Q79" s="145"/>
      <c r="R79" s="145"/>
      <c r="S79" s="145"/>
      <c r="T79" s="145"/>
      <c r="U79" s="145"/>
      <c r="V79" s="145"/>
      <c r="W79" s="145"/>
      <c r="X79" s="145"/>
      <c r="Y79" s="145"/>
      <c r="Z79" s="145"/>
      <c r="AA79" s="145">
        <f t="shared" si="21"/>
        <v>0</v>
      </c>
      <c r="AB79" s="156" t="str">
        <f>IF(AA79=0,"",IFERROR(AA79/AA$19,""))</f>
        <v/>
      </c>
      <c r="AD79" s="145"/>
      <c r="AE79" s="156" t="str">
        <f>IF(AD79=0,"",IFERROR(AD79/AD$19,""))</f>
        <v/>
      </c>
      <c r="AF79" s="146">
        <f t="shared" si="22"/>
        <v>0</v>
      </c>
      <c r="AG79" s="145"/>
      <c r="AH79" s="156" t="str">
        <f t="shared" si="3"/>
        <v/>
      </c>
      <c r="AI79" s="146">
        <f t="shared" si="23"/>
        <v>0</v>
      </c>
    </row>
    <row r="80" spans="3:35" x14ac:dyDescent="0.2">
      <c r="C80" s="23"/>
      <c r="H80" s="133" t="s">
        <v>300</v>
      </c>
      <c r="I80" s="25" t="e">
        <f ca="1">_xll.EVPRO($B$1,$H80,"STYLE")</f>
        <v>#NAME?</v>
      </c>
      <c r="J80" s="25" t="e">
        <f ca="1">_xll.EVPRO($B$1,$H80,"CALC")</f>
        <v>#NAME?</v>
      </c>
      <c r="K80" s="24"/>
      <c r="L80" s="24" t="e">
        <f ca="1">_xll.EVPRO($B$1,H80,"JDEID")</f>
        <v>#NAME?</v>
      </c>
      <c r="M80" s="24" t="e">
        <f ca="1">IF(AND(I80="N",J80="N"),_xll.EVPRO($B$1,H80,"PSFTID"),"")</f>
        <v>#NAME?</v>
      </c>
      <c r="N80" s="24" t="e">
        <f ca="1">IF(_xll.EVDES(H80,$B$1)="#NODATA","",_xll.EVDES(H80,$B$1))</f>
        <v>#NAME?</v>
      </c>
      <c r="O80" s="35"/>
      <c r="P80" s="35"/>
      <c r="Q80" s="35"/>
      <c r="R80" s="35"/>
      <c r="S80" s="35"/>
      <c r="T80" s="35"/>
      <c r="U80" s="35"/>
      <c r="V80" s="35"/>
      <c r="W80" s="35"/>
      <c r="X80" s="35"/>
      <c r="Y80" s="35"/>
      <c r="Z80" s="35"/>
      <c r="AA80" s="35">
        <f t="shared" si="21"/>
        <v>0</v>
      </c>
      <c r="AB80" s="36" t="str">
        <f>IF(AA80=0,"",IFERROR(AA80/AA$87,""))</f>
        <v/>
      </c>
      <c r="AD80" s="35"/>
      <c r="AE80" s="36" t="str">
        <f>IF(AD80=0,"",IFERROR(AD80/AD$87,""))</f>
        <v/>
      </c>
      <c r="AF80" s="118">
        <f t="shared" si="22"/>
        <v>0</v>
      </c>
      <c r="AG80" s="35"/>
      <c r="AH80" s="36" t="str">
        <f>IF(AG80=0,"",IFERROR(AG80/AG$87,""))</f>
        <v/>
      </c>
      <c r="AI80" s="118">
        <f t="shared" si="23"/>
        <v>0</v>
      </c>
    </row>
    <row r="81" spans="3:35" x14ac:dyDescent="0.2">
      <c r="C81" s="23"/>
      <c r="H81" s="133" t="s">
        <v>325</v>
      </c>
      <c r="I81" s="25" t="e">
        <f ca="1">_xll.EVPRO($B$1,$H81,"STYLE")</f>
        <v>#NAME?</v>
      </c>
      <c r="J81" s="25" t="e">
        <f ca="1">_xll.EVPRO($B$1,$H81,"CALC")</f>
        <v>#NAME?</v>
      </c>
      <c r="K81" s="24"/>
      <c r="L81" s="24" t="e">
        <f ca="1">_xll.EVPRO($B$1,H81,"JDEID")</f>
        <v>#NAME?</v>
      </c>
      <c r="M81" s="24" t="e">
        <f ca="1">IF(AND(I81="N",J81="N"),_xll.EVPRO($B$1,H81,"PSFTID"),"")</f>
        <v>#NAME?</v>
      </c>
      <c r="N81" s="151" t="e">
        <f ca="1">IF(_xll.EVDES(H81,$B$1)="#NODATA","",_xll.EVDES(H81,$B$1))</f>
        <v>#NAME?</v>
      </c>
      <c r="O81" s="157"/>
      <c r="P81" s="157"/>
      <c r="Q81" s="157"/>
      <c r="R81" s="157"/>
      <c r="S81" s="157"/>
      <c r="T81" s="157"/>
      <c r="U81" s="157"/>
      <c r="V81" s="157"/>
      <c r="W81" s="157"/>
      <c r="X81" s="157"/>
      <c r="Y81" s="157"/>
      <c r="Z81" s="157"/>
      <c r="AA81" s="157" t="str">
        <f>IFERROR(AA79/AA80,"")</f>
        <v/>
      </c>
      <c r="AB81" s="157"/>
      <c r="AD81" s="157"/>
      <c r="AE81" s="157"/>
      <c r="AF81" s="158" t="str">
        <f t="shared" si="22"/>
        <v/>
      </c>
      <c r="AG81" s="157"/>
      <c r="AH81" s="157"/>
      <c r="AI81" s="158" t="str">
        <f t="shared" si="23"/>
        <v/>
      </c>
    </row>
    <row r="82" spans="3:35" x14ac:dyDescent="0.2">
      <c r="C82" s="23"/>
      <c r="G82" s="162">
        <f>COUNTIF(O84:AI84,FALSE)</f>
        <v>0</v>
      </c>
      <c r="H82" s="10"/>
      <c r="I82" s="25"/>
      <c r="J82" s="25"/>
      <c r="K82" s="24"/>
      <c r="L82" s="24"/>
      <c r="M82" s="24"/>
      <c r="N82" s="163" t="s">
        <v>345</v>
      </c>
      <c r="O82" s="160">
        <f t="shared" ref="O82:AA82" si="24">ROUND(IFERROR(O79/O80,0),2)</f>
        <v>0</v>
      </c>
      <c r="P82" s="165">
        <f t="shared" si="24"/>
        <v>0</v>
      </c>
      <c r="Q82" s="165">
        <f t="shared" si="24"/>
        <v>0</v>
      </c>
      <c r="R82" s="165">
        <f t="shared" si="24"/>
        <v>0</v>
      </c>
      <c r="S82" s="165">
        <f t="shared" si="24"/>
        <v>0</v>
      </c>
      <c r="T82" s="165">
        <f t="shared" si="24"/>
        <v>0</v>
      </c>
      <c r="U82" s="165">
        <f t="shared" si="24"/>
        <v>0</v>
      </c>
      <c r="V82" s="165">
        <f t="shared" si="24"/>
        <v>0</v>
      </c>
      <c r="W82" s="165">
        <f t="shared" si="24"/>
        <v>0</v>
      </c>
      <c r="X82" s="165">
        <f t="shared" si="24"/>
        <v>0</v>
      </c>
      <c r="Y82" s="165">
        <f t="shared" si="24"/>
        <v>0</v>
      </c>
      <c r="Z82" s="165">
        <f t="shared" si="24"/>
        <v>0</v>
      </c>
      <c r="AA82" s="165">
        <f t="shared" si="24"/>
        <v>0</v>
      </c>
      <c r="AB82" s="164"/>
      <c r="AD82" s="160">
        <f>ROUND(IFERROR(AD79/AD80,0),2)</f>
        <v>0</v>
      </c>
      <c r="AE82" s="165"/>
      <c r="AF82" s="161"/>
      <c r="AG82" s="160">
        <f>ROUND(IFERROR(AG79/AG80,0),2)</f>
        <v>0</v>
      </c>
      <c r="AH82" s="165"/>
      <c r="AI82" s="161"/>
    </row>
    <row r="83" spans="3:35" x14ac:dyDescent="0.2">
      <c r="C83" s="23"/>
      <c r="H83" s="10" t="s">
        <v>486</v>
      </c>
      <c r="I83" s="25" t="e">
        <f ca="1">_xll.EVPRO($B$1,$H83,"STYLE")</f>
        <v>#NAME?</v>
      </c>
      <c r="J83" s="25" t="e">
        <f ca="1">_xll.EVPRO($B$1,$H83,"CALC")</f>
        <v>#NAME?</v>
      </c>
      <c r="K83" s="24"/>
      <c r="L83" s="24" t="e">
        <f ca="1">_xll.EVPRO($B$1,H83,"JDEID")</f>
        <v>#NAME?</v>
      </c>
      <c r="M83" s="24" t="e">
        <f ca="1">IF(AND(I83="N",J83="N"),_xll.EVPRO($B$1,H83,"PSFTID"),"")</f>
        <v>#NAME?</v>
      </c>
      <c r="N83" s="24" t="e">
        <f ca="1">IF(_xll.EVDES(H83,$B$1)="#NODATA","",_xll.EVDES(H83,$B$1))</f>
        <v>#NAME?</v>
      </c>
      <c r="O83" s="19"/>
      <c r="P83" s="19"/>
      <c r="Q83" s="19"/>
      <c r="R83" s="19"/>
      <c r="S83" s="19"/>
      <c r="T83" s="19"/>
      <c r="U83" s="19"/>
      <c r="V83" s="19"/>
      <c r="W83" s="19"/>
      <c r="X83" s="19"/>
      <c r="Y83" s="19"/>
      <c r="Z83" s="19"/>
      <c r="AA83" s="19">
        <f>SUM(O83:Z83)</f>
        <v>0</v>
      </c>
      <c r="AB83" s="15" t="str">
        <f>IF(AA83=0,"",IFERROR(AA83/AA$19,""))</f>
        <v/>
      </c>
      <c r="AD83" s="19"/>
      <c r="AE83" s="15" t="str">
        <f>IF(AD83=0,"",IFERROR(AD83/AD$19,""))</f>
        <v/>
      </c>
      <c r="AF83" s="47">
        <f>IF(AND($AA83="",AD83=""),"",$AA83-AD83)</f>
        <v>0</v>
      </c>
      <c r="AG83" s="19"/>
      <c r="AH83" s="15" t="str">
        <f>IF(AG83=0,"",IFERROR(AG83/AG$19,""))</f>
        <v/>
      </c>
      <c r="AI83" s="47">
        <f>IF(AND($AA83="",AG83=""),"",$AA83-AG83)</f>
        <v>0</v>
      </c>
    </row>
    <row r="84" spans="3:35" x14ac:dyDescent="0.2">
      <c r="C84" s="23"/>
      <c r="H84" s="10"/>
      <c r="I84" s="25"/>
      <c r="J84" s="25"/>
      <c r="K84" s="24"/>
      <c r="L84" s="24"/>
      <c r="M84" s="24"/>
      <c r="N84" s="8" t="s">
        <v>348</v>
      </c>
      <c r="O84" s="292" t="b">
        <f t="shared" ref="O84:AA84" si="25">ROUND(O81,2)=ROUND(O82,2)</f>
        <v>1</v>
      </c>
      <c r="P84" s="293" t="b">
        <f t="shared" si="25"/>
        <v>1</v>
      </c>
      <c r="Q84" s="293" t="b">
        <f t="shared" si="25"/>
        <v>1</v>
      </c>
      <c r="R84" s="293" t="b">
        <f t="shared" si="25"/>
        <v>1</v>
      </c>
      <c r="S84" s="293" t="b">
        <f t="shared" si="25"/>
        <v>1</v>
      </c>
      <c r="T84" s="293" t="b">
        <f t="shared" si="25"/>
        <v>1</v>
      </c>
      <c r="U84" s="293" t="b">
        <f t="shared" si="25"/>
        <v>1</v>
      </c>
      <c r="V84" s="293" t="b">
        <f t="shared" si="25"/>
        <v>1</v>
      </c>
      <c r="W84" s="293" t="b">
        <f t="shared" si="25"/>
        <v>1</v>
      </c>
      <c r="X84" s="293" t="b">
        <f t="shared" si="25"/>
        <v>1</v>
      </c>
      <c r="Y84" s="293" t="b">
        <f t="shared" si="25"/>
        <v>1</v>
      </c>
      <c r="Z84" s="293" t="b">
        <f t="shared" si="25"/>
        <v>1</v>
      </c>
      <c r="AA84" s="293" t="e">
        <f t="shared" si="25"/>
        <v>#VALUE!</v>
      </c>
      <c r="AB84" s="294"/>
      <c r="AC84" s="206"/>
      <c r="AD84" s="292"/>
      <c r="AE84" s="293" t="b">
        <f>ROUND(AD81,2)=ROUND(AD82,2)</f>
        <v>1</v>
      </c>
      <c r="AF84" s="294"/>
      <c r="AG84" s="292"/>
      <c r="AH84" s="293" t="b">
        <f>ROUND(AG81,2)=ROUND(AG82,2)</f>
        <v>1</v>
      </c>
      <c r="AI84" s="294"/>
    </row>
    <row r="85" spans="3:35" x14ac:dyDescent="0.2">
      <c r="C85" s="23"/>
      <c r="H85" s="133" t="s">
        <v>273</v>
      </c>
      <c r="I85" s="25" t="e">
        <f ca="1">_xll.EVPRO($B$1,$H85,"STYLE")</f>
        <v>#NAME?</v>
      </c>
      <c r="J85" s="25" t="e">
        <f ca="1">_xll.EVPRO($B$1,$H85,"CALC")</f>
        <v>#NAME?</v>
      </c>
      <c r="L85" s="24" t="e">
        <f ca="1">_xll.EVPRO($B$1,H85,"JDEID")</f>
        <v>#NAME?</v>
      </c>
      <c r="M85" s="24" t="e">
        <f ca="1">IF(AND(I85="N",J85="N"),_xll.EVPRO($B$1,H85,"PSFTID"),"")</f>
        <v>#NAME?</v>
      </c>
      <c r="N85" s="24" t="e">
        <f ca="1">IF(_xll.EVDES(H85,$B$1)="#NODATA","",_xll.EVDES(H85,$B$1))</f>
        <v>#NAME?</v>
      </c>
      <c r="O85" s="152"/>
      <c r="P85" s="152"/>
      <c r="Q85" s="152"/>
      <c r="R85" s="152"/>
      <c r="S85" s="152"/>
      <c r="T85" s="152"/>
      <c r="U85" s="152"/>
      <c r="V85" s="152"/>
      <c r="W85" s="152"/>
      <c r="X85" s="152"/>
      <c r="Y85" s="152"/>
      <c r="Z85" s="152"/>
      <c r="AA85" s="152">
        <f>SUM(O85:Z85)</f>
        <v>0</v>
      </c>
      <c r="AB85" s="153" t="str">
        <f>IF(AA85=0,"",IFERROR(AA85/AA$19,""))</f>
        <v/>
      </c>
      <c r="AD85" s="152"/>
      <c r="AE85" s="153" t="str">
        <f>IF(AD85=0,"",IFERROR(AD85/AD$19,""))</f>
        <v/>
      </c>
      <c r="AF85" s="154">
        <f>IF(AND($AA85="",AD85=""),"",$AA85-AD85)</f>
        <v>0</v>
      </c>
      <c r="AG85" s="152"/>
      <c r="AH85" s="153" t="str">
        <f>IF(AG85=0,"",IFERROR(AG85/AG$19,""))</f>
        <v/>
      </c>
      <c r="AI85" s="154">
        <f>IF(AND($AA85="",AG85=""),"",$AA85-AG85)</f>
        <v>0</v>
      </c>
    </row>
    <row r="86" spans="3:35" x14ac:dyDescent="0.2">
      <c r="C86" s="23"/>
      <c r="H86" s="133" t="s">
        <v>767</v>
      </c>
      <c r="I86" s="25" t="e">
        <f ca="1">_xll.EVPRO($B$1,$H86,"STYLE")</f>
        <v>#NAME?</v>
      </c>
      <c r="J86" s="25" t="e">
        <f ca="1">_xll.EVPRO($B$1,$H86,"CALC")</f>
        <v>#NAME?</v>
      </c>
      <c r="L86" s="24" t="e">
        <f ca="1">_xll.EVPRO($B$1,H86,"JDEID")</f>
        <v>#NAME?</v>
      </c>
      <c r="M86" s="24" t="e">
        <f ca="1">IF(AND(I86="N",J86="N"),_xll.EVPRO($B$1,H86,"PSFTID"),"")</f>
        <v>#NAME?</v>
      </c>
      <c r="N86" s="24" t="e">
        <f ca="1">IF(_xll.EVDES(H86,$B$1)="#NODATA","",_xll.EVDES(H86,$B$1))</f>
        <v>#NAME?</v>
      </c>
      <c r="O86" s="152"/>
      <c r="P86" s="152"/>
      <c r="Q86" s="152"/>
      <c r="R86" s="152"/>
      <c r="S86" s="152"/>
      <c r="T86" s="152"/>
      <c r="U86" s="152"/>
      <c r="V86" s="152"/>
      <c r="W86" s="152"/>
      <c r="X86" s="152"/>
      <c r="Y86" s="152"/>
      <c r="Z86" s="152"/>
      <c r="AA86" s="152">
        <f>SUM(O86:Z86)</f>
        <v>0</v>
      </c>
      <c r="AB86" s="153"/>
      <c r="AD86" s="152"/>
      <c r="AE86" s="153"/>
      <c r="AF86" s="154">
        <f>IF(AND($AA86="",AD86=""),"",$AA86-AD86)</f>
        <v>0</v>
      </c>
      <c r="AG86" s="152"/>
      <c r="AH86" s="153"/>
      <c r="AI86" s="154">
        <f>IF(AND($AA86="",AG86=""),"",$AA86-AG86)</f>
        <v>0</v>
      </c>
    </row>
    <row r="87" spans="3:35" x14ac:dyDescent="0.2">
      <c r="C87" s="23"/>
      <c r="H87" s="133" t="s">
        <v>331</v>
      </c>
      <c r="I87" s="25" t="e">
        <f ca="1">_xll.EVPRO($B$1,$H87,"STYLE")</f>
        <v>#NAME?</v>
      </c>
      <c r="J87" s="25" t="e">
        <f ca="1">_xll.EVPRO($B$1,$H87,"CALC")</f>
        <v>#NAME?</v>
      </c>
      <c r="L87" s="24" t="e">
        <f ca="1">_xll.EVPRO($B$1,H87,"JDEID")</f>
        <v>#NAME?</v>
      </c>
      <c r="M87" s="24" t="e">
        <f ca="1">IF(AND(I87="N",J87="N"),_xll.EVPRO($B$1,H87,"PSFTID"),"")</f>
        <v>#NAME?</v>
      </c>
      <c r="N87" s="24" t="e">
        <f ca="1">IF(_xll.EVDES(H87,$B$1)="#NODATA","",_xll.EVDES(H87,$B$1))</f>
        <v>#NAME?</v>
      </c>
      <c r="O87" s="152"/>
      <c r="P87" s="152"/>
      <c r="Q87" s="152"/>
      <c r="R87" s="152"/>
      <c r="S87" s="152"/>
      <c r="T87" s="152"/>
      <c r="U87" s="152"/>
      <c r="V87" s="152"/>
      <c r="W87" s="152"/>
      <c r="X87" s="152"/>
      <c r="Y87" s="152"/>
      <c r="Z87" s="152"/>
      <c r="AA87" s="152">
        <f>SUM(O87:Z87)</f>
        <v>0</v>
      </c>
      <c r="AB87" s="153" t="str">
        <f>IF(AA87=0,"",IFERROR(AA87/AA$20,""))</f>
        <v/>
      </c>
      <c r="AD87" s="152"/>
      <c r="AE87" s="153" t="str">
        <f>IF(AD87=0,"",IFERROR(AD87/AD$20,""))</f>
        <v/>
      </c>
      <c r="AF87" s="154">
        <f>IF(AND($AA87="",AD87=""),"",$AA87-AD87)</f>
        <v>0</v>
      </c>
      <c r="AG87" s="152"/>
      <c r="AH87" s="153" t="str">
        <f>IF(AG87=0,"",IFERROR(AG87/AG$20,""))</f>
        <v/>
      </c>
      <c r="AI87" s="154">
        <f>IF(AND($AA87="",AG87=""),"",$AA87-AG87)</f>
        <v>0</v>
      </c>
    </row>
    <row r="88" spans="3:35" x14ac:dyDescent="0.2">
      <c r="C88" s="23"/>
      <c r="H88" s="133" t="s">
        <v>311</v>
      </c>
      <c r="I88" s="25" t="e">
        <f ca="1">_xll.EVPRO($B$1,$H88,"STYLE")</f>
        <v>#NAME?</v>
      </c>
      <c r="J88" s="25" t="e">
        <f ca="1">_xll.EVPRO($B$1,$H88,"CALC")</f>
        <v>#NAME?</v>
      </c>
      <c r="L88" s="24"/>
      <c r="M88" s="24"/>
      <c r="N88" s="24" t="e">
        <f ca="1">IF(_xll.EVDES(H88,$B$1)="#NODATA","",_xll.EVDES(H88,$B$1))</f>
        <v>#NAME?</v>
      </c>
      <c r="O88" s="157"/>
      <c r="P88" s="157"/>
      <c r="Q88" s="157"/>
      <c r="R88" s="157"/>
      <c r="S88" s="157"/>
      <c r="T88" s="157"/>
      <c r="U88" s="157"/>
      <c r="V88" s="157"/>
      <c r="W88" s="157"/>
      <c r="X88" s="157"/>
      <c r="Y88" s="157"/>
      <c r="Z88" s="157"/>
      <c r="AA88" s="157" t="str">
        <f>IFERROR(AA85/AA87,"")</f>
        <v/>
      </c>
      <c r="AB88" s="157"/>
      <c r="AD88" s="157"/>
      <c r="AE88" s="157"/>
      <c r="AF88" s="158" t="str">
        <f>IF(AND($AA88="",AD88=""),"",$AA88-AD88)</f>
        <v/>
      </c>
      <c r="AG88" s="157"/>
      <c r="AH88" s="157"/>
      <c r="AI88" s="158" t="str">
        <f>IF(AND($AA88="",AG88=""),"",$AA88-AG88)</f>
        <v/>
      </c>
    </row>
    <row r="89" spans="3:35" x14ac:dyDescent="0.2">
      <c r="C89" s="23"/>
      <c r="H89" s="133"/>
      <c r="I89" s="25"/>
      <c r="J89" s="25"/>
      <c r="L89" s="24"/>
      <c r="M89" s="24"/>
      <c r="N89" s="24"/>
      <c r="O89" s="38"/>
      <c r="P89" s="42"/>
      <c r="Q89" s="42"/>
      <c r="R89" s="42"/>
      <c r="S89" s="42"/>
      <c r="T89" s="42"/>
      <c r="U89" s="42"/>
      <c r="V89" s="42"/>
      <c r="W89" s="42"/>
      <c r="X89" s="42"/>
      <c r="Y89" s="42"/>
      <c r="Z89" s="42"/>
      <c r="AA89" s="42"/>
      <c r="AB89" s="39"/>
      <c r="AD89" s="38"/>
      <c r="AE89" s="42"/>
      <c r="AF89" s="39"/>
      <c r="AG89" s="38"/>
      <c r="AH89" s="42"/>
      <c r="AI89" s="39"/>
    </row>
    <row r="90" spans="3:35" x14ac:dyDescent="0.2">
      <c r="C90" s="23"/>
      <c r="H90" s="133"/>
      <c r="I90" s="25"/>
      <c r="J90" s="25"/>
      <c r="L90" s="24"/>
      <c r="M90" s="24"/>
      <c r="N90" s="8" t="s">
        <v>334</v>
      </c>
      <c r="O90" s="40"/>
      <c r="P90" s="43"/>
      <c r="Q90" s="43"/>
      <c r="R90" s="43"/>
      <c r="S90" s="43"/>
      <c r="T90" s="43"/>
      <c r="U90" s="43"/>
      <c r="V90" s="43"/>
      <c r="W90" s="43"/>
      <c r="X90" s="43"/>
      <c r="Y90" s="43"/>
      <c r="Z90" s="43"/>
      <c r="AA90" s="43"/>
      <c r="AB90" s="41"/>
      <c r="AD90" s="40"/>
      <c r="AE90" s="43"/>
      <c r="AF90" s="41"/>
      <c r="AG90" s="40"/>
      <c r="AH90" s="43"/>
      <c r="AI90" s="41"/>
    </row>
    <row r="91" spans="3:35" hidden="1" outlineLevel="1" x14ac:dyDescent="0.2">
      <c r="C91" s="23"/>
      <c r="H91" s="133" t="s">
        <v>332</v>
      </c>
      <c r="I91" s="25" t="e">
        <f ca="1">_xll.EVPRO($B$1,$H91,"STYLE")</f>
        <v>#NAME?</v>
      </c>
      <c r="J91" s="25" t="e">
        <f ca="1">_xll.EVPRO($B$1,$H91,"CALC")</f>
        <v>#NAME?</v>
      </c>
      <c r="L91" s="24"/>
      <c r="M91" s="24"/>
      <c r="N91" s="24" t="e">
        <f ca="1">IF(_xll.EVDES(H91,$B$1)="#NODATA","",_xll.EVDES(H91,$B$1))</f>
        <v>#NAME?</v>
      </c>
      <c r="O91" s="19"/>
      <c r="P91" s="19"/>
      <c r="Q91" s="19"/>
      <c r="R91" s="19"/>
      <c r="S91" s="19"/>
      <c r="T91" s="19"/>
      <c r="U91" s="19"/>
      <c r="V91" s="19"/>
      <c r="W91" s="19"/>
      <c r="X91" s="19"/>
      <c r="Y91" s="19"/>
      <c r="Z91" s="19"/>
      <c r="AA91" s="19">
        <f>SUM(O91:Z91)</f>
        <v>0</v>
      </c>
      <c r="AB91" s="15"/>
      <c r="AD91" s="19"/>
      <c r="AE91" s="15"/>
      <c r="AF91" s="47">
        <f>IF(AND($AA91="",AD91=""),"",$AA91-AD91)</f>
        <v>0</v>
      </c>
      <c r="AG91" s="19"/>
      <c r="AH91" s="15"/>
      <c r="AI91" s="47">
        <f>IF(AND($AA91="",AG91=""),"",$AA91-AG91)</f>
        <v>0</v>
      </c>
    </row>
    <row r="92" spans="3:35" hidden="1" outlineLevel="1" x14ac:dyDescent="0.2">
      <c r="C92" s="23"/>
      <c r="H92" s="133" t="s">
        <v>333</v>
      </c>
      <c r="I92" s="25" t="e">
        <f ca="1">_xll.EVPRO($B$1,$H92,"STYLE")</f>
        <v>#NAME?</v>
      </c>
      <c r="J92" s="25" t="e">
        <f ca="1">_xll.EVPRO($B$1,$H92,"CALC")</f>
        <v>#NAME?</v>
      </c>
      <c r="L92" s="24"/>
      <c r="M92" s="24"/>
      <c r="N92" s="24" t="e">
        <f ca="1">IF(_xll.EVDES(H92,$B$1)="#NODATA","",_xll.EVDES(H92,$B$1))</f>
        <v>#NAME?</v>
      </c>
      <c r="O92" s="19"/>
      <c r="P92" s="19"/>
      <c r="Q92" s="19"/>
      <c r="R92" s="19"/>
      <c r="S92" s="19"/>
      <c r="T92" s="19"/>
      <c r="U92" s="19"/>
      <c r="V92" s="19"/>
      <c r="W92" s="19"/>
      <c r="X92" s="19"/>
      <c r="Y92" s="19"/>
      <c r="Z92" s="19"/>
      <c r="AA92" s="19">
        <f>SUM(O92:Z92)</f>
        <v>0</v>
      </c>
      <c r="AB92" s="15"/>
      <c r="AD92" s="19"/>
      <c r="AE92" s="15"/>
      <c r="AF92" s="47">
        <f>IF(AND($AA92="",AD92=""),"",$AA92-AD92)</f>
        <v>0</v>
      </c>
      <c r="AG92" s="19"/>
      <c r="AH92" s="15"/>
      <c r="AI92" s="47">
        <f>IF(AND($AA92="",AG92=""),"",$AA92-AG92)</f>
        <v>0</v>
      </c>
    </row>
    <row r="93" spans="3:35" collapsed="1" x14ac:dyDescent="0.2">
      <c r="C93" s="23"/>
      <c r="H93" s="133"/>
      <c r="I93" s="25"/>
      <c r="J93" s="25"/>
      <c r="L93" s="24"/>
      <c r="M93" s="24"/>
      <c r="N93" s="24" t="s">
        <v>335</v>
      </c>
      <c r="O93" s="159" t="str">
        <f t="shared" ref="O93:AA93" si="26">IFERROR(O$87/O91,"")</f>
        <v/>
      </c>
      <c r="P93" s="159" t="str">
        <f t="shared" si="26"/>
        <v/>
      </c>
      <c r="Q93" s="159" t="str">
        <f t="shared" si="26"/>
        <v/>
      </c>
      <c r="R93" s="159" t="str">
        <f t="shared" si="26"/>
        <v/>
      </c>
      <c r="S93" s="159" t="str">
        <f t="shared" si="26"/>
        <v/>
      </c>
      <c r="T93" s="159" t="str">
        <f t="shared" si="26"/>
        <v/>
      </c>
      <c r="U93" s="159" t="str">
        <f t="shared" si="26"/>
        <v/>
      </c>
      <c r="V93" s="159" t="str">
        <f t="shared" si="26"/>
        <v/>
      </c>
      <c r="W93" s="159" t="str">
        <f t="shared" si="26"/>
        <v/>
      </c>
      <c r="X93" s="159" t="str">
        <f t="shared" si="26"/>
        <v/>
      </c>
      <c r="Y93" s="159" t="str">
        <f t="shared" si="26"/>
        <v/>
      </c>
      <c r="Z93" s="159" t="str">
        <f t="shared" si="26"/>
        <v/>
      </c>
      <c r="AA93" s="159" t="str">
        <f t="shared" si="26"/>
        <v/>
      </c>
      <c r="AB93" s="124"/>
      <c r="AD93" s="159" t="str">
        <f>IFERROR(AD$87/AD91,"")</f>
        <v/>
      </c>
      <c r="AE93" s="124"/>
      <c r="AF93" s="125" t="str">
        <f>IF(AND($AA93="",AD93=""),"",$AA93-AD93)</f>
        <v/>
      </c>
      <c r="AG93" s="159" t="str">
        <f>IFERROR(AG$87/AG91,"")</f>
        <v/>
      </c>
      <c r="AH93" s="124"/>
      <c r="AI93" s="125" t="str">
        <f>IF(AND($AA93="",AG93=""),"",$AA93-AG93)</f>
        <v/>
      </c>
    </row>
    <row r="94" spans="3:35" x14ac:dyDescent="0.2">
      <c r="C94" s="23"/>
      <c r="H94" s="133"/>
      <c r="I94" s="25"/>
      <c r="J94" s="25"/>
      <c r="L94" s="24"/>
      <c r="M94" s="24"/>
      <c r="N94" s="24" t="s">
        <v>336</v>
      </c>
      <c r="O94" s="159" t="str">
        <f t="shared" ref="O94:AA94" si="27">IFERROR(O$87/O92,"")</f>
        <v/>
      </c>
      <c r="P94" s="159" t="str">
        <f t="shared" si="27"/>
        <v/>
      </c>
      <c r="Q94" s="159" t="str">
        <f t="shared" si="27"/>
        <v/>
      </c>
      <c r="R94" s="159" t="str">
        <f t="shared" si="27"/>
        <v/>
      </c>
      <c r="S94" s="159" t="str">
        <f t="shared" si="27"/>
        <v/>
      </c>
      <c r="T94" s="159" t="str">
        <f t="shared" si="27"/>
        <v/>
      </c>
      <c r="U94" s="159" t="str">
        <f t="shared" si="27"/>
        <v/>
      </c>
      <c r="V94" s="159" t="str">
        <f t="shared" si="27"/>
        <v/>
      </c>
      <c r="W94" s="159" t="str">
        <f t="shared" si="27"/>
        <v/>
      </c>
      <c r="X94" s="159" t="str">
        <f t="shared" si="27"/>
        <v/>
      </c>
      <c r="Y94" s="159" t="str">
        <f t="shared" si="27"/>
        <v/>
      </c>
      <c r="Z94" s="159" t="str">
        <f t="shared" si="27"/>
        <v/>
      </c>
      <c r="AA94" s="159" t="str">
        <f t="shared" si="27"/>
        <v/>
      </c>
      <c r="AB94" s="124"/>
      <c r="AD94" s="159" t="str">
        <f>IFERROR(AD$87/AD92,"")</f>
        <v/>
      </c>
      <c r="AE94" s="124"/>
      <c r="AF94" s="125" t="str">
        <f>IF(AND($AA94="",AD94=""),"",$AA94-AD94)</f>
        <v/>
      </c>
      <c r="AG94" s="159" t="str">
        <f>IFERROR(AG$87/AG92,"")</f>
        <v/>
      </c>
      <c r="AH94" s="124"/>
      <c r="AI94" s="125" t="str">
        <f>IF(AND($AA94="",AG94=""),"",$AA94-AG94)</f>
        <v/>
      </c>
    </row>
    <row r="95" spans="3:35" x14ac:dyDescent="0.2">
      <c r="C95" s="23"/>
      <c r="H95" s="133"/>
      <c r="I95" s="25"/>
      <c r="J95" s="25"/>
      <c r="L95" s="24"/>
      <c r="M95" s="24"/>
      <c r="N95" s="24"/>
      <c r="O95" s="144"/>
      <c r="P95" s="147"/>
      <c r="Q95" s="147"/>
      <c r="R95" s="147"/>
      <c r="S95" s="147"/>
      <c r="T95" s="147"/>
      <c r="U95" s="147"/>
      <c r="V95" s="147"/>
      <c r="W95" s="147"/>
      <c r="X95" s="147"/>
      <c r="Y95" s="147"/>
      <c r="Z95" s="147"/>
      <c r="AA95" s="147"/>
      <c r="AB95" s="51"/>
      <c r="AD95" s="50"/>
      <c r="AF95" s="51"/>
      <c r="AI95" s="51"/>
    </row>
    <row r="96" spans="3:35" x14ac:dyDescent="0.2">
      <c r="C96" s="23"/>
      <c r="H96" s="133"/>
      <c r="I96" s="25"/>
      <c r="J96" s="25"/>
      <c r="L96" s="24"/>
      <c r="M96" s="24"/>
      <c r="N96" s="8" t="s">
        <v>343</v>
      </c>
      <c r="O96" s="50"/>
      <c r="AB96" s="149"/>
      <c r="AD96" s="148"/>
      <c r="AE96" s="150"/>
      <c r="AF96" s="51"/>
      <c r="AH96" s="150"/>
      <c r="AI96" s="51"/>
    </row>
    <row r="97" spans="3:35" x14ac:dyDescent="0.2">
      <c r="C97" s="23"/>
      <c r="H97" s="133"/>
      <c r="I97" s="25"/>
      <c r="J97" s="25"/>
      <c r="L97" s="24"/>
      <c r="M97" s="24"/>
      <c r="N97" s="8" t="s">
        <v>337</v>
      </c>
      <c r="O97" s="40"/>
      <c r="P97" s="43"/>
      <c r="Q97" s="43"/>
      <c r="R97" s="43"/>
      <c r="S97" s="43"/>
      <c r="T97" s="43"/>
      <c r="U97" s="43"/>
      <c r="V97" s="43"/>
      <c r="W97" s="43"/>
      <c r="X97" s="43"/>
      <c r="Y97" s="43"/>
      <c r="Z97" s="43"/>
      <c r="AA97" s="43"/>
      <c r="AB97" s="41"/>
      <c r="AD97" s="40"/>
      <c r="AE97" s="43"/>
      <c r="AF97" s="41"/>
      <c r="AG97" s="43"/>
      <c r="AH97" s="43"/>
      <c r="AI97" s="41"/>
    </row>
    <row r="98" spans="3:35" x14ac:dyDescent="0.2">
      <c r="C98" s="23"/>
      <c r="H98" s="133" t="s">
        <v>294</v>
      </c>
      <c r="I98" s="25"/>
      <c r="J98" s="25"/>
      <c r="L98" s="24" t="e">
        <f ca="1">_xll.EVPRO($B$1,H98,"JDEID")</f>
        <v>#NAME?</v>
      </c>
      <c r="M98" s="24" t="str">
        <f>IF(AND(I98="N",J98="N"),_xll.EVPRO($B$1,H98,"PSFTID"),"")</f>
        <v/>
      </c>
      <c r="N98" s="24" t="e">
        <f ca="1">IF(_xll.EVDES(H98,$B$1)="#NODATA","",_xll.EVDES(H98,$B$1))</f>
        <v>#NAME?</v>
      </c>
      <c r="O98" s="19"/>
      <c r="P98" s="19"/>
      <c r="Q98" s="19"/>
      <c r="R98" s="19"/>
      <c r="S98" s="19"/>
      <c r="T98" s="19"/>
      <c r="U98" s="19"/>
      <c r="V98" s="19"/>
      <c r="W98" s="19"/>
      <c r="X98" s="19"/>
      <c r="Y98" s="19"/>
      <c r="Z98" s="19"/>
      <c r="AA98" s="19">
        <f t="shared" ref="AA98:AA103" si="28">SUM(O98:Z98)</f>
        <v>0</v>
      </c>
      <c r="AB98" s="15" t="str">
        <f t="shared" ref="AB98:AB103" si="29">IF(AA98=0,"",IFERROR(AA98/AA$19,""))</f>
        <v/>
      </c>
      <c r="AD98" s="19"/>
      <c r="AE98" s="15" t="str">
        <f t="shared" ref="AE98:AE103" si="30">IF(AD98=0,"",IFERROR(AD98/AD$19,""))</f>
        <v/>
      </c>
      <c r="AF98" s="47">
        <f t="shared" ref="AF98:AF103" si="31">IF(AND($AA98="",AD98=""),"",$AA98-AD98)</f>
        <v>0</v>
      </c>
      <c r="AG98" s="19"/>
      <c r="AH98" s="15" t="str">
        <f t="shared" ref="AH98:AH103" si="32">IF(AG98=0,"",IFERROR(AG98/AG$19,""))</f>
        <v/>
      </c>
      <c r="AI98" s="47">
        <f t="shared" ref="AI98:AI103" si="33">IF(AND($AA98="",AG98=""),"",$AA98-AG98)</f>
        <v>0</v>
      </c>
    </row>
    <row r="99" spans="3:35" x14ac:dyDescent="0.2">
      <c r="C99" s="23"/>
      <c r="H99" s="133" t="s">
        <v>301</v>
      </c>
      <c r="I99" s="25"/>
      <c r="J99" s="25"/>
      <c r="L99" s="24" t="e">
        <f ca="1">_xll.EVPRO($B$1,H99,"JDEID")</f>
        <v>#NAME?</v>
      </c>
      <c r="M99" s="24" t="str">
        <f>IF(AND(I99="N",J99="N"),_xll.EVPRO($B$1,H99,"PSFTID"),"")</f>
        <v/>
      </c>
      <c r="N99" s="24" t="e">
        <f ca="1">IF(_xll.EVDES(H99,$B$1)="#NODATA","",_xll.EVDES(H99,$B$1))</f>
        <v>#NAME?</v>
      </c>
      <c r="O99" s="19"/>
      <c r="P99" s="19"/>
      <c r="Q99" s="19"/>
      <c r="R99" s="19"/>
      <c r="S99" s="19"/>
      <c r="T99" s="19"/>
      <c r="U99" s="19"/>
      <c r="V99" s="19"/>
      <c r="W99" s="19"/>
      <c r="X99" s="19"/>
      <c r="Y99" s="19"/>
      <c r="Z99" s="19"/>
      <c r="AA99" s="19">
        <f t="shared" si="28"/>
        <v>0</v>
      </c>
      <c r="AB99" s="15" t="str">
        <f t="shared" si="29"/>
        <v/>
      </c>
      <c r="AD99" s="19"/>
      <c r="AE99" s="15" t="str">
        <f t="shared" si="30"/>
        <v/>
      </c>
      <c r="AF99" s="47">
        <f t="shared" si="31"/>
        <v>0</v>
      </c>
      <c r="AG99" s="19"/>
      <c r="AH99" s="15" t="str">
        <f t="shared" si="32"/>
        <v/>
      </c>
      <c r="AI99" s="47">
        <f t="shared" si="33"/>
        <v>0</v>
      </c>
    </row>
    <row r="100" spans="3:35" x14ac:dyDescent="0.2">
      <c r="C100" s="23"/>
      <c r="H100" s="133" t="s">
        <v>302</v>
      </c>
      <c r="I100" s="25"/>
      <c r="J100" s="25"/>
      <c r="L100" s="24" t="e">
        <f ca="1">_xll.EVPRO($B$1,H100,"JDEID")</f>
        <v>#NAME?</v>
      </c>
      <c r="M100" s="24" t="str">
        <f>IF(AND(I100="N",J100="N"),_xll.EVPRO($B$1,H100,"PSFTID"),"")</f>
        <v/>
      </c>
      <c r="N100" s="24" t="e">
        <f ca="1">IF(_xll.EVDES(H100,$B$1)="#NODATA","",_xll.EVDES(H100,$B$1))</f>
        <v>#NAME?</v>
      </c>
      <c r="O100" s="19"/>
      <c r="P100" s="19"/>
      <c r="Q100" s="19"/>
      <c r="R100" s="19"/>
      <c r="S100" s="19"/>
      <c r="T100" s="19"/>
      <c r="U100" s="19"/>
      <c r="V100" s="19"/>
      <c r="W100" s="19"/>
      <c r="X100" s="19"/>
      <c r="Y100" s="19"/>
      <c r="Z100" s="19"/>
      <c r="AA100" s="19">
        <f t="shared" si="28"/>
        <v>0</v>
      </c>
      <c r="AB100" s="15" t="str">
        <f t="shared" si="29"/>
        <v/>
      </c>
      <c r="AD100" s="19"/>
      <c r="AE100" s="15" t="str">
        <f t="shared" si="30"/>
        <v/>
      </c>
      <c r="AF100" s="47">
        <f t="shared" si="31"/>
        <v>0</v>
      </c>
      <c r="AG100" s="19"/>
      <c r="AH100" s="15" t="str">
        <f t="shared" si="32"/>
        <v/>
      </c>
      <c r="AI100" s="47">
        <f t="shared" si="33"/>
        <v>0</v>
      </c>
    </row>
    <row r="101" spans="3:35" x14ac:dyDescent="0.2">
      <c r="C101" s="23"/>
      <c r="H101" s="133" t="s">
        <v>308</v>
      </c>
      <c r="I101" s="25"/>
      <c r="J101" s="25"/>
      <c r="L101" s="24" t="e">
        <f ca="1">_xll.EVPRO($B$1,H101,"JDEID")</f>
        <v>#NAME?</v>
      </c>
      <c r="M101" s="24" t="str">
        <f>IF(AND(I101="N",J101="N"),_xll.EVPRO($B$1,H101,"PSFTID"),"")</f>
        <v/>
      </c>
      <c r="N101" s="24" t="e">
        <f ca="1">IF(_xll.EVDES(H101,$B$1)="#NODATA","",_xll.EVDES(H101,$B$1))</f>
        <v>#NAME?</v>
      </c>
      <c r="O101" s="19"/>
      <c r="P101" s="19"/>
      <c r="Q101" s="19"/>
      <c r="R101" s="19"/>
      <c r="S101" s="19"/>
      <c r="T101" s="19"/>
      <c r="U101" s="19"/>
      <c r="V101" s="19"/>
      <c r="W101" s="19"/>
      <c r="X101" s="19"/>
      <c r="Y101" s="19"/>
      <c r="Z101" s="19"/>
      <c r="AA101" s="19">
        <f t="shared" si="28"/>
        <v>0</v>
      </c>
      <c r="AB101" s="15" t="str">
        <f t="shared" si="29"/>
        <v/>
      </c>
      <c r="AD101" s="19"/>
      <c r="AE101" s="15" t="str">
        <f t="shared" si="30"/>
        <v/>
      </c>
      <c r="AF101" s="47">
        <f t="shared" si="31"/>
        <v>0</v>
      </c>
      <c r="AG101" s="19"/>
      <c r="AH101" s="15" t="str">
        <f t="shared" si="32"/>
        <v/>
      </c>
      <c r="AI101" s="47">
        <f t="shared" si="33"/>
        <v>0</v>
      </c>
    </row>
    <row r="102" spans="3:35" x14ac:dyDescent="0.2">
      <c r="C102" s="23"/>
      <c r="H102" s="133" t="s">
        <v>321</v>
      </c>
      <c r="I102" s="25"/>
      <c r="J102" s="25"/>
      <c r="L102" s="24" t="e">
        <f ca="1">_xll.EVPRO($B$1,H102,"JDEID")</f>
        <v>#NAME?</v>
      </c>
      <c r="M102" s="24" t="str">
        <f>IF(AND(I102="N",J102="N"),_xll.EVPRO($B$1,H102,"PSFTID"),"")</f>
        <v/>
      </c>
      <c r="N102" s="24" t="e">
        <f ca="1">IF(_xll.EVDES(H102,$B$1)="#NODATA","",_xll.EVDES(H102,$B$1))</f>
        <v>#NAME?</v>
      </c>
      <c r="O102" s="19"/>
      <c r="P102" s="19"/>
      <c r="Q102" s="19"/>
      <c r="R102" s="19"/>
      <c r="S102" s="19"/>
      <c r="T102" s="19"/>
      <c r="U102" s="19"/>
      <c r="V102" s="19"/>
      <c r="W102" s="19"/>
      <c r="X102" s="19"/>
      <c r="Y102" s="19"/>
      <c r="Z102" s="19"/>
      <c r="AA102" s="19">
        <f t="shared" si="28"/>
        <v>0</v>
      </c>
      <c r="AB102" s="15" t="str">
        <f t="shared" si="29"/>
        <v/>
      </c>
      <c r="AD102" s="19"/>
      <c r="AE102" s="15" t="str">
        <f t="shared" si="30"/>
        <v/>
      </c>
      <c r="AF102" s="47">
        <f t="shared" si="31"/>
        <v>0</v>
      </c>
      <c r="AG102" s="19"/>
      <c r="AH102" s="15" t="str">
        <f t="shared" si="32"/>
        <v/>
      </c>
      <c r="AI102" s="47">
        <f t="shared" si="33"/>
        <v>0</v>
      </c>
    </row>
    <row r="103" spans="3:35" x14ac:dyDescent="0.2">
      <c r="C103" s="23"/>
      <c r="H103" s="133" t="s">
        <v>340</v>
      </c>
      <c r="I103" s="25"/>
      <c r="J103" s="25"/>
      <c r="L103" s="24" t="e">
        <f ca="1">_xll.EVPRO($B$1,H103,"JDEID")</f>
        <v>#NAME?</v>
      </c>
      <c r="M103" s="24" t="str">
        <f>IF(AND(I103="N",J103="N"),_xll.EVPRO($B$1,H103,"PSFTID"),"")</f>
        <v/>
      </c>
      <c r="N103" s="23" t="e">
        <f ca="1">IF(_xll.EVDES(H103,$B$1)="#NODATA","",_xll.EVDES(H103,$B$1))</f>
        <v>#NAME?</v>
      </c>
      <c r="O103" s="145"/>
      <c r="P103" s="145"/>
      <c r="Q103" s="145"/>
      <c r="R103" s="145"/>
      <c r="S103" s="145"/>
      <c r="T103" s="145"/>
      <c r="U103" s="145"/>
      <c r="V103" s="145"/>
      <c r="W103" s="145"/>
      <c r="X103" s="145"/>
      <c r="Y103" s="145"/>
      <c r="Z103" s="145"/>
      <c r="AA103" s="145">
        <f t="shared" si="28"/>
        <v>0</v>
      </c>
      <c r="AB103" s="156" t="str">
        <f t="shared" si="29"/>
        <v/>
      </c>
      <c r="AD103" s="145"/>
      <c r="AE103" s="156" t="str">
        <f t="shared" si="30"/>
        <v/>
      </c>
      <c r="AF103" s="146">
        <f t="shared" si="31"/>
        <v>0</v>
      </c>
      <c r="AG103" s="145"/>
      <c r="AH103" s="156" t="str">
        <f t="shared" si="32"/>
        <v/>
      </c>
      <c r="AI103" s="146">
        <f t="shared" si="33"/>
        <v>0</v>
      </c>
    </row>
    <row r="104" spans="3:35" x14ac:dyDescent="0.2">
      <c r="C104" s="23"/>
      <c r="H104" s="133"/>
      <c r="I104" s="25"/>
      <c r="J104" s="25"/>
      <c r="L104" s="24"/>
      <c r="M104" s="24"/>
      <c r="N104" s="8"/>
      <c r="O104" s="38"/>
      <c r="P104" s="42"/>
      <c r="Q104" s="42"/>
      <c r="R104" s="42"/>
      <c r="S104" s="42"/>
      <c r="T104" s="42"/>
      <c r="U104" s="42"/>
      <c r="V104" s="42"/>
      <c r="W104" s="42"/>
      <c r="X104" s="42"/>
      <c r="Y104" s="42"/>
      <c r="Z104" s="42"/>
      <c r="AA104" s="42"/>
      <c r="AB104" s="39"/>
      <c r="AD104" s="38"/>
      <c r="AE104" s="42"/>
      <c r="AF104" s="39"/>
      <c r="AG104" s="38"/>
      <c r="AH104" s="42"/>
      <c r="AI104" s="39"/>
    </row>
    <row r="105" spans="3:35" x14ac:dyDescent="0.2">
      <c r="C105" s="23"/>
      <c r="H105" s="133"/>
      <c r="I105" s="25"/>
      <c r="J105" s="25"/>
      <c r="L105" s="24"/>
      <c r="M105" s="24"/>
      <c r="N105" s="8" t="s">
        <v>339</v>
      </c>
      <c r="O105" s="40"/>
      <c r="P105" s="43"/>
      <c r="Q105" s="43"/>
      <c r="R105" s="43"/>
      <c r="S105" s="43"/>
      <c r="T105" s="43"/>
      <c r="U105" s="43"/>
      <c r="V105" s="43"/>
      <c r="W105" s="43"/>
      <c r="X105" s="43"/>
      <c r="Y105" s="43"/>
      <c r="Z105" s="43"/>
      <c r="AA105" s="43"/>
      <c r="AB105" s="41"/>
      <c r="AD105" s="40"/>
      <c r="AE105" s="43"/>
      <c r="AF105" s="41"/>
      <c r="AG105" s="40"/>
      <c r="AH105" s="43"/>
      <c r="AI105" s="41"/>
    </row>
    <row r="106" spans="3:35" x14ac:dyDescent="0.2">
      <c r="C106" s="23"/>
      <c r="H106" s="133" t="s">
        <v>295</v>
      </c>
      <c r="I106" s="25"/>
      <c r="J106" s="25"/>
      <c r="L106" s="24" t="e">
        <f ca="1">_xll.EVPRO($B$1,H106,"JDEID")</f>
        <v>#NAME?</v>
      </c>
      <c r="M106" s="24" t="str">
        <f>IF(AND(I106="N",J106="N"),_xll.EVPRO($B$1,H106,"PSFTID"),"")</f>
        <v/>
      </c>
      <c r="N106" s="24" t="e">
        <f ca="1">IF(_xll.EVDES(H106,$B$1)="#NODATA","",_xll.EVDES(H106,$B$1))</f>
        <v>#NAME?</v>
      </c>
      <c r="O106" s="19"/>
      <c r="P106" s="19"/>
      <c r="Q106" s="19"/>
      <c r="R106" s="19"/>
      <c r="S106" s="19"/>
      <c r="T106" s="19"/>
      <c r="U106" s="19"/>
      <c r="V106" s="19"/>
      <c r="W106" s="19"/>
      <c r="X106" s="19"/>
      <c r="Y106" s="19"/>
      <c r="Z106" s="19"/>
      <c r="AA106" s="19">
        <f t="shared" ref="AA106:AA111" si="34">SUM(O106:Z106)</f>
        <v>0</v>
      </c>
      <c r="AB106" s="15" t="str">
        <f t="shared" ref="AB106:AB111" si="35">IF(AA106=0,"",IFERROR(AA106/AA$19,""))</f>
        <v/>
      </c>
      <c r="AD106" s="19"/>
      <c r="AE106" s="15" t="str">
        <f t="shared" ref="AE106:AE111" si="36">IF(AD106=0,"",IFERROR(AD106/AD$19,""))</f>
        <v/>
      </c>
      <c r="AF106" s="47">
        <f t="shared" ref="AF106:AF111" si="37">IF(AND($AA106="",AD106=""),"",$AA106-AD106)</f>
        <v>0</v>
      </c>
      <c r="AG106" s="19"/>
      <c r="AH106" s="15" t="str">
        <f t="shared" ref="AH106:AH111" si="38">IF(AG106=0,"",IFERROR(AG106/AG$19,""))</f>
        <v/>
      </c>
      <c r="AI106" s="47">
        <f t="shared" ref="AI106:AI111" si="39">IF(AND($AA106="",AG106=""),"",$AA106-AG106)</f>
        <v>0</v>
      </c>
    </row>
    <row r="107" spans="3:35" x14ac:dyDescent="0.2">
      <c r="C107" s="23"/>
      <c r="H107" s="133" t="s">
        <v>305</v>
      </c>
      <c r="I107" s="25"/>
      <c r="J107" s="25"/>
      <c r="L107" s="24" t="e">
        <f ca="1">_xll.EVPRO($B$1,H107,"JDEID")</f>
        <v>#NAME?</v>
      </c>
      <c r="M107" s="24" t="str">
        <f>IF(AND(I107="N",J107="N"),_xll.EVPRO($B$1,H107,"PSFTID"),"")</f>
        <v/>
      </c>
      <c r="N107" s="24" t="e">
        <f ca="1">IF(_xll.EVDES(H107,$B$1)="#NODATA","",_xll.EVDES(H107,$B$1))</f>
        <v>#NAME?</v>
      </c>
      <c r="O107" s="19"/>
      <c r="P107" s="19"/>
      <c r="Q107" s="19"/>
      <c r="R107" s="19"/>
      <c r="S107" s="19"/>
      <c r="T107" s="19"/>
      <c r="U107" s="19"/>
      <c r="V107" s="19"/>
      <c r="W107" s="19"/>
      <c r="X107" s="19"/>
      <c r="Y107" s="19"/>
      <c r="Z107" s="19"/>
      <c r="AA107" s="19">
        <f t="shared" si="34"/>
        <v>0</v>
      </c>
      <c r="AB107" s="15" t="str">
        <f t="shared" si="35"/>
        <v/>
      </c>
      <c r="AD107" s="19"/>
      <c r="AE107" s="15" t="str">
        <f t="shared" si="36"/>
        <v/>
      </c>
      <c r="AF107" s="47">
        <f t="shared" si="37"/>
        <v>0</v>
      </c>
      <c r="AG107" s="19"/>
      <c r="AH107" s="15" t="str">
        <f t="shared" si="38"/>
        <v/>
      </c>
      <c r="AI107" s="47">
        <f t="shared" si="39"/>
        <v>0</v>
      </c>
    </row>
    <row r="108" spans="3:35" x14ac:dyDescent="0.2">
      <c r="C108" s="23"/>
      <c r="H108" s="133" t="s">
        <v>306</v>
      </c>
      <c r="I108" s="25"/>
      <c r="J108" s="25"/>
      <c r="L108" s="24" t="e">
        <f ca="1">_xll.EVPRO($B$1,H108,"JDEID")</f>
        <v>#NAME?</v>
      </c>
      <c r="M108" s="24" t="str">
        <f>IF(AND(I108="N",J108="N"),_xll.EVPRO($B$1,H108,"PSFTID"),"")</f>
        <v/>
      </c>
      <c r="N108" s="24" t="e">
        <f ca="1">IF(_xll.EVDES(H108,$B$1)="#NODATA","",_xll.EVDES(H108,$B$1))</f>
        <v>#NAME?</v>
      </c>
      <c r="O108" s="19"/>
      <c r="P108" s="19"/>
      <c r="Q108" s="19"/>
      <c r="R108" s="19"/>
      <c r="S108" s="19"/>
      <c r="T108" s="19"/>
      <c r="U108" s="19"/>
      <c r="V108" s="19"/>
      <c r="W108" s="19"/>
      <c r="X108" s="19"/>
      <c r="Y108" s="19"/>
      <c r="Z108" s="19"/>
      <c r="AA108" s="19">
        <f t="shared" si="34"/>
        <v>0</v>
      </c>
      <c r="AB108" s="15" t="str">
        <f t="shared" si="35"/>
        <v/>
      </c>
      <c r="AD108" s="19"/>
      <c r="AE108" s="15" t="str">
        <f t="shared" si="36"/>
        <v/>
      </c>
      <c r="AF108" s="47">
        <f t="shared" si="37"/>
        <v>0</v>
      </c>
      <c r="AG108" s="19"/>
      <c r="AH108" s="15" t="str">
        <f t="shared" si="38"/>
        <v/>
      </c>
      <c r="AI108" s="47">
        <f t="shared" si="39"/>
        <v>0</v>
      </c>
    </row>
    <row r="109" spans="3:35" x14ac:dyDescent="0.2">
      <c r="C109" s="23"/>
      <c r="H109" s="133" t="s">
        <v>310</v>
      </c>
      <c r="I109" s="25"/>
      <c r="J109" s="25"/>
      <c r="L109" s="24" t="e">
        <f ca="1">_xll.EVPRO($B$1,H109,"JDEID")</f>
        <v>#NAME?</v>
      </c>
      <c r="M109" s="24" t="str">
        <f>IF(AND(I109="N",J109="N"),_xll.EVPRO($B$1,H109,"PSFTID"),"")</f>
        <v/>
      </c>
      <c r="N109" s="24" t="e">
        <f ca="1">IF(_xll.EVDES(H109,$B$1)="#NODATA","",_xll.EVDES(H109,$B$1))</f>
        <v>#NAME?</v>
      </c>
      <c r="O109" s="19"/>
      <c r="P109" s="19"/>
      <c r="Q109" s="19"/>
      <c r="R109" s="19"/>
      <c r="S109" s="19"/>
      <c r="T109" s="19"/>
      <c r="U109" s="19"/>
      <c r="V109" s="19"/>
      <c r="W109" s="19"/>
      <c r="X109" s="19"/>
      <c r="Y109" s="19"/>
      <c r="Z109" s="19"/>
      <c r="AA109" s="19">
        <f t="shared" si="34"/>
        <v>0</v>
      </c>
      <c r="AB109" s="15" t="str">
        <f t="shared" si="35"/>
        <v/>
      </c>
      <c r="AD109" s="19"/>
      <c r="AE109" s="15" t="str">
        <f t="shared" si="36"/>
        <v/>
      </c>
      <c r="AF109" s="47">
        <f t="shared" si="37"/>
        <v>0</v>
      </c>
      <c r="AG109" s="19"/>
      <c r="AH109" s="15" t="str">
        <f t="shared" si="38"/>
        <v/>
      </c>
      <c r="AI109" s="47">
        <f t="shared" si="39"/>
        <v>0</v>
      </c>
    </row>
    <row r="110" spans="3:35" x14ac:dyDescent="0.2">
      <c r="C110" s="23"/>
      <c r="H110" s="133" t="s">
        <v>323</v>
      </c>
      <c r="I110" s="25"/>
      <c r="J110" s="25"/>
      <c r="L110" s="24" t="e">
        <f ca="1">_xll.EVPRO($B$1,H110,"JDEID")</f>
        <v>#NAME?</v>
      </c>
      <c r="M110" s="24" t="str">
        <f>IF(AND(I110="N",J110="N"),_xll.EVPRO($B$1,H110,"PSFTID"),"")</f>
        <v/>
      </c>
      <c r="N110" s="24" t="e">
        <f ca="1">IF(_xll.EVDES(H110,$B$1)="#NODATA","",_xll.EVDES(H110,$B$1))</f>
        <v>#NAME?</v>
      </c>
      <c r="O110" s="19"/>
      <c r="P110" s="19"/>
      <c r="Q110" s="19"/>
      <c r="R110" s="19"/>
      <c r="S110" s="19"/>
      <c r="T110" s="19"/>
      <c r="U110" s="19"/>
      <c r="V110" s="19"/>
      <c r="W110" s="19"/>
      <c r="X110" s="19"/>
      <c r="Y110" s="19"/>
      <c r="Z110" s="19"/>
      <c r="AA110" s="19">
        <f t="shared" si="34"/>
        <v>0</v>
      </c>
      <c r="AB110" s="15" t="str">
        <f t="shared" si="35"/>
        <v/>
      </c>
      <c r="AD110" s="19"/>
      <c r="AE110" s="15" t="str">
        <f t="shared" si="36"/>
        <v/>
      </c>
      <c r="AF110" s="47">
        <f t="shared" si="37"/>
        <v>0</v>
      </c>
      <c r="AG110" s="19"/>
      <c r="AH110" s="15" t="str">
        <f t="shared" si="38"/>
        <v/>
      </c>
      <c r="AI110" s="47">
        <f t="shared" si="39"/>
        <v>0</v>
      </c>
    </row>
    <row r="111" spans="3:35" x14ac:dyDescent="0.2">
      <c r="C111" s="23"/>
      <c r="H111" s="133" t="s">
        <v>342</v>
      </c>
      <c r="I111" s="25"/>
      <c r="J111" s="25"/>
      <c r="L111" s="24" t="e">
        <f ca="1">_xll.EVPRO($B$1,H111,"JDEID")</f>
        <v>#NAME?</v>
      </c>
      <c r="M111" s="24" t="str">
        <f>IF(AND(I111="N",J111="N"),_xll.EVPRO($B$1,H111,"PSFTID"),"")</f>
        <v/>
      </c>
      <c r="N111" s="23" t="e">
        <f ca="1">IF(_xll.EVDES(H111,$B$1)="#NODATA","",_xll.EVDES(H111,$B$1))</f>
        <v>#NAME?</v>
      </c>
      <c r="O111" s="145"/>
      <c r="P111" s="145"/>
      <c r="Q111" s="145"/>
      <c r="R111" s="145"/>
      <c r="S111" s="145"/>
      <c r="T111" s="145"/>
      <c r="U111" s="145"/>
      <c r="V111" s="145"/>
      <c r="W111" s="145"/>
      <c r="X111" s="145"/>
      <c r="Y111" s="145"/>
      <c r="Z111" s="145"/>
      <c r="AA111" s="145">
        <f t="shared" si="34"/>
        <v>0</v>
      </c>
      <c r="AB111" s="156" t="str">
        <f t="shared" si="35"/>
        <v/>
      </c>
      <c r="AD111" s="145"/>
      <c r="AE111" s="156" t="str">
        <f t="shared" si="36"/>
        <v/>
      </c>
      <c r="AF111" s="146">
        <f t="shared" si="37"/>
        <v>0</v>
      </c>
      <c r="AG111" s="145"/>
      <c r="AH111" s="156" t="str">
        <f t="shared" si="38"/>
        <v/>
      </c>
      <c r="AI111" s="146">
        <f t="shared" si="39"/>
        <v>0</v>
      </c>
    </row>
    <row r="112" spans="3:35" x14ac:dyDescent="0.2">
      <c r="C112" s="23"/>
      <c r="H112" s="133"/>
      <c r="I112" s="25"/>
      <c r="J112" s="25"/>
      <c r="L112" s="24"/>
      <c r="M112" s="24"/>
      <c r="N112" s="8"/>
      <c r="O112" s="38"/>
      <c r="P112" s="42"/>
      <c r="Q112" s="42"/>
      <c r="R112" s="42"/>
      <c r="S112" s="42"/>
      <c r="T112" s="42"/>
      <c r="U112" s="42"/>
      <c r="V112" s="42"/>
      <c r="W112" s="42"/>
      <c r="X112" s="42"/>
      <c r="Y112" s="42"/>
      <c r="Z112" s="42"/>
      <c r="AA112" s="42"/>
      <c r="AB112" s="39"/>
      <c r="AD112" s="38"/>
      <c r="AE112" s="42"/>
      <c r="AF112" s="39"/>
      <c r="AG112" s="38"/>
      <c r="AH112" s="42"/>
      <c r="AI112" s="39"/>
    </row>
    <row r="113" spans="3:35" x14ac:dyDescent="0.2">
      <c r="C113" s="23"/>
      <c r="H113" s="133"/>
      <c r="I113" s="25"/>
      <c r="J113" s="25"/>
      <c r="L113" s="24"/>
      <c r="M113" s="24"/>
      <c r="N113" s="8" t="s">
        <v>338</v>
      </c>
      <c r="O113" s="40"/>
      <c r="P113" s="43"/>
      <c r="Q113" s="43"/>
      <c r="R113" s="43"/>
      <c r="S113" s="43"/>
      <c r="T113" s="43"/>
      <c r="U113" s="43"/>
      <c r="V113" s="43"/>
      <c r="W113" s="43"/>
      <c r="X113" s="43"/>
      <c r="Y113" s="43"/>
      <c r="Z113" s="43"/>
      <c r="AA113" s="43"/>
      <c r="AB113" s="41"/>
      <c r="AD113" s="40"/>
      <c r="AE113" s="43"/>
      <c r="AF113" s="41"/>
      <c r="AG113" s="40"/>
      <c r="AH113" s="43"/>
      <c r="AI113" s="41"/>
    </row>
    <row r="114" spans="3:35" x14ac:dyDescent="0.2">
      <c r="C114" s="23"/>
      <c r="H114" s="133" t="s">
        <v>296</v>
      </c>
      <c r="I114" s="25"/>
      <c r="J114" s="25"/>
      <c r="L114" s="24" t="e">
        <f ca="1">_xll.EVPRO($B$1,H114,"JDEID")</f>
        <v>#NAME?</v>
      </c>
      <c r="M114" s="24" t="str">
        <f>IF(AND(I114="N",J114="N"),_xll.EVPRO($B$1,H114,"PSFTID"),"")</f>
        <v/>
      </c>
      <c r="N114" s="24" t="e">
        <f ca="1">IF(_xll.EVDES(H114,$B$1)="#NODATA","",_xll.EVDES(H114,$B$1))</f>
        <v>#NAME?</v>
      </c>
      <c r="O114" s="19"/>
      <c r="P114" s="19"/>
      <c r="Q114" s="19"/>
      <c r="R114" s="19"/>
      <c r="S114" s="19"/>
      <c r="T114" s="19"/>
      <c r="U114" s="19"/>
      <c r="V114" s="19"/>
      <c r="W114" s="19"/>
      <c r="X114" s="19"/>
      <c r="Y114" s="19"/>
      <c r="Z114" s="19"/>
      <c r="AA114" s="19">
        <f t="shared" ref="AA114:AA119" si="40">SUM(O114:Z114)</f>
        <v>0</v>
      </c>
      <c r="AB114" s="15" t="str">
        <f t="shared" ref="AB114:AB119" si="41">IF(AA114=0,"",IFERROR(AA114/AA$19,""))</f>
        <v/>
      </c>
      <c r="AD114" s="19"/>
      <c r="AE114" s="15" t="str">
        <f t="shared" ref="AE114:AE119" si="42">IF(AD114=0,"",IFERROR(AD114/AD$19,""))</f>
        <v/>
      </c>
      <c r="AF114" s="47">
        <f t="shared" ref="AF114:AF119" si="43">IF(AND($AA114="",AD114=""),"",$AA114-AD114)</f>
        <v>0</v>
      </c>
      <c r="AG114" s="19"/>
      <c r="AH114" s="15" t="str">
        <f t="shared" ref="AH114:AH119" si="44">IF(AG114=0,"",IFERROR(AG114/AG$19,""))</f>
        <v/>
      </c>
      <c r="AI114" s="47">
        <f t="shared" ref="AI114:AI119" si="45">IF(AND($AA114="",AG114=""),"",$AA114-AG114)</f>
        <v>0</v>
      </c>
    </row>
    <row r="115" spans="3:35" x14ac:dyDescent="0.2">
      <c r="C115" s="23"/>
      <c r="H115" s="133" t="s">
        <v>303</v>
      </c>
      <c r="I115" s="25"/>
      <c r="J115" s="25"/>
      <c r="L115" s="24" t="e">
        <f ca="1">_xll.EVPRO($B$1,H115,"JDEID")</f>
        <v>#NAME?</v>
      </c>
      <c r="M115" s="24" t="str">
        <f>IF(AND(I115="N",J115="N"),_xll.EVPRO($B$1,H115,"PSFTID"),"")</f>
        <v/>
      </c>
      <c r="N115" s="24" t="e">
        <f ca="1">IF(_xll.EVDES(H115,$B$1)="#NODATA","",_xll.EVDES(H115,$B$1))</f>
        <v>#NAME?</v>
      </c>
      <c r="O115" s="19"/>
      <c r="P115" s="19"/>
      <c r="Q115" s="19"/>
      <c r="R115" s="19"/>
      <c r="S115" s="19"/>
      <c r="T115" s="19"/>
      <c r="U115" s="19"/>
      <c r="V115" s="19"/>
      <c r="W115" s="19"/>
      <c r="X115" s="19"/>
      <c r="Y115" s="19"/>
      <c r="Z115" s="19"/>
      <c r="AA115" s="19">
        <f t="shared" si="40"/>
        <v>0</v>
      </c>
      <c r="AB115" s="15" t="str">
        <f t="shared" si="41"/>
        <v/>
      </c>
      <c r="AD115" s="19"/>
      <c r="AE115" s="15" t="str">
        <f t="shared" si="42"/>
        <v/>
      </c>
      <c r="AF115" s="47">
        <f t="shared" si="43"/>
        <v>0</v>
      </c>
      <c r="AG115" s="19"/>
      <c r="AH115" s="15" t="str">
        <f t="shared" si="44"/>
        <v/>
      </c>
      <c r="AI115" s="47">
        <f t="shared" si="45"/>
        <v>0</v>
      </c>
    </row>
    <row r="116" spans="3:35" x14ac:dyDescent="0.2">
      <c r="C116" s="23"/>
      <c r="H116" s="133" t="s">
        <v>304</v>
      </c>
      <c r="I116" s="25"/>
      <c r="J116" s="25"/>
      <c r="L116" s="24" t="e">
        <f ca="1">_xll.EVPRO($B$1,H116,"JDEID")</f>
        <v>#NAME?</v>
      </c>
      <c r="M116" s="24" t="str">
        <f>IF(AND(I116="N",J116="N"),_xll.EVPRO($B$1,H116,"PSFTID"),"")</f>
        <v/>
      </c>
      <c r="N116" s="24" t="e">
        <f ca="1">IF(_xll.EVDES(H116,$B$1)="#NODATA","",_xll.EVDES(H116,$B$1))</f>
        <v>#NAME?</v>
      </c>
      <c r="O116" s="19"/>
      <c r="P116" s="19"/>
      <c r="Q116" s="19"/>
      <c r="R116" s="19"/>
      <c r="S116" s="19"/>
      <c r="T116" s="19"/>
      <c r="U116" s="19"/>
      <c r="V116" s="19"/>
      <c r="W116" s="19"/>
      <c r="X116" s="19"/>
      <c r="Y116" s="19"/>
      <c r="Z116" s="19"/>
      <c r="AA116" s="19">
        <f t="shared" si="40"/>
        <v>0</v>
      </c>
      <c r="AB116" s="15" t="str">
        <f t="shared" si="41"/>
        <v/>
      </c>
      <c r="AD116" s="19"/>
      <c r="AE116" s="15" t="str">
        <f t="shared" si="42"/>
        <v/>
      </c>
      <c r="AF116" s="47">
        <f t="shared" si="43"/>
        <v>0</v>
      </c>
      <c r="AG116" s="19"/>
      <c r="AH116" s="15" t="str">
        <f t="shared" si="44"/>
        <v/>
      </c>
      <c r="AI116" s="47">
        <f t="shared" si="45"/>
        <v>0</v>
      </c>
    </row>
    <row r="117" spans="3:35" x14ac:dyDescent="0.2">
      <c r="C117" s="23"/>
      <c r="H117" s="133" t="s">
        <v>309</v>
      </c>
      <c r="I117" s="25"/>
      <c r="J117" s="25"/>
      <c r="L117" s="24" t="e">
        <f ca="1">_xll.EVPRO($B$1,H117,"JDEID")</f>
        <v>#NAME?</v>
      </c>
      <c r="M117" s="24" t="str">
        <f>IF(AND(I117="N",J117="N"),_xll.EVPRO($B$1,H117,"PSFTID"),"")</f>
        <v/>
      </c>
      <c r="N117" s="24" t="e">
        <f ca="1">IF(_xll.EVDES(H117,$B$1)="#NODATA","",_xll.EVDES(H117,$B$1))</f>
        <v>#NAME?</v>
      </c>
      <c r="O117" s="19"/>
      <c r="P117" s="19"/>
      <c r="Q117" s="19"/>
      <c r="R117" s="19"/>
      <c r="S117" s="19"/>
      <c r="T117" s="19"/>
      <c r="U117" s="19"/>
      <c r="V117" s="19"/>
      <c r="W117" s="19"/>
      <c r="X117" s="19"/>
      <c r="Y117" s="19"/>
      <c r="Z117" s="19"/>
      <c r="AA117" s="19">
        <f t="shared" si="40"/>
        <v>0</v>
      </c>
      <c r="AB117" s="15" t="str">
        <f t="shared" si="41"/>
        <v/>
      </c>
      <c r="AD117" s="19"/>
      <c r="AE117" s="15" t="str">
        <f t="shared" si="42"/>
        <v/>
      </c>
      <c r="AF117" s="47">
        <f t="shared" si="43"/>
        <v>0</v>
      </c>
      <c r="AG117" s="19"/>
      <c r="AH117" s="15" t="str">
        <f t="shared" si="44"/>
        <v/>
      </c>
      <c r="AI117" s="47">
        <f t="shared" si="45"/>
        <v>0</v>
      </c>
    </row>
    <row r="118" spans="3:35" x14ac:dyDescent="0.2">
      <c r="C118" s="23"/>
      <c r="H118" s="133" t="s">
        <v>322</v>
      </c>
      <c r="I118" s="25"/>
      <c r="J118" s="25"/>
      <c r="L118" s="24" t="e">
        <f ca="1">_xll.EVPRO($B$1,H118,"JDEID")</f>
        <v>#NAME?</v>
      </c>
      <c r="M118" s="24" t="str">
        <f>IF(AND(I118="N",J118="N"),_xll.EVPRO($B$1,H118,"PSFTID"),"")</f>
        <v/>
      </c>
      <c r="N118" s="24" t="e">
        <f ca="1">IF(_xll.EVDES(H118,$B$1)="#NODATA","",_xll.EVDES(H118,$B$1))</f>
        <v>#NAME?</v>
      </c>
      <c r="O118" s="19"/>
      <c r="P118" s="19"/>
      <c r="Q118" s="19"/>
      <c r="R118" s="19"/>
      <c r="S118" s="19"/>
      <c r="T118" s="19"/>
      <c r="U118" s="19"/>
      <c r="V118" s="19"/>
      <c r="W118" s="19"/>
      <c r="X118" s="19"/>
      <c r="Y118" s="19"/>
      <c r="Z118" s="19"/>
      <c r="AA118" s="19">
        <f t="shared" si="40"/>
        <v>0</v>
      </c>
      <c r="AB118" s="15" t="str">
        <f t="shared" si="41"/>
        <v/>
      </c>
      <c r="AD118" s="19"/>
      <c r="AE118" s="15" t="str">
        <f t="shared" si="42"/>
        <v/>
      </c>
      <c r="AF118" s="47">
        <f t="shared" si="43"/>
        <v>0</v>
      </c>
      <c r="AG118" s="19"/>
      <c r="AH118" s="15" t="str">
        <f t="shared" si="44"/>
        <v/>
      </c>
      <c r="AI118" s="47">
        <f t="shared" si="45"/>
        <v>0</v>
      </c>
    </row>
    <row r="119" spans="3:35" x14ac:dyDescent="0.2">
      <c r="C119" s="23"/>
      <c r="H119" s="133" t="s">
        <v>341</v>
      </c>
      <c r="I119" s="25"/>
      <c r="J119" s="25"/>
      <c r="L119" s="24" t="e">
        <f ca="1">_xll.EVPRO($B$1,H119,"JDEID")</f>
        <v>#NAME?</v>
      </c>
      <c r="M119" s="24" t="str">
        <f>IF(AND(I119="N",J119="N"),_xll.EVPRO($B$1,H119,"PSFTID"),"")</f>
        <v/>
      </c>
      <c r="N119" s="23" t="e">
        <f ca="1">IF(_xll.EVDES(H119,$B$1)="#NODATA","",_xll.EVDES(H119,$B$1))</f>
        <v>#NAME?</v>
      </c>
      <c r="O119" s="145"/>
      <c r="P119" s="145"/>
      <c r="Q119" s="145"/>
      <c r="R119" s="145"/>
      <c r="S119" s="145"/>
      <c r="T119" s="145"/>
      <c r="U119" s="145"/>
      <c r="V119" s="145"/>
      <c r="W119" s="145"/>
      <c r="X119" s="145"/>
      <c r="Y119" s="145"/>
      <c r="Z119" s="145"/>
      <c r="AA119" s="145">
        <f t="shared" si="40"/>
        <v>0</v>
      </c>
      <c r="AB119" s="156" t="str">
        <f t="shared" si="41"/>
        <v/>
      </c>
      <c r="AD119" s="145"/>
      <c r="AE119" s="156" t="str">
        <f t="shared" si="42"/>
        <v/>
      </c>
      <c r="AF119" s="146">
        <f t="shared" si="43"/>
        <v>0</v>
      </c>
      <c r="AG119" s="145"/>
      <c r="AH119" s="156" t="str">
        <f t="shared" si="44"/>
        <v/>
      </c>
      <c r="AI119" s="146">
        <f t="shared" si="45"/>
        <v>0</v>
      </c>
    </row>
    <row r="120" spans="3:35" x14ac:dyDescent="0.2">
      <c r="C120" s="23"/>
      <c r="H120" s="133"/>
      <c r="I120" s="25"/>
      <c r="J120" s="25"/>
      <c r="L120" s="24"/>
      <c r="M120" s="24"/>
      <c r="O120" s="38"/>
      <c r="P120" s="42"/>
      <c r="Q120" s="42"/>
      <c r="R120" s="42"/>
      <c r="S120" s="42"/>
      <c r="T120" s="42"/>
      <c r="U120" s="42"/>
      <c r="V120" s="42"/>
      <c r="W120" s="42"/>
      <c r="X120" s="42"/>
      <c r="Y120" s="42"/>
      <c r="Z120" s="42"/>
      <c r="AA120" s="42"/>
      <c r="AB120" s="39"/>
      <c r="AD120" s="38"/>
      <c r="AE120" s="42"/>
      <c r="AF120" s="39"/>
      <c r="AG120" s="38"/>
      <c r="AH120" s="42"/>
      <c r="AI120" s="39"/>
    </row>
    <row r="121" spans="3:35" x14ac:dyDescent="0.2">
      <c r="C121" s="23"/>
      <c r="H121" s="10" t="s">
        <v>267</v>
      </c>
      <c r="I121" s="25"/>
      <c r="J121" s="25"/>
      <c r="L121" s="24" t="e">
        <f ca="1">_xll.EVPRO($B$1,H121,"JDEID")</f>
        <v>#NAME?</v>
      </c>
      <c r="M121" s="24" t="str">
        <f>IF(AND(I121="N",J121="N"),_xll.EVPRO($B$1,H121,"PSFTID"),"")</f>
        <v/>
      </c>
      <c r="N121" s="24" t="e">
        <f ca="1">IF(_xll.EVDES(H121,$B$1)="#NODATA","",_xll.EVDES(H121,$B$1))</f>
        <v>#NAME?</v>
      </c>
      <c r="O121" s="19">
        <f t="shared" ref="O121:Z121" si="46">O98+O106+O114</f>
        <v>0</v>
      </c>
      <c r="P121" s="19">
        <f t="shared" si="46"/>
        <v>0</v>
      </c>
      <c r="Q121" s="19">
        <f t="shared" si="46"/>
        <v>0</v>
      </c>
      <c r="R121" s="19">
        <f t="shared" si="46"/>
        <v>0</v>
      </c>
      <c r="S121" s="19">
        <f t="shared" si="46"/>
        <v>0</v>
      </c>
      <c r="T121" s="19">
        <f t="shared" si="46"/>
        <v>0</v>
      </c>
      <c r="U121" s="19">
        <f t="shared" si="46"/>
        <v>0</v>
      </c>
      <c r="V121" s="19">
        <f t="shared" si="46"/>
        <v>0</v>
      </c>
      <c r="W121" s="19">
        <f t="shared" si="46"/>
        <v>0</v>
      </c>
      <c r="X121" s="19">
        <f t="shared" si="46"/>
        <v>0</v>
      </c>
      <c r="Y121" s="19">
        <f t="shared" si="46"/>
        <v>0</v>
      </c>
      <c r="Z121" s="19">
        <f t="shared" si="46"/>
        <v>0</v>
      </c>
      <c r="AA121" s="19">
        <f t="shared" ref="AA121:AA126" si="47">SUM(O121:Z121)</f>
        <v>0</v>
      </c>
      <c r="AB121" s="15" t="str">
        <f t="shared" ref="AB121:AB126" si="48">IF(AA121=0,"",IFERROR(AA121/AA$19,""))</f>
        <v/>
      </c>
      <c r="AD121" s="19">
        <f>AD98+AD106+AD114</f>
        <v>0</v>
      </c>
      <c r="AE121" s="15" t="str">
        <f t="shared" ref="AE121:AE126" si="49">IF(AD121=0,"",IFERROR(AD121/AD$19,""))</f>
        <v/>
      </c>
      <c r="AF121" s="47">
        <f t="shared" ref="AF121:AF126" si="50">IF(AND($AA121="",AD121=""),"",$AA121-AD121)</f>
        <v>0</v>
      </c>
      <c r="AG121" s="19">
        <f>AG98+AG106+AG114</f>
        <v>0</v>
      </c>
      <c r="AH121" s="15" t="str">
        <f t="shared" ref="AH121:AH126" si="51">IF(AG121=0,"",IFERROR(AG121/AG$19,""))</f>
        <v/>
      </c>
      <c r="AI121" s="47">
        <f t="shared" ref="AI121:AI126" si="52">IF(AND($AA121="",AG121=""),"",$AA121-AG121)</f>
        <v>0</v>
      </c>
    </row>
    <row r="122" spans="3:35" x14ac:dyDescent="0.2">
      <c r="C122" s="23"/>
      <c r="H122" s="10" t="s">
        <v>268</v>
      </c>
      <c r="I122" s="25"/>
      <c r="J122" s="25"/>
      <c r="L122" s="24" t="e">
        <f ca="1">_xll.EVPRO($B$1,H122,"JDEID")</f>
        <v>#NAME?</v>
      </c>
      <c r="M122" s="24" t="str">
        <f>IF(AND(I122="N",J122="N"),_xll.EVPRO($B$1,H122,"PSFTID"),"")</f>
        <v/>
      </c>
      <c r="N122" s="24" t="e">
        <f ca="1">IF(_xll.EVDES(H122,$B$1)="#NODATA","",_xll.EVDES(H122,$B$1))</f>
        <v>#NAME?</v>
      </c>
      <c r="O122" s="19">
        <f t="shared" ref="O122:Z122" si="53">O99+O107+O115</f>
        <v>0</v>
      </c>
      <c r="P122" s="19">
        <f t="shared" si="53"/>
        <v>0</v>
      </c>
      <c r="Q122" s="19">
        <f t="shared" si="53"/>
        <v>0</v>
      </c>
      <c r="R122" s="19">
        <f t="shared" si="53"/>
        <v>0</v>
      </c>
      <c r="S122" s="19">
        <f t="shared" si="53"/>
        <v>0</v>
      </c>
      <c r="T122" s="19">
        <f t="shared" si="53"/>
        <v>0</v>
      </c>
      <c r="U122" s="19">
        <f t="shared" si="53"/>
        <v>0</v>
      </c>
      <c r="V122" s="19">
        <f t="shared" si="53"/>
        <v>0</v>
      </c>
      <c r="W122" s="19">
        <f t="shared" si="53"/>
        <v>0</v>
      </c>
      <c r="X122" s="19">
        <f t="shared" si="53"/>
        <v>0</v>
      </c>
      <c r="Y122" s="19">
        <f t="shared" si="53"/>
        <v>0</v>
      </c>
      <c r="Z122" s="19">
        <f t="shared" si="53"/>
        <v>0</v>
      </c>
      <c r="AA122" s="19">
        <f t="shared" si="47"/>
        <v>0</v>
      </c>
      <c r="AB122" s="15" t="str">
        <f t="shared" si="48"/>
        <v/>
      </c>
      <c r="AD122" s="19">
        <f>AD99+AD107+AD115</f>
        <v>0</v>
      </c>
      <c r="AE122" s="15" t="str">
        <f t="shared" si="49"/>
        <v/>
      </c>
      <c r="AF122" s="47">
        <f t="shared" si="50"/>
        <v>0</v>
      </c>
      <c r="AG122" s="19">
        <f>AG99+AG107+AG115</f>
        <v>0</v>
      </c>
      <c r="AH122" s="15" t="str">
        <f t="shared" si="51"/>
        <v/>
      </c>
      <c r="AI122" s="47">
        <f t="shared" si="52"/>
        <v>0</v>
      </c>
    </row>
    <row r="123" spans="3:35" x14ac:dyDescent="0.2">
      <c r="C123" s="23"/>
      <c r="H123" s="133" t="s">
        <v>269</v>
      </c>
      <c r="I123" s="25"/>
      <c r="J123" s="25"/>
      <c r="L123" s="24" t="e">
        <f ca="1">_xll.EVPRO($B$1,H123,"JDEID")</f>
        <v>#NAME?</v>
      </c>
      <c r="M123" s="24" t="str">
        <f>IF(AND(I123="N",J123="N"),_xll.EVPRO($B$1,H123,"PSFTID"),"")</f>
        <v/>
      </c>
      <c r="N123" s="24" t="e">
        <f ca="1">IF(_xll.EVDES(H123,$B$1)="#NODATA","",_xll.EVDES(H123,$B$1))</f>
        <v>#NAME?</v>
      </c>
      <c r="O123" s="19">
        <f t="shared" ref="O123:Z123" si="54">O100+O108+O116</f>
        <v>0</v>
      </c>
      <c r="P123" s="19">
        <f t="shared" si="54"/>
        <v>0</v>
      </c>
      <c r="Q123" s="19">
        <f t="shared" si="54"/>
        <v>0</v>
      </c>
      <c r="R123" s="19">
        <f t="shared" si="54"/>
        <v>0</v>
      </c>
      <c r="S123" s="19">
        <f t="shared" si="54"/>
        <v>0</v>
      </c>
      <c r="T123" s="19">
        <f t="shared" si="54"/>
        <v>0</v>
      </c>
      <c r="U123" s="19">
        <f t="shared" si="54"/>
        <v>0</v>
      </c>
      <c r="V123" s="19">
        <f t="shared" si="54"/>
        <v>0</v>
      </c>
      <c r="W123" s="19">
        <f t="shared" si="54"/>
        <v>0</v>
      </c>
      <c r="X123" s="19">
        <f t="shared" si="54"/>
        <v>0</v>
      </c>
      <c r="Y123" s="19">
        <f t="shared" si="54"/>
        <v>0</v>
      </c>
      <c r="Z123" s="19">
        <f t="shared" si="54"/>
        <v>0</v>
      </c>
      <c r="AA123" s="19">
        <f t="shared" si="47"/>
        <v>0</v>
      </c>
      <c r="AB123" s="15" t="str">
        <f t="shared" si="48"/>
        <v/>
      </c>
      <c r="AD123" s="19">
        <f>AD100+AD108+AD116</f>
        <v>0</v>
      </c>
      <c r="AE123" s="15" t="str">
        <f t="shared" si="49"/>
        <v/>
      </c>
      <c r="AF123" s="47">
        <f t="shared" si="50"/>
        <v>0</v>
      </c>
      <c r="AG123" s="19">
        <f>AG100+AG108+AG116</f>
        <v>0</v>
      </c>
      <c r="AH123" s="15" t="str">
        <f t="shared" si="51"/>
        <v/>
      </c>
      <c r="AI123" s="47">
        <f t="shared" si="52"/>
        <v>0</v>
      </c>
    </row>
    <row r="124" spans="3:35" x14ac:dyDescent="0.2">
      <c r="C124" s="23"/>
      <c r="H124" s="133" t="s">
        <v>270</v>
      </c>
      <c r="I124" s="25"/>
      <c r="J124" s="25"/>
      <c r="L124" s="24" t="e">
        <f ca="1">_xll.EVPRO($B$1,H124,"JDEID")</f>
        <v>#NAME?</v>
      </c>
      <c r="M124" s="24" t="str">
        <f>IF(AND(I124="N",J124="N"),_xll.EVPRO($B$1,H124,"PSFTID"),"")</f>
        <v/>
      </c>
      <c r="N124" s="24" t="e">
        <f ca="1">IF(_xll.EVDES(H124,$B$1)="#NODATA","",_xll.EVDES(H124,$B$1))</f>
        <v>#NAME?</v>
      </c>
      <c r="O124" s="19">
        <f t="shared" ref="O124:Z124" si="55">O101+O109+O117</f>
        <v>0</v>
      </c>
      <c r="P124" s="19">
        <f t="shared" si="55"/>
        <v>0</v>
      </c>
      <c r="Q124" s="19">
        <f t="shared" si="55"/>
        <v>0</v>
      </c>
      <c r="R124" s="19">
        <f t="shared" si="55"/>
        <v>0</v>
      </c>
      <c r="S124" s="19">
        <f t="shared" si="55"/>
        <v>0</v>
      </c>
      <c r="T124" s="19">
        <f t="shared" si="55"/>
        <v>0</v>
      </c>
      <c r="U124" s="19">
        <f t="shared" si="55"/>
        <v>0</v>
      </c>
      <c r="V124" s="19">
        <f t="shared" si="55"/>
        <v>0</v>
      </c>
      <c r="W124" s="19">
        <f t="shared" si="55"/>
        <v>0</v>
      </c>
      <c r="X124" s="19">
        <f t="shared" si="55"/>
        <v>0</v>
      </c>
      <c r="Y124" s="19">
        <f t="shared" si="55"/>
        <v>0</v>
      </c>
      <c r="Z124" s="19">
        <f t="shared" si="55"/>
        <v>0</v>
      </c>
      <c r="AA124" s="19">
        <f t="shared" si="47"/>
        <v>0</v>
      </c>
      <c r="AB124" s="15" t="str">
        <f t="shared" si="48"/>
        <v/>
      </c>
      <c r="AD124" s="19">
        <f>AD101+AD109+AD117</f>
        <v>0</v>
      </c>
      <c r="AE124" s="15" t="str">
        <f t="shared" si="49"/>
        <v/>
      </c>
      <c r="AF124" s="47">
        <f t="shared" si="50"/>
        <v>0</v>
      </c>
      <c r="AG124" s="19">
        <f>AG101+AG109+AG117</f>
        <v>0</v>
      </c>
      <c r="AH124" s="15" t="str">
        <f t="shared" si="51"/>
        <v/>
      </c>
      <c r="AI124" s="47">
        <f t="shared" si="52"/>
        <v>0</v>
      </c>
    </row>
    <row r="125" spans="3:35" x14ac:dyDescent="0.2">
      <c r="C125" s="23"/>
      <c r="H125" s="133" t="s">
        <v>271</v>
      </c>
      <c r="I125" s="25"/>
      <c r="J125" s="25"/>
      <c r="L125" s="24" t="e">
        <f ca="1">_xll.EVPRO($B$1,H125,"JDEID")</f>
        <v>#NAME?</v>
      </c>
      <c r="M125" s="24" t="str">
        <f>IF(AND(I125="N",J125="N"),_xll.EVPRO($B$1,H125,"PSFTID"),"")</f>
        <v/>
      </c>
      <c r="N125" s="24" t="e">
        <f ca="1">IF(_xll.EVDES(H125,$B$1)="#NODATA","",_xll.EVDES(H125,$B$1))</f>
        <v>#NAME?</v>
      </c>
      <c r="O125" s="19">
        <f t="shared" ref="O125:Z125" si="56">O102+O110+O118</f>
        <v>0</v>
      </c>
      <c r="P125" s="19">
        <f t="shared" si="56"/>
        <v>0</v>
      </c>
      <c r="Q125" s="19">
        <f t="shared" si="56"/>
        <v>0</v>
      </c>
      <c r="R125" s="19">
        <f t="shared" si="56"/>
        <v>0</v>
      </c>
      <c r="S125" s="19">
        <f t="shared" si="56"/>
        <v>0</v>
      </c>
      <c r="T125" s="19">
        <f t="shared" si="56"/>
        <v>0</v>
      </c>
      <c r="U125" s="19">
        <f t="shared" si="56"/>
        <v>0</v>
      </c>
      <c r="V125" s="19">
        <f t="shared" si="56"/>
        <v>0</v>
      </c>
      <c r="W125" s="19">
        <f t="shared" si="56"/>
        <v>0</v>
      </c>
      <c r="X125" s="19">
        <f t="shared" si="56"/>
        <v>0</v>
      </c>
      <c r="Y125" s="19">
        <f t="shared" si="56"/>
        <v>0</v>
      </c>
      <c r="Z125" s="19">
        <f t="shared" si="56"/>
        <v>0</v>
      </c>
      <c r="AA125" s="19">
        <f t="shared" si="47"/>
        <v>0</v>
      </c>
      <c r="AB125" s="15" t="str">
        <f t="shared" si="48"/>
        <v/>
      </c>
      <c r="AD125" s="19">
        <f>AD102+AD110+AD118</f>
        <v>0</v>
      </c>
      <c r="AE125" s="15" t="str">
        <f t="shared" si="49"/>
        <v/>
      </c>
      <c r="AF125" s="47">
        <f t="shared" si="50"/>
        <v>0</v>
      </c>
      <c r="AG125" s="19">
        <f>AG102+AG110+AG118</f>
        <v>0</v>
      </c>
      <c r="AH125" s="15" t="str">
        <f t="shared" si="51"/>
        <v/>
      </c>
      <c r="AI125" s="47">
        <f t="shared" si="52"/>
        <v>0</v>
      </c>
    </row>
    <row r="126" spans="3:35" x14ac:dyDescent="0.2">
      <c r="C126" s="23"/>
      <c r="H126" s="10" t="s">
        <v>272</v>
      </c>
      <c r="I126" s="25"/>
      <c r="J126" s="25"/>
      <c r="L126" s="24" t="e">
        <f ca="1">_xll.EVPRO($B$1,H126,"JDEID")</f>
        <v>#NAME?</v>
      </c>
      <c r="M126" s="24" t="str">
        <f>IF(AND(I126="N",J126="N"),_xll.EVPRO($B$1,H126,"PSFTID"),"")</f>
        <v/>
      </c>
      <c r="N126" s="23" t="e">
        <f ca="1">IF(_xll.EVDES(H126,$B$1)="#NODATA","",_xll.EVDES(H126,$B$1))</f>
        <v>#NAME?</v>
      </c>
      <c r="O126" s="145">
        <f t="shared" ref="O126:Z126" si="57">SUM(O121:O125)</f>
        <v>0</v>
      </c>
      <c r="P126" s="145">
        <f t="shared" si="57"/>
        <v>0</v>
      </c>
      <c r="Q126" s="145">
        <f t="shared" si="57"/>
        <v>0</v>
      </c>
      <c r="R126" s="145">
        <f t="shared" si="57"/>
        <v>0</v>
      </c>
      <c r="S126" s="145">
        <f t="shared" si="57"/>
        <v>0</v>
      </c>
      <c r="T126" s="145">
        <f t="shared" si="57"/>
        <v>0</v>
      </c>
      <c r="U126" s="145">
        <f t="shared" si="57"/>
        <v>0</v>
      </c>
      <c r="V126" s="145">
        <f t="shared" si="57"/>
        <v>0</v>
      </c>
      <c r="W126" s="145">
        <f t="shared" si="57"/>
        <v>0</v>
      </c>
      <c r="X126" s="145">
        <f t="shared" si="57"/>
        <v>0</v>
      </c>
      <c r="Y126" s="145">
        <f t="shared" si="57"/>
        <v>0</v>
      </c>
      <c r="Z126" s="145">
        <f t="shared" si="57"/>
        <v>0</v>
      </c>
      <c r="AA126" s="145">
        <f t="shared" si="47"/>
        <v>0</v>
      </c>
      <c r="AB126" s="156" t="str">
        <f t="shared" si="48"/>
        <v/>
      </c>
      <c r="AD126" s="145">
        <f>SUM(AD121:AD125)</f>
        <v>0</v>
      </c>
      <c r="AE126" s="156" t="str">
        <f t="shared" si="49"/>
        <v/>
      </c>
      <c r="AF126" s="146">
        <f t="shared" si="50"/>
        <v>0</v>
      </c>
      <c r="AG126" s="145">
        <f>SUM(AG121:AG125)</f>
        <v>0</v>
      </c>
      <c r="AH126" s="156" t="str">
        <f t="shared" si="51"/>
        <v/>
      </c>
      <c r="AI126" s="146">
        <f t="shared" si="52"/>
        <v>0</v>
      </c>
    </row>
    <row r="127" spans="3:35" x14ac:dyDescent="0.2">
      <c r="C127" s="23"/>
      <c r="H127" s="133"/>
      <c r="I127" s="25"/>
      <c r="J127" s="25"/>
      <c r="O127" s="124">
        <f t="shared" ref="O127:AA127" si="58">O103+O111+O119-O126</f>
        <v>0</v>
      </c>
      <c r="P127" s="124">
        <f t="shared" si="58"/>
        <v>0</v>
      </c>
      <c r="Q127" s="124">
        <f t="shared" si="58"/>
        <v>0</v>
      </c>
      <c r="R127" s="124">
        <f t="shared" si="58"/>
        <v>0</v>
      </c>
      <c r="S127" s="124">
        <f t="shared" si="58"/>
        <v>0</v>
      </c>
      <c r="T127" s="124">
        <f t="shared" si="58"/>
        <v>0</v>
      </c>
      <c r="U127" s="124">
        <f t="shared" si="58"/>
        <v>0</v>
      </c>
      <c r="V127" s="124">
        <f t="shared" si="58"/>
        <v>0</v>
      </c>
      <c r="W127" s="124">
        <f t="shared" si="58"/>
        <v>0</v>
      </c>
      <c r="X127" s="124">
        <f t="shared" si="58"/>
        <v>0</v>
      </c>
      <c r="Y127" s="124">
        <f t="shared" si="58"/>
        <v>0</v>
      </c>
      <c r="Z127" s="124">
        <f t="shared" si="58"/>
        <v>0</v>
      </c>
      <c r="AA127" s="124">
        <f t="shared" si="58"/>
        <v>0</v>
      </c>
      <c r="AB127" s="15"/>
      <c r="AD127" s="124">
        <f>AD103+AD111+AD119-AD126</f>
        <v>0</v>
      </c>
      <c r="AE127" s="15"/>
      <c r="AF127" s="19"/>
      <c r="AG127" s="124">
        <f>AG103+AG111+AG119-AG126</f>
        <v>0</v>
      </c>
      <c r="AH127" s="15"/>
      <c r="AI127" s="19"/>
    </row>
    <row r="128" spans="3:35" x14ac:dyDescent="0.2">
      <c r="C128" s="23"/>
      <c r="H128" s="133"/>
      <c r="I128" s="25"/>
      <c r="J128" s="25"/>
      <c r="O128" s="38"/>
      <c r="P128" s="42"/>
      <c r="Q128" s="42"/>
      <c r="R128" s="42"/>
      <c r="S128" s="42"/>
      <c r="T128" s="42"/>
      <c r="U128" s="42"/>
      <c r="V128" s="42"/>
      <c r="W128" s="42"/>
      <c r="X128" s="42"/>
      <c r="Y128" s="42"/>
      <c r="Z128" s="42"/>
      <c r="AA128" s="42"/>
      <c r="AB128" s="39"/>
      <c r="AD128" s="38"/>
      <c r="AE128" s="42"/>
      <c r="AF128" s="39"/>
      <c r="AG128" s="38"/>
      <c r="AH128" s="42"/>
      <c r="AI128" s="39"/>
    </row>
    <row r="129" spans="3:35" ht="16" x14ac:dyDescent="0.2">
      <c r="C129" s="23"/>
      <c r="H129" s="133" t="s">
        <v>281</v>
      </c>
      <c r="I129" s="25"/>
      <c r="J129" s="25"/>
      <c r="N129" s="155" t="e">
        <f ca="1">IF(_xll.EVDES(H129,$B$1)="#NODATA","",_xll.EVDES(H129,$B$1))</f>
        <v>#NAME?</v>
      </c>
      <c r="O129" s="436"/>
      <c r="P129" s="438"/>
      <c r="Q129" s="438"/>
      <c r="R129" s="438"/>
      <c r="S129" s="438"/>
      <c r="T129" s="438"/>
      <c r="U129" s="438"/>
      <c r="V129" s="438"/>
      <c r="W129" s="438"/>
      <c r="X129" s="438"/>
      <c r="Y129" s="438"/>
      <c r="Z129" s="438"/>
      <c r="AA129" s="438"/>
      <c r="AB129" s="437"/>
      <c r="AD129" s="436"/>
      <c r="AE129" s="438"/>
      <c r="AF129" s="438"/>
      <c r="AG129" s="438"/>
      <c r="AH129" s="438"/>
      <c r="AI129" s="437"/>
    </row>
    <row r="130" spans="3:35" x14ac:dyDescent="0.2">
      <c r="C130" s="23"/>
      <c r="H130" s="133">
        <v>561100</v>
      </c>
      <c r="I130" s="25"/>
      <c r="J130" s="25"/>
      <c r="L130" s="24" t="e">
        <f ca="1">_xll.EVPRO($B$1,H130,"JDEID")</f>
        <v>#NAME?</v>
      </c>
      <c r="M130" s="24" t="str">
        <f>IF(AND(I130="N",J130="N"),_xll.EVPRO($B$1,H130,"PSFTID"),"")</f>
        <v/>
      </c>
      <c r="N130" s="24" t="e">
        <f ca="1">IF(_xll.EVDES(H130,$B$1)="#NODATA","",_xll.EVDES(H130,$B$1))</f>
        <v>#NAME?</v>
      </c>
      <c r="O130" s="19"/>
      <c r="P130" s="19"/>
      <c r="Q130" s="19"/>
      <c r="R130" s="19"/>
      <c r="S130" s="19"/>
      <c r="T130" s="19"/>
      <c r="U130" s="19"/>
      <c r="V130" s="19"/>
      <c r="W130" s="19"/>
      <c r="X130" s="19"/>
      <c r="Y130" s="19"/>
      <c r="Z130" s="19"/>
      <c r="AA130" s="19">
        <f>SUM(O130:Z130)</f>
        <v>0</v>
      </c>
      <c r="AB130" s="284" t="str">
        <f>IF(AA130=0,"",IFERROR(AA130/_xll.EVGTS($B$1,1,_xll.EVPRO($B$1,$H130,"COSBASIS"),$B$3,$B$5,$B$6,$B$7,$B$9,AA$16,AA$17,AA$11),""))</f>
        <v/>
      </c>
      <c r="AD130" s="19"/>
      <c r="AE130" s="284" t="str">
        <f>IF(AD130=0,"",IFERROR(AD130/_xll.EVGTS($B$1,1,_xll.EVPRO($B$1,$H130,"COSBASIS"),$B$3,$B$5,$B$6,$B$7,$B$9,AD$16,AD$17,AD$18),""))</f>
        <v/>
      </c>
      <c r="AF130" s="47">
        <f t="shared" ref="AF130:AF140" si="59">IF(AND($AA130="",AD130=""),"",$AA130-AD130)</f>
        <v>0</v>
      </c>
      <c r="AG130" s="19"/>
      <c r="AH130" s="284" t="str">
        <f>IF(AG130=0,"",IFERROR(AG130/_xll.EVGTS($B$1,1,_xll.EVPRO($B$1,$H130,"COSBASIS"),$B$3,$B$5,$B$6,$B$7,$B$9,AG$16,AG$17,AG$18),""))</f>
        <v/>
      </c>
      <c r="AI130" s="47">
        <f t="shared" ref="AI130:AI141" si="60">IF(AND($AA130="",AG130=""),"",$AA130-AG130)</f>
        <v>0</v>
      </c>
    </row>
    <row r="131" spans="3:35" x14ac:dyDescent="0.2">
      <c r="C131" s="23"/>
      <c r="H131" s="133" t="s">
        <v>756</v>
      </c>
      <c r="I131" s="25"/>
      <c r="J131" s="25"/>
      <c r="L131" s="24" t="e">
        <f ca="1">_xll.EVPRO($B$1,H131,"JDEID")</f>
        <v>#NAME?</v>
      </c>
      <c r="M131" s="24" t="str">
        <f>IF(AND(I131="N",J131="N"),_xll.EVPRO($B$1,H131,"PSFTID"),"")</f>
        <v/>
      </c>
      <c r="N131" s="439" t="e">
        <f ca="1">IF(_xll.EVDES(H131,$B$1)="#NODATA","",_xll.EVDES(H131,$B$1))</f>
        <v>#NAME?</v>
      </c>
      <c r="O131" s="153"/>
      <c r="P131" s="153"/>
      <c r="Q131" s="153"/>
      <c r="R131" s="153"/>
      <c r="S131" s="153"/>
      <c r="T131" s="153"/>
      <c r="U131" s="153"/>
      <c r="V131" s="153"/>
      <c r="W131" s="153"/>
      <c r="X131" s="153"/>
      <c r="Y131" s="153"/>
      <c r="Z131" s="153"/>
      <c r="AA131" s="153"/>
      <c r="AB131" s="284"/>
      <c r="AD131" s="153"/>
      <c r="AE131" s="284"/>
      <c r="AF131" s="440" t="str">
        <f t="shared" si="59"/>
        <v/>
      </c>
      <c r="AG131" s="153"/>
      <c r="AH131" s="284"/>
      <c r="AI131" s="440" t="str">
        <f t="shared" si="60"/>
        <v/>
      </c>
    </row>
    <row r="132" spans="3:35" x14ac:dyDescent="0.2">
      <c r="C132" s="23"/>
      <c r="H132" s="133" t="s">
        <v>636</v>
      </c>
      <c r="I132" s="25"/>
      <c r="J132" s="25"/>
      <c r="L132" s="24" t="e">
        <f ca="1">_xll.EVPRO($B$1,H132,"JDEID")</f>
        <v>#NAME?</v>
      </c>
      <c r="M132" s="24" t="str">
        <f>IF(AND(I132="N",J132="N"),_xll.EVPRO($B$1,H132,"PSFTID"),"")</f>
        <v/>
      </c>
      <c r="N132" s="24" t="e">
        <f ca="1">IF(_xll.EVDES(H132,$B$1)="#NODATA","",_xll.EVDES(H132,$B$1))</f>
        <v>#NAME?</v>
      </c>
      <c r="O132" s="19"/>
      <c r="P132" s="19"/>
      <c r="Q132" s="19"/>
      <c r="R132" s="19"/>
      <c r="S132" s="19"/>
      <c r="T132" s="19"/>
      <c r="U132" s="19"/>
      <c r="V132" s="19"/>
      <c r="W132" s="19"/>
      <c r="X132" s="19"/>
      <c r="Y132" s="19"/>
      <c r="Z132" s="19"/>
      <c r="AA132" s="19">
        <f>SUM(O132:Z132)</f>
        <v>0</v>
      </c>
      <c r="AB132" s="284" t="str">
        <f>IF(AA132=0,"",IFERROR(AA132/_xll.EVGTS($B$1,1,_xll.EVPRO($B$1,$H132,"COSBASIS"),$B$3,$B$5,$B$6,$B$7,$B$9,AA$16,AA$17,AA$11),""))</f>
        <v/>
      </c>
      <c r="AD132" s="19"/>
      <c r="AE132" s="284" t="str">
        <f>IF(AD132=0,"",IFERROR(AD132/_xll.EVGTS($B$1,1,_xll.EVPRO($B$1,$H132,"COSBASIS"),$B$3,$B$5,$B$6,$B$7,$B$9,AD$16,AD$17,AD$18),""))</f>
        <v/>
      </c>
      <c r="AF132" s="47">
        <f t="shared" si="59"/>
        <v>0</v>
      </c>
      <c r="AG132" s="19"/>
      <c r="AH132" s="284" t="str">
        <f>IF(AG132=0,"",IFERROR(AG132/_xll.EVGTS($B$1,1,_xll.EVPRO($B$1,$H132,"COSBASIS"),$B$3,$B$5,$B$6,$B$7,$B$9,AG$16,AG$17,AG$18),""))</f>
        <v/>
      </c>
      <c r="AI132" s="47">
        <f t="shared" si="60"/>
        <v>0</v>
      </c>
    </row>
    <row r="133" spans="3:35" x14ac:dyDescent="0.2">
      <c r="C133" s="23"/>
      <c r="H133" s="133" t="s">
        <v>757</v>
      </c>
      <c r="I133" s="25"/>
      <c r="J133" s="25"/>
      <c r="L133" s="24" t="e">
        <f ca="1">_xll.EVPRO($B$1,H133,"JDEID")</f>
        <v>#NAME?</v>
      </c>
      <c r="M133" s="24" t="str">
        <f>IF(AND(I133="N",J133="N"),_xll.EVPRO($B$1,H133,"PSFTID"),"")</f>
        <v/>
      </c>
      <c r="N133" s="439" t="e">
        <f ca="1">IF(_xll.EVDES(H133,$B$1)="#NODATA","",_xll.EVDES(H133,$B$1))</f>
        <v>#NAME?</v>
      </c>
      <c r="O133" s="153"/>
      <c r="P133" s="153"/>
      <c r="Q133" s="153"/>
      <c r="R133" s="153"/>
      <c r="S133" s="153"/>
      <c r="T133" s="153"/>
      <c r="U133" s="153"/>
      <c r="V133" s="153"/>
      <c r="W133" s="153"/>
      <c r="X133" s="153"/>
      <c r="Y133" s="153"/>
      <c r="Z133" s="153"/>
      <c r="AA133" s="153"/>
      <c r="AB133" s="284"/>
      <c r="AD133" s="153"/>
      <c r="AE133" s="284"/>
      <c r="AF133" s="440" t="str">
        <f t="shared" si="59"/>
        <v/>
      </c>
      <c r="AG133" s="153"/>
      <c r="AH133" s="284"/>
      <c r="AI133" s="440" t="str">
        <f t="shared" si="60"/>
        <v/>
      </c>
    </row>
    <row r="134" spans="3:35" x14ac:dyDescent="0.2">
      <c r="C134" s="23"/>
      <c r="H134" s="133" t="s">
        <v>755</v>
      </c>
      <c r="I134" s="25"/>
      <c r="J134" s="25"/>
      <c r="L134" s="24" t="e">
        <f ca="1">_xll.EVPRO($B$1,H134,"JDEID")</f>
        <v>#NAME?</v>
      </c>
      <c r="M134" s="24" t="str">
        <f>IF(AND(I134="N",J134="N"),_xll.EVPRO($B$1,H134,"PSFTID"),"")</f>
        <v/>
      </c>
      <c r="N134" s="24" t="e">
        <f ca="1">IF(_xll.EVDES(H134,$B$1)="#NODATA","",_xll.EVDES(H134,$B$1))</f>
        <v>#NAME?</v>
      </c>
      <c r="O134" s="19"/>
      <c r="P134" s="19"/>
      <c r="Q134" s="19"/>
      <c r="R134" s="19"/>
      <c r="S134" s="19"/>
      <c r="T134" s="19"/>
      <c r="U134" s="19"/>
      <c r="V134" s="19"/>
      <c r="W134" s="19"/>
      <c r="X134" s="19"/>
      <c r="Y134" s="19"/>
      <c r="Z134" s="19"/>
      <c r="AA134" s="19">
        <f>SUM(O134:Z134)</f>
        <v>0</v>
      </c>
      <c r="AB134" s="284" t="str">
        <f>IF(AA134=0,"",IFERROR(AA134/_xll.EVGTS($B$1,1,_xll.EVPRO($B$1,$H134,"COSBASIS"),$B$3,$B$5,$B$6,$B$7,$B$9,AA$16,AA$17,AA$11),""))</f>
        <v/>
      </c>
      <c r="AD134" s="19"/>
      <c r="AE134" s="284" t="str">
        <f>IF(AD134=0,"",IFERROR(AD134/_xll.EVGTS($B$1,1,_xll.EVPRO($B$1,$H134,"COSBASIS"),$B$3,$B$5,$B$6,$B$7,$B$9,AD$16,AD$17,AD$18),""))</f>
        <v/>
      </c>
      <c r="AF134" s="47">
        <f t="shared" si="59"/>
        <v>0</v>
      </c>
      <c r="AG134" s="19"/>
      <c r="AH134" s="284" t="str">
        <f>IF(AG134=0,"",IFERROR(AG134/_xll.EVGTS($B$1,1,_xll.EVPRO($B$1,$H134,"COSBASIS"),$B$3,$B$5,$B$6,$B$7,$B$9,AG$16,AG$17,AG$18),""))</f>
        <v/>
      </c>
      <c r="AI134" s="47">
        <f t="shared" si="60"/>
        <v>0</v>
      </c>
    </row>
    <row r="135" spans="3:35" x14ac:dyDescent="0.2">
      <c r="C135" s="23"/>
      <c r="H135" s="133" t="s">
        <v>758</v>
      </c>
      <c r="I135" s="25"/>
      <c r="J135" s="25"/>
      <c r="L135" s="24" t="e">
        <f ca="1">_xll.EVPRO($B$1,H135,"JDEID")</f>
        <v>#NAME?</v>
      </c>
      <c r="M135" s="24" t="str">
        <f>IF(AND(I135="N",J135="N"),_xll.EVPRO($B$1,H135,"PSFTID"),"")</f>
        <v/>
      </c>
      <c r="N135" s="439" t="e">
        <f ca="1">IF(_xll.EVDES(H135,$B$1)="#NODATA","",_xll.EVDES(H135,$B$1))</f>
        <v>#NAME?</v>
      </c>
      <c r="O135" s="153"/>
      <c r="P135" s="153"/>
      <c r="Q135" s="153"/>
      <c r="R135" s="153"/>
      <c r="S135" s="153"/>
      <c r="T135" s="153"/>
      <c r="U135" s="153"/>
      <c r="V135" s="153"/>
      <c r="W135" s="153"/>
      <c r="X135" s="153"/>
      <c r="Y135" s="153"/>
      <c r="Z135" s="153"/>
      <c r="AA135" s="153"/>
      <c r="AB135" s="284"/>
      <c r="AD135" s="153"/>
      <c r="AE135" s="284"/>
      <c r="AF135" s="440" t="str">
        <f t="shared" si="59"/>
        <v/>
      </c>
      <c r="AG135" s="153"/>
      <c r="AH135" s="284"/>
      <c r="AI135" s="440" t="str">
        <f t="shared" si="60"/>
        <v/>
      </c>
    </row>
    <row r="136" spans="3:35" x14ac:dyDescent="0.2">
      <c r="C136" s="23"/>
      <c r="H136" s="133">
        <v>561400</v>
      </c>
      <c r="I136" s="25"/>
      <c r="J136" s="25"/>
      <c r="L136" s="24" t="e">
        <f ca="1">_xll.EVPRO($B$1,H136,"JDEID")</f>
        <v>#NAME?</v>
      </c>
      <c r="M136" s="24" t="str">
        <f>IF(AND(I136="N",J136="N"),_xll.EVPRO($B$1,H136,"PSFTID"),"")</f>
        <v/>
      </c>
      <c r="N136" s="24" t="e">
        <f ca="1">IF(_xll.EVDES(H136,$B$1)="#NODATA","",_xll.EVDES(H136,$B$1))</f>
        <v>#NAME?</v>
      </c>
      <c r="O136" s="19"/>
      <c r="P136" s="19"/>
      <c r="Q136" s="19"/>
      <c r="R136" s="19"/>
      <c r="S136" s="19"/>
      <c r="T136" s="19"/>
      <c r="U136" s="19"/>
      <c r="V136" s="19"/>
      <c r="W136" s="19"/>
      <c r="X136" s="19"/>
      <c r="Y136" s="19"/>
      <c r="Z136" s="19"/>
      <c r="AA136" s="19">
        <f>SUM(O136:Z136)</f>
        <v>0</v>
      </c>
      <c r="AB136" s="284" t="str">
        <f>IF(AA136=0,"",IFERROR(AA136/_xll.EVGTS($B$1,1,_xll.EVPRO($B$1,$H136,"COSBASIS"),$B$3,$B$5,$B$6,$B$7,$B$9,AA$16,AA$17,AA$11),""))</f>
        <v/>
      </c>
      <c r="AD136" s="19"/>
      <c r="AE136" s="284" t="str">
        <f>IF(AD136=0,"",IFERROR(AD136/_xll.EVGTS($B$1,1,_xll.EVPRO($B$1,$H136,"COSBASIS"),$B$3,$B$5,$B$6,$B$7,$B$9,AD$16,AD$17,AD$18),""))</f>
        <v/>
      </c>
      <c r="AF136" s="47">
        <f t="shared" si="59"/>
        <v>0</v>
      </c>
      <c r="AG136" s="19"/>
      <c r="AH136" s="284" t="str">
        <f>IF(AG136=0,"",IFERROR(AG136/_xll.EVGTS($B$1,1,_xll.EVPRO($B$1,$H136,"COSBASIS"),$B$3,$B$5,$B$6,$B$7,$B$9,AG$16,AG$17,AG$18),""))</f>
        <v/>
      </c>
      <c r="AI136" s="47">
        <f t="shared" si="60"/>
        <v>0</v>
      </c>
    </row>
    <row r="137" spans="3:35" x14ac:dyDescent="0.2">
      <c r="C137" s="23"/>
      <c r="H137" s="133" t="s">
        <v>759</v>
      </c>
      <c r="I137" s="25"/>
      <c r="J137" s="25"/>
      <c r="L137" s="24" t="e">
        <f ca="1">_xll.EVPRO($B$1,H137,"JDEID")</f>
        <v>#NAME?</v>
      </c>
      <c r="M137" s="24" t="str">
        <f>IF(AND(I137="N",J137="N"),_xll.EVPRO($B$1,H137,"PSFTID"),"")</f>
        <v/>
      </c>
      <c r="N137" s="439" t="e">
        <f ca="1">IF(_xll.EVDES(H137,$B$1)="#NODATA","",_xll.EVDES(H137,$B$1))</f>
        <v>#NAME?</v>
      </c>
      <c r="O137" s="153"/>
      <c r="P137" s="153"/>
      <c r="Q137" s="153"/>
      <c r="R137" s="153"/>
      <c r="S137" s="153"/>
      <c r="T137" s="153"/>
      <c r="U137" s="153"/>
      <c r="V137" s="153"/>
      <c r="W137" s="153"/>
      <c r="X137" s="153"/>
      <c r="Y137" s="153"/>
      <c r="Z137" s="153"/>
      <c r="AA137" s="153"/>
      <c r="AB137" s="284"/>
      <c r="AD137" s="153"/>
      <c r="AE137" s="284"/>
      <c r="AF137" s="440" t="str">
        <f t="shared" si="59"/>
        <v/>
      </c>
      <c r="AG137" s="153"/>
      <c r="AH137" s="284"/>
      <c r="AI137" s="440" t="str">
        <f t="shared" si="60"/>
        <v/>
      </c>
    </row>
    <row r="138" spans="3:35" x14ac:dyDescent="0.2">
      <c r="H138" s="133">
        <v>561500</v>
      </c>
      <c r="I138" s="25"/>
      <c r="J138" s="25"/>
      <c r="L138" s="24" t="e">
        <f ca="1">_xll.EVPRO($B$1,H138,"JDEID")</f>
        <v>#NAME?</v>
      </c>
      <c r="M138" s="24" t="str">
        <f>IF(AND(I138="N",J138="N"),_xll.EVPRO($B$1,H138,"PSFTID"),"")</f>
        <v/>
      </c>
      <c r="N138" s="24" t="e">
        <f ca="1">IF(_xll.EVDES(H138,$B$1)="#NODATA","",_xll.EVDES(H138,$B$1))</f>
        <v>#NAME?</v>
      </c>
      <c r="O138" s="19"/>
      <c r="P138" s="19"/>
      <c r="Q138" s="19"/>
      <c r="R138" s="19"/>
      <c r="S138" s="19"/>
      <c r="T138" s="19"/>
      <c r="U138" s="19"/>
      <c r="V138" s="19"/>
      <c r="W138" s="19"/>
      <c r="X138" s="19"/>
      <c r="Y138" s="19"/>
      <c r="Z138" s="19"/>
      <c r="AA138" s="19">
        <f>SUM(O138:Z138)</f>
        <v>0</v>
      </c>
      <c r="AB138" s="284" t="str">
        <f>IF(AA138=0,"",IFERROR(AA138/_xll.EVGTS($B$1,1,_xll.EVPRO($B$1,$H138,"COSBASIS"),$B$3,$B$5,$B$6,$B$7,$B$9,AA$16,AA$17,AA$11),""))</f>
        <v/>
      </c>
      <c r="AD138" s="19"/>
      <c r="AE138" s="284" t="str">
        <f>IF(AD138=0,"",IFERROR(AD138/_xll.EVGTS($B$1,1,_xll.EVPRO($B$1,$H138,"COSBASIS"),$B$3,$B$5,$B$6,$B$7,$B$9,AD$16,AD$17,AD$18),""))</f>
        <v/>
      </c>
      <c r="AF138" s="47">
        <f t="shared" si="59"/>
        <v>0</v>
      </c>
      <c r="AG138" s="19"/>
      <c r="AH138" s="284" t="str">
        <f>IF(AG138=0,"",IFERROR(AG138/_xll.EVGTS($B$1,1,_xll.EVPRO($B$1,$H138,"COSBASIS"),$B$3,$B$5,$B$6,$B$7,$B$9,AG$16,AG$17,AG$18),""))</f>
        <v/>
      </c>
      <c r="AI138" s="47">
        <f t="shared" si="60"/>
        <v>0</v>
      </c>
    </row>
    <row r="139" spans="3:35" x14ac:dyDescent="0.2">
      <c r="C139" s="23"/>
      <c r="H139" s="133" t="s">
        <v>760</v>
      </c>
      <c r="I139" s="25"/>
      <c r="J139" s="25"/>
      <c r="L139" s="24" t="e">
        <f ca="1">_xll.EVPRO($B$1,H139,"JDEID")</f>
        <v>#NAME?</v>
      </c>
      <c r="M139" s="24" t="str">
        <f>IF(AND(I139="N",J139="N"),_xll.EVPRO($B$1,H139,"PSFTID"),"")</f>
        <v/>
      </c>
      <c r="N139" s="439" t="e">
        <f ca="1">IF(_xll.EVDES(H139,$B$1)="#NODATA","",_xll.EVDES(H139,$B$1))</f>
        <v>#NAME?</v>
      </c>
      <c r="O139" s="153"/>
      <c r="P139" s="153"/>
      <c r="Q139" s="153"/>
      <c r="R139" s="153"/>
      <c r="S139" s="153"/>
      <c r="T139" s="153"/>
      <c r="U139" s="153"/>
      <c r="V139" s="153"/>
      <c r="W139" s="153"/>
      <c r="X139" s="153"/>
      <c r="Y139" s="153"/>
      <c r="Z139" s="153"/>
      <c r="AA139" s="153"/>
      <c r="AB139" s="284"/>
      <c r="AD139" s="153"/>
      <c r="AE139" s="284"/>
      <c r="AF139" s="440" t="str">
        <f t="shared" si="59"/>
        <v/>
      </c>
      <c r="AG139" s="153"/>
      <c r="AH139" s="284"/>
      <c r="AI139" s="440" t="str">
        <f t="shared" si="60"/>
        <v/>
      </c>
    </row>
    <row r="140" spans="3:35" x14ac:dyDescent="0.2">
      <c r="C140" s="23"/>
      <c r="H140" s="133" t="s">
        <v>286</v>
      </c>
      <c r="I140" s="25"/>
      <c r="J140" s="25"/>
      <c r="L140" s="24" t="e">
        <f ca="1">_xll.EVPRO($B$1,H140,"JDEID")</f>
        <v>#NAME?</v>
      </c>
      <c r="M140" s="24" t="str">
        <f>IF(AND(I140="N",J140="N"),_xll.EVPRO($B$1,H140,"PSFTID"),"")</f>
        <v/>
      </c>
      <c r="N140" s="24" t="e">
        <f ca="1">IF(_xll.EVDES(H140,$B$1)="#NODATA","",_xll.EVDES(H140,$B$1))</f>
        <v>#NAME?</v>
      </c>
      <c r="O140" s="19"/>
      <c r="P140" s="19"/>
      <c r="Q140" s="19"/>
      <c r="R140" s="19"/>
      <c r="S140" s="19"/>
      <c r="T140" s="19"/>
      <c r="U140" s="19"/>
      <c r="V140" s="19"/>
      <c r="W140" s="19"/>
      <c r="X140" s="19"/>
      <c r="Y140" s="19"/>
      <c r="Z140" s="19"/>
      <c r="AA140" s="19">
        <f>SUM(O140:Z140)</f>
        <v>0</v>
      </c>
      <c r="AB140" s="284" t="str">
        <f>IF(AA140=0,"",IFERROR(AA140/_xll.EVGTS($B$1,1,_xll.EVPRO($B$1,$H140,"COSBASIS"),$B$3,$B$5,$B$6,$B$7,$B$9,AA$16,AA$17,AA$11),""))</f>
        <v/>
      </c>
      <c r="AD140" s="19"/>
      <c r="AE140" s="284" t="str">
        <f>IF(AD140=0,"",IFERROR(AD140/_xll.EVGTS($B$1,1,_xll.EVPRO($B$1,$H140,"COSBASIS"),$B$3,$B$5,$B$6,$B$7,$B$9,AD$16,AD$17,AD$18),""))</f>
        <v/>
      </c>
      <c r="AF140" s="47">
        <f t="shared" si="59"/>
        <v>0</v>
      </c>
      <c r="AG140" s="19"/>
      <c r="AH140" s="284" t="str">
        <f>IF(AG140=0,"",IFERROR(AG140/_xll.EVGTS($B$1,1,_xll.EVPRO($B$1,$H140,"COSBASIS"),$B$3,$B$5,$B$6,$B$7,$B$9,AG$16,AG$17,AG$18),""))</f>
        <v/>
      </c>
      <c r="AI140" s="47">
        <f t="shared" si="60"/>
        <v>0</v>
      </c>
    </row>
    <row r="141" spans="3:35" x14ac:dyDescent="0.2">
      <c r="C141" s="23"/>
      <c r="H141" s="133"/>
      <c r="I141" s="25"/>
      <c r="J141" s="25"/>
      <c r="L141" s="24"/>
      <c r="M141" s="24"/>
      <c r="N141" s="439" t="s">
        <v>762</v>
      </c>
      <c r="O141" s="153" t="str">
        <f>IFERROR(O140/O85,"")</f>
        <v/>
      </c>
      <c r="P141" s="153" t="str">
        <f t="shared" ref="P141:AA141" si="61">IFERROR(P140/P85,"")</f>
        <v/>
      </c>
      <c r="Q141" s="153" t="str">
        <f t="shared" si="61"/>
        <v/>
      </c>
      <c r="R141" s="153" t="str">
        <f t="shared" si="61"/>
        <v/>
      </c>
      <c r="S141" s="153" t="str">
        <f t="shared" si="61"/>
        <v/>
      </c>
      <c r="T141" s="153" t="str">
        <f t="shared" si="61"/>
        <v/>
      </c>
      <c r="U141" s="153" t="str">
        <f t="shared" si="61"/>
        <v/>
      </c>
      <c r="V141" s="153" t="str">
        <f t="shared" si="61"/>
        <v/>
      </c>
      <c r="W141" s="153" t="str">
        <f t="shared" si="61"/>
        <v/>
      </c>
      <c r="X141" s="153" t="str">
        <f t="shared" si="61"/>
        <v/>
      </c>
      <c r="Y141" s="153" t="str">
        <f t="shared" si="61"/>
        <v/>
      </c>
      <c r="Z141" s="153" t="str">
        <f t="shared" si="61"/>
        <v/>
      </c>
      <c r="AA141" s="153" t="str">
        <f t="shared" si="61"/>
        <v/>
      </c>
      <c r="AB141" s="284"/>
      <c r="AD141" s="153" t="str">
        <f>IFERROR(AD140/AD85,"")</f>
        <v/>
      </c>
      <c r="AE141" s="284"/>
      <c r="AF141" s="440" t="str">
        <f t="shared" ref="AF141" si="62">IF(AND($AA141="",AD141=""),"",$AA141-AD141)</f>
        <v/>
      </c>
      <c r="AG141" s="153" t="str">
        <f>IFERROR(AG140/AG85,"")</f>
        <v/>
      </c>
      <c r="AH141" s="284"/>
      <c r="AI141" s="440" t="str">
        <f t="shared" si="60"/>
        <v/>
      </c>
    </row>
    <row r="142" spans="3:35" x14ac:dyDescent="0.2">
      <c r="C142" s="23"/>
    </row>
    <row r="143" spans="3:35" x14ac:dyDescent="0.2">
      <c r="C143" s="23"/>
      <c r="H143" s="133"/>
      <c r="I143" s="25"/>
      <c r="J143" s="25"/>
      <c r="N143" s="24" t="e">
        <f ca="1">N85&amp;" - Check"</f>
        <v>#NAME?</v>
      </c>
      <c r="O143" s="124">
        <f t="shared" ref="O143:AA143" si="63">O39+O49+O59+O69+O79+O83-O85</f>
        <v>0</v>
      </c>
      <c r="P143" s="124">
        <f t="shared" si="63"/>
        <v>0</v>
      </c>
      <c r="Q143" s="124">
        <f t="shared" si="63"/>
        <v>0</v>
      </c>
      <c r="R143" s="124">
        <f t="shared" si="63"/>
        <v>0</v>
      </c>
      <c r="S143" s="124">
        <f t="shared" si="63"/>
        <v>0</v>
      </c>
      <c r="T143" s="124">
        <f t="shared" si="63"/>
        <v>0</v>
      </c>
      <c r="U143" s="124">
        <f t="shared" si="63"/>
        <v>0</v>
      </c>
      <c r="V143" s="124">
        <f t="shared" si="63"/>
        <v>0</v>
      </c>
      <c r="W143" s="124">
        <f t="shared" si="63"/>
        <v>0</v>
      </c>
      <c r="X143" s="124">
        <f t="shared" si="63"/>
        <v>0</v>
      </c>
      <c r="Y143" s="124">
        <f t="shared" si="63"/>
        <v>0</v>
      </c>
      <c r="Z143" s="124">
        <f t="shared" si="63"/>
        <v>0</v>
      </c>
      <c r="AA143" s="124">
        <f t="shared" si="63"/>
        <v>0</v>
      </c>
      <c r="AB143" s="15"/>
      <c r="AD143" s="124">
        <f>AD39+AD49+AD59+AD69+AD79+AD83-AD85</f>
        <v>0</v>
      </c>
      <c r="AE143" s="15"/>
      <c r="AF143" s="19"/>
      <c r="AG143" s="124">
        <f>AG39+AG49+AG59+AG69+AG79+AG83-AG85</f>
        <v>0</v>
      </c>
      <c r="AH143" s="15"/>
      <c r="AI143" s="19"/>
    </row>
    <row r="144" spans="3:35" x14ac:dyDescent="0.2">
      <c r="C144" s="23"/>
      <c r="H144" s="133"/>
      <c r="I144" s="25"/>
      <c r="J144" s="25"/>
      <c r="N144" s="24" t="e">
        <f ca="1">N87&amp;" - Check"</f>
        <v>#NAME?</v>
      </c>
      <c r="O144" s="124">
        <f t="shared" ref="O144:AA144" si="64">O41+O51+O61+O71+O80-O87</f>
        <v>0</v>
      </c>
      <c r="P144" s="124">
        <f t="shared" si="64"/>
        <v>0</v>
      </c>
      <c r="Q144" s="124">
        <f t="shared" si="64"/>
        <v>0</v>
      </c>
      <c r="R144" s="124">
        <f t="shared" si="64"/>
        <v>0</v>
      </c>
      <c r="S144" s="124">
        <f t="shared" si="64"/>
        <v>0</v>
      </c>
      <c r="T144" s="124">
        <f t="shared" si="64"/>
        <v>0</v>
      </c>
      <c r="U144" s="124">
        <f t="shared" si="64"/>
        <v>0</v>
      </c>
      <c r="V144" s="124">
        <f t="shared" si="64"/>
        <v>0</v>
      </c>
      <c r="W144" s="124">
        <f t="shared" si="64"/>
        <v>0</v>
      </c>
      <c r="X144" s="124">
        <f t="shared" si="64"/>
        <v>0</v>
      </c>
      <c r="Y144" s="124">
        <f t="shared" si="64"/>
        <v>0</v>
      </c>
      <c r="Z144" s="124">
        <f t="shared" si="64"/>
        <v>0</v>
      </c>
      <c r="AA144" s="124">
        <f t="shared" si="64"/>
        <v>0</v>
      </c>
      <c r="AB144" s="15"/>
      <c r="AD144" s="124">
        <f>AD41+AD51+AD61+AD71+AD80-AD87</f>
        <v>0</v>
      </c>
      <c r="AE144" s="15"/>
      <c r="AF144" s="19"/>
      <c r="AG144" s="124">
        <f>AG41+AG51+AG61+AG71+AG80-AG87</f>
        <v>0</v>
      </c>
      <c r="AH144" s="15"/>
      <c r="AI144" s="19"/>
    </row>
    <row r="145" spans="3:35" x14ac:dyDescent="0.2">
      <c r="C145" s="23"/>
      <c r="H145" s="133"/>
      <c r="I145" s="25"/>
      <c r="J145" s="25"/>
      <c r="N145" s="24" t="e">
        <f ca="1">N88&amp;" - Check"</f>
        <v>#NAME?</v>
      </c>
      <c r="O145" s="159" t="e">
        <f>IFERROR(O$85/O87,"")-O88</f>
        <v>#VALUE!</v>
      </c>
      <c r="P145" s="159" t="e">
        <f t="shared" ref="P145:Z145" si="65">IFERROR(P$85/P87,"")-P88</f>
        <v>#VALUE!</v>
      </c>
      <c r="Q145" s="159" t="e">
        <f t="shared" si="65"/>
        <v>#VALUE!</v>
      </c>
      <c r="R145" s="159" t="e">
        <f t="shared" si="65"/>
        <v>#VALUE!</v>
      </c>
      <c r="S145" s="159" t="e">
        <f t="shared" si="65"/>
        <v>#VALUE!</v>
      </c>
      <c r="T145" s="159" t="e">
        <f t="shared" si="65"/>
        <v>#VALUE!</v>
      </c>
      <c r="U145" s="159" t="e">
        <f t="shared" si="65"/>
        <v>#VALUE!</v>
      </c>
      <c r="V145" s="159" t="e">
        <f t="shared" si="65"/>
        <v>#VALUE!</v>
      </c>
      <c r="W145" s="159" t="e">
        <f t="shared" si="65"/>
        <v>#VALUE!</v>
      </c>
      <c r="X145" s="159" t="e">
        <f t="shared" si="65"/>
        <v>#VALUE!</v>
      </c>
      <c r="Y145" s="159" t="e">
        <f t="shared" si="65"/>
        <v>#VALUE!</v>
      </c>
      <c r="Z145" s="159" t="e">
        <f t="shared" si="65"/>
        <v>#VALUE!</v>
      </c>
      <c r="AA145" s="159" t="e">
        <f>IFERROR(AA$85/AA87,"")-AA88</f>
        <v>#VALUE!</v>
      </c>
      <c r="AB145" s="15"/>
      <c r="AD145" s="159" t="e">
        <f>IFERROR(AD$85/AD87,"")-AD88</f>
        <v>#VALUE!</v>
      </c>
      <c r="AE145" s="15"/>
      <c r="AF145" s="19"/>
      <c r="AG145" s="159" t="e">
        <f>IFERROR(AG$85/AG87,"")-AG88</f>
        <v>#VALUE!</v>
      </c>
      <c r="AH145" s="15"/>
      <c r="AI145" s="19"/>
    </row>
    <row r="146" spans="3:35" x14ac:dyDescent="0.2">
      <c r="C146" s="23"/>
      <c r="H146" s="133"/>
      <c r="I146" s="25"/>
      <c r="J146" s="25"/>
      <c r="N146" s="24" t="s">
        <v>768</v>
      </c>
      <c r="O146" s="124">
        <f>(O130+O132)-O140</f>
        <v>0</v>
      </c>
      <c r="P146" s="124">
        <f t="shared" ref="P146:AA146" si="66">(P130+P132)-P140</f>
        <v>0</v>
      </c>
      <c r="Q146" s="124">
        <f t="shared" si="66"/>
        <v>0</v>
      </c>
      <c r="R146" s="124">
        <f t="shared" si="66"/>
        <v>0</v>
      </c>
      <c r="S146" s="124">
        <f t="shared" si="66"/>
        <v>0</v>
      </c>
      <c r="T146" s="124">
        <f t="shared" si="66"/>
        <v>0</v>
      </c>
      <c r="U146" s="124">
        <f t="shared" si="66"/>
        <v>0</v>
      </c>
      <c r="V146" s="124">
        <f t="shared" si="66"/>
        <v>0</v>
      </c>
      <c r="W146" s="124">
        <f t="shared" si="66"/>
        <v>0</v>
      </c>
      <c r="X146" s="124">
        <f t="shared" si="66"/>
        <v>0</v>
      </c>
      <c r="Y146" s="124">
        <f t="shared" si="66"/>
        <v>0</v>
      </c>
      <c r="Z146" s="124">
        <f t="shared" si="66"/>
        <v>0</v>
      </c>
      <c r="AA146" s="124">
        <f t="shared" si="66"/>
        <v>0</v>
      </c>
      <c r="AB146" s="15"/>
      <c r="AD146" s="124">
        <f>(AD130+AD132)-AD140</f>
        <v>0</v>
      </c>
      <c r="AE146" s="15"/>
      <c r="AF146" s="19"/>
      <c r="AG146" s="124">
        <f>(AG130+AG132)-AG140</f>
        <v>0</v>
      </c>
      <c r="AH146" s="15"/>
      <c r="AI146" s="19"/>
    </row>
    <row r="147" spans="3:35" x14ac:dyDescent="0.2">
      <c r="C147" s="23"/>
    </row>
    <row r="148" spans="3:35" x14ac:dyDescent="0.2">
      <c r="C148" s="23"/>
    </row>
    <row r="149" spans="3:35" x14ac:dyDescent="0.2">
      <c r="C149" s="23"/>
    </row>
    <row r="150" spans="3:35" x14ac:dyDescent="0.2">
      <c r="C150" s="23"/>
    </row>
    <row r="151" spans="3:35" x14ac:dyDescent="0.2">
      <c r="C151" s="23"/>
    </row>
    <row r="152" spans="3:35" x14ac:dyDescent="0.2">
      <c r="C152" s="23"/>
    </row>
    <row r="153" spans="3:35" x14ac:dyDescent="0.2">
      <c r="C153" s="23"/>
    </row>
    <row r="169" spans="9:34" x14ac:dyDescent="0.2">
      <c r="I169" s="72"/>
      <c r="J169" s="1"/>
      <c r="K169" s="72"/>
      <c r="L169" s="72"/>
      <c r="M169" s="72"/>
      <c r="O169" s="72"/>
      <c r="P169" s="72"/>
      <c r="Q169" s="72"/>
      <c r="R169" s="72"/>
      <c r="S169" s="72"/>
      <c r="T169" s="72"/>
      <c r="U169" s="72"/>
      <c r="V169" s="72"/>
      <c r="W169" s="72"/>
      <c r="X169" s="72"/>
      <c r="Y169" s="72"/>
      <c r="Z169" s="72"/>
      <c r="AA169" s="72"/>
      <c r="AD169" s="72"/>
      <c r="AF169" s="72"/>
      <c r="AH169" s="72"/>
    </row>
    <row r="173" spans="9:34" x14ac:dyDescent="0.2">
      <c r="I173" s="72"/>
      <c r="J173" s="1"/>
      <c r="K173" s="72"/>
      <c r="L173" s="72"/>
      <c r="M173" s="72"/>
      <c r="O173" s="72"/>
      <c r="P173" s="72"/>
      <c r="Q173" s="72"/>
      <c r="R173" s="72"/>
      <c r="S173" s="72"/>
      <c r="T173" s="72"/>
      <c r="U173" s="72"/>
      <c r="V173" s="72"/>
      <c r="W173" s="72"/>
      <c r="X173" s="72"/>
      <c r="Y173" s="72"/>
      <c r="Z173" s="72"/>
      <c r="AA173" s="72"/>
      <c r="AD173" s="72"/>
      <c r="AF173" s="72"/>
      <c r="AH173" s="72"/>
    </row>
    <row r="207" spans="5:5" x14ac:dyDescent="0.2">
      <c r="E207" s="72"/>
    </row>
    <row r="211" spans="5:5" x14ac:dyDescent="0.2">
      <c r="E211" s="72"/>
    </row>
  </sheetData>
  <mergeCells count="2">
    <mergeCell ref="AD31:AE31"/>
    <mergeCell ref="AG31:AH31"/>
  </mergeCells>
  <conditionalFormatting sqref="N43">
    <cfRule type="expression" dxfId="95" priority="14">
      <formula>$G43&lt;&gt;0</formula>
    </cfRule>
  </conditionalFormatting>
  <conditionalFormatting sqref="N53">
    <cfRule type="expression" dxfId="94" priority="12">
      <formula>$G53&lt;&gt;0</formula>
    </cfRule>
  </conditionalFormatting>
  <conditionalFormatting sqref="N63">
    <cfRule type="expression" dxfId="93" priority="10">
      <formula>$G63&lt;&gt;0</formula>
    </cfRule>
  </conditionalFormatting>
  <conditionalFormatting sqref="N73">
    <cfRule type="expression" dxfId="92" priority="8">
      <formula>$G73&lt;&gt;0</formula>
    </cfRule>
  </conditionalFormatting>
  <conditionalFormatting sqref="N82">
    <cfRule type="expression" dxfId="91" priority="7">
      <formula>$G82&lt;&gt;0</formula>
    </cfRule>
  </conditionalFormatting>
  <conditionalFormatting sqref="O43:AA43 AD43 AF43:AG43">
    <cfRule type="expression" dxfId="90" priority="15">
      <formula>ROUND(O42,2)&lt;&gt;ROUND(O43,2)</formula>
    </cfRule>
  </conditionalFormatting>
  <conditionalFormatting sqref="O53:AA53 AD53 AF53:AG53">
    <cfRule type="expression" dxfId="89" priority="13">
      <formula>ROUND(O52,2)&lt;&gt;ROUND(O53,2)</formula>
    </cfRule>
  </conditionalFormatting>
  <conditionalFormatting sqref="O63:AA63 AD63 AF63:AG63">
    <cfRule type="expression" dxfId="88" priority="11">
      <formula>ROUND(O62,2)&lt;&gt;ROUND(O63,2)</formula>
    </cfRule>
  </conditionalFormatting>
  <conditionalFormatting sqref="O73:AA73 AD73 AF73:AG73">
    <cfRule type="expression" dxfId="87" priority="9">
      <formula>ROUND(O72,2)&lt;&gt;ROUND(O73,2)</formula>
    </cfRule>
  </conditionalFormatting>
  <conditionalFormatting sqref="O82:AA82 AD82 AF82:AG82">
    <cfRule type="expression" dxfId="86" priority="6">
      <formula>ROUND(O81,2)&lt;&gt;ROUND(O82,2)</formula>
    </cfRule>
  </conditionalFormatting>
  <conditionalFormatting sqref="AI43">
    <cfRule type="expression" dxfId="85" priority="5">
      <formula>ROUND(AI42,2)&lt;&gt;ROUND(AI43,2)</formula>
    </cfRule>
  </conditionalFormatting>
  <conditionalFormatting sqref="AI53">
    <cfRule type="expression" dxfId="84" priority="4">
      <formula>ROUND(AI52,2)&lt;&gt;ROUND(AI53,2)</formula>
    </cfRule>
  </conditionalFormatting>
  <conditionalFormatting sqref="AI63">
    <cfRule type="expression" dxfId="83" priority="3">
      <formula>ROUND(AI62,2)&lt;&gt;ROUND(AI63,2)</formula>
    </cfRule>
  </conditionalFormatting>
  <conditionalFormatting sqref="AI73">
    <cfRule type="expression" dxfId="82" priority="2">
      <formula>ROUND(AI72,2)&lt;&gt;ROUND(AI73,2)</formula>
    </cfRule>
  </conditionalFormatting>
  <conditionalFormatting sqref="AI82">
    <cfRule type="expression" dxfId="81" priority="1">
      <formula>ROUND(AI81,2)&lt;&gt;ROUND(AI82,2)</formula>
    </cfRule>
  </conditionalFormatting>
  <dataValidations count="2">
    <dataValidation type="list" allowBlank="1" sqref="B29" xr:uid="{00000000-0002-0000-2000-000000000000}">
      <formula1>"SELF,ALL,BAS,DEP,BASMEMBERS,MEMBERS,NOEXPAND,GDEP"</formula1>
    </dataValidation>
    <dataValidation type="list" allowBlank="1" sqref="B28" xr:uid="{00000000-0002-0000-20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54">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0"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G1" s="319" t="s">
        <v>22</v>
      </c>
      <c r="H1" s="46" t="s">
        <v>728</v>
      </c>
      <c r="I1" s="1"/>
      <c r="J1" s="1"/>
      <c r="N1" s="16" t="e">
        <f ca="1">IF(OR(_xll.EVCGT($B$1,$B$6,$H$1,$H$2,$H$3,$H$4,$H$5,$H$6,$H$7,$H$8)="#RFR",_xll.EVCGT($B$1,$B$6,$H$1,$H$2,$H$3,$H$4,$H$5,$H$6,$H$7,$H$8)="#NODATA"),"",_xll.EVCGT($B$1,$B$6,$H$1,$H$2,$H$3,$H$4,$H$5,$H$6,$H$7,$H$8))</f>
        <v>#NAME?</v>
      </c>
      <c r="O1" s="1" t="s">
        <v>731</v>
      </c>
    </row>
    <row r="2" spans="1:35" hidden="1" outlineLevel="1" x14ac:dyDescent="0.2">
      <c r="A2" s="8" t="s">
        <v>22</v>
      </c>
      <c r="B2" s="12" t="s">
        <v>56</v>
      </c>
      <c r="C2" s="1" t="e">
        <f ca="1">_xll.EVDES(B2,$B$1)</f>
        <v>#NAME?</v>
      </c>
      <c r="G2" s="319" t="s">
        <v>50</v>
      </c>
      <c r="H2" s="46" t="e">
        <f ca="1">"BU"&amp;RIGHT(B3,4)</f>
        <v>#NAME?</v>
      </c>
      <c r="I2" s="1"/>
      <c r="J2" s="1"/>
    </row>
    <row r="3" spans="1:35" hidden="1" outlineLevel="1" x14ac:dyDescent="0.2">
      <c r="A3" s="8" t="s">
        <v>50</v>
      </c>
      <c r="B3" s="9" t="e">
        <f ca="1">_xll.EVCVW($B$1,A3)</f>
        <v>#NAME?</v>
      </c>
      <c r="C3" s="1" t="e">
        <f ca="1">_xll.EVDES(B3,$B$1)</f>
        <v>#NAME?</v>
      </c>
      <c r="G3" s="319" t="s">
        <v>19</v>
      </c>
      <c r="H3" s="46" t="s">
        <v>683</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c r="G4" s="319" t="s">
        <v>51</v>
      </c>
      <c r="H4" s="46" t="s">
        <v>730</v>
      </c>
    </row>
    <row r="5" spans="1:35" hidden="1" outlineLevel="1" x14ac:dyDescent="0.2">
      <c r="A5" s="8" t="s">
        <v>51</v>
      </c>
      <c r="B5" s="12" t="s">
        <v>59</v>
      </c>
      <c r="C5" s="1" t="e">
        <f ca="1">_xll.EVDES(B5,$B$1)</f>
        <v>#NAME?</v>
      </c>
      <c r="G5" s="319" t="s">
        <v>53</v>
      </c>
      <c r="H5" s="46" t="s">
        <v>729</v>
      </c>
    </row>
    <row r="6" spans="1:35" hidden="1" outlineLevel="1" x14ac:dyDescent="0.2">
      <c r="A6" s="8" t="s">
        <v>52</v>
      </c>
      <c r="B6" s="12" t="s">
        <v>788</v>
      </c>
      <c r="C6" s="1" t="e">
        <f ca="1">_xll.EVDES(B6,$B$1)</f>
        <v>#NAME?</v>
      </c>
      <c r="E6" s="46" t="e">
        <f ca="1">_xll.EVPRO($B$1,$B$6,$F$6)</f>
        <v>#NAME?</v>
      </c>
      <c r="F6" s="1" t="s">
        <v>278</v>
      </c>
      <c r="G6" s="319" t="s">
        <v>20</v>
      </c>
      <c r="H6" s="46" t="s">
        <v>55</v>
      </c>
    </row>
    <row r="7" spans="1:35" hidden="1" outlineLevel="1" x14ac:dyDescent="0.2">
      <c r="A7" s="8" t="s">
        <v>53</v>
      </c>
      <c r="B7" s="12" t="s">
        <v>61</v>
      </c>
      <c r="C7" s="1" t="e">
        <f ca="1">_xll.EVDES(B7,$B$1)</f>
        <v>#NAME?</v>
      </c>
      <c r="G7" s="319" t="s">
        <v>54</v>
      </c>
      <c r="H7" s="46" t="s">
        <v>62</v>
      </c>
    </row>
    <row r="8" spans="1:35" hidden="1" outlineLevel="1" x14ac:dyDescent="0.2">
      <c r="A8" s="8" t="s">
        <v>20</v>
      </c>
      <c r="B8" s="12" t="s">
        <v>63</v>
      </c>
      <c r="C8" s="1" t="e">
        <f ca="1">_xll.EVDES(B8,$B$1)</f>
        <v>#NAME?</v>
      </c>
      <c r="G8" s="319" t="s">
        <v>18</v>
      </c>
      <c r="H8" s="46" t="s">
        <v>727</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_xll.EVRNG(H35:H58)</f>
        <v>#NAME?</v>
      </c>
      <c r="G19" s="16" t="str">
        <f>$B$6</f>
        <v>D2144</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tr">
        <f>$B$6</f>
        <v>D2144</v>
      </c>
      <c r="H20" s="16">
        <v>946000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I21" s="1"/>
      <c r="J21" s="1"/>
    </row>
    <row r="22" spans="1:40" hidden="1" outlineLevel="1" x14ac:dyDescent="0.2">
      <c r="A22" s="6" t="s">
        <v>7</v>
      </c>
      <c r="B22" s="7" t="e">
        <f ca="1">_xll.EVRNG(A36:F44)</f>
        <v>#NAME?</v>
      </c>
      <c r="I22" s="1"/>
      <c r="J22" s="1"/>
    </row>
    <row r="23" spans="1:40" hidden="1" outlineLevel="1" x14ac:dyDescent="0.2">
      <c r="A23" s="6" t="s">
        <v>47</v>
      </c>
      <c r="B23" s="7" t="e">
        <f ca="1">_xll.EVRNG($A$125:$B$146)</f>
        <v>#NAME?</v>
      </c>
      <c r="K23" s="53"/>
      <c r="L23" s="53"/>
      <c r="M23" s="53"/>
      <c r="AD23" s="136"/>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IF($N$1="",IF(_xll.EVDES(B6,$B$1)="#NODATA","",_xll.EVDES(B6,$B$1)&amp;" Department"),$N$1)</f>
        <v>#NAME?</v>
      </c>
    </row>
    <row r="28" spans="1:40" ht="16" x14ac:dyDescent="0.2">
      <c r="A28" s="6" t="s">
        <v>12</v>
      </c>
      <c r="B28" s="7" t="s">
        <v>22</v>
      </c>
      <c r="N28" s="67" t="e">
        <f ca="1">"For the Period ended"&amp;" "&amp;IF(_xll.EVDES($B$10,$B$1)="#NODATA","",_xll.EVDES($B$10,$B$1))</f>
        <v>#NAME?</v>
      </c>
    </row>
    <row r="29" spans="1:40" ht="15" customHeight="1" x14ac:dyDescent="0.2">
      <c r="A29" s="6" t="s">
        <v>13</v>
      </c>
      <c r="B29" s="7" t="e">
        <f ca="1">"DEP(REV_F) AND "&amp;$E$6&amp;"=Y,REV_F,BEV,DEP(REV_BEV) AND "&amp;$E$6&amp;"=Y,REV_BEV,ALLOW_FB,REV_FB,OTHR_REV,DEP(REV_OTHR) AND "&amp;$E$6&amp;"=Y,REV_OTHR,400000"</f>
        <v>#NAME?</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751</v>
      </c>
      <c r="AK30" s="209"/>
      <c r="AL30" s="210"/>
      <c r="AM30" s="209" t="s">
        <v>750</v>
      </c>
      <c r="AN30" s="209"/>
    </row>
    <row r="31" spans="1:40" x14ac:dyDescent="0.2">
      <c r="A31" s="6" t="s">
        <v>15</v>
      </c>
      <c r="B31" s="7"/>
      <c r="G31" s="13"/>
      <c r="K31" s="11"/>
      <c r="L31" s="11"/>
      <c r="M31" s="1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69</v>
      </c>
      <c r="I33" s="11" t="e">
        <f ca="1">_xll.EVPRO($B$1,$H33,"STYLE")</f>
        <v>#NAME?</v>
      </c>
      <c r="J33" s="11" t="e">
        <f ca="1">_xll.EVPRO($B$1,$H33,"CALC")</f>
        <v>#NAME?</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0" x14ac:dyDescent="0.2">
      <c r="H34" s="1" t="s">
        <v>259</v>
      </c>
      <c r="I34" s="11" t="e">
        <f ca="1">_xll.EVPRO($B$1,$H34,"STYLE")</f>
        <v>#NAME?</v>
      </c>
      <c r="J34" s="11" t="e">
        <f ca="1">_xll.EVPRO($B$1,$H34,"CALC")</f>
        <v>#NAME?</v>
      </c>
      <c r="L34" s="175" t="s">
        <v>364</v>
      </c>
      <c r="M34" s="175" t="s">
        <v>782</v>
      </c>
      <c r="N34" s="8" t="e">
        <f ca="1">IF(_xll.EVDES(H34,$B$1)="#NODATA","",_xll.EVDES(H34,$B$1))</f>
        <v>#NAME?</v>
      </c>
      <c r="O34" s="50"/>
      <c r="AB34" s="51"/>
      <c r="AD34" s="50"/>
      <c r="AF34" s="51"/>
      <c r="AG34" s="50"/>
      <c r="AI34" s="51"/>
    </row>
    <row r="35" spans="1:40" x14ac:dyDescent="0.2">
      <c r="A35" s="20" t="s">
        <v>92</v>
      </c>
      <c r="B35" s="21" t="s">
        <v>93</v>
      </c>
      <c r="C35" s="21" t="s">
        <v>94</v>
      </c>
      <c r="D35" s="21" t="s">
        <v>95</v>
      </c>
      <c r="E35" s="21" t="s">
        <v>96</v>
      </c>
      <c r="F35" s="22" t="s">
        <v>97</v>
      </c>
      <c r="H35" s="10" t="s">
        <v>260</v>
      </c>
      <c r="I35" s="25" t="e">
        <f ca="1">_xll.EVPRO($B$1,$H35,"STYLE")</f>
        <v>#NAME?</v>
      </c>
      <c r="J35" s="25" t="e">
        <f ca="1">_xll.EVPRO($B$1,$H35,"CALC")</f>
        <v>#NAME?</v>
      </c>
      <c r="K35" s="64" t="e">
        <f ca="1">IF(AND(I35&gt;="T5"),"&gt;","")</f>
        <v>#NAME?</v>
      </c>
      <c r="L35" s="24" t="e">
        <f ca="1">_xll.EVPRO($B$1,H35,"JDEID")</f>
        <v>#NAME?</v>
      </c>
      <c r="M35" s="24" t="e">
        <f ca="1">IF(AND(I35="N",J35="N"),_xll.EVPRO($B$1,H35,"PSFTID"),"")</f>
        <v>#NAME?</v>
      </c>
      <c r="N35" s="24" t="e">
        <f ca="1">IF(_xll.EVDES(H35,$B$1)="#NODATA","",_xll.EVDES(H35,$B$1))</f>
        <v>#NAME?</v>
      </c>
      <c r="O35" s="282"/>
      <c r="P35" s="283"/>
      <c r="Q35" s="283"/>
      <c r="R35" s="283"/>
      <c r="S35" s="283"/>
      <c r="T35" s="283"/>
      <c r="U35" s="283"/>
      <c r="V35" s="283"/>
      <c r="W35" s="283"/>
      <c r="X35" s="283"/>
      <c r="Y35" s="283"/>
      <c r="Z35" s="283"/>
      <c r="AA35" s="283" t="e">
        <f t="shared" ref="AA35:AA58" ca="1" si="0">IF($I35="B1","",SUM(O35:Z35))</f>
        <v>#NAME?</v>
      </c>
      <c r="AB35" s="284" t="e">
        <f t="shared" ref="AB35:AB58" ca="1" si="1">IF(AA35=0,"",IFERROR(AA35/AA$19,""))</f>
        <v>#NAME?</v>
      </c>
      <c r="AC35" s="300"/>
      <c r="AD35" s="283"/>
      <c r="AE35" s="284" t="str">
        <f t="shared" ref="AE35:AE58" si="2">IF(AD35=0,"",IFERROR(AD35/AD$19,""))</f>
        <v/>
      </c>
      <c r="AF35" s="285" t="e">
        <f t="shared" ref="AF35:AF58" ca="1" si="3">IF(AND($AA35="",AD35=""),"",$AA35-AD35)</f>
        <v>#NAME?</v>
      </c>
      <c r="AG35" s="283"/>
      <c r="AH35" s="284" t="str">
        <f>IF(AG35=0,"",IFERROR(AG35/AG$19,""))</f>
        <v/>
      </c>
      <c r="AI35" s="286" t="e">
        <f ca="1">IF(AND($AA35="",AG35=""),"",$AA35-AG35)</f>
        <v>#NAME?</v>
      </c>
      <c r="AJ35" s="371">
        <f ca="1">IFERROR(AA35/AA$20,0)</f>
        <v>0</v>
      </c>
      <c r="AK35" s="372">
        <f ca="1">IFERROR(AD35/AD$20,0)</f>
        <v>0</v>
      </c>
      <c r="AL35" s="373">
        <f ca="1">IFERROR(AG35/AG$20,0)</f>
        <v>0</v>
      </c>
      <c r="AM35" s="374">
        <f ca="1">+IFERROR(ROUND(($AB35-AE35)*100,2)&amp;" pts.",0)</f>
        <v>0</v>
      </c>
      <c r="AN35" s="375">
        <f ca="1">+IFERROR(ROUND(($AB35-AH35)*100,2)&amp;" pts.",0)</f>
        <v>0</v>
      </c>
    </row>
    <row r="36" spans="1:40" x14ac:dyDescent="0.2">
      <c r="H36" s="10" t="s">
        <v>261</v>
      </c>
      <c r="I36" s="25" t="e">
        <f ca="1">_xll.EVPRO($B$1,$H36,"STYLE")</f>
        <v>#NAME?</v>
      </c>
      <c r="J36" s="25" t="e">
        <f ca="1">_xll.EVPRO($B$1,$H36,"CALC")</f>
        <v>#NAME?</v>
      </c>
      <c r="K36" s="64" t="e">
        <f t="shared" ref="K36:K58" ca="1" si="4">IF(AND(I36&gt;="T5"),"&gt;","")</f>
        <v>#NAME?</v>
      </c>
      <c r="L36" s="24" t="e">
        <f ca="1">_xll.EVPRO($B$1,H36,"JDEID")</f>
        <v>#NAME?</v>
      </c>
      <c r="M36" s="24" t="e">
        <f ca="1">IF(AND(I36="N",J36="N"),_xll.EVPRO($B$1,H36,"PSFTID"),"")</f>
        <v>#NAME?</v>
      </c>
      <c r="N36" s="24" t="e">
        <f ca="1">IF(_xll.EVDES(H36,$B$1)="#NODATA","",_xll.EVDES(H36,$B$1))</f>
        <v>#NAME?</v>
      </c>
      <c r="O36" s="282"/>
      <c r="P36" s="283"/>
      <c r="Q36" s="283"/>
      <c r="R36" s="283"/>
      <c r="S36" s="283"/>
      <c r="T36" s="283"/>
      <c r="U36" s="283"/>
      <c r="V36" s="283"/>
      <c r="W36" s="283"/>
      <c r="X36" s="283"/>
      <c r="Y36" s="283"/>
      <c r="Z36" s="283"/>
      <c r="AA36" s="283" t="e">
        <f t="shared" ca="1" si="0"/>
        <v>#NAME?</v>
      </c>
      <c r="AB36" s="284" t="e">
        <f t="shared" ca="1" si="1"/>
        <v>#NAME?</v>
      </c>
      <c r="AC36" s="300"/>
      <c r="AD36" s="283"/>
      <c r="AE36" s="284" t="str">
        <f t="shared" si="2"/>
        <v/>
      </c>
      <c r="AF36" s="285" t="e">
        <f t="shared" ca="1" si="3"/>
        <v>#NAME?</v>
      </c>
      <c r="AG36" s="283"/>
      <c r="AH36" s="284" t="str">
        <f t="shared" ref="AH36:AH58" si="5">IF(AG36=0,"",IFERROR(AG36/AG$19,""))</f>
        <v/>
      </c>
      <c r="AI36" s="286" t="e">
        <f t="shared" ref="AI36:AI58" ca="1" si="6">IF(AND($AA36="",AG36=""),"",$AA36-AG36)</f>
        <v>#NAME?</v>
      </c>
      <c r="AJ36" s="371">
        <f t="shared" ref="AJ36:AJ58" ca="1" si="7">IFERROR(AA36/AA$20,0)</f>
        <v>0</v>
      </c>
      <c r="AK36" s="372">
        <f t="shared" ref="AK36:AK58" ca="1" si="8">IFERROR(AD36/AD$20,0)</f>
        <v>0</v>
      </c>
      <c r="AL36" s="373">
        <f t="shared" ref="AL36:AL58" ca="1" si="9">IFERROR(AG36/AG$20,0)</f>
        <v>0</v>
      </c>
      <c r="AM36" s="374">
        <f t="shared" ref="AM36:AM58" ca="1" si="10">+IFERROR(ROUND(($AB36-AE36)*100,2)&amp;" pts.",0)</f>
        <v>0</v>
      </c>
      <c r="AN36" s="375">
        <f t="shared" ref="AN36:AN58" ca="1" si="11">+IFERROR(ROUND(($AB36-AH36)*100,2)&amp;" pts.",0)</f>
        <v>0</v>
      </c>
    </row>
    <row r="37" spans="1:40" x14ac:dyDescent="0.2">
      <c r="A37" s="1" t="s">
        <v>209</v>
      </c>
      <c r="B37" s="1" t="s">
        <v>21</v>
      </c>
      <c r="C37" s="70"/>
      <c r="D37" s="1" t="s">
        <v>590</v>
      </c>
      <c r="F37" s="1" t="s">
        <v>99</v>
      </c>
      <c r="H37" s="10" t="s">
        <v>262</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282"/>
      <c r="P37" s="283"/>
      <c r="Q37" s="283"/>
      <c r="R37" s="283"/>
      <c r="S37" s="283"/>
      <c r="T37" s="283"/>
      <c r="U37" s="283"/>
      <c r="V37" s="283"/>
      <c r="W37" s="283"/>
      <c r="X37" s="283"/>
      <c r="Y37" s="283"/>
      <c r="Z37" s="283"/>
      <c r="AA37" s="283" t="e">
        <f t="shared" ca="1" si="0"/>
        <v>#NAME?</v>
      </c>
      <c r="AB37" s="284" t="e">
        <f t="shared" ca="1" si="1"/>
        <v>#NAME?</v>
      </c>
      <c r="AC37" s="300"/>
      <c r="AD37" s="283"/>
      <c r="AE37" s="284" t="str">
        <f t="shared" si="2"/>
        <v/>
      </c>
      <c r="AF37" s="285" t="e">
        <f t="shared" ca="1" si="3"/>
        <v>#NAME?</v>
      </c>
      <c r="AG37" s="283"/>
      <c r="AH37" s="284" t="str">
        <f t="shared" si="5"/>
        <v/>
      </c>
      <c r="AI37" s="286" t="e">
        <f t="shared" ca="1" si="6"/>
        <v>#NAME?</v>
      </c>
      <c r="AJ37" s="371">
        <f t="shared" ca="1" si="7"/>
        <v>0</v>
      </c>
      <c r="AK37" s="372">
        <f t="shared" ca="1" si="8"/>
        <v>0</v>
      </c>
      <c r="AL37" s="373">
        <f t="shared" ca="1" si="9"/>
        <v>0</v>
      </c>
      <c r="AM37" s="374">
        <f t="shared" ca="1" si="10"/>
        <v>0</v>
      </c>
      <c r="AN37" s="375">
        <f t="shared" ca="1" si="11"/>
        <v>0</v>
      </c>
    </row>
    <row r="38" spans="1:40" x14ac:dyDescent="0.2">
      <c r="A38" s="1" t="s">
        <v>105</v>
      </c>
      <c r="C38" s="24" t="s">
        <v>101</v>
      </c>
      <c r="D38" s="1" t="s">
        <v>106</v>
      </c>
      <c r="F38" s="1" t="s">
        <v>98</v>
      </c>
      <c r="H38" s="10" t="s">
        <v>263</v>
      </c>
      <c r="I38" s="25" t="e">
        <f ca="1">_xll.EVPRO($B$1,$H38,"STYLE")</f>
        <v>#NAME?</v>
      </c>
      <c r="J38" s="25" t="e">
        <f ca="1">_xll.EVPRO($B$1,$H38,"CALC")</f>
        <v>#NAME?</v>
      </c>
      <c r="K38" s="64" t="e">
        <f t="shared" ca="1" si="4"/>
        <v>#NAME?</v>
      </c>
      <c r="L38" s="24" t="e">
        <f ca="1">_xll.EVPRO($B$1,H38,"JDEID")</f>
        <v>#NAME?</v>
      </c>
      <c r="M38" s="24" t="e">
        <f ca="1">IF(AND(I38="N",J38="N"),_xll.EVPRO($B$1,H38,"PSFTID"),"")</f>
        <v>#NAME?</v>
      </c>
      <c r="N38" s="24" t="e">
        <f ca="1">IF(_xll.EVDES(H38,$B$1)="#NODATA","",_xll.EVDES(H38,$B$1))</f>
        <v>#NAME?</v>
      </c>
      <c r="O38" s="282"/>
      <c r="P38" s="283"/>
      <c r="Q38" s="283"/>
      <c r="R38" s="283"/>
      <c r="S38" s="283"/>
      <c r="T38" s="283"/>
      <c r="U38" s="283"/>
      <c r="V38" s="283"/>
      <c r="W38" s="283"/>
      <c r="X38" s="283"/>
      <c r="Y38" s="283"/>
      <c r="Z38" s="283"/>
      <c r="AA38" s="283" t="e">
        <f t="shared" ca="1" si="0"/>
        <v>#NAME?</v>
      </c>
      <c r="AB38" s="284" t="e">
        <f t="shared" ca="1" si="1"/>
        <v>#NAME?</v>
      </c>
      <c r="AC38" s="300"/>
      <c r="AD38" s="283"/>
      <c r="AE38" s="284" t="str">
        <f t="shared" si="2"/>
        <v/>
      </c>
      <c r="AF38" s="285" t="e">
        <f t="shared" ca="1" si="3"/>
        <v>#NAME?</v>
      </c>
      <c r="AG38" s="283"/>
      <c r="AH38" s="284" t="str">
        <f t="shared" si="5"/>
        <v/>
      </c>
      <c r="AI38" s="286" t="e">
        <f t="shared" ca="1" si="6"/>
        <v>#NAME?</v>
      </c>
      <c r="AJ38" s="371">
        <f t="shared" ca="1" si="7"/>
        <v>0</v>
      </c>
      <c r="AK38" s="372">
        <f t="shared" ca="1" si="8"/>
        <v>0</v>
      </c>
      <c r="AL38" s="373">
        <f t="shared" ca="1" si="9"/>
        <v>0</v>
      </c>
      <c r="AM38" s="374">
        <f t="shared" ca="1" si="10"/>
        <v>0</v>
      </c>
      <c r="AN38" s="375">
        <f t="shared" ca="1" si="11"/>
        <v>0</v>
      </c>
    </row>
    <row r="39" spans="1:40" x14ac:dyDescent="0.2">
      <c r="A39" s="1" t="s">
        <v>104</v>
      </c>
      <c r="C39" s="24" t="s">
        <v>101</v>
      </c>
      <c r="D39" s="1" t="s">
        <v>106</v>
      </c>
      <c r="F39" s="1" t="s">
        <v>98</v>
      </c>
      <c r="H39" s="10" t="s">
        <v>264</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295"/>
      <c r="P39" s="296"/>
      <c r="Q39" s="296"/>
      <c r="R39" s="296"/>
      <c r="S39" s="296"/>
      <c r="T39" s="296"/>
      <c r="U39" s="296"/>
      <c r="V39" s="296"/>
      <c r="W39" s="296"/>
      <c r="X39" s="296"/>
      <c r="Y39" s="296"/>
      <c r="Z39" s="296"/>
      <c r="AA39" s="296" t="e">
        <f t="shared" ca="1" si="0"/>
        <v>#NAME?</v>
      </c>
      <c r="AB39" s="297" t="e">
        <f t="shared" ca="1" si="1"/>
        <v>#NAME?</v>
      </c>
      <c r="AC39" s="263"/>
      <c r="AD39" s="296"/>
      <c r="AE39" s="297" t="str">
        <f t="shared" si="2"/>
        <v/>
      </c>
      <c r="AF39" s="298" t="e">
        <f t="shared" ca="1" si="3"/>
        <v>#NAME?</v>
      </c>
      <c r="AG39" s="296"/>
      <c r="AH39" s="297" t="str">
        <f t="shared" si="5"/>
        <v/>
      </c>
      <c r="AI39" s="299" t="e">
        <f t="shared" ca="1" si="6"/>
        <v>#NAME?</v>
      </c>
      <c r="AJ39" s="381">
        <f t="shared" ca="1" si="7"/>
        <v>0</v>
      </c>
      <c r="AK39" s="382">
        <f t="shared" ca="1" si="8"/>
        <v>0</v>
      </c>
      <c r="AL39" s="383">
        <f t="shared" ca="1" si="9"/>
        <v>0</v>
      </c>
      <c r="AM39" s="384">
        <f t="shared" ca="1" si="10"/>
        <v>0</v>
      </c>
      <c r="AN39" s="385">
        <f t="shared" ca="1" si="11"/>
        <v>0</v>
      </c>
    </row>
    <row r="40" spans="1:40" x14ac:dyDescent="0.2">
      <c r="A40" s="1" t="s">
        <v>100</v>
      </c>
      <c r="C40" s="8" t="s">
        <v>101</v>
      </c>
      <c r="D40" s="1" t="s">
        <v>106</v>
      </c>
      <c r="F40" s="1" t="s">
        <v>98</v>
      </c>
      <c r="H40" s="10" t="s">
        <v>265</v>
      </c>
      <c r="I40" s="447" t="e">
        <f ca="1">_xll.EVPRO($B$1,$H40,"STYLE")</f>
        <v>#NAME?</v>
      </c>
      <c r="J40" s="447" t="e">
        <f ca="1">_xll.EVPRO($B$1,$H40,"CALC")</f>
        <v>#NAME?</v>
      </c>
      <c r="K40" s="448" t="e">
        <f t="shared" ca="1" si="4"/>
        <v>#NAME?</v>
      </c>
      <c r="L40" s="151" t="e">
        <f ca="1">_xll.EVPRO($B$1,H40,"JDEID")</f>
        <v>#NAME?</v>
      </c>
      <c r="M40" s="151" t="e">
        <f ca="1">IF(AND(I40="N",J40="N"),_xll.EVPRO($B$1,H40,"PSFTID"),"")</f>
        <v>#NAME?</v>
      </c>
      <c r="N40" s="151" t="e">
        <f ca="1">IF(_xll.EVDES(H40,$B$1)="#NODATA","",_xll.EVDES(H40,$B$1))</f>
        <v>#NAME?</v>
      </c>
      <c r="O40" s="202"/>
      <c r="P40" s="120"/>
      <c r="Q40" s="120"/>
      <c r="R40" s="120"/>
      <c r="S40" s="120"/>
      <c r="T40" s="120"/>
      <c r="U40" s="120"/>
      <c r="V40" s="120"/>
      <c r="W40" s="120"/>
      <c r="X40" s="120"/>
      <c r="Y40" s="120"/>
      <c r="Z40" s="120"/>
      <c r="AA40" s="120" t="e">
        <f t="shared" ca="1" si="0"/>
        <v>#NAME?</v>
      </c>
      <c r="AB40" s="121" t="e">
        <f t="shared" ca="1" si="1"/>
        <v>#NAME?</v>
      </c>
      <c r="AC40" s="123"/>
      <c r="AD40" s="120"/>
      <c r="AE40" s="121" t="str">
        <f t="shared" si="2"/>
        <v/>
      </c>
      <c r="AF40" s="122" t="e">
        <f t="shared" ca="1" si="3"/>
        <v>#NAME?</v>
      </c>
      <c r="AG40" s="120"/>
      <c r="AH40" s="121" t="str">
        <f t="shared" si="5"/>
        <v/>
      </c>
      <c r="AI40" s="264" t="e">
        <f t="shared" ca="1" si="6"/>
        <v>#NAME?</v>
      </c>
      <c r="AJ40" s="332">
        <f t="shared" ca="1" si="7"/>
        <v>0</v>
      </c>
      <c r="AK40" s="333">
        <f t="shared" ca="1" si="8"/>
        <v>0</v>
      </c>
      <c r="AL40" s="335">
        <f t="shared" ca="1" si="9"/>
        <v>0</v>
      </c>
      <c r="AM40" s="377">
        <f t="shared" ca="1" si="10"/>
        <v>0</v>
      </c>
      <c r="AN40" s="378">
        <f t="shared" ca="1" si="11"/>
        <v>0</v>
      </c>
    </row>
    <row r="41" spans="1:40" x14ac:dyDescent="0.2">
      <c r="A41" s="1" t="s">
        <v>102</v>
      </c>
      <c r="C41" s="23" t="s">
        <v>101</v>
      </c>
      <c r="D41" s="1" t="s">
        <v>106</v>
      </c>
      <c r="F41" s="1" t="s">
        <v>98</v>
      </c>
      <c r="H41" s="10" t="s">
        <v>266</v>
      </c>
      <c r="I41" s="447" t="e">
        <f ca="1">_xll.EVPRO($B$1,$H41,"STYLE")</f>
        <v>#NAME?</v>
      </c>
      <c r="J41" s="447" t="e">
        <f ca="1">_xll.EVPRO($B$1,$H41,"CALC")</f>
        <v>#NAME?</v>
      </c>
      <c r="K41" s="448" t="e">
        <f t="shared" ca="1" si="4"/>
        <v>#NAME?</v>
      </c>
      <c r="L41" s="151" t="e">
        <f ca="1">_xll.EVPRO($B$1,H41,"JDEID")</f>
        <v>#NAME?</v>
      </c>
      <c r="M41" s="151" t="e">
        <f ca="1">IF(AND(I41="N",J41="N"),_xll.EVPRO($B$1,H41,"PSFTID"),"")</f>
        <v>#NAME?</v>
      </c>
      <c r="N41" s="151" t="e">
        <f ca="1">IF(_xll.EVDES(H41,$B$1)="#NODATA","",_xll.EVDES(H41,$B$1))</f>
        <v>#NAME?</v>
      </c>
      <c r="O41" s="287"/>
      <c r="P41" s="288"/>
      <c r="Q41" s="288"/>
      <c r="R41" s="288"/>
      <c r="S41" s="288"/>
      <c r="T41" s="288"/>
      <c r="U41" s="288"/>
      <c r="V41" s="288"/>
      <c r="W41" s="288"/>
      <c r="X41" s="288"/>
      <c r="Y41" s="288"/>
      <c r="Z41" s="288"/>
      <c r="AA41" s="288" t="e">
        <f t="shared" ca="1" si="0"/>
        <v>#NAME?</v>
      </c>
      <c r="AB41" s="289" t="e">
        <f t="shared" ca="1" si="1"/>
        <v>#NAME?</v>
      </c>
      <c r="AC41" s="301"/>
      <c r="AD41" s="288"/>
      <c r="AE41" s="289" t="str">
        <f t="shared" si="2"/>
        <v/>
      </c>
      <c r="AF41" s="290" t="e">
        <f t="shared" ca="1" si="3"/>
        <v>#NAME?</v>
      </c>
      <c r="AG41" s="288"/>
      <c r="AH41" s="289" t="str">
        <f t="shared" si="5"/>
        <v/>
      </c>
      <c r="AI41" s="291" t="e">
        <f t="shared" ca="1" si="6"/>
        <v>#NAME?</v>
      </c>
      <c r="AJ41" s="325">
        <f t="shared" ca="1" si="7"/>
        <v>0</v>
      </c>
      <c r="AK41" s="326">
        <f t="shared" ca="1" si="8"/>
        <v>0</v>
      </c>
      <c r="AL41" s="328">
        <f t="shared" ca="1" si="9"/>
        <v>0</v>
      </c>
      <c r="AM41" s="362">
        <f t="shared" ca="1" si="10"/>
        <v>0</v>
      </c>
      <c r="AN41" s="376">
        <f t="shared" ca="1" si="11"/>
        <v>0</v>
      </c>
    </row>
    <row r="42" spans="1:40" x14ac:dyDescent="0.2">
      <c r="A42" s="1" t="s">
        <v>102</v>
      </c>
      <c r="C42" s="135" t="s">
        <v>101</v>
      </c>
      <c r="D42" s="1" t="s">
        <v>107</v>
      </c>
      <c r="F42" s="1" t="s">
        <v>99</v>
      </c>
      <c r="H42" s="10" t="s">
        <v>267</v>
      </c>
      <c r="I42" s="25" t="e">
        <f ca="1">_xll.EVPRO($B$1,$H42,"STYLE")</f>
        <v>#NAME?</v>
      </c>
      <c r="J42" s="25" t="e">
        <f ca="1">_xll.EVPRO($B$1,$H42,"CALC")</f>
        <v>#NAME?</v>
      </c>
      <c r="K42" s="64" t="e">
        <f t="shared" ca="1" si="4"/>
        <v>#NAME?</v>
      </c>
      <c r="L42" s="24" t="e">
        <f ca="1">_xll.EVPRO($B$1,H42,"JDEID")</f>
        <v>#NAME?</v>
      </c>
      <c r="M42" s="24" t="e">
        <f ca="1">IF(AND(I42="N",J42="N"),_xll.EVPRO($B$1,H42,"PSFTID"),"")</f>
        <v>#NAME?</v>
      </c>
      <c r="N42" s="24" t="e">
        <f ca="1">IF(_xll.EVDES(H42,$B$1)="#NODATA","",_xll.EVDES(H42,$B$1))</f>
        <v>#NAME?</v>
      </c>
      <c r="O42" s="282"/>
      <c r="P42" s="283"/>
      <c r="Q42" s="283"/>
      <c r="R42" s="283"/>
      <c r="S42" s="283"/>
      <c r="T42" s="283"/>
      <c r="U42" s="283"/>
      <c r="V42" s="283"/>
      <c r="W42" s="283"/>
      <c r="X42" s="283"/>
      <c r="Y42" s="283"/>
      <c r="Z42" s="283"/>
      <c r="AA42" s="283" t="e">
        <f t="shared" ca="1" si="0"/>
        <v>#NAME?</v>
      </c>
      <c r="AB42" s="284" t="e">
        <f t="shared" ca="1" si="1"/>
        <v>#NAME?</v>
      </c>
      <c r="AC42" s="300"/>
      <c r="AD42" s="283"/>
      <c r="AE42" s="284" t="str">
        <f t="shared" si="2"/>
        <v/>
      </c>
      <c r="AF42" s="285" t="e">
        <f t="shared" ca="1" si="3"/>
        <v>#NAME?</v>
      </c>
      <c r="AG42" s="283"/>
      <c r="AH42" s="284" t="str">
        <f t="shared" si="5"/>
        <v/>
      </c>
      <c r="AI42" s="286" t="e">
        <f t="shared" ca="1" si="6"/>
        <v>#NAME?</v>
      </c>
      <c r="AJ42" s="371">
        <f t="shared" ca="1" si="7"/>
        <v>0</v>
      </c>
      <c r="AK42" s="372">
        <f t="shared" ca="1" si="8"/>
        <v>0</v>
      </c>
      <c r="AL42" s="373">
        <f t="shared" ca="1" si="9"/>
        <v>0</v>
      </c>
      <c r="AM42" s="374">
        <f t="shared" ca="1" si="10"/>
        <v>0</v>
      </c>
      <c r="AN42" s="375">
        <f t="shared" ca="1" si="11"/>
        <v>0</v>
      </c>
    </row>
    <row r="43" spans="1:40" x14ac:dyDescent="0.2">
      <c r="A43" s="1" t="s">
        <v>108</v>
      </c>
      <c r="C43" s="23" t="s">
        <v>101</v>
      </c>
      <c r="D43" s="1" t="s">
        <v>106</v>
      </c>
      <c r="F43" s="1" t="s">
        <v>98</v>
      </c>
      <c r="H43" s="10" t="s">
        <v>268</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282"/>
      <c r="P43" s="283"/>
      <c r="Q43" s="283"/>
      <c r="R43" s="283"/>
      <c r="S43" s="283"/>
      <c r="T43" s="283"/>
      <c r="U43" s="283"/>
      <c r="V43" s="283"/>
      <c r="W43" s="283"/>
      <c r="X43" s="283"/>
      <c r="Y43" s="283"/>
      <c r="Z43" s="283"/>
      <c r="AA43" s="283" t="e">
        <f t="shared" ca="1" si="0"/>
        <v>#NAME?</v>
      </c>
      <c r="AB43" s="284" t="e">
        <f t="shared" ca="1" si="1"/>
        <v>#NAME?</v>
      </c>
      <c r="AC43" s="300"/>
      <c r="AD43" s="283"/>
      <c r="AE43" s="284" t="str">
        <f t="shared" si="2"/>
        <v/>
      </c>
      <c r="AF43" s="285" t="e">
        <f t="shared" ca="1" si="3"/>
        <v>#NAME?</v>
      </c>
      <c r="AG43" s="283"/>
      <c r="AH43" s="284" t="str">
        <f t="shared" si="5"/>
        <v/>
      </c>
      <c r="AI43" s="286" t="e">
        <f t="shared" ca="1" si="6"/>
        <v>#NAME?</v>
      </c>
      <c r="AJ43" s="371">
        <f t="shared" ca="1" si="7"/>
        <v>0</v>
      </c>
      <c r="AK43" s="372">
        <f t="shared" ca="1" si="8"/>
        <v>0</v>
      </c>
      <c r="AL43" s="373">
        <f t="shared" ca="1" si="9"/>
        <v>0</v>
      </c>
      <c r="AM43" s="374">
        <f t="shared" ca="1" si="10"/>
        <v>0</v>
      </c>
      <c r="AN43" s="375">
        <f t="shared" ca="1" si="11"/>
        <v>0</v>
      </c>
    </row>
    <row r="44" spans="1:40" x14ac:dyDescent="0.2">
      <c r="A44" s="1" t="s">
        <v>108</v>
      </c>
      <c r="C44" s="135" t="s">
        <v>101</v>
      </c>
      <c r="D44" s="1" t="s">
        <v>107</v>
      </c>
      <c r="F44" s="1" t="s">
        <v>99</v>
      </c>
      <c r="H44" s="10" t="s">
        <v>269</v>
      </c>
      <c r="I44" s="25" t="e">
        <f ca="1">_xll.EVPRO($B$1,$H44,"STYLE")</f>
        <v>#NAME?</v>
      </c>
      <c r="J44" s="25" t="e">
        <f ca="1">_xll.EVPRO($B$1,$H44,"CALC")</f>
        <v>#NAME?</v>
      </c>
      <c r="K44" s="64" t="e">
        <f t="shared" ca="1" si="4"/>
        <v>#NAME?</v>
      </c>
      <c r="L44" s="24" t="e">
        <f ca="1">_xll.EVPRO($B$1,H44,"JDEID")</f>
        <v>#NAME?</v>
      </c>
      <c r="M44" s="24" t="e">
        <f ca="1">IF(AND(I44="N",J44="N"),_xll.EVPRO($B$1,H44,"PSFTID"),"")</f>
        <v>#NAME?</v>
      </c>
      <c r="N44" s="24" t="e">
        <f ca="1">IF(_xll.EVDES(H44,$B$1)="#NODATA","",_xll.EVDES(H44,$B$1))</f>
        <v>#NAME?</v>
      </c>
      <c r="O44" s="282"/>
      <c r="P44" s="283"/>
      <c r="Q44" s="283"/>
      <c r="R44" s="283"/>
      <c r="S44" s="283"/>
      <c r="T44" s="283"/>
      <c r="U44" s="283"/>
      <c r="V44" s="283"/>
      <c r="W44" s="283"/>
      <c r="X44" s="283"/>
      <c r="Y44" s="283"/>
      <c r="Z44" s="283"/>
      <c r="AA44" s="283" t="e">
        <f t="shared" ca="1" si="0"/>
        <v>#NAME?</v>
      </c>
      <c r="AB44" s="284" t="e">
        <f t="shared" ca="1" si="1"/>
        <v>#NAME?</v>
      </c>
      <c r="AC44" s="300"/>
      <c r="AD44" s="283"/>
      <c r="AE44" s="284" t="str">
        <f t="shared" si="2"/>
        <v/>
      </c>
      <c r="AF44" s="285" t="e">
        <f t="shared" ca="1" si="3"/>
        <v>#NAME?</v>
      </c>
      <c r="AG44" s="283"/>
      <c r="AH44" s="284" t="str">
        <f t="shared" si="5"/>
        <v/>
      </c>
      <c r="AI44" s="286" t="e">
        <f t="shared" ca="1" si="6"/>
        <v>#NAME?</v>
      </c>
      <c r="AJ44" s="371">
        <f t="shared" ca="1" si="7"/>
        <v>0</v>
      </c>
      <c r="AK44" s="372">
        <f t="shared" ca="1" si="8"/>
        <v>0</v>
      </c>
      <c r="AL44" s="373">
        <f t="shared" ca="1" si="9"/>
        <v>0</v>
      </c>
      <c r="AM44" s="374">
        <f t="shared" ca="1" si="10"/>
        <v>0</v>
      </c>
      <c r="AN44" s="375">
        <f t="shared" ca="1" si="11"/>
        <v>0</v>
      </c>
    </row>
    <row r="45" spans="1:40" x14ac:dyDescent="0.2">
      <c r="H45" s="10" t="s">
        <v>270</v>
      </c>
      <c r="I45" s="25" t="e">
        <f ca="1">_xll.EVPRO($B$1,$H45,"STYLE")</f>
        <v>#NAME?</v>
      </c>
      <c r="J45" s="25" t="e">
        <f ca="1">_xll.EVPRO($B$1,$H45,"CALC")</f>
        <v>#NAME?</v>
      </c>
      <c r="K45" s="64" t="e">
        <f t="shared" ca="1" si="4"/>
        <v>#NAME?</v>
      </c>
      <c r="L45" s="24" t="e">
        <f ca="1">_xll.EVPRO($B$1,H45,"JDEID")</f>
        <v>#NAME?</v>
      </c>
      <c r="M45" s="24" t="e">
        <f ca="1">IF(AND(I45="N",J45="N"),_xll.EVPRO($B$1,H45,"PSFTID"),"")</f>
        <v>#NAME?</v>
      </c>
      <c r="N45" s="24" t="e">
        <f ca="1">IF(_xll.EVDES(H45,$B$1)="#NODATA","",_xll.EVDES(H45,$B$1))</f>
        <v>#NAME?</v>
      </c>
      <c r="O45" s="282"/>
      <c r="P45" s="283"/>
      <c r="Q45" s="283"/>
      <c r="R45" s="283"/>
      <c r="S45" s="283"/>
      <c r="T45" s="283"/>
      <c r="U45" s="283"/>
      <c r="V45" s="283"/>
      <c r="W45" s="283"/>
      <c r="X45" s="283"/>
      <c r="Y45" s="283"/>
      <c r="Z45" s="283"/>
      <c r="AA45" s="283" t="e">
        <f t="shared" ca="1" si="0"/>
        <v>#NAME?</v>
      </c>
      <c r="AB45" s="284" t="e">
        <f t="shared" ca="1" si="1"/>
        <v>#NAME?</v>
      </c>
      <c r="AC45" s="300"/>
      <c r="AD45" s="283"/>
      <c r="AE45" s="284" t="str">
        <f t="shared" si="2"/>
        <v/>
      </c>
      <c r="AF45" s="285" t="e">
        <f t="shared" ca="1" si="3"/>
        <v>#NAME?</v>
      </c>
      <c r="AG45" s="283"/>
      <c r="AH45" s="284" t="str">
        <f t="shared" si="5"/>
        <v/>
      </c>
      <c r="AI45" s="286" t="e">
        <f t="shared" ca="1" si="6"/>
        <v>#NAME?</v>
      </c>
      <c r="AJ45" s="371">
        <f t="shared" ca="1" si="7"/>
        <v>0</v>
      </c>
      <c r="AK45" s="372">
        <f t="shared" ca="1" si="8"/>
        <v>0</v>
      </c>
      <c r="AL45" s="373">
        <f t="shared" ca="1" si="9"/>
        <v>0</v>
      </c>
      <c r="AM45" s="374">
        <f t="shared" ca="1" si="10"/>
        <v>0</v>
      </c>
      <c r="AN45" s="375">
        <f t="shared" ca="1" si="11"/>
        <v>0</v>
      </c>
    </row>
    <row r="46" spans="1:40" x14ac:dyDescent="0.2">
      <c r="H46" s="10" t="s">
        <v>271</v>
      </c>
      <c r="I46" s="25" t="e">
        <f ca="1">_xll.EVPRO($B$1,$H46,"STYLE")</f>
        <v>#NAME?</v>
      </c>
      <c r="J46" s="25" t="e">
        <f ca="1">_xll.EVPRO($B$1,$H46,"CALC")</f>
        <v>#NAME?</v>
      </c>
      <c r="K46" s="64" t="e">
        <f t="shared" ca="1" si="4"/>
        <v>#NAME?</v>
      </c>
      <c r="L46" s="24" t="e">
        <f ca="1">_xll.EVPRO($B$1,H46,"JDEID")</f>
        <v>#NAME?</v>
      </c>
      <c r="M46" s="24" t="e">
        <f ca="1">IF(AND(I46="N",J46="N"),_xll.EVPRO($B$1,H46,"PSFTID"),"")</f>
        <v>#NAME?</v>
      </c>
      <c r="N46" s="24" t="e">
        <f ca="1">IF(_xll.EVDES(H46,$B$1)="#NODATA","",_xll.EVDES(H46,$B$1))</f>
        <v>#NAME?</v>
      </c>
      <c r="O46" s="295"/>
      <c r="P46" s="296"/>
      <c r="Q46" s="296"/>
      <c r="R46" s="296"/>
      <c r="S46" s="296"/>
      <c r="T46" s="296"/>
      <c r="U46" s="296"/>
      <c r="V46" s="296"/>
      <c r="W46" s="296"/>
      <c r="X46" s="296"/>
      <c r="Y46" s="296"/>
      <c r="Z46" s="296"/>
      <c r="AA46" s="296" t="e">
        <f t="shared" ca="1" si="0"/>
        <v>#NAME?</v>
      </c>
      <c r="AB46" s="297" t="e">
        <f t="shared" ca="1" si="1"/>
        <v>#NAME?</v>
      </c>
      <c r="AC46" s="263"/>
      <c r="AD46" s="296"/>
      <c r="AE46" s="297" t="str">
        <f t="shared" si="2"/>
        <v/>
      </c>
      <c r="AF46" s="298" t="e">
        <f t="shared" ca="1" si="3"/>
        <v>#NAME?</v>
      </c>
      <c r="AG46" s="296"/>
      <c r="AH46" s="297" t="str">
        <f t="shared" si="5"/>
        <v/>
      </c>
      <c r="AI46" s="299" t="e">
        <f t="shared" ca="1" si="6"/>
        <v>#NAME?</v>
      </c>
      <c r="AJ46" s="381">
        <f t="shared" ca="1" si="7"/>
        <v>0</v>
      </c>
      <c r="AK46" s="382">
        <f t="shared" ca="1" si="8"/>
        <v>0</v>
      </c>
      <c r="AL46" s="383">
        <f t="shared" ca="1" si="9"/>
        <v>0</v>
      </c>
      <c r="AM46" s="384">
        <f t="shared" ca="1" si="10"/>
        <v>0</v>
      </c>
      <c r="AN46" s="385">
        <f t="shared" ca="1" si="11"/>
        <v>0</v>
      </c>
    </row>
    <row r="47" spans="1:40" x14ac:dyDescent="0.2">
      <c r="A47" s="4" t="e">
        <f ca="1">_xll.EVDRE($B$1,A50:B57,A60:B66)</f>
        <v>#NAME?</v>
      </c>
      <c r="H47" s="10" t="s">
        <v>272</v>
      </c>
      <c r="I47" s="447" t="e">
        <f ca="1">_xll.EVPRO($B$1,$H47,"STYLE")</f>
        <v>#NAME?</v>
      </c>
      <c r="J47" s="447" t="e">
        <f ca="1">_xll.EVPRO($B$1,$H47,"CALC")</f>
        <v>#NAME?</v>
      </c>
      <c r="K47" s="448" t="e">
        <f t="shared" ca="1" si="4"/>
        <v>#NAME?</v>
      </c>
      <c r="L47" s="151" t="e">
        <f ca="1">_xll.EVPRO($B$1,H47,"JDEID")</f>
        <v>#NAME?</v>
      </c>
      <c r="M47" s="151" t="e">
        <f ca="1">IF(AND(I47="N",J47="N"),_xll.EVPRO($B$1,H47,"PSFTID"),"")</f>
        <v>#NAME?</v>
      </c>
      <c r="N47" s="151" t="e">
        <f ca="1">IF(_xll.EVDES(H47,$B$1)="#NODATA","",_xll.EVDES(H47,$B$1))</f>
        <v>#NAME?</v>
      </c>
      <c r="O47" s="202"/>
      <c r="P47" s="120"/>
      <c r="Q47" s="120"/>
      <c r="R47" s="120"/>
      <c r="S47" s="120"/>
      <c r="T47" s="120"/>
      <c r="U47" s="120"/>
      <c r="V47" s="120"/>
      <c r="W47" s="120"/>
      <c r="X47" s="120"/>
      <c r="Y47" s="120"/>
      <c r="Z47" s="120"/>
      <c r="AA47" s="120" t="e">
        <f t="shared" ca="1" si="0"/>
        <v>#NAME?</v>
      </c>
      <c r="AB47" s="121" t="e">
        <f t="shared" ca="1" si="1"/>
        <v>#NAME?</v>
      </c>
      <c r="AC47" s="123"/>
      <c r="AD47" s="120"/>
      <c r="AE47" s="121" t="str">
        <f t="shared" si="2"/>
        <v/>
      </c>
      <c r="AF47" s="122" t="e">
        <f t="shared" ca="1" si="3"/>
        <v>#NAME?</v>
      </c>
      <c r="AG47" s="120"/>
      <c r="AH47" s="121" t="str">
        <f t="shared" si="5"/>
        <v/>
      </c>
      <c r="AI47" s="264" t="e">
        <f t="shared" ca="1" si="6"/>
        <v>#NAME?</v>
      </c>
      <c r="AJ47" s="332">
        <f t="shared" ca="1" si="7"/>
        <v>0</v>
      </c>
      <c r="AK47" s="333">
        <f t="shared" ca="1" si="8"/>
        <v>0</v>
      </c>
      <c r="AL47" s="335">
        <f t="shared" ca="1" si="9"/>
        <v>0</v>
      </c>
      <c r="AM47" s="377">
        <f t="shared" ca="1" si="10"/>
        <v>0</v>
      </c>
      <c r="AN47" s="378">
        <f t="shared" ca="1" si="11"/>
        <v>0</v>
      </c>
    </row>
    <row r="48" spans="1:40" x14ac:dyDescent="0.2">
      <c r="H48" s="10" t="s">
        <v>486</v>
      </c>
      <c r="I48" s="25" t="e">
        <f ca="1">_xll.EVPRO($B$1,$H48,"STYLE")</f>
        <v>#NAME?</v>
      </c>
      <c r="J48" s="25" t="e">
        <f ca="1">_xll.EVPRO($B$1,$H48,"CALC")</f>
        <v>#NAME?</v>
      </c>
      <c r="K48" s="64" t="e">
        <f t="shared" ca="1" si="4"/>
        <v>#NAME?</v>
      </c>
      <c r="L48" s="24" t="e">
        <f ca="1">_xll.EVPRO($B$1,H48,"JDEID")</f>
        <v>#NAME?</v>
      </c>
      <c r="M48" s="24" t="e">
        <f ca="1">IF(AND(I48="N",J48="N"),_xll.EVPRO($B$1,H48,"PSFTID"),"")</f>
        <v>#NAME?</v>
      </c>
      <c r="N48" s="24" t="e">
        <f ca="1">IF(_xll.EVDES(H48,$B$1)="#NODATA","",_xll.EVDES(H48,$B$1))</f>
        <v>#NAME?</v>
      </c>
      <c r="O48" s="302"/>
      <c r="P48" s="44"/>
      <c r="Q48" s="44"/>
      <c r="R48" s="44"/>
      <c r="S48" s="44"/>
      <c r="T48" s="44"/>
      <c r="U48" s="44"/>
      <c r="V48" s="44"/>
      <c r="W48" s="44"/>
      <c r="X48" s="44"/>
      <c r="Y48" s="44"/>
      <c r="Z48" s="44"/>
      <c r="AA48" s="44" t="e">
        <f t="shared" ca="1" si="0"/>
        <v>#NAME?</v>
      </c>
      <c r="AB48" s="45" t="e">
        <f t="shared" ca="1" si="1"/>
        <v>#NAME?</v>
      </c>
      <c r="AD48" s="44"/>
      <c r="AE48" s="45" t="str">
        <f t="shared" si="2"/>
        <v/>
      </c>
      <c r="AF48" s="134" t="e">
        <f t="shared" ca="1" si="3"/>
        <v>#NAME?</v>
      </c>
      <c r="AG48" s="44"/>
      <c r="AH48" s="45" t="str">
        <f t="shared" si="5"/>
        <v/>
      </c>
      <c r="AI48" s="303" t="e">
        <f t="shared" ca="1" si="6"/>
        <v>#NAME?</v>
      </c>
      <c r="AJ48" s="392">
        <f t="shared" ca="1" si="7"/>
        <v>0</v>
      </c>
      <c r="AK48" s="393">
        <f t="shared" ca="1" si="8"/>
        <v>0</v>
      </c>
      <c r="AL48" s="394">
        <f t="shared" ca="1" si="9"/>
        <v>0</v>
      </c>
      <c r="AM48" s="395">
        <f t="shared" ca="1" si="10"/>
        <v>0</v>
      </c>
      <c r="AN48" s="396">
        <f t="shared" ca="1" si="11"/>
        <v>0</v>
      </c>
    </row>
    <row r="49" spans="1:40" x14ac:dyDescent="0.2">
      <c r="A49" s="3" t="s">
        <v>0</v>
      </c>
      <c r="B49" s="5" t="s">
        <v>1</v>
      </c>
      <c r="H49" s="10" t="s">
        <v>273</v>
      </c>
      <c r="I49" s="447" t="e">
        <f ca="1">_xll.EVPRO($B$1,$H49,"STYLE")</f>
        <v>#NAME?</v>
      </c>
      <c r="J49" s="447" t="e">
        <f ca="1">_xll.EVPRO($B$1,$H49,"CALC")</f>
        <v>#NAME?</v>
      </c>
      <c r="K49" s="448" t="e">
        <f t="shared" ca="1" si="4"/>
        <v>#NAME?</v>
      </c>
      <c r="L49" s="151" t="e">
        <f ca="1">_xll.EVPRO($B$1,H49,"JDEID")</f>
        <v>#NAME?</v>
      </c>
      <c r="M49" s="151" t="e">
        <f ca="1">IF(AND(I49="N",J49="N"),_xll.EVPRO($B$1,H49,"PSFTID"),"")</f>
        <v>#NAME?</v>
      </c>
      <c r="N49" s="151" t="e">
        <f ca="1">IF(_xll.EVDES(H49,$B$1)="#NODATA","",_xll.EVDES(H49,$B$1))</f>
        <v>#NAME?</v>
      </c>
      <c r="O49" s="202"/>
      <c r="P49" s="120"/>
      <c r="Q49" s="120"/>
      <c r="R49" s="120"/>
      <c r="S49" s="120"/>
      <c r="T49" s="120"/>
      <c r="U49" s="120"/>
      <c r="V49" s="120"/>
      <c r="W49" s="120"/>
      <c r="X49" s="120"/>
      <c r="Y49" s="120"/>
      <c r="Z49" s="120"/>
      <c r="AA49" s="120" t="e">
        <f t="shared" ca="1" si="0"/>
        <v>#NAME?</v>
      </c>
      <c r="AB49" s="121" t="e">
        <f t="shared" ca="1" si="1"/>
        <v>#NAME?</v>
      </c>
      <c r="AC49" s="123"/>
      <c r="AD49" s="120"/>
      <c r="AE49" s="121" t="str">
        <f t="shared" si="2"/>
        <v/>
      </c>
      <c r="AF49" s="122" t="e">
        <f t="shared" ca="1" si="3"/>
        <v>#NAME?</v>
      </c>
      <c r="AG49" s="120"/>
      <c r="AH49" s="121" t="str">
        <f t="shared" si="5"/>
        <v/>
      </c>
      <c r="AI49" s="264" t="e">
        <f t="shared" ca="1" si="6"/>
        <v>#NAME?</v>
      </c>
      <c r="AJ49" s="332">
        <f t="shared" ca="1" si="7"/>
        <v>0</v>
      </c>
      <c r="AK49" s="333">
        <f t="shared" ca="1" si="8"/>
        <v>0</v>
      </c>
      <c r="AL49" s="335">
        <f t="shared" ca="1" si="9"/>
        <v>0</v>
      </c>
      <c r="AM49" s="377">
        <f t="shared" ca="1" si="10"/>
        <v>0</v>
      </c>
      <c r="AN49" s="378">
        <f t="shared" ca="1" si="11"/>
        <v>0</v>
      </c>
    </row>
    <row r="50" spans="1:40" x14ac:dyDescent="0.2">
      <c r="A50" s="6" t="s">
        <v>2</v>
      </c>
      <c r="B50" s="7" t="e">
        <f ca="1">_xll.EVRNG($B$2:$B$10)</f>
        <v>#NAME?</v>
      </c>
      <c r="H50" s="10" t="s">
        <v>279</v>
      </c>
      <c r="I50" s="447" t="e">
        <f ca="1">_xll.EVPRO($B$1,$H50,"STYLE")</f>
        <v>#NAME?</v>
      </c>
      <c r="J50" s="447" t="e">
        <f ca="1">_xll.EVPRO($B$1,$H50,"CALC")</f>
        <v>#NAME?</v>
      </c>
      <c r="K50" s="448" t="e">
        <f t="shared" ca="1" si="4"/>
        <v>#NAME?</v>
      </c>
      <c r="L50" s="151" t="e">
        <f ca="1">_xll.EVPRO($B$1,H50,"JDEID")</f>
        <v>#NAME?</v>
      </c>
      <c r="M50" s="151" t="e">
        <f ca="1">IF(AND(I50="N",J50="N"),_xll.EVPRO($B$1,H50,"PSFTID"),"")</f>
        <v>#NAME?</v>
      </c>
      <c r="N50" s="151" t="e">
        <f ca="1">IF(_xll.EVDES(H50,$B$1)="#NODATA","",_xll.EVDES(H50,$B$1))</f>
        <v>#NAME?</v>
      </c>
      <c r="O50" s="287"/>
      <c r="P50" s="288"/>
      <c r="Q50" s="288"/>
      <c r="R50" s="288"/>
      <c r="S50" s="288"/>
      <c r="T50" s="288"/>
      <c r="U50" s="288"/>
      <c r="V50" s="288"/>
      <c r="W50" s="288"/>
      <c r="X50" s="288"/>
      <c r="Y50" s="288"/>
      <c r="Z50" s="288"/>
      <c r="AA50" s="288" t="e">
        <f t="shared" ca="1" si="0"/>
        <v>#NAME?</v>
      </c>
      <c r="AB50" s="289" t="e">
        <f t="shared" ca="1" si="1"/>
        <v>#NAME?</v>
      </c>
      <c r="AC50" s="301"/>
      <c r="AD50" s="288"/>
      <c r="AE50" s="289" t="str">
        <f t="shared" si="2"/>
        <v/>
      </c>
      <c r="AF50" s="290" t="e">
        <f t="shared" ca="1" si="3"/>
        <v>#NAME?</v>
      </c>
      <c r="AG50" s="288"/>
      <c r="AH50" s="289" t="str">
        <f t="shared" si="5"/>
        <v/>
      </c>
      <c r="AI50" s="291" t="e">
        <f t="shared" ca="1" si="6"/>
        <v>#NAME?</v>
      </c>
      <c r="AJ50" s="325">
        <f t="shared" ca="1" si="7"/>
        <v>0</v>
      </c>
      <c r="AK50" s="326">
        <f t="shared" ca="1" si="8"/>
        <v>0</v>
      </c>
      <c r="AL50" s="328">
        <f t="shared" ca="1" si="9"/>
        <v>0</v>
      </c>
      <c r="AM50" s="362">
        <f t="shared" ca="1" si="10"/>
        <v>0</v>
      </c>
      <c r="AN50" s="376">
        <f t="shared" ca="1" si="11"/>
        <v>0</v>
      </c>
    </row>
    <row r="51" spans="1:40" x14ac:dyDescent="0.2">
      <c r="A51" s="6" t="s">
        <v>3</v>
      </c>
      <c r="B51" s="7" t="e">
        <f ca="1">_xll.EVRNG($O$16:$AN$18)</f>
        <v>#NAME?</v>
      </c>
      <c r="H51" s="10" t="s">
        <v>274</v>
      </c>
      <c r="I51" s="25" t="e">
        <f ca="1">_xll.EVPRO($B$1,$H51,"STYLE")</f>
        <v>#NAME?</v>
      </c>
      <c r="J51" s="25" t="e">
        <f ca="1">_xll.EVPRO($B$1,$H51,"CALC")</f>
        <v>#NAME?</v>
      </c>
      <c r="K51" s="64" t="e">
        <f t="shared" ca="1" si="4"/>
        <v>#NAME?</v>
      </c>
      <c r="L51" s="24" t="e">
        <f ca="1">_xll.EVPRO($B$1,H51,"JDEID")</f>
        <v>#NAME?</v>
      </c>
      <c r="M51" s="24" t="e">
        <f ca="1">IF(AND(I51="N",J51="N"),_xll.EVPRO($B$1,H51,"PSFTID"),"")</f>
        <v>#NAME?</v>
      </c>
      <c r="N51" s="24" t="e">
        <f ca="1">IF(_xll.EVDES(H51,$B$1)="#NODATA","",_xll.EVDES(H51,$B$1))</f>
        <v>#NAME?</v>
      </c>
      <c r="O51" s="282"/>
      <c r="P51" s="283"/>
      <c r="Q51" s="283"/>
      <c r="R51" s="283"/>
      <c r="S51" s="283"/>
      <c r="T51" s="283"/>
      <c r="U51" s="283"/>
      <c r="V51" s="283"/>
      <c r="W51" s="283"/>
      <c r="X51" s="283"/>
      <c r="Y51" s="283"/>
      <c r="Z51" s="283"/>
      <c r="AA51" s="283" t="e">
        <f t="shared" ca="1" si="0"/>
        <v>#NAME?</v>
      </c>
      <c r="AB51" s="284" t="e">
        <f t="shared" ca="1" si="1"/>
        <v>#NAME?</v>
      </c>
      <c r="AC51" s="300"/>
      <c r="AD51" s="283"/>
      <c r="AE51" s="284" t="str">
        <f t="shared" si="2"/>
        <v/>
      </c>
      <c r="AF51" s="285" t="e">
        <f t="shared" ca="1" si="3"/>
        <v>#NAME?</v>
      </c>
      <c r="AG51" s="283"/>
      <c r="AH51" s="284" t="str">
        <f t="shared" si="5"/>
        <v/>
      </c>
      <c r="AI51" s="286" t="e">
        <f t="shared" ca="1" si="6"/>
        <v>#NAME?</v>
      </c>
      <c r="AJ51" s="371">
        <f t="shared" ca="1" si="7"/>
        <v>0</v>
      </c>
      <c r="AK51" s="372">
        <f t="shared" ca="1" si="8"/>
        <v>0</v>
      </c>
      <c r="AL51" s="373">
        <f t="shared" ca="1" si="9"/>
        <v>0</v>
      </c>
      <c r="AM51" s="374">
        <f t="shared" ca="1" si="10"/>
        <v>0</v>
      </c>
      <c r="AN51" s="375">
        <f t="shared" ca="1" si="11"/>
        <v>0</v>
      </c>
    </row>
    <row r="52" spans="1:40" x14ac:dyDescent="0.2">
      <c r="A52" s="6" t="s">
        <v>4</v>
      </c>
      <c r="B52" s="7" t="e">
        <f ca="1">_xll.EVRNG(H62:H70)</f>
        <v>#NAME?</v>
      </c>
      <c r="H52" s="10" t="s">
        <v>275</v>
      </c>
      <c r="I52" s="25" t="e">
        <f ca="1">_xll.EVPRO($B$1,$H52,"STYLE")</f>
        <v>#NAME?</v>
      </c>
      <c r="J52" s="25" t="e">
        <f ca="1">_xll.EVPRO($B$1,$H52,"CALC")</f>
        <v>#NAME?</v>
      </c>
      <c r="K52" s="64" t="e">
        <f t="shared" ca="1" si="4"/>
        <v>#NAME?</v>
      </c>
      <c r="L52" s="24" t="e">
        <f ca="1">_xll.EVPRO($B$1,H52,"JDEID")</f>
        <v>#NAME?</v>
      </c>
      <c r="M52" s="24" t="e">
        <f ca="1">IF(AND(I52="N",J52="N"),_xll.EVPRO($B$1,H52,"PSFTID"),"")</f>
        <v>#NAME?</v>
      </c>
      <c r="N52" s="24" t="e">
        <f ca="1">IF(_xll.EVDES(H52,$B$1)="#NODATA","",_xll.EVDES(H52,$B$1))</f>
        <v>#NAME?</v>
      </c>
      <c r="O52" s="282"/>
      <c r="P52" s="283"/>
      <c r="Q52" s="283"/>
      <c r="R52" s="283"/>
      <c r="S52" s="283"/>
      <c r="T52" s="283"/>
      <c r="U52" s="283"/>
      <c r="V52" s="283"/>
      <c r="W52" s="283"/>
      <c r="X52" s="283"/>
      <c r="Y52" s="283"/>
      <c r="Z52" s="283"/>
      <c r="AA52" s="283" t="e">
        <f t="shared" ca="1" si="0"/>
        <v>#NAME?</v>
      </c>
      <c r="AB52" s="284" t="e">
        <f t="shared" ca="1" si="1"/>
        <v>#NAME?</v>
      </c>
      <c r="AC52" s="300"/>
      <c r="AD52" s="283"/>
      <c r="AE52" s="284" t="str">
        <f t="shared" si="2"/>
        <v/>
      </c>
      <c r="AF52" s="285" t="e">
        <f t="shared" ca="1" si="3"/>
        <v>#NAME?</v>
      </c>
      <c r="AG52" s="283"/>
      <c r="AH52" s="284" t="str">
        <f t="shared" si="5"/>
        <v/>
      </c>
      <c r="AI52" s="286" t="e">
        <f t="shared" ca="1" si="6"/>
        <v>#NAME?</v>
      </c>
      <c r="AJ52" s="371">
        <f t="shared" ca="1" si="7"/>
        <v>0</v>
      </c>
      <c r="AK52" s="372">
        <f t="shared" ca="1" si="8"/>
        <v>0</v>
      </c>
      <c r="AL52" s="373">
        <f t="shared" ca="1" si="9"/>
        <v>0</v>
      </c>
      <c r="AM52" s="374">
        <f t="shared" ca="1" si="10"/>
        <v>0</v>
      </c>
      <c r="AN52" s="375">
        <f t="shared" ca="1" si="11"/>
        <v>0</v>
      </c>
    </row>
    <row r="53" spans="1:40" x14ac:dyDescent="0.2">
      <c r="A53" s="6" t="s">
        <v>5</v>
      </c>
      <c r="B53" s="7"/>
      <c r="F53" s="136"/>
      <c r="H53" s="10" t="s">
        <v>276</v>
      </c>
      <c r="I53" s="25" t="e">
        <f ca="1">_xll.EVPRO($B$1,$H53,"STYLE")</f>
        <v>#NAME?</v>
      </c>
      <c r="J53" s="25" t="e">
        <f ca="1">_xll.EVPRO($B$1,$H53,"CALC")</f>
        <v>#NAME?</v>
      </c>
      <c r="K53" s="64" t="e">
        <f t="shared" ca="1" si="4"/>
        <v>#NAME?</v>
      </c>
      <c r="L53" s="24" t="e">
        <f ca="1">_xll.EVPRO($B$1,H53,"JDEID")</f>
        <v>#NAME?</v>
      </c>
      <c r="M53" s="24" t="e">
        <f ca="1">IF(AND(I53="N",J53="N"),_xll.EVPRO($B$1,H53,"PSFTID"),"")</f>
        <v>#NAME?</v>
      </c>
      <c r="N53" s="24" t="e">
        <f ca="1">IF(_xll.EVDES(H53,$B$1)="#NODATA","",_xll.EVDES(H53,$B$1))</f>
        <v>#NAME?</v>
      </c>
      <c r="O53" s="282"/>
      <c r="P53" s="283"/>
      <c r="Q53" s="283"/>
      <c r="R53" s="283"/>
      <c r="S53" s="283"/>
      <c r="T53" s="283"/>
      <c r="U53" s="283"/>
      <c r="V53" s="283"/>
      <c r="W53" s="283"/>
      <c r="X53" s="283"/>
      <c r="Y53" s="283"/>
      <c r="Z53" s="283"/>
      <c r="AA53" s="283" t="e">
        <f t="shared" ca="1" si="0"/>
        <v>#NAME?</v>
      </c>
      <c r="AB53" s="284" t="e">
        <f t="shared" ca="1" si="1"/>
        <v>#NAME?</v>
      </c>
      <c r="AC53" s="300"/>
      <c r="AD53" s="283"/>
      <c r="AE53" s="284" t="str">
        <f t="shared" si="2"/>
        <v/>
      </c>
      <c r="AF53" s="285" t="e">
        <f t="shared" ca="1" si="3"/>
        <v>#NAME?</v>
      </c>
      <c r="AG53" s="283"/>
      <c r="AH53" s="284" t="str">
        <f t="shared" si="5"/>
        <v/>
      </c>
      <c r="AI53" s="286" t="e">
        <f t="shared" ca="1" si="6"/>
        <v>#NAME?</v>
      </c>
      <c r="AJ53" s="371">
        <f t="shared" ca="1" si="7"/>
        <v>0</v>
      </c>
      <c r="AK53" s="372">
        <f t="shared" ca="1" si="8"/>
        <v>0</v>
      </c>
      <c r="AL53" s="373">
        <f t="shared" ca="1" si="9"/>
        <v>0</v>
      </c>
      <c r="AM53" s="374">
        <f t="shared" ca="1" si="10"/>
        <v>0</v>
      </c>
      <c r="AN53" s="375">
        <f t="shared" ca="1" si="11"/>
        <v>0</v>
      </c>
    </row>
    <row r="54" spans="1:40" x14ac:dyDescent="0.2">
      <c r="A54" s="6" t="s">
        <v>6</v>
      </c>
      <c r="B54" s="7"/>
      <c r="F54" s="136"/>
      <c r="H54" s="10" t="s">
        <v>282</v>
      </c>
      <c r="I54" s="25" t="e">
        <f ca="1">_xll.EVPRO($B$1,$H54,"STYLE")</f>
        <v>#NAME?</v>
      </c>
      <c r="J54" s="25" t="e">
        <f ca="1">_xll.EVPRO($B$1,$H54,"CALC")</f>
        <v>#NAME?</v>
      </c>
      <c r="K54" s="64" t="e">
        <f t="shared" ca="1" si="4"/>
        <v>#NAME?</v>
      </c>
      <c r="L54" s="24" t="e">
        <f ca="1">_xll.EVPRO($B$1,H54,"JDEID")</f>
        <v>#NAME?</v>
      </c>
      <c r="M54" s="24" t="e">
        <f ca="1">IF(AND(I54="N",J54="N"),_xll.EVPRO($B$1,H54,"PSFTID"),"")</f>
        <v>#NAME?</v>
      </c>
      <c r="N54" s="24" t="e">
        <f ca="1">IF(_xll.EVDES(H54,$B$1)="#NODATA","",_xll.EVDES(H54,$B$1))</f>
        <v>#NAME?</v>
      </c>
      <c r="O54" s="282"/>
      <c r="P54" s="283"/>
      <c r="Q54" s="283"/>
      <c r="R54" s="283"/>
      <c r="S54" s="283"/>
      <c r="T54" s="283"/>
      <c r="U54" s="283"/>
      <c r="V54" s="283"/>
      <c r="W54" s="283"/>
      <c r="X54" s="283"/>
      <c r="Y54" s="283"/>
      <c r="Z54" s="283"/>
      <c r="AA54" s="283" t="e">
        <f t="shared" ca="1" si="0"/>
        <v>#NAME?</v>
      </c>
      <c r="AB54" s="284" t="e">
        <f t="shared" ca="1" si="1"/>
        <v>#NAME?</v>
      </c>
      <c r="AC54" s="300"/>
      <c r="AD54" s="283"/>
      <c r="AE54" s="284" t="str">
        <f t="shared" si="2"/>
        <v/>
      </c>
      <c r="AF54" s="285" t="e">
        <f t="shared" ca="1" si="3"/>
        <v>#NAME?</v>
      </c>
      <c r="AG54" s="283"/>
      <c r="AH54" s="284" t="str">
        <f t="shared" si="5"/>
        <v/>
      </c>
      <c r="AI54" s="286" t="e">
        <f t="shared" ca="1" si="6"/>
        <v>#NAME?</v>
      </c>
      <c r="AJ54" s="371">
        <f t="shared" ca="1" si="7"/>
        <v>0</v>
      </c>
      <c r="AK54" s="372">
        <f t="shared" ca="1" si="8"/>
        <v>0</v>
      </c>
      <c r="AL54" s="373">
        <f t="shared" ca="1" si="9"/>
        <v>0</v>
      </c>
      <c r="AM54" s="374">
        <f t="shared" ca="1" si="10"/>
        <v>0</v>
      </c>
      <c r="AN54" s="375">
        <f t="shared" ca="1" si="11"/>
        <v>0</v>
      </c>
    </row>
    <row r="55" spans="1:40" x14ac:dyDescent="0.2">
      <c r="A55" s="6" t="s">
        <v>7</v>
      </c>
      <c r="B55" s="7" t="e">
        <f ca="1">_xll.EVRNG(A69:F77)</f>
        <v>#NAME?</v>
      </c>
      <c r="F55" s="136"/>
      <c r="H55" s="10" t="s">
        <v>283</v>
      </c>
      <c r="I55" s="25" t="e">
        <f ca="1">_xll.EVPRO($B$1,$H55,"STYLE")</f>
        <v>#NAME?</v>
      </c>
      <c r="J55" s="25" t="e">
        <f ca="1">_xll.EVPRO($B$1,$H55,"CALC")</f>
        <v>#NAME?</v>
      </c>
      <c r="K55" s="64" t="e">
        <f t="shared" ca="1" si="4"/>
        <v>#NAME?</v>
      </c>
      <c r="L55" s="24" t="e">
        <f ca="1">_xll.EVPRO($B$1,H55,"JDEID")</f>
        <v>#NAME?</v>
      </c>
      <c r="M55" s="24" t="e">
        <f ca="1">IF(AND(I55="N",J55="N"),_xll.EVPRO($B$1,H55,"PSFTID"),"")</f>
        <v>#NAME?</v>
      </c>
      <c r="N55" s="24" t="e">
        <f ca="1">IF(_xll.EVDES(H55,$B$1)="#NODATA","",_xll.EVDES(H55,$B$1))</f>
        <v>#NAME?</v>
      </c>
      <c r="O55" s="282"/>
      <c r="P55" s="283"/>
      <c r="Q55" s="283"/>
      <c r="R55" s="283"/>
      <c r="S55" s="283"/>
      <c r="T55" s="283"/>
      <c r="U55" s="283"/>
      <c r="V55" s="283"/>
      <c r="W55" s="283"/>
      <c r="X55" s="283"/>
      <c r="Y55" s="283"/>
      <c r="Z55" s="283"/>
      <c r="AA55" s="283" t="e">
        <f t="shared" ca="1" si="0"/>
        <v>#NAME?</v>
      </c>
      <c r="AB55" s="284" t="e">
        <f t="shared" ca="1" si="1"/>
        <v>#NAME?</v>
      </c>
      <c r="AC55" s="300"/>
      <c r="AD55" s="283"/>
      <c r="AE55" s="284" t="str">
        <f t="shared" si="2"/>
        <v/>
      </c>
      <c r="AF55" s="285" t="e">
        <f t="shared" ca="1" si="3"/>
        <v>#NAME?</v>
      </c>
      <c r="AG55" s="283"/>
      <c r="AH55" s="284" t="str">
        <f t="shared" si="5"/>
        <v/>
      </c>
      <c r="AI55" s="286" t="e">
        <f t="shared" ca="1" si="6"/>
        <v>#NAME?</v>
      </c>
      <c r="AJ55" s="371">
        <f t="shared" ca="1" si="7"/>
        <v>0</v>
      </c>
      <c r="AK55" s="372">
        <f t="shared" ca="1" si="8"/>
        <v>0</v>
      </c>
      <c r="AL55" s="373">
        <f t="shared" ca="1" si="9"/>
        <v>0</v>
      </c>
      <c r="AM55" s="374">
        <f t="shared" ca="1" si="10"/>
        <v>0</v>
      </c>
      <c r="AN55" s="375">
        <f t="shared" ca="1" si="11"/>
        <v>0</v>
      </c>
    </row>
    <row r="56" spans="1:40" x14ac:dyDescent="0.2">
      <c r="A56" s="6" t="s">
        <v>47</v>
      </c>
      <c r="B56" s="7" t="e">
        <f ca="1">_xll.EVRNG($A$125:$B$146)</f>
        <v>#NAME?</v>
      </c>
      <c r="H56" s="10" t="s">
        <v>473</v>
      </c>
      <c r="I56" s="25" t="e">
        <f ca="1">_xll.EVPRO($B$1,$H56,"STYLE")</f>
        <v>#NAME?</v>
      </c>
      <c r="J56" s="25" t="e">
        <f ca="1">_xll.EVPRO($B$1,$H56,"CALC")</f>
        <v>#NAME?</v>
      </c>
      <c r="K56" s="64" t="e">
        <f t="shared" ca="1" si="4"/>
        <v>#NAME?</v>
      </c>
      <c r="L56" s="24" t="e">
        <f ca="1">_xll.EVPRO($B$1,H56,"JDEID")</f>
        <v>#NAME?</v>
      </c>
      <c r="M56" s="24" t="e">
        <f ca="1">IF(AND(I56="N",J56="N"),_xll.EVPRO($B$1,H56,"PSFTID"),"")</f>
        <v>#NAME?</v>
      </c>
      <c r="N56" s="24" t="e">
        <f ca="1">IF(_xll.EVDES(H56,$B$1)="#NODATA","",_xll.EVDES(H56,$B$1))</f>
        <v>#NAME?</v>
      </c>
      <c r="O56" s="295"/>
      <c r="P56" s="296"/>
      <c r="Q56" s="296"/>
      <c r="R56" s="296"/>
      <c r="S56" s="296"/>
      <c r="T56" s="296"/>
      <c r="U56" s="296"/>
      <c r="V56" s="296"/>
      <c r="W56" s="296"/>
      <c r="X56" s="296"/>
      <c r="Y56" s="296"/>
      <c r="Z56" s="296"/>
      <c r="AA56" s="296" t="e">
        <f t="shared" ca="1" si="0"/>
        <v>#NAME?</v>
      </c>
      <c r="AB56" s="297" t="e">
        <f t="shared" ca="1" si="1"/>
        <v>#NAME?</v>
      </c>
      <c r="AC56" s="263"/>
      <c r="AD56" s="296"/>
      <c r="AE56" s="297" t="str">
        <f t="shared" si="2"/>
        <v/>
      </c>
      <c r="AF56" s="298" t="e">
        <f t="shared" ca="1" si="3"/>
        <v>#NAME?</v>
      </c>
      <c r="AG56" s="296"/>
      <c r="AH56" s="297" t="str">
        <f t="shared" si="5"/>
        <v/>
      </c>
      <c r="AI56" s="299" t="e">
        <f t="shared" ca="1" si="6"/>
        <v>#NAME?</v>
      </c>
      <c r="AJ56" s="381">
        <f t="shared" ca="1" si="7"/>
        <v>0</v>
      </c>
      <c r="AK56" s="382">
        <f t="shared" ca="1" si="8"/>
        <v>0</v>
      </c>
      <c r="AL56" s="383">
        <f t="shared" ca="1" si="9"/>
        <v>0</v>
      </c>
      <c r="AM56" s="384">
        <f t="shared" ca="1" si="10"/>
        <v>0</v>
      </c>
      <c r="AN56" s="385">
        <f t="shared" ca="1" si="11"/>
        <v>0</v>
      </c>
    </row>
    <row r="57" spans="1:40" x14ac:dyDescent="0.2">
      <c r="A57" s="6" t="s">
        <v>8</v>
      </c>
      <c r="B57" s="7"/>
      <c r="H57" s="10" t="s">
        <v>277</v>
      </c>
      <c r="I57" s="447" t="e">
        <f ca="1">_xll.EVPRO($B$1,$H57,"STYLE")</f>
        <v>#NAME?</v>
      </c>
      <c r="J57" s="447" t="e">
        <f ca="1">_xll.EVPRO($B$1,$H57,"CALC")</f>
        <v>#NAME?</v>
      </c>
      <c r="K57" s="448" t="e">
        <f t="shared" ca="1" si="4"/>
        <v>#NAME?</v>
      </c>
      <c r="L57" s="151" t="e">
        <f ca="1">_xll.EVPRO($B$1,H57,"JDEID")</f>
        <v>#NAME?</v>
      </c>
      <c r="M57" s="151" t="e">
        <f ca="1">IF(AND(I57="N",J57="N"),_xll.EVPRO($B$1,H57,"PSFTID"),"")</f>
        <v>#NAME?</v>
      </c>
      <c r="N57" s="151" t="e">
        <f ca="1">IF(_xll.EVDES(H57,$B$1)="#NODATA","",_xll.EVDES(H57,$B$1))</f>
        <v>#NAME?</v>
      </c>
      <c r="O57" s="203"/>
      <c r="P57" s="33"/>
      <c r="Q57" s="33"/>
      <c r="R57" s="33"/>
      <c r="S57" s="33"/>
      <c r="T57" s="33"/>
      <c r="U57" s="33"/>
      <c r="V57" s="33"/>
      <c r="W57" s="33"/>
      <c r="X57" s="33"/>
      <c r="Y57" s="33"/>
      <c r="Z57" s="33"/>
      <c r="AA57" s="33" t="e">
        <f t="shared" ca="1" si="0"/>
        <v>#NAME?</v>
      </c>
      <c r="AB57" s="34" t="e">
        <f t="shared" ca="1" si="1"/>
        <v>#NAME?</v>
      </c>
      <c r="AC57" s="32"/>
      <c r="AD57" s="33"/>
      <c r="AE57" s="34" t="str">
        <f t="shared" si="2"/>
        <v/>
      </c>
      <c r="AF57" s="54" t="e">
        <f t="shared" ca="1" si="3"/>
        <v>#NAME?</v>
      </c>
      <c r="AG57" s="33"/>
      <c r="AH57" s="34" t="str">
        <f t="shared" si="5"/>
        <v/>
      </c>
      <c r="AI57" s="265" t="e">
        <f t="shared" ca="1" si="6"/>
        <v>#NAME?</v>
      </c>
      <c r="AJ57" s="344">
        <f t="shared" ca="1" si="7"/>
        <v>0</v>
      </c>
      <c r="AK57" s="345">
        <f t="shared" ca="1" si="8"/>
        <v>0</v>
      </c>
      <c r="AL57" s="347">
        <f t="shared" ca="1" si="9"/>
        <v>0</v>
      </c>
      <c r="AM57" s="379">
        <f t="shared" ca="1" si="10"/>
        <v>0</v>
      </c>
      <c r="AN57" s="380">
        <f t="shared" ca="1" si="11"/>
        <v>0</v>
      </c>
    </row>
    <row r="58" spans="1:40" x14ac:dyDescent="0.2">
      <c r="G58" s="13"/>
      <c r="H58" s="10" t="s">
        <v>280</v>
      </c>
      <c r="I58" s="447" t="e">
        <f ca="1">_xll.EVPRO($B$1,$H58,"STYLE")</f>
        <v>#NAME?</v>
      </c>
      <c r="J58" s="447" t="e">
        <f ca="1">_xll.EVPRO($B$1,$H58,"CALC")</f>
        <v>#NAME?</v>
      </c>
      <c r="K58" s="448" t="e">
        <f t="shared" ca="1" si="4"/>
        <v>#NAME?</v>
      </c>
      <c r="L58" s="151" t="e">
        <f ca="1">_xll.EVPRO($B$1,H58,"JDEID")</f>
        <v>#NAME?</v>
      </c>
      <c r="M58" s="151" t="e">
        <f ca="1">IF(AND(I58="N",J58="N"),_xll.EVPRO($B$1,H58,"PSFTID"),"")</f>
        <v>#NAME?</v>
      </c>
      <c r="N58" s="151" t="e">
        <f ca="1">IF(_xll.EVDES(H58,$B$1)="#NODATA","",_xll.EVDES(H58,$B$1))</f>
        <v>#NAME?</v>
      </c>
      <c r="O58" s="202"/>
      <c r="P58" s="120"/>
      <c r="Q58" s="120"/>
      <c r="R58" s="120"/>
      <c r="S58" s="120"/>
      <c r="T58" s="120"/>
      <c r="U58" s="120"/>
      <c r="V58" s="120"/>
      <c r="W58" s="120"/>
      <c r="X58" s="120"/>
      <c r="Y58" s="120"/>
      <c r="Z58" s="120"/>
      <c r="AA58" s="120" t="e">
        <f t="shared" ca="1" si="0"/>
        <v>#NAME?</v>
      </c>
      <c r="AB58" s="121" t="e">
        <f t="shared" ca="1" si="1"/>
        <v>#NAME?</v>
      </c>
      <c r="AC58" s="123"/>
      <c r="AD58" s="120"/>
      <c r="AE58" s="121" t="str">
        <f t="shared" si="2"/>
        <v/>
      </c>
      <c r="AF58" s="122" t="e">
        <f t="shared" ca="1" si="3"/>
        <v>#NAME?</v>
      </c>
      <c r="AG58" s="120"/>
      <c r="AH58" s="121" t="str">
        <f t="shared" si="5"/>
        <v/>
      </c>
      <c r="AI58" s="264" t="e">
        <f t="shared" ca="1" si="6"/>
        <v>#NAME?</v>
      </c>
      <c r="AJ58" s="332">
        <f t="shared" ca="1" si="7"/>
        <v>0</v>
      </c>
      <c r="AK58" s="333">
        <f t="shared" ca="1" si="8"/>
        <v>0</v>
      </c>
      <c r="AL58" s="335">
        <f t="shared" ca="1" si="9"/>
        <v>0</v>
      </c>
      <c r="AM58" s="377">
        <f t="shared" ca="1" si="10"/>
        <v>0</v>
      </c>
      <c r="AN58" s="378">
        <f t="shared" ca="1" si="11"/>
        <v>0</v>
      </c>
    </row>
    <row r="59" spans="1:40" x14ac:dyDescent="0.2">
      <c r="A59" s="3" t="s">
        <v>9</v>
      </c>
      <c r="B59" s="5" t="s">
        <v>10</v>
      </c>
      <c r="O59" s="50"/>
      <c r="AB59" s="51"/>
      <c r="AD59" s="50"/>
      <c r="AF59" s="51"/>
      <c r="AG59" s="50"/>
      <c r="AI59" s="51"/>
    </row>
    <row r="60" spans="1:40" x14ac:dyDescent="0.2">
      <c r="A60" s="6" t="s">
        <v>11</v>
      </c>
      <c r="B60" s="7" t="s">
        <v>21</v>
      </c>
      <c r="H60" s="1" t="s">
        <v>281</v>
      </c>
      <c r="I60" s="11" t="e">
        <f ca="1">_xll.EVPRO($B$1,$H60,"STYLE")</f>
        <v>#NAME?</v>
      </c>
      <c r="J60" s="11" t="e">
        <f ca="1">_xll.EVPRO($B$1,$H60,"CALC")</f>
        <v>#NAME?</v>
      </c>
      <c r="N60" s="37" t="e">
        <f ca="1">IF(_xll.EVDES(H60,$B$1)="#NODATA","",_xll.EVDES(H60,$B$1))</f>
        <v>#NAME?</v>
      </c>
      <c r="O60" s="50"/>
      <c r="AB60" s="51"/>
      <c r="AD60" s="50"/>
      <c r="AF60" s="51"/>
      <c r="AG60" s="50"/>
      <c r="AI60" s="51"/>
    </row>
    <row r="61" spans="1:40" x14ac:dyDescent="0.2">
      <c r="A61" s="6" t="s">
        <v>12</v>
      </c>
      <c r="B61" s="7" t="s">
        <v>22</v>
      </c>
      <c r="H61" s="1" t="s">
        <v>284</v>
      </c>
      <c r="I61" s="11" t="e">
        <f ca="1">_xll.EVPRO($B$1,$H61,"STYLE")</f>
        <v>#NAME?</v>
      </c>
      <c r="J61" s="11" t="e">
        <f ca="1">_xll.EVPRO($B$1,$H61,"CALC")</f>
        <v>#NAME?</v>
      </c>
      <c r="N61" s="8" t="e">
        <f ca="1">IF(_xll.EVDES(H61,$B$1)="#NODATA","",_xll.EVDES(H61,$B$1))</f>
        <v>#NAME?</v>
      </c>
      <c r="O61" s="50"/>
      <c r="AB61" s="51"/>
      <c r="AD61" s="50"/>
      <c r="AF61" s="51"/>
      <c r="AG61" s="50"/>
      <c r="AI61" s="51"/>
    </row>
    <row r="62" spans="1:40" x14ac:dyDescent="0.2">
      <c r="A62" s="6" t="s">
        <v>13</v>
      </c>
      <c r="B62" s="7" t="e">
        <f ca="1">"DEP(COS_FB) AND "&amp;$E$6&amp;"=Y,COS_FB,COSOTH,DEP(COS_OTHR) AND "&amp;$E$6&amp;"=Y,COS_OTHR,500001"</f>
        <v>#NAME?</v>
      </c>
      <c r="H62" s="10" t="s">
        <v>285</v>
      </c>
      <c r="I62" s="25" t="e">
        <f ca="1">_xll.EVPRO($B$1,$H62,"STYLE")</f>
        <v>#NAME?</v>
      </c>
      <c r="J62" s="25" t="e">
        <f ca="1">_xll.EVPRO($B$1,$H62,"CALC")</f>
        <v>#NAME?</v>
      </c>
      <c r="K62" s="64" t="e">
        <f ca="1">IF(AND(I62&gt;="T5"),"&gt;","")</f>
        <v>#NAME?</v>
      </c>
      <c r="L62" s="24" t="e">
        <f ca="1">_xll.EVPRO($B$1,H62,"JDEID")</f>
        <v>#NAME?</v>
      </c>
      <c r="M62" s="24" t="e">
        <f ca="1">IF(AND(I62="N",J62="N"),_xll.EVPRO($B$1,H62,"PSFTID"),"")</f>
        <v>#NAME?</v>
      </c>
      <c r="N62" s="24" t="e">
        <f ca="1">IF(_xll.EVDES(H62,$B$1)="#NODATA","",_xll.EVDES(H62,$B$1))</f>
        <v>#NAME?</v>
      </c>
      <c r="O62" s="282"/>
      <c r="P62" s="283"/>
      <c r="Q62" s="283"/>
      <c r="R62" s="283"/>
      <c r="S62" s="283"/>
      <c r="T62" s="283"/>
      <c r="U62" s="283"/>
      <c r="V62" s="283"/>
      <c r="W62" s="283"/>
      <c r="X62" s="283"/>
      <c r="Y62" s="283"/>
      <c r="Z62" s="283"/>
      <c r="AA62" s="283" t="e">
        <f t="shared" ref="AA62:AA70" ca="1" si="12">IF($I62="B1","",SUM(O62:Z62))</f>
        <v>#NAME?</v>
      </c>
      <c r="AB62" s="284" t="e">
        <f ca="1">IF(AA62=0,"",IFERROR(AA62/_xll.EVGTS($B$1,1,_xll.EVPRO($B$1,$H62,"COSBASIS"),$B$3,$B$5,$B$6,$B$7,$B$9,AA$16,AA$17,AA$11),""))</f>
        <v>#NAME?</v>
      </c>
      <c r="AC62" s="300"/>
      <c r="AD62" s="283"/>
      <c r="AE62" s="284" t="str">
        <f>IF(AD62=0,"",IFERROR(AD62/_xll.EVGTS($B$1,1,_xll.EVPRO($B$1,$H62,"COSBASIS"),$B$3,$B$5,$B$6,$B$7,$B$9,AD$16,AD$17,AD$18),""))</f>
        <v/>
      </c>
      <c r="AF62" s="285" t="e">
        <f t="shared" ref="AF62:AF70" ca="1" si="13">IF(AND($AA62="",AD62=""),"",$AA62-AD62)</f>
        <v>#NAME?</v>
      </c>
      <c r="AG62" s="283"/>
      <c r="AH62" s="284" t="str">
        <f>IF(AG62=0,"",IFERROR(AG62/_xll.EVGTS($B$1,1,_xll.EVPRO($B$1,$H62,"COSBASIS"),$B$3,$B$5,$B$6,$B$7,$B$9,AG$16,AG$17,AG$18),""))</f>
        <v/>
      </c>
      <c r="AI62" s="286" t="e">
        <f ca="1">IF(AND($AA62="",AG62=""),"",$AA62-AG62)</f>
        <v>#NAME?</v>
      </c>
      <c r="AJ62" s="371">
        <f ca="1">IFERROR(AA62/AA$20,0)</f>
        <v>0</v>
      </c>
      <c r="AK62" s="372">
        <f ca="1">IFERROR(AD62/AD$20,0)</f>
        <v>0</v>
      </c>
      <c r="AL62" s="373">
        <f ca="1">IFERROR(AG62/AG$20,0)</f>
        <v>0</v>
      </c>
      <c r="AM62" s="374">
        <f ca="1">+IFERROR(ROUND(($AB62-AE62)*100,2)&amp;" pts.",0)</f>
        <v>0</v>
      </c>
      <c r="AN62" s="375">
        <f ca="1">+IFERROR(ROUND(($AB62-AH62)*100,2)&amp;" pts.",0)</f>
        <v>0</v>
      </c>
    </row>
    <row r="63" spans="1:40" x14ac:dyDescent="0.2">
      <c r="A63" s="6" t="s">
        <v>14</v>
      </c>
      <c r="B63" s="7"/>
      <c r="H63" s="10" t="s">
        <v>636</v>
      </c>
      <c r="I63" s="25" t="e">
        <f ca="1">_xll.EVPRO($B$1,$H63,"STYLE")</f>
        <v>#NAME?</v>
      </c>
      <c r="J63" s="25" t="e">
        <f ca="1">_xll.EVPRO($B$1,$H63,"CALC")</f>
        <v>#NAME?</v>
      </c>
      <c r="K63" s="64" t="e">
        <f t="shared" ref="K63:K70" ca="1" si="14">IF(AND(I63&gt;="T5"),"&gt;","")</f>
        <v>#NAME?</v>
      </c>
      <c r="L63" s="24" t="e">
        <f ca="1">_xll.EVPRO($B$1,H63,"JDEID")</f>
        <v>#NAME?</v>
      </c>
      <c r="M63" s="24" t="e">
        <f ca="1">IF(AND(I63="N",J63="N"),_xll.EVPRO($B$1,H63,"PSFTID"),"")</f>
        <v>#NAME?</v>
      </c>
      <c r="N63" s="24" t="e">
        <f ca="1">IF(_xll.EVDES(H63,$B$1)="#NODATA","",_xll.EVDES(H63,$B$1))</f>
        <v>#NAME?</v>
      </c>
      <c r="O63" s="295"/>
      <c r="P63" s="296"/>
      <c r="Q63" s="296"/>
      <c r="R63" s="296"/>
      <c r="S63" s="296"/>
      <c r="T63" s="296"/>
      <c r="U63" s="296"/>
      <c r="V63" s="296"/>
      <c r="W63" s="296"/>
      <c r="X63" s="296"/>
      <c r="Y63" s="296"/>
      <c r="Z63" s="296"/>
      <c r="AA63" s="296" t="e">
        <f t="shared" ca="1" si="12"/>
        <v>#NAME?</v>
      </c>
      <c r="AB63" s="297" t="e">
        <f ca="1">IF(AA63=0,"",IFERROR(AA63/_xll.EVGTS($B$1,1,_xll.EVPRO($B$1,$H63,"COSBASIS"),$B$3,$B$5,$B$6,$B$7,$B$9,AA$16,AA$17,AA$11),""))</f>
        <v>#NAME?</v>
      </c>
      <c r="AC63" s="263"/>
      <c r="AD63" s="296"/>
      <c r="AE63" s="297" t="str">
        <f>IF(AD63=0,"",IFERROR(AD63/_xll.EVGTS($B$1,1,_xll.EVPRO($B$1,$H63,"COSBASIS"),$B$3,$B$5,$B$6,$B$7,$B$9,AD$16,AD$17,AD$18),""))</f>
        <v/>
      </c>
      <c r="AF63" s="298" t="e">
        <f t="shared" ca="1" si="13"/>
        <v>#NAME?</v>
      </c>
      <c r="AG63" s="296"/>
      <c r="AH63" s="297" t="str">
        <f>IF(AG63=0,"",IFERROR(AG63/_xll.EVGTS($B$1,1,_xll.EVPRO($B$1,$H63,"COSBASIS"),$B$3,$B$5,$B$6,$B$7,$B$9,AG$16,AG$17,AG$18),""))</f>
        <v/>
      </c>
      <c r="AI63" s="299" t="e">
        <f t="shared" ref="AI63:AI70" ca="1" si="15">IF(AND($AA63="",AG63=""),"",$AA63-AG63)</f>
        <v>#NAME?</v>
      </c>
      <c r="AJ63" s="381">
        <f t="shared" ref="AJ63:AJ70" ca="1" si="16">IFERROR(AA63/AA$20,0)</f>
        <v>0</v>
      </c>
      <c r="AK63" s="382">
        <f t="shared" ref="AK63:AK70" ca="1" si="17">IFERROR(AD63/AD$20,0)</f>
        <v>0</v>
      </c>
      <c r="AL63" s="383">
        <f t="shared" ref="AL63:AL70" ca="1" si="18">IFERROR(AG63/AG$20,0)</f>
        <v>0</v>
      </c>
      <c r="AM63" s="384">
        <f t="shared" ref="AM63:AM70" ca="1" si="19">+IFERROR(ROUND(($AB63-AE63)*100,2)&amp;" pts.",0)</f>
        <v>0</v>
      </c>
      <c r="AN63" s="385">
        <f t="shared" ref="AN63:AN70" ca="1" si="20">+IFERROR(ROUND(($AB63-AH63)*100,2)&amp;" pts.",0)</f>
        <v>0</v>
      </c>
    </row>
    <row r="64" spans="1:40" x14ac:dyDescent="0.2">
      <c r="A64" s="6" t="s">
        <v>15</v>
      </c>
      <c r="B64" s="7"/>
      <c r="H64" s="10" t="s">
        <v>286</v>
      </c>
      <c r="I64" s="447" t="e">
        <f ca="1">_xll.EVPRO($B$1,$H64,"STYLE")</f>
        <v>#NAME?</v>
      </c>
      <c r="J64" s="447" t="e">
        <f ca="1">_xll.EVPRO($B$1,$H64,"CALC")</f>
        <v>#NAME?</v>
      </c>
      <c r="K64" s="448" t="e">
        <f t="shared" ca="1" si="14"/>
        <v>#NAME?</v>
      </c>
      <c r="L64" s="151" t="e">
        <f ca="1">_xll.EVPRO($B$1,H64,"JDEID")</f>
        <v>#NAME?</v>
      </c>
      <c r="M64" s="151" t="e">
        <f ca="1">IF(AND(I64="N",J64="N"),_xll.EVPRO($B$1,H64,"PSFTID"),"")</f>
        <v>#NAME?</v>
      </c>
      <c r="N64" s="151" t="e">
        <f ca="1">IF(_xll.EVDES(H64,$B$1)="#NODATA","",_xll.EVDES(H64,$B$1))</f>
        <v>#NAME?</v>
      </c>
      <c r="O64" s="202"/>
      <c r="P64" s="120"/>
      <c r="Q64" s="120"/>
      <c r="R64" s="120"/>
      <c r="S64" s="120"/>
      <c r="T64" s="120"/>
      <c r="U64" s="120"/>
      <c r="V64" s="120"/>
      <c r="W64" s="120"/>
      <c r="X64" s="120"/>
      <c r="Y64" s="120"/>
      <c r="Z64" s="120"/>
      <c r="AA64" s="120" t="e">
        <f t="shared" ca="1" si="12"/>
        <v>#NAME?</v>
      </c>
      <c r="AB64" s="121" t="e">
        <f ca="1">IF(AA64=0,"",IFERROR(AA64/_xll.EVGTS($B$1,1,_xll.EVPRO($B$1,$H64,"COSBASIS"),$B$3,$B$5,$B$6,$B$7,$B$9,AA$16,AA$17,AA$11),""))</f>
        <v>#NAME?</v>
      </c>
      <c r="AC64" s="123"/>
      <c r="AD64" s="120"/>
      <c r="AE64" s="121" t="str">
        <f>IF(AD64=0,"",IFERROR(AD64/_xll.EVGTS($B$1,1,_xll.EVPRO($B$1,$H64,"COSBASIS"),$B$3,$B$5,$B$6,$B$7,$B$9,AD$16,AD$17,AD$18),""))</f>
        <v/>
      </c>
      <c r="AF64" s="122" t="e">
        <f t="shared" ca="1" si="13"/>
        <v>#NAME?</v>
      </c>
      <c r="AG64" s="120"/>
      <c r="AH64" s="121" t="str">
        <f>IF(AG64=0,"",IFERROR(AG64/_xll.EVGTS($B$1,1,_xll.EVPRO($B$1,$H64,"COSBASIS"),$B$3,$B$5,$B$6,$B$7,$B$9,AG$16,AG$17,AG$18),""))</f>
        <v/>
      </c>
      <c r="AI64" s="264" t="e">
        <f t="shared" ca="1" si="15"/>
        <v>#NAME?</v>
      </c>
      <c r="AJ64" s="332">
        <f t="shared" ca="1" si="16"/>
        <v>0</v>
      </c>
      <c r="AK64" s="333">
        <f t="shared" ca="1" si="17"/>
        <v>0</v>
      </c>
      <c r="AL64" s="335">
        <f t="shared" ca="1" si="18"/>
        <v>0</v>
      </c>
      <c r="AM64" s="377">
        <f t="shared" ca="1" si="19"/>
        <v>0</v>
      </c>
      <c r="AN64" s="378">
        <f t="shared" ca="1" si="20"/>
        <v>0</v>
      </c>
    </row>
    <row r="65" spans="1:40" x14ac:dyDescent="0.2">
      <c r="A65" s="6" t="s">
        <v>16</v>
      </c>
      <c r="B65" s="7"/>
      <c r="H65" s="10" t="s">
        <v>287</v>
      </c>
      <c r="I65" s="447" t="e">
        <f ca="1">_xll.EVPRO($B$1,$H65,"STYLE")</f>
        <v>#NAME?</v>
      </c>
      <c r="J65" s="447" t="e">
        <f ca="1">_xll.EVPRO($B$1,$H65,"CALC")</f>
        <v>#NAME?</v>
      </c>
      <c r="K65" s="448" t="e">
        <f t="shared" ca="1" si="14"/>
        <v>#NAME?</v>
      </c>
      <c r="L65" s="151" t="e">
        <f ca="1">_xll.EVPRO($B$1,H65,"JDEID")</f>
        <v>#NAME?</v>
      </c>
      <c r="M65" s="151" t="e">
        <f ca="1">IF(AND(I65="N",J65="N"),_xll.EVPRO($B$1,H65,"PSFTID"),"")</f>
        <v>#NAME?</v>
      </c>
      <c r="N65" s="151" t="e">
        <f ca="1">IF(_xll.EVDES(H65,$B$1)="#NODATA","",_xll.EVDES(H65,$B$1))</f>
        <v>#NAME?</v>
      </c>
      <c r="O65" s="287"/>
      <c r="P65" s="288"/>
      <c r="Q65" s="288"/>
      <c r="R65" s="288"/>
      <c r="S65" s="288"/>
      <c r="T65" s="288"/>
      <c r="U65" s="288"/>
      <c r="V65" s="288"/>
      <c r="W65" s="288"/>
      <c r="X65" s="288"/>
      <c r="Y65" s="288"/>
      <c r="Z65" s="288"/>
      <c r="AA65" s="288" t="e">
        <f t="shared" ca="1" si="12"/>
        <v>#NAME?</v>
      </c>
      <c r="AB65" s="289" t="e">
        <f ca="1">IF(AA65=0,"",IFERROR(AA65/_xll.EVGTS($B$1,1,_xll.EVPRO($B$1,$H65,"COSBASIS"),$B$3,$B$5,$B$6,$B$7,$B$9,AA$16,AA$17,AA$11),""))</f>
        <v>#NAME?</v>
      </c>
      <c r="AC65" s="301"/>
      <c r="AD65" s="288"/>
      <c r="AE65" s="289" t="str">
        <f>IF(AD65=0,"",IFERROR(AD65/_xll.EVGTS($B$1,1,_xll.EVPRO($B$1,$H65,"COSBASIS"),$B$3,$B$5,$B$6,$B$7,$B$9,AD$16,AD$17,AD$18),""))</f>
        <v/>
      </c>
      <c r="AF65" s="290" t="e">
        <f t="shared" ca="1" si="13"/>
        <v>#NAME?</v>
      </c>
      <c r="AG65" s="288"/>
      <c r="AH65" s="289" t="str">
        <f>IF(AG65=0,"",IFERROR(AG65/_xll.EVGTS($B$1,1,_xll.EVPRO($B$1,$H65,"COSBASIS"),$B$3,$B$5,$B$6,$B$7,$B$9,AG$16,AG$17,AG$18),""))</f>
        <v/>
      </c>
      <c r="AI65" s="291" t="e">
        <f t="shared" ca="1" si="15"/>
        <v>#NAME?</v>
      </c>
      <c r="AJ65" s="325">
        <f t="shared" ca="1" si="16"/>
        <v>0</v>
      </c>
      <c r="AK65" s="326">
        <f t="shared" ca="1" si="17"/>
        <v>0</v>
      </c>
      <c r="AL65" s="328">
        <f t="shared" ca="1" si="18"/>
        <v>0</v>
      </c>
      <c r="AM65" s="362">
        <f t="shared" ca="1" si="19"/>
        <v>0</v>
      </c>
      <c r="AN65" s="376">
        <f t="shared" ca="1" si="20"/>
        <v>0</v>
      </c>
    </row>
    <row r="66" spans="1:40" x14ac:dyDescent="0.2">
      <c r="A66" s="6" t="s">
        <v>17</v>
      </c>
      <c r="B66" s="7"/>
      <c r="H66" s="10" t="s">
        <v>637</v>
      </c>
      <c r="I66" s="25" t="e">
        <f ca="1">_xll.EVPRO($B$1,$H66,"STYLE")</f>
        <v>#NAME?</v>
      </c>
      <c r="J66" s="25" t="e">
        <f ca="1">_xll.EVPRO($B$1,$H66,"CALC")</f>
        <v>#NAME?</v>
      </c>
      <c r="K66" s="64" t="e">
        <f t="shared" ca="1" si="14"/>
        <v>#NAME?</v>
      </c>
      <c r="L66" s="24" t="e">
        <f ca="1">_xll.EVPRO($B$1,H66,"JDEID")</f>
        <v>#NAME?</v>
      </c>
      <c r="M66" s="24" t="e">
        <f ca="1">IF(AND(I66="N",J66="N"),_xll.EVPRO($B$1,H66,"PSFTID"),"")</f>
        <v>#NAME?</v>
      </c>
      <c r="N66" s="24" t="e">
        <f ca="1">IF(_xll.EVDES(H66,$B$1)="#NODATA","",_xll.EVDES(H66,$B$1))</f>
        <v>#NAME?</v>
      </c>
      <c r="O66" s="282"/>
      <c r="P66" s="283"/>
      <c r="Q66" s="283"/>
      <c r="R66" s="283"/>
      <c r="S66" s="283"/>
      <c r="T66" s="283"/>
      <c r="U66" s="283"/>
      <c r="V66" s="283"/>
      <c r="W66" s="283"/>
      <c r="X66" s="283"/>
      <c r="Y66" s="283"/>
      <c r="Z66" s="283"/>
      <c r="AA66" s="283" t="e">
        <f t="shared" ca="1" si="12"/>
        <v>#NAME?</v>
      </c>
      <c r="AB66" s="284" t="e">
        <f ca="1">IF(AA66=0,"",IFERROR(AA66/_xll.EVGTS($B$1,1,_xll.EVPRO($B$1,$H66,"COSBASIS"),$B$3,$B$5,$B$6,$B$7,$B$9,AA$16,AA$17,AA$11),""))</f>
        <v>#NAME?</v>
      </c>
      <c r="AC66" s="300"/>
      <c r="AD66" s="283"/>
      <c r="AE66" s="284" t="str">
        <f>IF(AD66=0,"",IFERROR(AD66/_xll.EVGTS($B$1,1,_xll.EVPRO($B$1,$H66,"COSBASIS"),$B$3,$B$5,$B$6,$B$7,$B$9,AD$16,AD$17,AD$18),""))</f>
        <v/>
      </c>
      <c r="AF66" s="285" t="e">
        <f t="shared" ca="1" si="13"/>
        <v>#NAME?</v>
      </c>
      <c r="AG66" s="283"/>
      <c r="AH66" s="284" t="str">
        <f>IF(AG66=0,"",IFERROR(AG66/_xll.EVGTS($B$1,1,_xll.EVPRO($B$1,$H66,"COSBASIS"),$B$3,$B$5,$B$6,$B$7,$B$9,AG$16,AG$17,AG$18),""))</f>
        <v/>
      </c>
      <c r="AI66" s="286" t="e">
        <f t="shared" ca="1" si="15"/>
        <v>#NAME?</v>
      </c>
      <c r="AJ66" s="371">
        <f t="shared" ca="1" si="16"/>
        <v>0</v>
      </c>
      <c r="AK66" s="372">
        <f t="shared" ca="1" si="17"/>
        <v>0</v>
      </c>
      <c r="AL66" s="373">
        <f t="shared" ca="1" si="18"/>
        <v>0</v>
      </c>
      <c r="AM66" s="374">
        <f t="shared" ca="1" si="19"/>
        <v>0</v>
      </c>
      <c r="AN66" s="375">
        <f t="shared" ca="1" si="20"/>
        <v>0</v>
      </c>
    </row>
    <row r="67" spans="1:40" x14ac:dyDescent="0.2">
      <c r="H67" s="10" t="s">
        <v>638</v>
      </c>
      <c r="I67" s="25" t="e">
        <f ca="1">_xll.EVPRO($B$1,$H67,"STYLE")</f>
        <v>#NAME?</v>
      </c>
      <c r="J67" s="25" t="e">
        <f ca="1">_xll.EVPRO($B$1,$H67,"CALC")</f>
        <v>#NAME?</v>
      </c>
      <c r="K67" s="64" t="e">
        <f t="shared" ca="1" si="14"/>
        <v>#NAME?</v>
      </c>
      <c r="L67" s="24" t="e">
        <f ca="1">_xll.EVPRO($B$1,H67,"JDEID")</f>
        <v>#NAME?</v>
      </c>
      <c r="M67" s="24" t="e">
        <f ca="1">IF(AND(I67="N",J67="N"),_xll.EVPRO($B$1,H67,"PSFTID"),"")</f>
        <v>#NAME?</v>
      </c>
      <c r="N67" s="24" t="e">
        <f ca="1">IF(_xll.EVDES(H67,$B$1)="#NODATA","",_xll.EVDES(H67,$B$1))</f>
        <v>#NAME?</v>
      </c>
      <c r="O67" s="282"/>
      <c r="P67" s="283"/>
      <c r="Q67" s="283"/>
      <c r="R67" s="283"/>
      <c r="S67" s="283"/>
      <c r="T67" s="283"/>
      <c r="U67" s="283"/>
      <c r="V67" s="283"/>
      <c r="W67" s="283"/>
      <c r="X67" s="283"/>
      <c r="Y67" s="283"/>
      <c r="Z67" s="283"/>
      <c r="AA67" s="283" t="e">
        <f t="shared" ca="1" si="12"/>
        <v>#NAME?</v>
      </c>
      <c r="AB67" s="284" t="e">
        <f ca="1">IF(AA67=0,"",IFERROR(AA67/_xll.EVGTS($B$1,1,_xll.EVPRO($B$1,$H67,"COSBASIS"),$B$3,$B$5,$B$6,$B$7,$B$9,AA$16,AA$17,AA$11),""))</f>
        <v>#NAME?</v>
      </c>
      <c r="AC67" s="300"/>
      <c r="AD67" s="283"/>
      <c r="AE67" s="284" t="str">
        <f>IF(AD67=0,"",IFERROR(AD67/_xll.EVGTS($B$1,1,_xll.EVPRO($B$1,$H67,"COSBASIS"),$B$3,$B$5,$B$6,$B$7,$B$9,AD$16,AD$17,AD$18),""))</f>
        <v/>
      </c>
      <c r="AF67" s="285" t="e">
        <f t="shared" ca="1" si="13"/>
        <v>#NAME?</v>
      </c>
      <c r="AG67" s="283"/>
      <c r="AH67" s="284" t="str">
        <f>IF(AG67=0,"",IFERROR(AG67/_xll.EVGTS($B$1,1,_xll.EVPRO($B$1,$H67,"COSBASIS"),$B$3,$B$5,$B$6,$B$7,$B$9,AG$16,AG$17,AG$18),""))</f>
        <v/>
      </c>
      <c r="AI67" s="286" t="e">
        <f t="shared" ca="1" si="15"/>
        <v>#NAME?</v>
      </c>
      <c r="AJ67" s="371">
        <f t="shared" ca="1" si="16"/>
        <v>0</v>
      </c>
      <c r="AK67" s="372">
        <f t="shared" ca="1" si="17"/>
        <v>0</v>
      </c>
      <c r="AL67" s="373">
        <f t="shared" ca="1" si="18"/>
        <v>0</v>
      </c>
      <c r="AM67" s="374">
        <f t="shared" ca="1" si="19"/>
        <v>0</v>
      </c>
      <c r="AN67" s="375">
        <f t="shared" ca="1" si="20"/>
        <v>0</v>
      </c>
    </row>
    <row r="68" spans="1:40" x14ac:dyDescent="0.2">
      <c r="A68" s="20" t="s">
        <v>92</v>
      </c>
      <c r="B68" s="21" t="s">
        <v>93</v>
      </c>
      <c r="C68" s="21" t="s">
        <v>94</v>
      </c>
      <c r="D68" s="21" t="s">
        <v>95</v>
      </c>
      <c r="E68" s="21" t="s">
        <v>96</v>
      </c>
      <c r="F68" s="22" t="s">
        <v>97</v>
      </c>
      <c r="H68" s="10" t="s">
        <v>639</v>
      </c>
      <c r="I68" s="25" t="e">
        <f ca="1">_xll.EVPRO($B$1,$H68,"STYLE")</f>
        <v>#NAME?</v>
      </c>
      <c r="J68" s="25" t="e">
        <f ca="1">_xll.EVPRO($B$1,$H68,"CALC")</f>
        <v>#NAME?</v>
      </c>
      <c r="K68" s="64" t="e">
        <f t="shared" ca="1" si="14"/>
        <v>#NAME?</v>
      </c>
      <c r="L68" s="24" t="e">
        <f ca="1">_xll.EVPRO($B$1,H68,"JDEID")</f>
        <v>#NAME?</v>
      </c>
      <c r="M68" s="24" t="e">
        <f ca="1">IF(AND(I68="N",J68="N"),_xll.EVPRO($B$1,H68,"PSFTID"),"")</f>
        <v>#NAME?</v>
      </c>
      <c r="N68" s="24" t="e">
        <f ca="1">IF(_xll.EVDES(H68,$B$1)="#NODATA","",_xll.EVDES(H68,$B$1))</f>
        <v>#NAME?</v>
      </c>
      <c r="O68" s="295"/>
      <c r="P68" s="296"/>
      <c r="Q68" s="296"/>
      <c r="R68" s="296"/>
      <c r="S68" s="296"/>
      <c r="T68" s="296"/>
      <c r="U68" s="296"/>
      <c r="V68" s="296"/>
      <c r="W68" s="296"/>
      <c r="X68" s="296"/>
      <c r="Y68" s="296"/>
      <c r="Z68" s="296"/>
      <c r="AA68" s="296" t="e">
        <f t="shared" ca="1" si="12"/>
        <v>#NAME?</v>
      </c>
      <c r="AB68" s="297" t="e">
        <f ca="1">IF(AA68=0,"",IFERROR(AA68/_xll.EVGTS($B$1,1,_xll.EVPRO($B$1,$H68,"COSBASIS"),$B$3,$B$5,$B$6,$B$7,$B$9,AA$16,AA$17,AA$11),""))</f>
        <v>#NAME?</v>
      </c>
      <c r="AC68" s="263"/>
      <c r="AD68" s="296"/>
      <c r="AE68" s="297" t="str">
        <f>IF(AD68=0,"",IFERROR(AD68/_xll.EVGTS($B$1,1,_xll.EVPRO($B$1,$H68,"COSBASIS"),$B$3,$B$5,$B$6,$B$7,$B$9,AD$16,AD$17,AD$18),""))</f>
        <v/>
      </c>
      <c r="AF68" s="298" t="e">
        <f t="shared" ca="1" si="13"/>
        <v>#NAME?</v>
      </c>
      <c r="AG68" s="296"/>
      <c r="AH68" s="297" t="str">
        <f>IF(AG68=0,"",IFERROR(AG68/_xll.EVGTS($B$1,1,_xll.EVPRO($B$1,$H68,"COSBASIS"),$B$3,$B$5,$B$6,$B$7,$B$9,AG$16,AG$17,AG$18),""))</f>
        <v/>
      </c>
      <c r="AI68" s="299" t="e">
        <f t="shared" ca="1" si="15"/>
        <v>#NAME?</v>
      </c>
      <c r="AJ68" s="381">
        <f t="shared" ca="1" si="16"/>
        <v>0</v>
      </c>
      <c r="AK68" s="382">
        <f t="shared" ca="1" si="17"/>
        <v>0</v>
      </c>
      <c r="AL68" s="383">
        <f t="shared" ca="1" si="18"/>
        <v>0</v>
      </c>
      <c r="AM68" s="384">
        <f t="shared" ca="1" si="19"/>
        <v>0</v>
      </c>
      <c r="AN68" s="385">
        <f t="shared" ca="1" si="20"/>
        <v>0</v>
      </c>
    </row>
    <row r="69" spans="1:40" x14ac:dyDescent="0.2">
      <c r="H69" s="10" t="s">
        <v>288</v>
      </c>
      <c r="I69" s="447" t="e">
        <f ca="1">_xll.EVPRO($B$1,$H69,"STYLE")</f>
        <v>#NAME?</v>
      </c>
      <c r="J69" s="447" t="e">
        <f ca="1">_xll.EVPRO($B$1,$H69,"CALC")</f>
        <v>#NAME?</v>
      </c>
      <c r="K69" s="448" t="e">
        <f t="shared" ca="1" si="14"/>
        <v>#NAME?</v>
      </c>
      <c r="L69" s="151" t="e">
        <f ca="1">_xll.EVPRO($B$1,H69,"JDEID")</f>
        <v>#NAME?</v>
      </c>
      <c r="M69" s="151" t="e">
        <f ca="1">IF(AND(I69="N",J69="N"),_xll.EVPRO($B$1,H69,"PSFTID"),"")</f>
        <v>#NAME?</v>
      </c>
      <c r="N69" s="151" t="e">
        <f ca="1">IF(_xll.EVDES(H69,$B$1)="#NODATA","",_xll.EVDES(H69,$B$1))</f>
        <v>#NAME?</v>
      </c>
      <c r="O69" s="203"/>
      <c r="P69" s="33"/>
      <c r="Q69" s="33"/>
      <c r="R69" s="33"/>
      <c r="S69" s="33"/>
      <c r="T69" s="33"/>
      <c r="U69" s="33"/>
      <c r="V69" s="33"/>
      <c r="W69" s="33"/>
      <c r="X69" s="33"/>
      <c r="Y69" s="33"/>
      <c r="Z69" s="33"/>
      <c r="AA69" s="33" t="e">
        <f t="shared" ca="1" si="12"/>
        <v>#NAME?</v>
      </c>
      <c r="AB69" s="34" t="e">
        <f ca="1">IF(AA69=0,"",IFERROR(AA69/_xll.EVGTS($B$1,1,_xll.EVPRO($B$1,$H69,"COSBASIS"),$B$3,$B$5,$B$6,$B$7,$B$9,AA$16,AA$17,AA$11),""))</f>
        <v>#NAME?</v>
      </c>
      <c r="AC69" s="32"/>
      <c r="AD69" s="33"/>
      <c r="AE69" s="34" t="str">
        <f>IF(AD69=0,"",IFERROR(AD69/_xll.EVGTS($B$1,1,_xll.EVPRO($B$1,$H69,"COSBASIS"),$B$3,$B$5,$B$6,$B$7,$B$9,AD$16,AD$17,AD$18),""))</f>
        <v/>
      </c>
      <c r="AF69" s="54" t="e">
        <f t="shared" ca="1" si="13"/>
        <v>#NAME?</v>
      </c>
      <c r="AG69" s="33"/>
      <c r="AH69" s="34" t="str">
        <f>IF(AG69=0,"",IFERROR(AG69/_xll.EVGTS($B$1,1,_xll.EVPRO($B$1,$H69,"COSBASIS"),$B$3,$B$5,$B$6,$B$7,$B$9,AG$16,AG$17,AG$18),""))</f>
        <v/>
      </c>
      <c r="AI69" s="265" t="e">
        <f t="shared" ca="1" si="15"/>
        <v>#NAME?</v>
      </c>
      <c r="AJ69" s="344">
        <f t="shared" ca="1" si="16"/>
        <v>0</v>
      </c>
      <c r="AK69" s="345">
        <f t="shared" ca="1" si="17"/>
        <v>0</v>
      </c>
      <c r="AL69" s="347">
        <f t="shared" ca="1" si="18"/>
        <v>0</v>
      </c>
      <c r="AM69" s="379">
        <f t="shared" ca="1" si="19"/>
        <v>0</v>
      </c>
      <c r="AN69" s="380">
        <f t="shared" ca="1" si="20"/>
        <v>0</v>
      </c>
    </row>
    <row r="70" spans="1:40" x14ac:dyDescent="0.2">
      <c r="A70" s="1" t="s">
        <v>209</v>
      </c>
      <c r="B70" s="1" t="s">
        <v>21</v>
      </c>
      <c r="C70" s="70"/>
      <c r="D70" s="1" t="s">
        <v>590</v>
      </c>
      <c r="F70" s="1" t="s">
        <v>99</v>
      </c>
      <c r="H70" s="10" t="s">
        <v>289</v>
      </c>
      <c r="I70" s="447" t="e">
        <f ca="1">_xll.EVPRO($B$1,$H70,"STYLE")</f>
        <v>#NAME?</v>
      </c>
      <c r="J70" s="447" t="e">
        <f ca="1">_xll.EVPRO($B$1,$H70,"CALC")</f>
        <v>#NAME?</v>
      </c>
      <c r="K70" s="448" t="e">
        <f t="shared" ca="1" si="14"/>
        <v>#NAME?</v>
      </c>
      <c r="L70" s="151" t="e">
        <f ca="1">_xll.EVPRO($B$1,H70,"JDEID")</f>
        <v>#NAME?</v>
      </c>
      <c r="M70" s="151" t="e">
        <f ca="1">IF(AND(I70="N",J70="N"),_xll.EVPRO($B$1,H70,"PSFTID"),"")</f>
        <v>#NAME?</v>
      </c>
      <c r="N70" s="151" t="e">
        <f ca="1">IF(_xll.EVDES(H70,$B$1)="#NODATA","",_xll.EVDES(H70,$B$1))</f>
        <v>#NAME?</v>
      </c>
      <c r="O70" s="202"/>
      <c r="P70" s="120"/>
      <c r="Q70" s="120"/>
      <c r="R70" s="120"/>
      <c r="S70" s="120"/>
      <c r="T70" s="120"/>
      <c r="U70" s="120"/>
      <c r="V70" s="120"/>
      <c r="W70" s="120"/>
      <c r="X70" s="120"/>
      <c r="Y70" s="120"/>
      <c r="Z70" s="120"/>
      <c r="AA70" s="120" t="e">
        <f t="shared" ca="1" si="12"/>
        <v>#NAME?</v>
      </c>
      <c r="AB70" s="121" t="e">
        <f ca="1">IF(AA70=0,"",IFERROR(AA70/_xll.EVGTS($B$1,1,_xll.EVPRO($B$1,$H70,"COSBASIS"),$B$3,$B$5,$B$6,$B$7,$B$9,AA$16,AA$17,AA$11),""))</f>
        <v>#NAME?</v>
      </c>
      <c r="AC70" s="123"/>
      <c r="AD70" s="120"/>
      <c r="AE70" s="121" t="str">
        <f>IF(AD70=0,"",IFERROR(AD70/_xll.EVGTS($B$1,1,_xll.EVPRO($B$1,$H70,"COSBASIS"),$B$3,$B$5,$B$6,$B$7,$B$9,AD$16,AD$17,AD$18),""))</f>
        <v/>
      </c>
      <c r="AF70" s="122" t="e">
        <f t="shared" ca="1" si="13"/>
        <v>#NAME?</v>
      </c>
      <c r="AG70" s="120"/>
      <c r="AH70" s="121" t="str">
        <f>IF(AG70=0,"",IFERROR(AG70/_xll.EVGTS($B$1,1,_xll.EVPRO($B$1,$H70,"COSBASIS"),$B$3,$B$5,$B$6,$B$7,$B$9,AG$16,AG$17,AG$18),""))</f>
        <v/>
      </c>
      <c r="AI70" s="264" t="e">
        <f t="shared" ca="1" si="15"/>
        <v>#NAME?</v>
      </c>
      <c r="AJ70" s="332">
        <f t="shared" ca="1" si="16"/>
        <v>0</v>
      </c>
      <c r="AK70" s="333">
        <f t="shared" ca="1" si="17"/>
        <v>0</v>
      </c>
      <c r="AL70" s="335">
        <f t="shared" ca="1" si="18"/>
        <v>0</v>
      </c>
      <c r="AM70" s="377">
        <f t="shared" ca="1" si="19"/>
        <v>0</v>
      </c>
      <c r="AN70" s="378">
        <f t="shared" ca="1" si="20"/>
        <v>0</v>
      </c>
    </row>
    <row r="71" spans="1:40" x14ac:dyDescent="0.2">
      <c r="A71" s="1" t="s">
        <v>105</v>
      </c>
      <c r="C71" s="24" t="s">
        <v>101</v>
      </c>
      <c r="D71" s="1" t="s">
        <v>106</v>
      </c>
      <c r="F71" s="1" t="s">
        <v>98</v>
      </c>
      <c r="H71" s="133" t="s">
        <v>175</v>
      </c>
      <c r="I71" s="26" t="e">
        <f ca="1">_xll.EVPRO($B$1,$H71,"STYLE")</f>
        <v>#NAME?</v>
      </c>
      <c r="J71" s="26" t="e">
        <f ca="1">_xll.EVPRO($B$1,$H71,"CALC")</f>
        <v>#NAME?</v>
      </c>
      <c r="K71" s="65" t="e">
        <f ca="1">IF(AND(I71&gt;="T5"),"&gt;","")</f>
        <v>#NAME?</v>
      </c>
      <c r="L71" s="65"/>
      <c r="M71" s="65"/>
      <c r="N71" s="23" t="e">
        <f ca="1">IF(_xll.EVDES(H71,$B$1)="#NODATA","",_xll.EVDES(H71,$B$1))</f>
        <v>#NAME?</v>
      </c>
      <c r="O71" s="44"/>
      <c r="P71" s="44"/>
      <c r="Q71" s="44"/>
      <c r="R71" s="44"/>
      <c r="S71" s="44"/>
      <c r="T71" s="44"/>
      <c r="U71" s="44"/>
      <c r="V71" s="44"/>
      <c r="W71" s="44"/>
      <c r="X71" s="44"/>
      <c r="Y71" s="44"/>
      <c r="Z71" s="44"/>
      <c r="AA71" s="44"/>
      <c r="AB71" s="45" t="str">
        <f>IF(O71=0,"",IFERROR(O71/_xll.EVGTS($B$1,1,INDEX($C$152:$C$175,MATCH($H71,$A$152:$A$175,0)),$B$3,$B$5,$B$6,$B$7,$B$9,O$16,O$17,O$18),""))</f>
        <v/>
      </c>
      <c r="AD71" s="44"/>
      <c r="AE71" s="45" t="str">
        <f>IF(AD71=0,"",IFERROR(AD71/_xll.EVGTS($B$1,1,INDEX($C$152:$C$175,MATCH($H71,$A$152:$A$175,0)),$B$3,$B$5,$B$6,$B$7,$B$9,AD$16,AD$17,AD$18),""))</f>
        <v/>
      </c>
      <c r="AF71" s="134" t="str">
        <f t="shared" ref="AF71:AF72" si="21">IF(AND($AA71="",AD71=""),"",$AA71-AD71)</f>
        <v/>
      </c>
      <c r="AG71" s="44"/>
      <c r="AH71" s="45" t="str">
        <f>IF(AG71=0,"",IFERROR(AG71/_xll.EVGTS($B$1,1,INDEX($C$152:$C$175,MATCH($H71,$A$152:$A$175,0)),$B$3,$B$5,$B$6,$B$7,$B$9,AG$16,AG$17,AG$18),""))</f>
        <v/>
      </c>
      <c r="AI71" s="134" t="str">
        <f>IF(AND($AA71="",AG71=""),"",$AA71-AG71)</f>
        <v/>
      </c>
    </row>
    <row r="72" spans="1:40" x14ac:dyDescent="0.2">
      <c r="A72" s="1" t="s">
        <v>104</v>
      </c>
      <c r="C72" s="24" t="s">
        <v>101</v>
      </c>
      <c r="D72" s="1" t="s">
        <v>106</v>
      </c>
      <c r="F72" s="1" t="s">
        <v>98</v>
      </c>
      <c r="H72" s="133" t="s">
        <v>292</v>
      </c>
      <c r="I72" s="26" t="e">
        <f ca="1">_xll.EVPRO($B$1,$H72,"STYLE")</f>
        <v>#NAME?</v>
      </c>
      <c r="J72" s="26" t="e">
        <f ca="1">_xll.EVPRO($B$1,$H72,"CALC")</f>
        <v>#NAME?</v>
      </c>
      <c r="K72" s="65" t="e">
        <f ca="1">IF(AND(I72&gt;="T5"),"&gt;","")</f>
        <v>#NAME?</v>
      </c>
      <c r="L72" s="65"/>
      <c r="M72" s="65"/>
      <c r="N72" s="23" t="e">
        <f ca="1">IF(_xll.EVDES(H72,$B$1)="#NODATA","",_xll.EVDES(H72,$B$1))</f>
        <v>#NAME?</v>
      </c>
      <c r="O72" s="145">
        <f>SUMIF($H$35:$H$70,"400000",O35:O70)-SUMIF($H$35:$H$70,"500001",O35:O70)</f>
        <v>0</v>
      </c>
      <c r="P72" s="145">
        <f t="shared" ref="P72:Y72" si="22">SUMIF($H$35:$H$70,"400000",P35:P70)-SUMIF($H$35:$H$70,"500001",P35:P70)</f>
        <v>0</v>
      </c>
      <c r="Q72" s="145">
        <f t="shared" si="22"/>
        <v>0</v>
      </c>
      <c r="R72" s="145">
        <f t="shared" si="22"/>
        <v>0</v>
      </c>
      <c r="S72" s="145">
        <f t="shared" si="22"/>
        <v>0</v>
      </c>
      <c r="T72" s="145">
        <f t="shared" si="22"/>
        <v>0</v>
      </c>
      <c r="U72" s="145">
        <f t="shared" si="22"/>
        <v>0</v>
      </c>
      <c r="V72" s="145">
        <f t="shared" si="22"/>
        <v>0</v>
      </c>
      <c r="W72" s="145">
        <f t="shared" si="22"/>
        <v>0</v>
      </c>
      <c r="X72" s="145">
        <f t="shared" si="22"/>
        <v>0</v>
      </c>
      <c r="Y72" s="145">
        <f t="shared" si="22"/>
        <v>0</v>
      </c>
      <c r="Z72" s="145">
        <f>SUMIF($H$35:$H$70,"400000",Z35:Z70)-SUMIF($H$35:$H$70,"500001",Z35:Z70)</f>
        <v>0</v>
      </c>
      <c r="AA72" s="120" t="e">
        <f ca="1">IF($I72="B1","",SUM(O72:Z72))</f>
        <v>#NAME?</v>
      </c>
      <c r="AB72" s="121" t="e">
        <f ca="1">IF(AA72=0,"",IFERROR(AA72/AA$19,""))</f>
        <v>#NAME?</v>
      </c>
      <c r="AD72" s="145">
        <f>SUMIF($H$35:$H$70,"400000",AD35:AD70)-SUMIF($H$35:$H$70,"500001",AD35:AD70)</f>
        <v>0</v>
      </c>
      <c r="AE72" s="121" t="str">
        <f>IF(AD72=0,"",IFERROR(AD72/AD$19,""))</f>
        <v/>
      </c>
      <c r="AF72" s="146" t="e">
        <f t="shared" ca="1" si="21"/>
        <v>#NAME?</v>
      </c>
      <c r="AG72" s="145">
        <f>SUMIF($H$35:$H$70,"400000",AG35:AG70)-SUMIF($H$35:$H$70,"500001",AG35:AG70)</f>
        <v>0</v>
      </c>
      <c r="AH72" s="121" t="str">
        <f>IF(AG72=0,"",IFERROR(AG72/AG$19,""))</f>
        <v/>
      </c>
      <c r="AI72" s="146" t="e">
        <f ca="1">IF(AND($AA72="",AG72=""),"",$AA72-AG72)</f>
        <v>#NAME?</v>
      </c>
      <c r="AJ72" s="332">
        <f ca="1">IFERROR(AA72/AA$20,0)</f>
        <v>0</v>
      </c>
      <c r="AK72" s="333">
        <f ca="1">IFERROR(AD72/AD$20,0)</f>
        <v>0</v>
      </c>
      <c r="AL72" s="335">
        <f ca="1">IFERROR(AG72/AG$20,0)</f>
        <v>0</v>
      </c>
      <c r="AM72" s="377">
        <f ca="1">+IFERROR(ROUND(($AB72-AE72)*100,2)&amp;" pts.",0)</f>
        <v>0</v>
      </c>
      <c r="AN72" s="378">
        <f ca="1">+IFERROR(ROUND(($AB72-AH72)*100,2)&amp;" pts.",0)</f>
        <v>0</v>
      </c>
    </row>
    <row r="73" spans="1:40" x14ac:dyDescent="0.2">
      <c r="A73" s="1" t="s">
        <v>100</v>
      </c>
      <c r="C73" s="8" t="s">
        <v>101</v>
      </c>
      <c r="D73" s="1" t="s">
        <v>106</v>
      </c>
      <c r="F73" s="1" t="s">
        <v>98</v>
      </c>
      <c r="O73" s="144"/>
      <c r="P73" s="147"/>
      <c r="Q73" s="147"/>
      <c r="R73" s="147"/>
      <c r="S73" s="147"/>
      <c r="T73" s="147"/>
      <c r="U73" s="147"/>
      <c r="V73" s="147"/>
      <c r="W73" s="147"/>
      <c r="X73" s="147"/>
      <c r="Y73" s="147"/>
      <c r="Z73" s="147"/>
      <c r="AA73" s="147"/>
      <c r="AB73" s="51"/>
      <c r="AD73" s="50"/>
      <c r="AF73" s="51"/>
      <c r="AI73" s="51"/>
    </row>
    <row r="74" spans="1:40" x14ac:dyDescent="0.2">
      <c r="A74" s="1" t="s">
        <v>102</v>
      </c>
      <c r="C74" s="23" t="s">
        <v>101</v>
      </c>
      <c r="D74" s="1" t="s">
        <v>106</v>
      </c>
      <c r="F74" s="1" t="s">
        <v>98</v>
      </c>
      <c r="H74" s="1" t="s">
        <v>73</v>
      </c>
      <c r="I74" s="11" t="e">
        <f ca="1">_xll.EVPRO($B$1,$H74,"STYLE")</f>
        <v>#NAME?</v>
      </c>
      <c r="J74" s="11" t="e">
        <f ca="1">_xll.EVPRO($B$1,$H74,"CALC")</f>
        <v>#NAME?</v>
      </c>
      <c r="N74" s="37" t="e">
        <f ca="1">IF(_xll.EVDES(H74,$B$1)="#NODATA","",_xll.EVDES(H74,$B$1))</f>
        <v>#NAME?</v>
      </c>
      <c r="O74" s="50"/>
      <c r="AB74" s="149"/>
      <c r="AD74" s="148"/>
      <c r="AE74" s="150"/>
      <c r="AF74" s="51"/>
      <c r="AH74" s="150"/>
      <c r="AI74" s="51"/>
    </row>
    <row r="75" spans="1:40" x14ac:dyDescent="0.2">
      <c r="A75" s="1" t="s">
        <v>102</v>
      </c>
      <c r="C75" s="135" t="s">
        <v>101</v>
      </c>
      <c r="D75" s="1" t="s">
        <v>107</v>
      </c>
      <c r="F75" s="1" t="s">
        <v>99</v>
      </c>
      <c r="H75" s="1" t="s">
        <v>74</v>
      </c>
      <c r="I75" s="11" t="e">
        <f ca="1">_xll.EVPRO($B$1,$H75,"STYLE")</f>
        <v>#NAME?</v>
      </c>
      <c r="J75" s="11" t="e">
        <f ca="1">_xll.EVPRO($B$1,$H75,"CALC")</f>
        <v>#NAME?</v>
      </c>
      <c r="N75" s="8" t="e">
        <f ca="1">IF(_xll.EVDES(H75,$B$1)="#NODATA","",_xll.EVDES(H75,$B$1))</f>
        <v>#NAME?</v>
      </c>
      <c r="O75" s="40"/>
      <c r="P75" s="43"/>
      <c r="Q75" s="43"/>
      <c r="R75" s="43"/>
      <c r="S75" s="43"/>
      <c r="T75" s="43"/>
      <c r="U75" s="43"/>
      <c r="V75" s="43"/>
      <c r="W75" s="43"/>
      <c r="X75" s="43"/>
      <c r="Y75" s="43"/>
      <c r="Z75" s="43"/>
      <c r="AA75" s="43"/>
      <c r="AB75" s="41"/>
      <c r="AD75" s="40"/>
      <c r="AE75" s="43"/>
      <c r="AF75" s="41"/>
      <c r="AG75" s="43"/>
      <c r="AH75" s="43"/>
      <c r="AI75" s="41"/>
    </row>
    <row r="76" spans="1:40" hidden="1" x14ac:dyDescent="0.2">
      <c r="A76" s="1" t="s">
        <v>108</v>
      </c>
      <c r="C76" s="23" t="s">
        <v>101</v>
      </c>
      <c r="D76" s="1" t="s">
        <v>106</v>
      </c>
      <c r="F76" s="1" t="s">
        <v>98</v>
      </c>
      <c r="H76" s="10" t="s">
        <v>667</v>
      </c>
      <c r="I76" s="25" t="e">
        <f ca="1">_xll.EVPRO($B$1,$H76,"STYLE")</f>
        <v>#NAME?</v>
      </c>
      <c r="J76" s="25" t="e">
        <f ca="1">_xll.EVPRO($B$1,$H76,"CALC")</f>
        <v>#NAME?</v>
      </c>
      <c r="K76" s="64" t="e">
        <f ca="1">IF(AND(I76&gt;="T3"),"&gt;","")</f>
        <v>#NAME?</v>
      </c>
      <c r="L76" s="24" t="e">
        <f ca="1">_xll.EVPRO($B$1,H76,"JDEID")</f>
        <v>#NAME?</v>
      </c>
      <c r="M76" s="24" t="e">
        <f ca="1">IF(AND(I76="N",J76="N"),_xll.EVPRO($B$1,H76,"PSFTID"),"")</f>
        <v>#NAME?</v>
      </c>
      <c r="N76" s="24" t="e">
        <f ca="1">IF(_xll.EVDES(H76,$B$1)="#NODATA","",_xll.EVDES(H76,$B$1))</f>
        <v>#NAME?</v>
      </c>
      <c r="O76" s="35"/>
      <c r="P76" s="35"/>
      <c r="Q76" s="35"/>
      <c r="R76" s="35"/>
      <c r="S76" s="35"/>
      <c r="T76" s="35"/>
      <c r="U76" s="35"/>
      <c r="V76" s="35"/>
      <c r="W76" s="35"/>
      <c r="X76" s="35"/>
      <c r="Y76" s="35"/>
      <c r="Z76" s="35"/>
      <c r="AA76" s="283" t="e">
        <f ca="1">IF($I76="B1","",SUM(O76:Z76))</f>
        <v>#NAME?</v>
      </c>
      <c r="AB76" s="36" t="e">
        <f ca="1">IF(AA76=0,"",IFERROR(AA76/AA$19,""))</f>
        <v>#NAME?</v>
      </c>
      <c r="AD76" s="35"/>
      <c r="AE76" s="36" t="str">
        <f>IF(AD76=0,"",IFERROR(AD76/AD$19,""))</f>
        <v/>
      </c>
      <c r="AF76" s="118" t="e">
        <f ca="1">IF(AND($AA76="",AD76=""),"",$AA76-AD76)</f>
        <v>#NAME?</v>
      </c>
      <c r="AG76" s="35"/>
      <c r="AH76" s="36" t="str">
        <f>IF(AG76=0,"",IFERROR(AG76/AG$19,""))</f>
        <v/>
      </c>
      <c r="AI76" s="118" t="e">
        <f ca="1">IF(AND($AA76="",AG76=""),"",$AA76-AG76)</f>
        <v>#NAME?</v>
      </c>
      <c r="AJ76" s="371">
        <f ca="1">IFERROR(AA76/AA$20,0)</f>
        <v>0</v>
      </c>
      <c r="AK76" s="372">
        <f ca="1">IFERROR(AD76/AD$20,0)</f>
        <v>0</v>
      </c>
      <c r="AL76" s="373">
        <f ca="1">IFERROR(AG76/AG$20,0)</f>
        <v>0</v>
      </c>
      <c r="AM76" s="374">
        <f ca="1">+IFERROR(ROUND(($AB76-AE76)*100,2)&amp;" pts.",0)</f>
        <v>0</v>
      </c>
      <c r="AN76" s="375">
        <f ca="1">+IFERROR(ROUND(($AB76-AH76)*100,2)&amp;" pts.",0)</f>
        <v>0</v>
      </c>
    </row>
    <row r="77" spans="1:40" hidden="1" x14ac:dyDescent="0.2">
      <c r="A77" s="1" t="s">
        <v>108</v>
      </c>
      <c r="C77" s="135" t="s">
        <v>101</v>
      </c>
      <c r="D77" s="1" t="s">
        <v>107</v>
      </c>
      <c r="F77" s="1" t="s">
        <v>99</v>
      </c>
      <c r="H77" s="10"/>
      <c r="I77" s="25" t="e">
        <f ca="1">_xll.EVPRO($B$1,$H77,"STYLE")</f>
        <v>#NAME?</v>
      </c>
      <c r="J77" s="25" t="e">
        <f ca="1">_xll.EVPRO($B$1,$H77,"CALC")</f>
        <v>#NAME?</v>
      </c>
      <c r="K77" s="64" t="e">
        <f ca="1">IF(AND(I77&gt;="T3"),"&gt;","")</f>
        <v>#NAME?</v>
      </c>
      <c r="L77" s="24" t="e">
        <f ca="1">_xll.EVPRO($B$1,H77,"JDEID")</f>
        <v>#NAME?</v>
      </c>
      <c r="M77" s="24" t="e">
        <f ca="1">IF(AND(I77="N",J77="N"),_xll.EVPRO($B$1,H77,"PSFTID"),"")</f>
        <v>#NAME?</v>
      </c>
      <c r="N77" s="24" t="e">
        <f ca="1">IF(_xll.EVDES(H77,$B$1)="#NODATA","",_xll.EVDES(H77,$B$1))</f>
        <v>#NAME?</v>
      </c>
      <c r="O77" s="35"/>
      <c r="P77" s="35"/>
      <c r="Q77" s="35"/>
      <c r="R77" s="35"/>
      <c r="S77" s="35"/>
      <c r="T77" s="35"/>
      <c r="U77" s="35"/>
      <c r="V77" s="35"/>
      <c r="W77" s="35"/>
      <c r="X77" s="35"/>
      <c r="Y77" s="35"/>
      <c r="Z77" s="35"/>
      <c r="AA77" s="283" t="e">
        <f ca="1">IF($I77="B1","",SUM(O77:Z77))</f>
        <v>#NAME?</v>
      </c>
      <c r="AB77" s="36" t="e">
        <f ca="1">IF(AA77=0,"",IFERROR(AA77/AA$19,""))</f>
        <v>#NAME?</v>
      </c>
      <c r="AD77" s="35"/>
      <c r="AE77" s="36" t="str">
        <f>IF(AD77=0,"",IFERROR(AD77/AD$19,""))</f>
        <v/>
      </c>
      <c r="AF77" s="118" t="e">
        <f ca="1">IF(AND($AA77="",AD77=""),"",$AA77-AD77)</f>
        <v>#NAME?</v>
      </c>
      <c r="AG77" s="35"/>
      <c r="AH77" s="36" t="str">
        <f>IF(AG77=0,"",IFERROR(AG77/AG$19,""))</f>
        <v/>
      </c>
      <c r="AI77" s="118" t="e">
        <f ca="1">IF(AND($AA77="",AG77=""),"",$AA77-AG77)</f>
        <v>#NAME?</v>
      </c>
      <c r="AJ77" s="371">
        <f ca="1">IFERROR(AA77/AA$20,0)</f>
        <v>0</v>
      </c>
      <c r="AK77" s="372">
        <f ca="1">IFERROR(AD77/AD$20,0)</f>
        <v>0</v>
      </c>
      <c r="AL77" s="373">
        <f ca="1">IFERROR(AG77/AG$20,0)</f>
        <v>0</v>
      </c>
      <c r="AM77" s="374">
        <f ca="1">+IFERROR(ROUND(($AB77-AE77)*100,2)&amp;" pts.",0)</f>
        <v>0</v>
      </c>
      <c r="AN77" s="375">
        <f ca="1">+IFERROR(ROUND(($AB77-AH77)*100,2)&amp;" pts.",0)</f>
        <v>0</v>
      </c>
    </row>
    <row r="78" spans="1:40" x14ac:dyDescent="0.2">
      <c r="H78" s="10" t="s">
        <v>75</v>
      </c>
      <c r="I78" s="26" t="e">
        <f ca="1">_xll.EVPRO($B$1,$H78,"STYLE")</f>
        <v>#NAME?</v>
      </c>
      <c r="J78" s="26" t="e">
        <f ca="1">_xll.EVPRO($B$1,$H78,"CALC")</f>
        <v>#NAME?</v>
      </c>
      <c r="K78" s="65" t="e">
        <f ca="1">IF(AND(I78&gt;="T3"),"&gt;","")</f>
        <v>#NAME?</v>
      </c>
      <c r="L78" s="23" t="e">
        <f ca="1">_xll.EVPRO($B$1,H78,"JDEID")</f>
        <v>#NAME?</v>
      </c>
      <c r="M78" s="24" t="e">
        <f ca="1">IF(AND(I78="N",J78="N"),_xll.EVPRO($B$1,H78,"PSFTID"),"")</f>
        <v>#NAME?</v>
      </c>
      <c r="N78" s="23" t="e">
        <f ca="1">IF(_xll.EVDES(H78,$B$1)="#NODATA","",_xll.EVDES(H78,$B$1))</f>
        <v>#NAME?</v>
      </c>
      <c r="O78" s="35"/>
      <c r="P78" s="35"/>
      <c r="Q78" s="35"/>
      <c r="R78" s="35"/>
      <c r="S78" s="35"/>
      <c r="T78" s="35"/>
      <c r="U78" s="35"/>
      <c r="V78" s="35"/>
      <c r="W78" s="35"/>
      <c r="X78" s="35"/>
      <c r="Y78" s="35"/>
      <c r="Z78" s="35"/>
      <c r="AA78" s="283" t="e">
        <f ca="1">IF($I78="B1","",SUM(O78:Z78))</f>
        <v>#NAME?</v>
      </c>
      <c r="AB78" s="36" t="e">
        <f ca="1">IF(AA78=0,"",IFERROR(AA78/AA$19,""))</f>
        <v>#NAME?</v>
      </c>
      <c r="AD78" s="35"/>
      <c r="AE78" s="36" t="str">
        <f>IF(AD78=0,"",IFERROR(AD78/AD$19,""))</f>
        <v/>
      </c>
      <c r="AF78" s="118" t="e">
        <f ca="1">IF(AND($AA78="",AD78=""),"",$AA78-AD78)</f>
        <v>#NAME?</v>
      </c>
      <c r="AG78" s="35"/>
      <c r="AH78" s="36" t="str">
        <f>IF(AG78=0,"",IFERROR(AG78/AG$19,""))</f>
        <v/>
      </c>
      <c r="AI78" s="118" t="e">
        <f ca="1">IF(AND($AA78="",AG78=""),"",$AA78-AG78)</f>
        <v>#NAME?</v>
      </c>
      <c r="AJ78" s="371">
        <f ca="1">IFERROR(AA78/AA$20,0)</f>
        <v>0</v>
      </c>
      <c r="AK78" s="372">
        <f ca="1">IFERROR(AD78/AD$20,0)</f>
        <v>0</v>
      </c>
      <c r="AL78" s="373">
        <f ca="1">IFERROR(AG78/AG$20,0)</f>
        <v>0</v>
      </c>
      <c r="AM78" s="374">
        <f ca="1">+IFERROR(ROUND(($AB78-AE78)*100,2)&amp;" pts.",0)</f>
        <v>0</v>
      </c>
      <c r="AN78" s="375">
        <f ca="1">+IFERROR(ROUND(($AB78-AH78)*100,2)&amp;" pts.",0)</f>
        <v>0</v>
      </c>
    </row>
    <row r="79" spans="1:40" hidden="1" x14ac:dyDescent="0.2">
      <c r="C79" s="23"/>
      <c r="H79" s="10" t="s">
        <v>667</v>
      </c>
      <c r="I79" s="25" t="e">
        <f ca="1">_xll.EVPRO($B$1,$H79,"STYLE")</f>
        <v>#NAME?</v>
      </c>
      <c r="J79" s="25" t="e">
        <f ca="1">_xll.EVPRO($B$1,$H79,"CALC")</f>
        <v>#NAME?</v>
      </c>
      <c r="K79" s="64" t="e">
        <f ca="1">IF(AND(I79&gt;="T3"),"&gt;","")</f>
        <v>#NAME?</v>
      </c>
      <c r="L79" s="24" t="e">
        <f ca="1">_xll.EVPRO($B$1,H79,"JDEID")</f>
        <v>#NAME?</v>
      </c>
      <c r="M79" s="24" t="e">
        <f ca="1">IF(AND(I79="N",J79="N"),_xll.EVPRO($B$1,H79,"PSFTID"),"")</f>
        <v>#NAME?</v>
      </c>
      <c r="N79" s="24" t="e">
        <f ca="1">IF(_xll.EVDES(H79,$B$1)="#NODATA","",_xll.EVDES(H79,$B$1))</f>
        <v>#NAME?</v>
      </c>
      <c r="O79" s="44"/>
      <c r="P79" s="44"/>
      <c r="Q79" s="44"/>
      <c r="R79" s="44"/>
      <c r="S79" s="44"/>
      <c r="T79" s="44"/>
      <c r="U79" s="44"/>
      <c r="V79" s="44"/>
      <c r="W79" s="44"/>
      <c r="X79" s="44"/>
      <c r="Y79" s="44"/>
      <c r="Z79" s="44"/>
      <c r="AA79" s="296" t="e">
        <f ca="1">IF($I79="B1","",SUM(O79:Z79))</f>
        <v>#NAME?</v>
      </c>
      <c r="AB79" s="45" t="e">
        <f ca="1">IF(AA79=0,"",IFERROR(AA79/AA$19,""))</f>
        <v>#NAME?</v>
      </c>
      <c r="AD79" s="44"/>
      <c r="AE79" s="45" t="str">
        <f>IF(AD79=0,"",IFERROR(AD79/AD$19,""))</f>
        <v/>
      </c>
      <c r="AF79" s="134" t="e">
        <f ca="1">IF(AND($AA79="",AD79=""),"",$AA79-AD79)</f>
        <v>#NAME?</v>
      </c>
      <c r="AG79" s="44"/>
      <c r="AH79" s="45" t="str">
        <f>IF(AG79=0,"",IFERROR(AG79/AG$19,""))</f>
        <v/>
      </c>
      <c r="AI79" s="134" t="e">
        <f ca="1">IF(AND($AA79="",AG79=""),"",$AA79-AG79)</f>
        <v>#NAME?</v>
      </c>
      <c r="AJ79" s="371">
        <f ca="1">IFERROR(AA79/AA$20,0)</f>
        <v>0</v>
      </c>
      <c r="AK79" s="372">
        <f ca="1">IFERROR(AD79/AD$20,0)</f>
        <v>0</v>
      </c>
      <c r="AL79" s="373">
        <f ca="1">IFERROR(AG79/AG$20,0)</f>
        <v>0</v>
      </c>
      <c r="AM79" s="374">
        <f ca="1">+IFERROR(ROUND(($AB79-AE79)*100,2)&amp;" pts.",0)</f>
        <v>0</v>
      </c>
      <c r="AN79" s="375">
        <f ca="1">+IFERROR(ROUND(($AB79-AH79)*100,2)&amp;" pts.",0)</f>
        <v>0</v>
      </c>
    </row>
    <row r="80" spans="1:40" hidden="1" x14ac:dyDescent="0.2">
      <c r="A80" s="4" t="e">
        <f ca="1">_xll.EVDRE($B$1,A83:B90,A93:B99)</f>
        <v>#NAME?</v>
      </c>
      <c r="H80" s="10"/>
      <c r="I80" s="25" t="e">
        <f ca="1">_xll.EVPRO($B$1,$H80,"STYLE")</f>
        <v>#NAME?</v>
      </c>
      <c r="J80" s="25" t="e">
        <f ca="1">_xll.EVPRO($B$1,$H80,"CALC")</f>
        <v>#NAME?</v>
      </c>
      <c r="K80" s="64" t="e">
        <f ca="1">IF(AND(I80&gt;="T3"),"&gt;","")</f>
        <v>#NAME?</v>
      </c>
      <c r="L80" s="24" t="e">
        <f ca="1">_xll.EVPRO($B$1,H80,"JDEID")</f>
        <v>#NAME?</v>
      </c>
      <c r="M80" s="24" t="e">
        <f ca="1">IF(AND(I80="N",J80="N"),_xll.EVPRO($B$1,H80,"PSFTID"),"")</f>
        <v>#NAME?</v>
      </c>
      <c r="N80" s="24" t="e">
        <f ca="1">IF(_xll.EVDES(H80,$B$1)="#NODATA","",_xll.EVDES(H80,$B$1))</f>
        <v>#NAME?</v>
      </c>
      <c r="O80" s="44"/>
      <c r="P80" s="44"/>
      <c r="Q80" s="44"/>
      <c r="R80" s="44"/>
      <c r="S80" s="44"/>
      <c r="T80" s="44"/>
      <c r="U80" s="44"/>
      <c r="V80" s="44"/>
      <c r="W80" s="44"/>
      <c r="X80" s="44"/>
      <c r="Y80" s="44"/>
      <c r="Z80" s="44"/>
      <c r="AA80" s="296" t="e">
        <f ca="1">IF($I80="B1","",SUM(O80:Z80))</f>
        <v>#NAME?</v>
      </c>
      <c r="AB80" s="45" t="e">
        <f ca="1">IF(AA80=0,"",IFERROR(AA80/AA$19,""))</f>
        <v>#NAME?</v>
      </c>
      <c r="AD80" s="44"/>
      <c r="AE80" s="45" t="str">
        <f>IF(AD80=0,"",IFERROR(AD80/AD$19,""))</f>
        <v/>
      </c>
      <c r="AF80" s="134" t="e">
        <f ca="1">IF(AND($AA80="",AD80=""),"",$AA80-AD80)</f>
        <v>#NAME?</v>
      </c>
      <c r="AG80" s="44"/>
      <c r="AH80" s="45" t="str">
        <f>IF(AG80=0,"",IFERROR(AG80/AG$19,""))</f>
        <v/>
      </c>
      <c r="AI80" s="134" t="e">
        <f ca="1">IF(AND($AA80="",AG80=""),"",$AA80-AG80)</f>
        <v>#NAME?</v>
      </c>
      <c r="AJ80" s="371">
        <f ca="1">IFERROR(AA80/AA$20,0)</f>
        <v>0</v>
      </c>
      <c r="AK80" s="372">
        <f ca="1">IFERROR(AD80/AD$20,0)</f>
        <v>0</v>
      </c>
      <c r="AL80" s="373">
        <f ca="1">IFERROR(AG80/AG$20,0)</f>
        <v>0</v>
      </c>
      <c r="AM80" s="374">
        <f ca="1">+IFERROR(ROUND(($AB80-AE80)*100,2)&amp;" pts.",0)</f>
        <v>0</v>
      </c>
      <c r="AN80" s="375">
        <f ca="1">+IFERROR(ROUND(($AB80-AH80)*100,2)&amp;" pts.",0)</f>
        <v>0</v>
      </c>
    </row>
    <row r="81" spans="1:40" x14ac:dyDescent="0.2">
      <c r="O81" s="38"/>
      <c r="P81" s="42"/>
      <c r="Q81" s="42"/>
      <c r="R81" s="42"/>
      <c r="S81" s="42"/>
      <c r="T81" s="42"/>
      <c r="U81" s="42"/>
      <c r="V81" s="42"/>
      <c r="W81" s="42"/>
      <c r="X81" s="42"/>
      <c r="Y81" s="42"/>
      <c r="Z81" s="42"/>
      <c r="AA81" s="42"/>
      <c r="AB81" s="39"/>
      <c r="AD81" s="38"/>
      <c r="AE81" s="42"/>
      <c r="AF81" s="39"/>
      <c r="AG81" s="38"/>
      <c r="AH81" s="42"/>
      <c r="AI81" s="39"/>
    </row>
    <row r="82" spans="1:40" x14ac:dyDescent="0.2">
      <c r="A82" s="3" t="s">
        <v>0</v>
      </c>
      <c r="B82" s="5" t="s">
        <v>1</v>
      </c>
      <c r="H82" s="1" t="s">
        <v>82</v>
      </c>
      <c r="I82" s="11" t="e">
        <f ca="1">_xll.EVPRO($B$1,$H82,"STYLE")</f>
        <v>#NAME?</v>
      </c>
      <c r="J82" s="11" t="e">
        <f ca="1">_xll.EVPRO($B$1,$H82,"CALC")</f>
        <v>#NAME?</v>
      </c>
      <c r="N82" s="37" t="e">
        <f ca="1">IF(_xll.EVDES(H82,$B$1)="#NODATA","",_xll.EVDES(H82,$B$1))</f>
        <v>#NAME?</v>
      </c>
      <c r="O82" s="40"/>
      <c r="P82" s="43"/>
      <c r="Q82" s="43"/>
      <c r="R82" s="43"/>
      <c r="S82" s="43"/>
      <c r="T82" s="43"/>
      <c r="U82" s="43"/>
      <c r="V82" s="43"/>
      <c r="W82" s="43"/>
      <c r="X82" s="43"/>
      <c r="Y82" s="43"/>
      <c r="Z82" s="43"/>
      <c r="AA82" s="43"/>
      <c r="AB82" s="41"/>
      <c r="AD82" s="40"/>
      <c r="AE82" s="43"/>
      <c r="AF82" s="41"/>
      <c r="AG82" s="40"/>
      <c r="AH82" s="43"/>
      <c r="AI82" s="41"/>
    </row>
    <row r="83" spans="1:40" hidden="1" x14ac:dyDescent="0.2">
      <c r="A83" s="6" t="s">
        <v>2</v>
      </c>
      <c r="B83" s="7" t="e">
        <f ca="1">_xll.EVRNG($B$2:$B$10)</f>
        <v>#NAME?</v>
      </c>
      <c r="H83" s="10" t="s">
        <v>667</v>
      </c>
      <c r="I83" s="25" t="e">
        <f ca="1">_xll.EVPRO($B$1,$H83,"STYLE")</f>
        <v>#NAME?</v>
      </c>
      <c r="J83" s="25" t="e">
        <f ca="1">_xll.EVPRO($B$1,$H83,"CALC")</f>
        <v>#NAME?</v>
      </c>
      <c r="K83" s="64" t="e">
        <f ca="1">IF(AND(I83&lt;&gt;"B1",J83="Y"),"&gt;","")</f>
        <v>#NAME?</v>
      </c>
      <c r="L83" s="24" t="e">
        <f ca="1">_xll.EVPRO($B$1,H83,"JDEID")</f>
        <v>#NAME?</v>
      </c>
      <c r="M83" s="24" t="e">
        <f ca="1">IF(AND(I83="N",J83="N"),_xll.EVPRO($B$1,H83,"PSFTID"),"")</f>
        <v>#NAME?</v>
      </c>
      <c r="N83" s="24" t="e">
        <f ca="1">IF(_xll.EVDES(H83,$B$1)="#NODATA","",_xll.EVDES(H83,$B$1))</f>
        <v>#NAME?</v>
      </c>
      <c r="O83" s="19"/>
      <c r="P83" s="19"/>
      <c r="Q83" s="19"/>
      <c r="R83" s="19"/>
      <c r="S83" s="19"/>
      <c r="T83" s="19"/>
      <c r="U83" s="19"/>
      <c r="V83" s="19"/>
      <c r="W83" s="19"/>
      <c r="X83" s="19"/>
      <c r="Y83" s="19"/>
      <c r="Z83" s="19"/>
      <c r="AA83" s="283" t="e">
        <f ca="1">IF($I83="B1","",SUM(O83:Z83))</f>
        <v>#NAME?</v>
      </c>
      <c r="AB83" s="15" t="e">
        <f ca="1">IF(AA83=0,"",IFERROR(AA83/AA$19,""))</f>
        <v>#NAME?</v>
      </c>
      <c r="AD83" s="19"/>
      <c r="AE83" s="15" t="str">
        <f>IF(AD83=0,"",IFERROR(AD83/AD$19,""))</f>
        <v/>
      </c>
      <c r="AF83" s="47" t="e">
        <f ca="1">IF(AND($AA83="",AD83=""),"",$AA83-AD83)</f>
        <v>#NAME?</v>
      </c>
      <c r="AG83" s="19"/>
      <c r="AH83" s="15" t="str">
        <f>IF(AG83=0,"",IFERROR(AG83/AG$19,""))</f>
        <v/>
      </c>
      <c r="AI83" s="47" t="e">
        <f ca="1">IF(AND($AA83="",AG83=""),"",$AA83-AG83)</f>
        <v>#NAME?</v>
      </c>
      <c r="AJ83" s="371">
        <f ca="1">IFERROR(AA83/AA$20,0)</f>
        <v>0</v>
      </c>
      <c r="AK83" s="372">
        <f ca="1">IFERROR(AD83/AD$20,0)</f>
        <v>0</v>
      </c>
      <c r="AL83" s="373">
        <f ca="1">IFERROR(AG83/AG$20,0)</f>
        <v>0</v>
      </c>
      <c r="AM83" s="374">
        <f ca="1">+IFERROR(ROUND(($AB83-AE83)*100,2)&amp;" pts.",0)</f>
        <v>0</v>
      </c>
      <c r="AN83" s="375">
        <f ca="1">+IFERROR(ROUND(($AB83-AH83)*100,2)&amp;" pts.",0)</f>
        <v>0</v>
      </c>
    </row>
    <row r="84" spans="1:40" hidden="1" x14ac:dyDescent="0.2">
      <c r="A84" s="6" t="s">
        <v>3</v>
      </c>
      <c r="B84" s="7" t="e">
        <f ca="1">_xll.EVRNG($O$16:$AN$18)</f>
        <v>#NAME?</v>
      </c>
      <c r="H84" s="10"/>
      <c r="I84" s="25" t="e">
        <f ca="1">_xll.EVPRO($B$1,$H84,"STYLE")</f>
        <v>#NAME?</v>
      </c>
      <c r="J84" s="25" t="e">
        <f ca="1">_xll.EVPRO($B$1,$H84,"CALC")</f>
        <v>#NAME?</v>
      </c>
      <c r="K84" s="64" t="e">
        <f ca="1">IF(AND(I84&lt;&gt;"B1",J84="Y"),"&gt;","")</f>
        <v>#NAME?</v>
      </c>
      <c r="L84" s="24" t="e">
        <f ca="1">_xll.EVPRO($B$1,H84,"JDEID")</f>
        <v>#NAME?</v>
      </c>
      <c r="M84" s="24" t="e">
        <f ca="1">IF(AND(I84="N",J84="N"),_xll.EVPRO($B$1,H84,"PSFTID"),"")</f>
        <v>#NAME?</v>
      </c>
      <c r="N84" s="24" t="e">
        <f ca="1">IF(_xll.EVDES(H84,$B$1)="#NODATA","",_xll.EVDES(H84,$B$1))</f>
        <v>#NAME?</v>
      </c>
      <c r="O84" s="19"/>
      <c r="P84" s="19"/>
      <c r="Q84" s="19"/>
      <c r="R84" s="19"/>
      <c r="S84" s="19"/>
      <c r="T84" s="19"/>
      <c r="U84" s="19"/>
      <c r="V84" s="19"/>
      <c r="W84" s="19"/>
      <c r="X84" s="19"/>
      <c r="Y84" s="19"/>
      <c r="Z84" s="19"/>
      <c r="AA84" s="283" t="e">
        <f ca="1">IF($I84="B1","",SUM(O84:Z84))</f>
        <v>#NAME?</v>
      </c>
      <c r="AB84" s="15" t="e">
        <f ca="1">IF(AA84=0,"",IFERROR(AA84/AA$19,""))</f>
        <v>#NAME?</v>
      </c>
      <c r="AD84" s="19"/>
      <c r="AE84" s="15" t="str">
        <f>IF(AD84=0,"",IFERROR(AD84/AD$19,""))</f>
        <v/>
      </c>
      <c r="AF84" s="47" t="e">
        <f ca="1">IF(AND($AA84="",AD84=""),"",$AA84-AD84)</f>
        <v>#NAME?</v>
      </c>
      <c r="AG84" s="19"/>
      <c r="AH84" s="15" t="str">
        <f>IF(AG84=0,"",IFERROR(AG84/AG$19,""))</f>
        <v/>
      </c>
      <c r="AI84" s="47" t="e">
        <f ca="1">IF(AND($AA84="",AG84=""),"",$AA84-AG84)</f>
        <v>#NAME?</v>
      </c>
      <c r="AJ84" s="371">
        <f ca="1">IFERROR(AA84/AA$20,0)</f>
        <v>0</v>
      </c>
      <c r="AK84" s="372">
        <f ca="1">IFERROR(AD84/AD$20,0)</f>
        <v>0</v>
      </c>
      <c r="AL84" s="373">
        <f ca="1">IFERROR(AG84/AG$20,0)</f>
        <v>0</v>
      </c>
      <c r="AM84" s="374">
        <f ca="1">+IFERROR(ROUND(($AB84-AE84)*100,2)&amp;" pts.",0)</f>
        <v>0</v>
      </c>
      <c r="AN84" s="375">
        <f ca="1">+IFERROR(ROUND(($AB84-AH84)*100,2)&amp;" pts.",0)</f>
        <v>0</v>
      </c>
    </row>
    <row r="85" spans="1:40" x14ac:dyDescent="0.2">
      <c r="A85" s="6" t="s">
        <v>4</v>
      </c>
      <c r="B85" s="7" t="e">
        <f ca="1">_xll.EVRNG(H76:H77,H79:H80,H83:H84)</f>
        <v>#NAME?</v>
      </c>
      <c r="H85" s="10" t="s">
        <v>79</v>
      </c>
      <c r="I85" s="25" t="e">
        <f ca="1">_xll.EVPRO($B$1,$H85,"STYLE")</f>
        <v>#NAME?</v>
      </c>
      <c r="J85" s="25" t="e">
        <f ca="1">_xll.EVPRO($B$1,$H85,"CALC")</f>
        <v>#NAME?</v>
      </c>
      <c r="K85" s="24"/>
      <c r="L85" s="24"/>
      <c r="M85" s="24"/>
      <c r="N85" s="23" t="e">
        <f ca="1">IF(_xll.EVDES(H85,$B$1)="#NODATA","",_xll.EVDES(H85,$B$1))</f>
        <v>#NAME?</v>
      </c>
      <c r="O85" s="30"/>
      <c r="P85" s="30"/>
      <c r="Q85" s="30"/>
      <c r="R85" s="30"/>
      <c r="S85" s="30"/>
      <c r="T85" s="30"/>
      <c r="U85" s="30"/>
      <c r="V85" s="30"/>
      <c r="W85" s="30"/>
      <c r="X85" s="30"/>
      <c r="Y85" s="30"/>
      <c r="Z85" s="30"/>
      <c r="AA85" s="30" t="e">
        <f ca="1">IF($I85="B1","",SUM(O85:Z85))</f>
        <v>#NAME?</v>
      </c>
      <c r="AB85" s="31" t="e">
        <f ca="1">IF(AA85=0,"",IFERROR(AA85/AA$19,""))</f>
        <v>#NAME?</v>
      </c>
      <c r="AD85" s="30"/>
      <c r="AE85" s="31" t="str">
        <f>IF(AD85=0,"",IFERROR(AD85/AD$19,""))</f>
        <v/>
      </c>
      <c r="AF85" s="49" t="e">
        <f ca="1">IF(AND($AA85="",AD85=""),"",$AA85-AD85)</f>
        <v>#NAME?</v>
      </c>
      <c r="AG85" s="30"/>
      <c r="AH85" s="31" t="str">
        <f>IF(AG85=0,"",IFERROR(AG85/AG$19,""))</f>
        <v/>
      </c>
      <c r="AI85" s="49" t="e">
        <f ca="1">IF(AND($AA85="",AG85=""),"",$AA85-AG85)</f>
        <v>#NAME?</v>
      </c>
      <c r="AJ85" s="387">
        <f ca="1">IFERROR(AA85/AA$20,0)</f>
        <v>0</v>
      </c>
      <c r="AK85" s="388">
        <f ca="1">IFERROR(AD85/AD$20,0)</f>
        <v>0</v>
      </c>
      <c r="AL85" s="389">
        <f ca="1">IFERROR(AG85/AG$20,0)</f>
        <v>0</v>
      </c>
      <c r="AM85" s="390">
        <f ca="1">+IFERROR(ROUND(($AB85-AE85)*100,2)&amp;" pts.",0)</f>
        <v>0</v>
      </c>
      <c r="AN85" s="408">
        <f ca="1">+IFERROR(ROUND(($AB85-AH85)*100,2)&amp;" pts.",0)</f>
        <v>0</v>
      </c>
    </row>
    <row r="86" spans="1:40" x14ac:dyDescent="0.2">
      <c r="A86" s="6" t="s">
        <v>5</v>
      </c>
      <c r="B86" s="7"/>
    </row>
    <row r="87" spans="1:40" x14ac:dyDescent="0.2">
      <c r="A87" s="6" t="s">
        <v>6</v>
      </c>
      <c r="B87" s="7"/>
      <c r="H87" s="10" t="s">
        <v>80</v>
      </c>
      <c r="I87" s="25" t="e">
        <f ca="1">_xll.EVPRO($B$1,$H87,"STYLE")</f>
        <v>#NAME?</v>
      </c>
      <c r="J87" s="25" t="e">
        <f ca="1">_xll.EVPRO($B$1,$H87,"CALC")</f>
        <v>#NAME?</v>
      </c>
      <c r="K87" s="23"/>
      <c r="L87" s="23"/>
      <c r="M87" s="23"/>
      <c r="N87" s="23" t="e">
        <f ca="1">IF(_xll.EVDES(H87,$B$1)="#NODATA","",_xll.EVDES(H87,$B$1))</f>
        <v>#NAME?</v>
      </c>
      <c r="O87" s="33"/>
      <c r="P87" s="33"/>
      <c r="Q87" s="33"/>
      <c r="R87" s="33"/>
      <c r="S87" s="33"/>
      <c r="T87" s="33"/>
      <c r="U87" s="33"/>
      <c r="V87" s="33"/>
      <c r="W87" s="33"/>
      <c r="X87" s="33"/>
      <c r="Y87" s="33"/>
      <c r="Z87" s="33"/>
      <c r="AA87" s="33" t="e">
        <f ca="1">IF($I87="B1","",SUM(O87:Z87))</f>
        <v>#NAME?</v>
      </c>
      <c r="AB87" s="34" t="e">
        <f ca="1">IF(AA87=0,"",IFERROR(AA87/AA$19,""))</f>
        <v>#NAME?</v>
      </c>
      <c r="AD87" s="33"/>
      <c r="AE87" s="34" t="str">
        <f>IF(AD87=0,"",IFERROR(AD87/AD$19,""))</f>
        <v/>
      </c>
      <c r="AF87" s="55" t="e">
        <f ca="1">IF(AND($AA87="",AD87=""),"",$AA87-AD87)</f>
        <v>#NAME?</v>
      </c>
      <c r="AG87" s="56"/>
      <c r="AH87" s="57" t="str">
        <f>IF(AG87=0,"",IFERROR(AG87/AG$19,""))</f>
        <v/>
      </c>
      <c r="AI87" s="55" t="e">
        <f ca="1">IF(AND($AA87="",AG87=""),"",$AA87-AG87)</f>
        <v>#NAME?</v>
      </c>
      <c r="AJ87" s="364">
        <f ca="1">IFERROR(AA87/AA$20,0)</f>
        <v>0</v>
      </c>
      <c r="AK87" s="365">
        <f ca="1">IFERROR(AD87/AD$20,0)</f>
        <v>0</v>
      </c>
      <c r="AL87" s="366">
        <f ca="1">IFERROR(AG87/AG$20,0)</f>
        <v>0</v>
      </c>
      <c r="AM87" s="367">
        <f ca="1">+IFERROR(ROUND(($AB87-AE87)*100,2)&amp;" pts.",0)</f>
        <v>0</v>
      </c>
      <c r="AN87" s="409">
        <f ca="1">+IFERROR(ROUND(($AB87-AH87)*100,2)&amp;" pts.",0)</f>
        <v>0</v>
      </c>
    </row>
    <row r="88" spans="1:40" ht="16" thickBot="1" x14ac:dyDescent="0.25">
      <c r="A88" s="6" t="s">
        <v>7</v>
      </c>
      <c r="B88" s="7" t="e">
        <f ca="1">_xll.EVRNG(A102:F108)</f>
        <v>#NAME?</v>
      </c>
      <c r="H88" s="10" t="s">
        <v>81</v>
      </c>
      <c r="I88" s="25" t="e">
        <f ca="1">_xll.EVPRO($B$1,$H88,"STYLE")</f>
        <v>#NAME?</v>
      </c>
      <c r="J88" s="25" t="e">
        <f ca="1">_xll.EVPRO($B$1,$H88,"CALC")</f>
        <v>#NAME?</v>
      </c>
      <c r="K88" s="23"/>
      <c r="L88" s="23"/>
      <c r="M88" s="23"/>
      <c r="N88" s="23" t="e">
        <f ca="1">IF(_xll.EVDES(H88,$B$1)="#NODATA","",_xll.EVDES(H88,$B$1))</f>
        <v>#NAME?</v>
      </c>
      <c r="O88" s="58"/>
      <c r="P88" s="58"/>
      <c r="Q88" s="58"/>
      <c r="R88" s="58"/>
      <c r="S88" s="58"/>
      <c r="T88" s="58"/>
      <c r="U88" s="58"/>
      <c r="V88" s="58"/>
      <c r="W88" s="58"/>
      <c r="X88" s="58"/>
      <c r="Y88" s="58"/>
      <c r="Z88" s="58"/>
      <c r="AA88" s="58" t="e">
        <f ca="1">IF($I88="B1","",SUM(O88:Z88))</f>
        <v>#NAME?</v>
      </c>
      <c r="AB88" s="59" t="e">
        <f ca="1">IF(AA88=0,"",IFERROR(AA88/AA$19,""))</f>
        <v>#NAME?</v>
      </c>
      <c r="AD88" s="58"/>
      <c r="AE88" s="59" t="str">
        <f>IF(AD88=0,"",IFERROR(AD88/AD$19,""))</f>
        <v/>
      </c>
      <c r="AF88" s="60" t="e">
        <f ca="1">IF(AND($AA88="",AD88=""),"",$AA88-AD88)</f>
        <v>#NAME?</v>
      </c>
      <c r="AG88" s="58"/>
      <c r="AH88" s="59" t="str">
        <f>IF(AG88=0,"",IFERROR(AG88/AG$19,""))</f>
        <v/>
      </c>
      <c r="AI88" s="60" t="e">
        <f ca="1">IF(AND($AA88="",AG88=""),"",$AA88-AG88)</f>
        <v>#NAME?</v>
      </c>
      <c r="AJ88" s="402">
        <f ca="1">IFERROR(AA88/AA$20,0)</f>
        <v>0</v>
      </c>
      <c r="AK88" s="403">
        <f ca="1">IFERROR(AD88/AD$20,0)</f>
        <v>0</v>
      </c>
      <c r="AL88" s="404">
        <f ca="1">IFERROR(AG88/AG$20,0)</f>
        <v>0</v>
      </c>
      <c r="AM88" s="405">
        <f ca="1">+IFERROR(ROUND(($AB88-AE88)*100,2)&amp;" pts.",0)</f>
        <v>0</v>
      </c>
      <c r="AN88" s="410">
        <f ca="1">+IFERROR(ROUND(($AB88-AH88)*100,2)&amp;" pts.",0)</f>
        <v>0</v>
      </c>
    </row>
    <row r="89" spans="1:40" ht="16" thickTop="1" x14ac:dyDescent="0.2">
      <c r="A89" s="6" t="s">
        <v>47</v>
      </c>
      <c r="B89" s="7" t="e">
        <f ca="1">_xll.EVRNG($A$125:$B$146)</f>
        <v>#NAME?</v>
      </c>
    </row>
    <row r="90" spans="1:40" x14ac:dyDescent="0.2">
      <c r="A90" s="6" t="s">
        <v>8</v>
      </c>
      <c r="B90" s="7"/>
      <c r="N90" s="24" t="e">
        <f ca="1">N87&amp;" - Check"</f>
        <v>#NAME?</v>
      </c>
      <c r="O90" s="124">
        <f t="shared" ref="O90:AA90" si="23">SUMIF($H$35:$H$88,"600000",O$35:O$88)+SUMIF($H$35:$H$88,"700000",O$35:O$88)-SUMIF($H$35:$H$88,"TOTDEPTEXP",O$35:O$88)</f>
        <v>0</v>
      </c>
      <c r="P90" s="124">
        <f t="shared" si="23"/>
        <v>0</v>
      </c>
      <c r="Q90" s="124">
        <f t="shared" si="23"/>
        <v>0</v>
      </c>
      <c r="R90" s="124">
        <f t="shared" si="23"/>
        <v>0</v>
      </c>
      <c r="S90" s="124">
        <f t="shared" si="23"/>
        <v>0</v>
      </c>
      <c r="T90" s="124">
        <f t="shared" si="23"/>
        <v>0</v>
      </c>
      <c r="U90" s="124">
        <f t="shared" si="23"/>
        <v>0</v>
      </c>
      <c r="V90" s="124">
        <f t="shared" si="23"/>
        <v>0</v>
      </c>
      <c r="W90" s="124">
        <f t="shared" si="23"/>
        <v>0</v>
      </c>
      <c r="X90" s="124">
        <f t="shared" si="23"/>
        <v>0</v>
      </c>
      <c r="Y90" s="124">
        <f t="shared" si="23"/>
        <v>0</v>
      </c>
      <c r="Z90" s="124">
        <f t="shared" si="23"/>
        <v>0</v>
      </c>
      <c r="AA90" s="124" t="e">
        <f t="shared" ca="1" si="23"/>
        <v>#NAME?</v>
      </c>
      <c r="AB90" s="15"/>
      <c r="AD90" s="124">
        <f>SUMIF($H$35:$H$88,"600000",AD$35:AD$88)+SUMIF($H$35:$H$88,"700000",AD$35:AD$88)-SUMIF($H$35:$H$88,"TOTDEPTEXP",AD$35:AD$88)</f>
        <v>0</v>
      </c>
      <c r="AE90" s="15"/>
      <c r="AF90" s="19"/>
      <c r="AG90" s="124">
        <f>SUMIF($H$35:$H$88,"600000",AG$35:AG$88)+SUMIF($H$35:$H$88,"700000",AG$35:AG$88)-SUMIF($H$35:$H$88,"TOTDEPTEXP",AG$35:AG$88)</f>
        <v>0</v>
      </c>
      <c r="AH90" s="15"/>
      <c r="AI90" s="19"/>
    </row>
    <row r="91" spans="1:40" x14ac:dyDescent="0.2">
      <c r="G91" s="13"/>
      <c r="N91" s="24" t="e">
        <f ca="1">N88&amp;" - Check"</f>
        <v>#NAME?</v>
      </c>
      <c r="O91" s="124">
        <f t="shared" ref="O91:AA91" si="24">SUMIF($H$35:$H$88,"KPI_GP",O$35:O$88)-SUMIF($H$35:$H$88,"TOTDEPTEXP",O$35:O$88)-SUMIF($H$35:$H$88,"TOTDEPTPL",O$35:O$88)</f>
        <v>0</v>
      </c>
      <c r="P91" s="124">
        <f t="shared" si="24"/>
        <v>0</v>
      </c>
      <c r="Q91" s="124">
        <f t="shared" si="24"/>
        <v>0</v>
      </c>
      <c r="R91" s="124">
        <f t="shared" si="24"/>
        <v>0</v>
      </c>
      <c r="S91" s="124">
        <f t="shared" si="24"/>
        <v>0</v>
      </c>
      <c r="T91" s="124">
        <f t="shared" si="24"/>
        <v>0</v>
      </c>
      <c r="U91" s="124">
        <f t="shared" si="24"/>
        <v>0</v>
      </c>
      <c r="V91" s="124">
        <f t="shared" si="24"/>
        <v>0</v>
      </c>
      <c r="W91" s="124">
        <f t="shared" si="24"/>
        <v>0</v>
      </c>
      <c r="X91" s="124">
        <f t="shared" si="24"/>
        <v>0</v>
      </c>
      <c r="Y91" s="124">
        <f t="shared" si="24"/>
        <v>0</v>
      </c>
      <c r="Z91" s="124">
        <f t="shared" si="24"/>
        <v>0</v>
      </c>
      <c r="AA91" s="124" t="e">
        <f t="shared" ca="1" si="24"/>
        <v>#NAME?</v>
      </c>
      <c r="AB91" s="15"/>
      <c r="AD91" s="124">
        <f>SUMIF($H$35:$H$88,"KPI_GP",AD$35:AD$88)-SUMIF($H$35:$H$88,"TOTDEPTEXP",AD$35:AD$88)-SUMIF($H$35:$H$88,"TOTDEPTPL",AD$35:AD$88)</f>
        <v>0</v>
      </c>
      <c r="AE91" s="15"/>
      <c r="AF91" s="19"/>
      <c r="AG91" s="124">
        <f>SUMIF($H$35:$H$88,"KPI_GP",AG$35:AG$88)-SUMIF($H$35:$H$88,"TOTDEPTEXP",AG$35:AG$88)-SUMIF($H$35:$H$88,"TOTDEPTPL",AG$35:AG$88)</f>
        <v>0</v>
      </c>
      <c r="AH91" s="15"/>
      <c r="AI91" s="19"/>
    </row>
    <row r="92" spans="1:40" x14ac:dyDescent="0.2">
      <c r="A92" s="3" t="s">
        <v>9</v>
      </c>
      <c r="B92" s="5" t="s">
        <v>10</v>
      </c>
    </row>
    <row r="93" spans="1:40" x14ac:dyDescent="0.2">
      <c r="A93" s="6" t="s">
        <v>11</v>
      </c>
      <c r="B93" s="7" t="s">
        <v>21</v>
      </c>
      <c r="O93" s="147"/>
      <c r="P93" s="147"/>
      <c r="Q93" s="147"/>
      <c r="R93" s="147"/>
      <c r="S93" s="147"/>
      <c r="T93" s="147"/>
      <c r="U93" s="147"/>
      <c r="V93" s="147"/>
      <c r="W93" s="147"/>
      <c r="X93" s="147"/>
      <c r="Y93" s="147"/>
      <c r="Z93" s="147"/>
      <c r="AA93" s="147"/>
      <c r="AD93" s="147"/>
      <c r="AG93" s="147"/>
    </row>
    <row r="94" spans="1:40" x14ac:dyDescent="0.2">
      <c r="A94" s="6" t="s">
        <v>12</v>
      </c>
      <c r="B94" s="7" t="s">
        <v>22</v>
      </c>
    </row>
    <row r="95" spans="1:40" x14ac:dyDescent="0.2">
      <c r="A95" s="6" t="s">
        <v>13</v>
      </c>
      <c r="B95" s="7" t="s">
        <v>737</v>
      </c>
      <c r="O95" s="147"/>
      <c r="P95" s="147"/>
      <c r="Q95" s="147"/>
      <c r="R95" s="147"/>
      <c r="S95" s="147"/>
      <c r="T95" s="147"/>
      <c r="U95" s="147"/>
      <c r="V95" s="147"/>
      <c r="W95" s="147"/>
      <c r="X95" s="147"/>
      <c r="Y95" s="147"/>
      <c r="Z95" s="147"/>
      <c r="AA95" s="147"/>
      <c r="AD95" s="147"/>
      <c r="AG95" s="147"/>
    </row>
    <row r="96" spans="1:40" x14ac:dyDescent="0.2">
      <c r="A96" s="6" t="s">
        <v>14</v>
      </c>
      <c r="B96" s="7"/>
    </row>
    <row r="97" spans="1:10" x14ac:dyDescent="0.2">
      <c r="A97" s="6" t="s">
        <v>15</v>
      </c>
      <c r="B97" s="7"/>
    </row>
    <row r="98" spans="1:10" x14ac:dyDescent="0.2">
      <c r="A98" s="6" t="s">
        <v>16</v>
      </c>
      <c r="B98" s="7" t="s">
        <v>78</v>
      </c>
      <c r="H98" s="11"/>
      <c r="J98" s="1"/>
    </row>
    <row r="99" spans="1:10" x14ac:dyDescent="0.2">
      <c r="A99" s="6" t="s">
        <v>17</v>
      </c>
      <c r="B99" s="7"/>
      <c r="H99" s="11"/>
      <c r="J99" s="1"/>
    </row>
    <row r="100" spans="1:10" x14ac:dyDescent="0.2">
      <c r="H100" s="11"/>
      <c r="J100" s="1"/>
    </row>
    <row r="101" spans="1:10" x14ac:dyDescent="0.2">
      <c r="A101" s="20" t="s">
        <v>92</v>
      </c>
      <c r="B101" s="21" t="s">
        <v>93</v>
      </c>
      <c r="C101" s="21" t="s">
        <v>94</v>
      </c>
      <c r="D101" s="21" t="s">
        <v>95</v>
      </c>
      <c r="E101" s="21" t="s">
        <v>96</v>
      </c>
      <c r="F101" s="22" t="s">
        <v>97</v>
      </c>
      <c r="H101" s="11"/>
      <c r="J101" s="1"/>
    </row>
    <row r="102" spans="1:10" x14ac:dyDescent="0.2">
      <c r="H102" s="11"/>
      <c r="J102" s="1"/>
    </row>
    <row r="103" spans="1:10" x14ac:dyDescent="0.2">
      <c r="A103" s="1" t="s">
        <v>108</v>
      </c>
      <c r="C103" s="24" t="s">
        <v>101</v>
      </c>
      <c r="D103" s="1" t="s">
        <v>106</v>
      </c>
      <c r="F103" s="1" t="s">
        <v>98</v>
      </c>
      <c r="H103" s="11"/>
      <c r="J103" s="1"/>
    </row>
    <row r="104" spans="1:10" x14ac:dyDescent="0.2">
      <c r="A104" s="1" t="s">
        <v>100</v>
      </c>
      <c r="C104" s="8" t="s">
        <v>101</v>
      </c>
      <c r="D104" s="1" t="s">
        <v>106</v>
      </c>
      <c r="F104" s="1" t="s">
        <v>98</v>
      </c>
      <c r="H104" s="11"/>
      <c r="J104" s="1"/>
    </row>
    <row r="105" spans="1:10" x14ac:dyDescent="0.2">
      <c r="A105" s="1" t="s">
        <v>109</v>
      </c>
      <c r="C105" s="23" t="s">
        <v>101</v>
      </c>
      <c r="D105" s="1" t="s">
        <v>106</v>
      </c>
      <c r="F105" s="1" t="s">
        <v>98</v>
      </c>
      <c r="G105" s="13"/>
      <c r="H105" s="11"/>
      <c r="J105" s="1"/>
    </row>
    <row r="106" spans="1:10" x14ac:dyDescent="0.2">
      <c r="A106" s="1" t="s">
        <v>109</v>
      </c>
      <c r="C106" s="135" t="s">
        <v>101</v>
      </c>
      <c r="D106" s="1" t="s">
        <v>107</v>
      </c>
      <c r="F106" s="1" t="s">
        <v>99</v>
      </c>
      <c r="H106" s="11"/>
      <c r="J106" s="1"/>
    </row>
    <row r="107" spans="1:10" x14ac:dyDescent="0.2">
      <c r="A107" s="1" t="s">
        <v>110</v>
      </c>
      <c r="C107" s="23" t="s">
        <v>101</v>
      </c>
      <c r="D107" s="1" t="s">
        <v>106</v>
      </c>
      <c r="F107" s="1" t="s">
        <v>98</v>
      </c>
      <c r="H107" s="11"/>
      <c r="J107" s="1"/>
    </row>
    <row r="108" spans="1:10" x14ac:dyDescent="0.2">
      <c r="A108" s="1" t="s">
        <v>110</v>
      </c>
      <c r="C108" s="27" t="s">
        <v>101</v>
      </c>
      <c r="D108" s="1" t="s">
        <v>107</v>
      </c>
      <c r="F108" s="1" t="s">
        <v>99</v>
      </c>
      <c r="H108" s="11"/>
      <c r="J108" s="1"/>
    </row>
    <row r="109" spans="1:10" x14ac:dyDescent="0.2">
      <c r="C109" s="23"/>
      <c r="H109" s="11"/>
      <c r="J109" s="1"/>
    </row>
    <row r="110" spans="1:10" x14ac:dyDescent="0.2">
      <c r="H110" s="11"/>
      <c r="J110" s="1"/>
    </row>
    <row r="111" spans="1:10" x14ac:dyDescent="0.2">
      <c r="A111" s="4" t="e">
        <f ca="1">_xll.EVDRE($B$1,A114:B121)</f>
        <v>#NAME?</v>
      </c>
      <c r="B111" s="1" t="s">
        <v>736</v>
      </c>
      <c r="G111" s="13"/>
      <c r="H111" s="11"/>
      <c r="J111" s="1"/>
    </row>
    <row r="112" spans="1:10" x14ac:dyDescent="0.2">
      <c r="H112" s="11"/>
      <c r="J112" s="1"/>
    </row>
    <row r="113" spans="1:10" x14ac:dyDescent="0.2">
      <c r="A113" s="3" t="s">
        <v>0</v>
      </c>
      <c r="B113" s="5" t="s">
        <v>1</v>
      </c>
      <c r="H113" s="11"/>
      <c r="J113" s="1"/>
    </row>
    <row r="114" spans="1:10" x14ac:dyDescent="0.2">
      <c r="A114" s="6" t="s">
        <v>2</v>
      </c>
      <c r="B114" s="7" t="e">
        <f ca="1">_xll.EVRNG($B$2:$B$10)</f>
        <v>#NAME?</v>
      </c>
      <c r="H114" s="11"/>
      <c r="J114" s="1"/>
    </row>
    <row r="115" spans="1:10" x14ac:dyDescent="0.2">
      <c r="A115" s="6" t="s">
        <v>3</v>
      </c>
      <c r="B115" s="7" t="e">
        <f ca="1">_xll.EVRNG($O$16:$AN$18)</f>
        <v>#NAME?</v>
      </c>
      <c r="H115" s="11"/>
      <c r="J115" s="1"/>
    </row>
    <row r="116" spans="1:10" x14ac:dyDescent="0.2">
      <c r="A116" s="6" t="s">
        <v>4</v>
      </c>
      <c r="B116" s="7" t="e">
        <f ca="1">_xll.EVRNG(H85:H88)</f>
        <v>#NAME?</v>
      </c>
      <c r="H116" s="11"/>
      <c r="J116" s="1"/>
    </row>
    <row r="117" spans="1:10" x14ac:dyDescent="0.2">
      <c r="A117" s="6" t="s">
        <v>5</v>
      </c>
      <c r="B117" s="7"/>
      <c r="H117" s="11"/>
      <c r="J117" s="1"/>
    </row>
    <row r="118" spans="1:10" x14ac:dyDescent="0.2">
      <c r="A118" s="6" t="s">
        <v>6</v>
      </c>
      <c r="B118" s="7"/>
      <c r="H118" s="11"/>
      <c r="J118" s="1"/>
    </row>
    <row r="119" spans="1:10" x14ac:dyDescent="0.2">
      <c r="A119" s="6" t="s">
        <v>7</v>
      </c>
      <c r="B119" s="7"/>
      <c r="H119" s="11"/>
      <c r="J119" s="1"/>
    </row>
    <row r="120" spans="1:10" x14ac:dyDescent="0.2">
      <c r="A120" s="6" t="s">
        <v>47</v>
      </c>
      <c r="B120" s="7" t="e">
        <f ca="1">_xll.EVRNG($A$125:$B$146)</f>
        <v>#NAME?</v>
      </c>
      <c r="H120" s="11"/>
      <c r="J120" s="1"/>
    </row>
    <row r="121" spans="1:10" x14ac:dyDescent="0.2">
      <c r="A121" s="6" t="s">
        <v>8</v>
      </c>
      <c r="B121" s="7"/>
    </row>
    <row r="124" spans="1:10" x14ac:dyDescent="0.2">
      <c r="A124" s="3" t="s">
        <v>23</v>
      </c>
      <c r="B124" s="5" t="s">
        <v>24</v>
      </c>
    </row>
    <row r="125" spans="1:10" x14ac:dyDescent="0.2">
      <c r="A125" s="6" t="s">
        <v>25</v>
      </c>
      <c r="B125" s="7"/>
    </row>
    <row r="126" spans="1:10" x14ac:dyDescent="0.2">
      <c r="A126" s="6" t="s">
        <v>26</v>
      </c>
      <c r="B126" s="7"/>
    </row>
    <row r="127" spans="1:10" x14ac:dyDescent="0.2">
      <c r="A127" s="6" t="s">
        <v>27</v>
      </c>
      <c r="B127" s="7"/>
    </row>
    <row r="128" spans="1:10" x14ac:dyDescent="0.2">
      <c r="A128" s="6" t="s">
        <v>28</v>
      </c>
      <c r="B128" s="7"/>
    </row>
    <row r="129" spans="1:2" x14ac:dyDescent="0.2">
      <c r="A129" s="6" t="s">
        <v>29</v>
      </c>
      <c r="B129" s="7"/>
    </row>
    <row r="130" spans="1:2" x14ac:dyDescent="0.2">
      <c r="A130" s="6" t="s">
        <v>30</v>
      </c>
      <c r="B130" s="7" t="s">
        <v>78</v>
      </c>
    </row>
    <row r="131" spans="1:2" x14ac:dyDescent="0.2">
      <c r="A131" s="6" t="s">
        <v>31</v>
      </c>
      <c r="B131" s="7" t="s">
        <v>78</v>
      </c>
    </row>
    <row r="132" spans="1:2" x14ac:dyDescent="0.2">
      <c r="A132" s="6" t="s">
        <v>32</v>
      </c>
      <c r="B132" s="7"/>
    </row>
    <row r="133" spans="1:2" x14ac:dyDescent="0.2">
      <c r="A133" s="6" t="s">
        <v>33</v>
      </c>
      <c r="B133" s="7"/>
    </row>
    <row r="134" spans="1:2" x14ac:dyDescent="0.2">
      <c r="A134" s="6" t="s">
        <v>34</v>
      </c>
      <c r="B134" s="7"/>
    </row>
    <row r="135" spans="1:2" x14ac:dyDescent="0.2">
      <c r="A135" s="6" t="s">
        <v>35</v>
      </c>
      <c r="B135" s="7"/>
    </row>
    <row r="136" spans="1:2" x14ac:dyDescent="0.2">
      <c r="A136" s="6" t="s">
        <v>36</v>
      </c>
      <c r="B136" s="7"/>
    </row>
    <row r="137" spans="1:2" x14ac:dyDescent="0.2">
      <c r="A137" s="6" t="s">
        <v>37</v>
      </c>
      <c r="B137" s="7"/>
    </row>
    <row r="138" spans="1:2" x14ac:dyDescent="0.2">
      <c r="A138" s="6" t="s">
        <v>38</v>
      </c>
      <c r="B138" s="7"/>
    </row>
    <row r="139" spans="1:2" x14ac:dyDescent="0.2">
      <c r="A139" s="6" t="s">
        <v>39</v>
      </c>
      <c r="B139" s="7"/>
    </row>
    <row r="140" spans="1:2" x14ac:dyDescent="0.2">
      <c r="A140" s="6" t="s">
        <v>40</v>
      </c>
      <c r="B140" s="7"/>
    </row>
    <row r="141" spans="1:2" x14ac:dyDescent="0.2">
      <c r="A141" s="6" t="s">
        <v>41</v>
      </c>
      <c r="B141" s="7"/>
    </row>
    <row r="142" spans="1:2" x14ac:dyDescent="0.2">
      <c r="A142" s="6" t="s">
        <v>42</v>
      </c>
      <c r="B142" s="7"/>
    </row>
    <row r="143" spans="1:2" x14ac:dyDescent="0.2">
      <c r="A143" s="6" t="s">
        <v>43</v>
      </c>
      <c r="B143" s="7"/>
    </row>
    <row r="144" spans="1:2" x14ac:dyDescent="0.2">
      <c r="A144" s="6" t="s">
        <v>44</v>
      </c>
      <c r="B144" s="7"/>
    </row>
    <row r="145" spans="1:2" x14ac:dyDescent="0.2">
      <c r="A145" s="6" t="s">
        <v>45</v>
      </c>
      <c r="B145" s="7"/>
    </row>
    <row r="146" spans="1:2" x14ac:dyDescent="0.2">
      <c r="A146" s="6" t="s">
        <v>46</v>
      </c>
      <c r="B146" s="7"/>
    </row>
    <row r="161" spans="5:34" x14ac:dyDescent="0.2">
      <c r="I161" s="72"/>
      <c r="J161" s="1"/>
      <c r="K161" s="72"/>
      <c r="L161" s="72"/>
      <c r="M161" s="72"/>
      <c r="O161" s="72"/>
      <c r="P161" s="72"/>
      <c r="Q161" s="72"/>
      <c r="R161" s="72"/>
      <c r="S161" s="72"/>
      <c r="T161" s="72"/>
      <c r="U161" s="72"/>
      <c r="V161" s="72"/>
      <c r="W161" s="72"/>
      <c r="X161" s="72"/>
      <c r="Y161" s="72"/>
      <c r="Z161" s="72"/>
      <c r="AA161" s="72"/>
      <c r="AD161" s="72"/>
      <c r="AF161" s="72"/>
      <c r="AH161" s="72"/>
    </row>
    <row r="163" spans="5:34" x14ac:dyDescent="0.2">
      <c r="E163" s="72"/>
    </row>
    <row r="165" spans="5:34" x14ac:dyDescent="0.2">
      <c r="I165" s="72"/>
      <c r="J165" s="1"/>
      <c r="K165" s="72"/>
      <c r="L165" s="72"/>
      <c r="M165" s="72"/>
      <c r="O165" s="72"/>
      <c r="P165" s="72"/>
      <c r="Q165" s="72"/>
      <c r="R165" s="72"/>
      <c r="S165" s="72"/>
      <c r="T165" s="72"/>
      <c r="U165" s="72"/>
      <c r="V165" s="72"/>
      <c r="W165" s="72"/>
      <c r="X165" s="72"/>
      <c r="Y165" s="72"/>
      <c r="Z165" s="72"/>
      <c r="AA165" s="72"/>
      <c r="AD165" s="72"/>
      <c r="AF165" s="72"/>
      <c r="AH165" s="72"/>
    </row>
    <row r="167" spans="5:34" x14ac:dyDescent="0.2">
      <c r="E167" s="72"/>
    </row>
    <row r="190" spans="7:7" x14ac:dyDescent="0.2">
      <c r="G190" s="72"/>
    </row>
    <row r="194" spans="7:7" x14ac:dyDescent="0.2">
      <c r="G194" s="72"/>
    </row>
  </sheetData>
  <mergeCells count="2">
    <mergeCell ref="AD31:AE31"/>
    <mergeCell ref="AG31:AH31"/>
  </mergeCells>
  <dataValidations count="2">
    <dataValidation type="list" allowBlank="1" sqref="B29 B95 B62" xr:uid="{00000000-0002-0000-2200-000000000000}">
      <formula1>"SELF,ALL,BAS,DEP,BASMEMBERS,MEMBERS,NOEXPAND,GDEP"</formula1>
    </dataValidation>
    <dataValidation type="list" allowBlank="1" sqref="B28 B94 B61" xr:uid="{00000000-0002-0000-22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5">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8"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16384" width="9.1640625" style="1"/>
  </cols>
  <sheetData>
    <row r="1" spans="1:35" hidden="1" outlineLevel="1" x14ac:dyDescent="0.2">
      <c r="A1" s="8" t="s">
        <v>48</v>
      </c>
      <c r="B1" s="2" t="s">
        <v>49</v>
      </c>
      <c r="C1" s="8" t="e">
        <f ca="1">_xll.EVAPD($B$1)</f>
        <v>#NAME?</v>
      </c>
      <c r="I1" s="1"/>
      <c r="J1" s="1"/>
      <c r="N1" s="16" t="e">
        <f ca="1">'lt2I6MkWykSAZkA76q6tqg=='!N1</f>
        <v>#NAME?</v>
      </c>
      <c r="O1" s="1" t="s">
        <v>731</v>
      </c>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788</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35"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35" hidden="1" outlineLevel="1" x14ac:dyDescent="0.2">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2" t="e">
        <f ca="1">AA11</f>
        <v>#NAME?</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35" hidden="1" outlineLevel="1" x14ac:dyDescent="0.2">
      <c r="A19" s="6" t="s">
        <v>4</v>
      </c>
      <c r="B19" s="7" t="e">
        <f ca="1">_xll.EVRNG(H35:H146)</f>
        <v>#NAME?</v>
      </c>
      <c r="G19" s="16" t="str">
        <f>$B$6</f>
        <v>D2144</v>
      </c>
      <c r="H19" s="16" t="s">
        <v>273</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35" hidden="1" outlineLevel="1" x14ac:dyDescent="0.2">
      <c r="A20" s="6" t="s">
        <v>5</v>
      </c>
      <c r="B20" s="7"/>
      <c r="G20" s="16" t="str">
        <f>$B$6</f>
        <v>D2144</v>
      </c>
      <c r="H20" s="16">
        <v>946000</v>
      </c>
      <c r="I20" s="17"/>
      <c r="J20" s="17"/>
      <c r="K20" s="16"/>
      <c r="L20" s="16"/>
      <c r="M20" s="16"/>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35" hidden="1" outlineLevel="1" x14ac:dyDescent="0.2">
      <c r="A21" s="6" t="s">
        <v>6</v>
      </c>
      <c r="B21" s="7"/>
      <c r="I21" s="1"/>
      <c r="J21" s="1"/>
    </row>
    <row r="22" spans="1:35" hidden="1" outlineLevel="1" x14ac:dyDescent="0.2">
      <c r="A22" s="6" t="s">
        <v>7</v>
      </c>
      <c r="B22" s="7"/>
      <c r="I22" s="1"/>
      <c r="J22" s="1"/>
    </row>
    <row r="23" spans="1:35" hidden="1" outlineLevel="1" x14ac:dyDescent="0.2">
      <c r="A23" s="6" t="s">
        <v>47</v>
      </c>
      <c r="B23" s="7" t="e">
        <f ca="1">_xll.EVRNG($A$37:$B$58)</f>
        <v>#NAME?</v>
      </c>
      <c r="K23" s="53"/>
      <c r="L23" s="53"/>
      <c r="M23" s="53"/>
      <c r="AD23" s="136"/>
    </row>
    <row r="24" spans="1:35" hidden="1" outlineLevel="1" x14ac:dyDescent="0.2">
      <c r="A24" s="6" t="s">
        <v>8</v>
      </c>
      <c r="B24" s="7"/>
    </row>
    <row r="25" spans="1:35" collapsed="1" x14ac:dyDescent="0.2"/>
    <row r="26" spans="1:35" ht="23" x14ac:dyDescent="0.25">
      <c r="A26" s="3" t="s">
        <v>9</v>
      </c>
      <c r="B26" s="5" t="s">
        <v>10</v>
      </c>
      <c r="N26" s="61" t="e">
        <f ca="1">IF(_xll.EVDES(B3,$B$1)="#NODATA","",_xll.EVDES(B3,$B$1))</f>
        <v>#NAME?</v>
      </c>
    </row>
    <row r="27" spans="1:35" ht="18" x14ac:dyDescent="0.2">
      <c r="A27" s="6" t="s">
        <v>11</v>
      </c>
      <c r="B27" s="7" t="s">
        <v>21</v>
      </c>
      <c r="N27" s="66" t="e">
        <f ca="1">IF($N$1="",IF(_xll.EVDES(B6,$B$1)="#NODATA","",_xll.EVDES(B6,$B$1)&amp;" Department"),$N$1)</f>
        <v>#NAME?</v>
      </c>
    </row>
    <row r="28" spans="1:35" ht="16" x14ac:dyDescent="0.2">
      <c r="A28" s="6" t="s">
        <v>12</v>
      </c>
      <c r="B28" s="7" t="s">
        <v>22</v>
      </c>
      <c r="N28" s="67" t="e">
        <f ca="1">"For the Period ended"&amp;" "&amp;IF(_xll.EVDES($B$10,$B$1)="#NODATA","",_xll.EVDES($B$10,$B$1))</f>
        <v>#NAME?</v>
      </c>
    </row>
    <row r="29" spans="1:35" ht="15" customHeight="1" x14ac:dyDescent="0.2">
      <c r="A29" s="6" t="s">
        <v>13</v>
      </c>
      <c r="B29" s="7" t="s">
        <v>293</v>
      </c>
      <c r="N29" s="67" t="e">
        <f ca="1">_xll.EVDES(B9,B1)</f>
        <v>#NAME?</v>
      </c>
      <c r="O29" s="62" t="s">
        <v>344</v>
      </c>
      <c r="P29" s="62"/>
      <c r="Q29" s="62"/>
      <c r="R29" s="62"/>
      <c r="S29" s="62"/>
      <c r="T29" s="62"/>
      <c r="U29" s="62"/>
      <c r="V29" s="62"/>
      <c r="W29" s="62"/>
      <c r="X29" s="62"/>
      <c r="Y29" s="62"/>
      <c r="Z29" s="62"/>
      <c r="AA29" s="62"/>
    </row>
    <row r="30" spans="1:35"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row>
    <row r="31" spans="1:35" x14ac:dyDescent="0.2">
      <c r="A31" s="6" t="s">
        <v>15</v>
      </c>
      <c r="B31" s="7"/>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row>
    <row r="32" spans="1:35" s="232" customFormat="1" ht="30" customHeight="1" x14ac:dyDescent="0.2">
      <c r="A32" s="230" t="s">
        <v>16</v>
      </c>
      <c r="B32" s="231"/>
      <c r="E32" s="1"/>
      <c r="H32" s="233"/>
      <c r="I32" s="234"/>
      <c r="J32" s="234"/>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row>
    <row r="33" spans="1:35" ht="16" x14ac:dyDescent="0.2">
      <c r="A33" s="6" t="s">
        <v>17</v>
      </c>
      <c r="B33" s="7"/>
      <c r="N33" s="155" t="s">
        <v>330</v>
      </c>
      <c r="O33" s="38"/>
      <c r="P33" s="42"/>
      <c r="Q33" s="42"/>
      <c r="R33" s="42"/>
      <c r="S33" s="42"/>
      <c r="T33" s="42"/>
      <c r="U33" s="42"/>
      <c r="V33" s="42"/>
      <c r="W33" s="42"/>
      <c r="X33" s="42"/>
      <c r="Y33" s="42"/>
      <c r="Z33" s="42"/>
      <c r="AA33" s="42"/>
      <c r="AB33" s="39"/>
      <c r="AD33" s="38"/>
      <c r="AE33" s="42"/>
      <c r="AF33" s="39"/>
      <c r="AG33" s="38"/>
      <c r="AH33" s="42"/>
      <c r="AI33" s="39"/>
    </row>
    <row r="34" spans="1:35" x14ac:dyDescent="0.2">
      <c r="L34" s="175" t="s">
        <v>364</v>
      </c>
      <c r="M34" s="175" t="s">
        <v>782</v>
      </c>
      <c r="N34" s="8" t="s">
        <v>312</v>
      </c>
      <c r="O34" s="50"/>
      <c r="AB34" s="51"/>
      <c r="AD34" s="50"/>
      <c r="AF34" s="51"/>
      <c r="AG34" s="50"/>
      <c r="AI34" s="51"/>
    </row>
    <row r="35" spans="1:35" x14ac:dyDescent="0.2">
      <c r="H35" s="10" t="s">
        <v>260</v>
      </c>
      <c r="I35" s="25" t="e">
        <f ca="1">_xll.EVPRO($B$1,$H35,"STYLE")</f>
        <v>#NAME?</v>
      </c>
      <c r="J35" s="25" t="e">
        <f ca="1">_xll.EVPRO($B$1,$H35,"CALC")</f>
        <v>#NAME?</v>
      </c>
      <c r="K35" s="24"/>
      <c r="L35" s="24" t="e">
        <f ca="1">_xll.EVPRO($B$1,H35,"JDEID")</f>
        <v>#NAME?</v>
      </c>
      <c r="M35" s="24" t="e">
        <f ca="1">IF(AND(I35="N",J35="N"),_xll.EVPRO($B$1,H35,"PSFTID"),"")</f>
        <v>#NAME?</v>
      </c>
      <c r="N35" s="24" t="e">
        <f ca="1">IF(_xll.EVDES(H35,$B$1)="#NODATA","",_xll.EVDES(H35,$B$1))</f>
        <v>#NAME?</v>
      </c>
      <c r="O35" s="19"/>
      <c r="P35" s="19"/>
      <c r="Q35" s="19"/>
      <c r="R35" s="19"/>
      <c r="S35" s="19"/>
      <c r="T35" s="19"/>
      <c r="U35" s="19"/>
      <c r="V35" s="19"/>
      <c r="W35" s="19"/>
      <c r="X35" s="19"/>
      <c r="Y35" s="19"/>
      <c r="Z35" s="19"/>
      <c r="AA35" s="19">
        <f t="shared" ref="AA35:AA41" si="0">SUM(O35:Z35)</f>
        <v>0</v>
      </c>
      <c r="AB35" s="15" t="str">
        <f>IF(AA35=0,"",IFERROR(AA35/AA$19,""))</f>
        <v/>
      </c>
      <c r="AD35" s="19"/>
      <c r="AE35" s="15" t="str">
        <f>IF(AD35=0,"",IFERROR(AD35/AD$19,""))</f>
        <v/>
      </c>
      <c r="AF35" s="47">
        <f t="shared" ref="AF35:AF42" si="1">IF(AND($AA35="",AD35=""),"",$AA35-AD35)</f>
        <v>0</v>
      </c>
      <c r="AG35" s="19"/>
      <c r="AH35" s="15" t="str">
        <f>IF(AG35=0,"",IFERROR(AG35/AG$19,""))</f>
        <v/>
      </c>
      <c r="AI35" s="47">
        <f t="shared" ref="AI35:AI42" si="2">IF(AND($AA35="",AG35=""),"",$AA35-AG35)</f>
        <v>0</v>
      </c>
    </row>
    <row r="36" spans="1:35" x14ac:dyDescent="0.2">
      <c r="A36" s="3" t="s">
        <v>23</v>
      </c>
      <c r="B36" s="5" t="s">
        <v>24</v>
      </c>
      <c r="H36" s="10" t="s">
        <v>294</v>
      </c>
      <c r="I36" s="25" t="e">
        <f ca="1">_xll.EVPRO($B$1,$H36,"STYLE")</f>
        <v>#NAME?</v>
      </c>
      <c r="J36" s="25" t="e">
        <f ca="1">_xll.EVPRO($B$1,$H36,"CALC")</f>
        <v>#NAME?</v>
      </c>
      <c r="K36" s="24"/>
      <c r="L36" s="24" t="e">
        <f ca="1">_xll.EVPRO($B$1,H36,"JDEID")</f>
        <v>#NAME?</v>
      </c>
      <c r="M36" s="24" t="e">
        <f ca="1">IF(AND(I36="N",J36="N"),_xll.EVPRO($B$1,H36,"PSFTID"),"")</f>
        <v>#NAME?</v>
      </c>
      <c r="N36" s="24" t="e">
        <f ca="1">IF(_xll.EVDES(H36,$B$1)="#NODATA","",_xll.EVDES(H36,$B$1))</f>
        <v>#NAME?</v>
      </c>
      <c r="O36" s="19"/>
      <c r="P36" s="19"/>
      <c r="Q36" s="19"/>
      <c r="R36" s="19"/>
      <c r="S36" s="19"/>
      <c r="T36" s="19"/>
      <c r="U36" s="19"/>
      <c r="V36" s="19"/>
      <c r="W36" s="19"/>
      <c r="X36" s="19"/>
      <c r="Y36" s="19"/>
      <c r="Z36" s="19"/>
      <c r="AA36" s="19">
        <f t="shared" si="0"/>
        <v>0</v>
      </c>
      <c r="AB36" s="15" t="str">
        <f>IF(AA36=0,"",IFERROR(AA36/AA$19,""))</f>
        <v/>
      </c>
      <c r="AD36" s="19"/>
      <c r="AE36" s="15" t="str">
        <f>IF(AD36=0,"",IFERROR(AD36/AD$19,""))</f>
        <v/>
      </c>
      <c r="AF36" s="47">
        <f t="shared" si="1"/>
        <v>0</v>
      </c>
      <c r="AG36" s="19"/>
      <c r="AH36" s="15" t="str">
        <f t="shared" ref="AH36:AH79" si="3">IF(AG36=0,"",IFERROR(AG36/AG$19,""))</f>
        <v/>
      </c>
      <c r="AI36" s="47">
        <f t="shared" si="2"/>
        <v>0</v>
      </c>
    </row>
    <row r="37" spans="1:35" x14ac:dyDescent="0.2">
      <c r="A37" s="6" t="s">
        <v>25</v>
      </c>
      <c r="B37" s="7"/>
      <c r="H37" s="10" t="s">
        <v>295</v>
      </c>
      <c r="I37" s="25" t="e">
        <f ca="1">_xll.EVPRO($B$1,$H37,"STYLE")</f>
        <v>#NAME?</v>
      </c>
      <c r="J37" s="25" t="e">
        <f ca="1">_xll.EVPRO($B$1,$H37,"CALC")</f>
        <v>#NAME?</v>
      </c>
      <c r="K37" s="24"/>
      <c r="L37" s="24" t="e">
        <f ca="1">_xll.EVPRO($B$1,H37,"JDEID")</f>
        <v>#NAME?</v>
      </c>
      <c r="M37" s="24" t="e">
        <f ca="1">IF(AND(I37="N",J37="N"),_xll.EVPRO($B$1,H37,"PSFTID"),"")</f>
        <v>#NAME?</v>
      </c>
      <c r="N37" s="24" t="e">
        <f ca="1">IF(_xll.EVDES(H37,$B$1)="#NODATA","",_xll.EVDES(H37,$B$1))</f>
        <v>#NAME?</v>
      </c>
      <c r="O37" s="19"/>
      <c r="P37" s="19"/>
      <c r="Q37" s="19"/>
      <c r="R37" s="19"/>
      <c r="S37" s="19"/>
      <c r="T37" s="19"/>
      <c r="U37" s="19"/>
      <c r="V37" s="19"/>
      <c r="W37" s="19"/>
      <c r="X37" s="19"/>
      <c r="Y37" s="19"/>
      <c r="Z37" s="19"/>
      <c r="AA37" s="19">
        <f t="shared" si="0"/>
        <v>0</v>
      </c>
      <c r="AB37" s="15" t="str">
        <f>IF(AA37=0,"",IFERROR(AA37/AA$19,""))</f>
        <v/>
      </c>
      <c r="AD37" s="19"/>
      <c r="AE37" s="15" t="str">
        <f>IF(AD37=0,"",IFERROR(AD37/AD$19,""))</f>
        <v/>
      </c>
      <c r="AF37" s="47">
        <f t="shared" si="1"/>
        <v>0</v>
      </c>
      <c r="AG37" s="19"/>
      <c r="AH37" s="15" t="str">
        <f t="shared" si="3"/>
        <v/>
      </c>
      <c r="AI37" s="47">
        <f t="shared" si="2"/>
        <v>0</v>
      </c>
    </row>
    <row r="38" spans="1:35" x14ac:dyDescent="0.2">
      <c r="A38" s="6" t="s">
        <v>26</v>
      </c>
      <c r="B38" s="7"/>
      <c r="H38" s="10" t="s">
        <v>296</v>
      </c>
      <c r="I38" s="25" t="e">
        <f ca="1">_xll.EVPRO($B$1,$H38,"STYLE")</f>
        <v>#NAME?</v>
      </c>
      <c r="J38" s="25" t="e">
        <f ca="1">_xll.EVPRO($B$1,$H38,"CALC")</f>
        <v>#NAME?</v>
      </c>
      <c r="K38" s="24"/>
      <c r="L38" s="24" t="e">
        <f ca="1">_xll.EVPRO($B$1,H38,"JDEID")</f>
        <v>#NAME?</v>
      </c>
      <c r="M38" s="24" t="e">
        <f ca="1">IF(AND(I38="N",J38="N"),_xll.EVPRO($B$1,H38,"PSFTID"),"")</f>
        <v>#NAME?</v>
      </c>
      <c r="N38" s="24" t="e">
        <f ca="1">IF(_xll.EVDES(H38,$B$1)="#NODATA","",_xll.EVDES(H38,$B$1))</f>
        <v>#NAME?</v>
      </c>
      <c r="O38" s="28"/>
      <c r="P38" s="28"/>
      <c r="Q38" s="28"/>
      <c r="R38" s="28"/>
      <c r="S38" s="28"/>
      <c r="T38" s="28"/>
      <c r="U38" s="28"/>
      <c r="V38" s="28"/>
      <c r="W38" s="28"/>
      <c r="X38" s="28"/>
      <c r="Y38" s="28"/>
      <c r="Z38" s="28"/>
      <c r="AA38" s="28">
        <f t="shared" si="0"/>
        <v>0</v>
      </c>
      <c r="AB38" s="29" t="str">
        <f>IF(AA38=0,"",IFERROR(AA38/AA$19,""))</f>
        <v/>
      </c>
      <c r="AD38" s="28"/>
      <c r="AE38" s="29" t="str">
        <f>IF(AD38=0,"",IFERROR(AD38/AD$19,""))</f>
        <v/>
      </c>
      <c r="AF38" s="48">
        <f t="shared" si="1"/>
        <v>0</v>
      </c>
      <c r="AG38" s="28"/>
      <c r="AH38" s="29" t="str">
        <f t="shared" si="3"/>
        <v/>
      </c>
      <c r="AI38" s="48">
        <f t="shared" si="2"/>
        <v>0</v>
      </c>
    </row>
    <row r="39" spans="1:35" x14ac:dyDescent="0.2">
      <c r="A39" s="6" t="s">
        <v>27</v>
      </c>
      <c r="B39" s="7"/>
      <c r="H39" s="10" t="s">
        <v>318</v>
      </c>
      <c r="I39" s="25" t="e">
        <f ca="1">_xll.EVPRO($B$1,$H39,"STYLE")</f>
        <v>#NAME?</v>
      </c>
      <c r="J39" s="25" t="e">
        <f ca="1">_xll.EVPRO($B$1,$H39,"CALC")</f>
        <v>#NAME?</v>
      </c>
      <c r="K39" s="24"/>
      <c r="L39" s="24" t="e">
        <f ca="1">_xll.EVPRO($B$1,H39,"JDEID")</f>
        <v>#NAME?</v>
      </c>
      <c r="M39" s="24" t="e">
        <f ca="1">IF(AND(I39="N",J39="N"),_xll.EVPRO($B$1,H39,"PSFTID"),"")</f>
        <v>#NAME?</v>
      </c>
      <c r="N39" s="23" t="e">
        <f ca="1">IF(_xll.EVDES(H39,$B$1)="#NODATA","",_xll.EVDES(H39,$B$1))</f>
        <v>#NAME?</v>
      </c>
      <c r="O39" s="145"/>
      <c r="P39" s="145"/>
      <c r="Q39" s="145"/>
      <c r="R39" s="145"/>
      <c r="S39" s="145"/>
      <c r="T39" s="145"/>
      <c r="U39" s="145"/>
      <c r="V39" s="145"/>
      <c r="W39" s="145"/>
      <c r="X39" s="145"/>
      <c r="Y39" s="145"/>
      <c r="Z39" s="145"/>
      <c r="AA39" s="145">
        <f t="shared" si="0"/>
        <v>0</v>
      </c>
      <c r="AB39" s="156" t="str">
        <f>IF(AA39=0,"",IFERROR(AA39/AA$19,""))</f>
        <v/>
      </c>
      <c r="AD39" s="145"/>
      <c r="AE39" s="156" t="str">
        <f>IF(AD39=0,"",IFERROR(AD39/AD$19,""))</f>
        <v/>
      </c>
      <c r="AF39" s="146">
        <f t="shared" si="1"/>
        <v>0</v>
      </c>
      <c r="AG39" s="145"/>
      <c r="AH39" s="156" t="str">
        <f t="shared" si="3"/>
        <v/>
      </c>
      <c r="AI39" s="146">
        <f t="shared" si="2"/>
        <v>0</v>
      </c>
    </row>
    <row r="40" spans="1:35" x14ac:dyDescent="0.2">
      <c r="A40" s="6" t="s">
        <v>28</v>
      </c>
      <c r="B40" s="7"/>
      <c r="H40" s="10" t="s">
        <v>763</v>
      </c>
      <c r="I40" s="25" t="e">
        <f ca="1">_xll.EVPRO($B$1,$H40,"STYLE")</f>
        <v>#NAME?</v>
      </c>
      <c r="J40" s="25" t="e">
        <f ca="1">_xll.EVPRO($B$1,$H40,"CALC")</f>
        <v>#NAME?</v>
      </c>
      <c r="K40" s="24"/>
      <c r="L40" s="24" t="e">
        <f ca="1">_xll.EVPRO($B$1,H40,"JDEID")</f>
        <v>#NAME?</v>
      </c>
      <c r="M40" s="24" t="e">
        <f ca="1">IF(AND(I40="N",J40="N"),_xll.EVPRO($B$1,H40,"PSFTID"),"")</f>
        <v>#NAME?</v>
      </c>
      <c r="N40" s="24" t="e">
        <f ca="1">IF(_xll.EVDES(H40,$B$1)="#NODATA","",_xll.EVDES(H40,$B$1))</f>
        <v>#NAME?</v>
      </c>
      <c r="O40" s="35"/>
      <c r="P40" s="35"/>
      <c r="Q40" s="35"/>
      <c r="R40" s="35"/>
      <c r="S40" s="35"/>
      <c r="T40" s="35"/>
      <c r="U40" s="35"/>
      <c r="V40" s="35"/>
      <c r="W40" s="35"/>
      <c r="X40" s="35"/>
      <c r="Y40" s="35"/>
      <c r="Z40" s="35"/>
      <c r="AA40" s="35">
        <f t="shared" si="0"/>
        <v>0</v>
      </c>
      <c r="AB40" s="36"/>
      <c r="AD40" s="35"/>
      <c r="AE40" s="36"/>
      <c r="AF40" s="118">
        <f t="shared" si="1"/>
        <v>0</v>
      </c>
      <c r="AG40" s="35"/>
      <c r="AH40" s="36"/>
      <c r="AI40" s="118">
        <f t="shared" si="2"/>
        <v>0</v>
      </c>
    </row>
    <row r="41" spans="1:35" x14ac:dyDescent="0.2">
      <c r="A41" s="6" t="s">
        <v>29</v>
      </c>
      <c r="B41" s="7"/>
      <c r="H41" s="10" t="s">
        <v>297</v>
      </c>
      <c r="I41" s="25" t="e">
        <f ca="1">_xll.EVPRO($B$1,$H41,"STYLE")</f>
        <v>#NAME?</v>
      </c>
      <c r="J41" s="25" t="e">
        <f ca="1">_xll.EVPRO($B$1,$H41,"CALC")</f>
        <v>#NAME?</v>
      </c>
      <c r="K41" s="24"/>
      <c r="L41" s="24" t="e">
        <f ca="1">_xll.EVPRO($B$1,H41,"JDEID")</f>
        <v>#NAME?</v>
      </c>
      <c r="M41" s="24" t="e">
        <f ca="1">IF(AND(I41="N",J41="N"),_xll.EVPRO($B$1,H41,"PSFTID"),"")</f>
        <v>#NAME?</v>
      </c>
      <c r="N41" s="24" t="e">
        <f ca="1">IF(_xll.EVDES(H41,$B$1)="#NODATA","",_xll.EVDES(H41,$B$1))</f>
        <v>#NAME?</v>
      </c>
      <c r="O41" s="35"/>
      <c r="P41" s="35"/>
      <c r="Q41" s="35"/>
      <c r="R41" s="35"/>
      <c r="S41" s="35"/>
      <c r="T41" s="35"/>
      <c r="U41" s="35"/>
      <c r="V41" s="35"/>
      <c r="W41" s="35"/>
      <c r="X41" s="35"/>
      <c r="Y41" s="35"/>
      <c r="Z41" s="35"/>
      <c r="AA41" s="35">
        <f t="shared" si="0"/>
        <v>0</v>
      </c>
      <c r="AB41" s="36" t="str">
        <f>IF(AA41=0,"",IFERROR(AA41/AA$87,""))</f>
        <v/>
      </c>
      <c r="AD41" s="35"/>
      <c r="AE41" s="36" t="str">
        <f>IF(AD41=0,"",IFERROR(AD41/AD$87,""))</f>
        <v/>
      </c>
      <c r="AF41" s="118">
        <f t="shared" si="1"/>
        <v>0</v>
      </c>
      <c r="AG41" s="35"/>
      <c r="AH41" s="36" t="str">
        <f>IF(AG41=0,"",IFERROR(AG41/AG$87,""))</f>
        <v/>
      </c>
      <c r="AI41" s="118">
        <f t="shared" si="2"/>
        <v>0</v>
      </c>
    </row>
    <row r="42" spans="1:35" x14ac:dyDescent="0.2">
      <c r="A42" s="6" t="s">
        <v>30</v>
      </c>
      <c r="B42" s="7" t="s">
        <v>78</v>
      </c>
      <c r="H42" s="10" t="s">
        <v>313</v>
      </c>
      <c r="I42" s="25" t="e">
        <f ca="1">_xll.EVPRO($B$1,$H42,"STYLE")</f>
        <v>#NAME?</v>
      </c>
      <c r="J42" s="25" t="e">
        <f ca="1">_xll.EVPRO($B$1,$H42,"CALC")</f>
        <v>#NAME?</v>
      </c>
      <c r="K42" s="24"/>
      <c r="L42" s="24" t="e">
        <f ca="1">_xll.EVPRO($B$1,H42,"JDEID")</f>
        <v>#NAME?</v>
      </c>
      <c r="M42" s="24" t="e">
        <f ca="1">IF(AND(I42="N",J42="N"),_xll.EVPRO($B$1,H42,"PSFTID"),"")</f>
        <v>#NAME?</v>
      </c>
      <c r="N42" s="151" t="e">
        <f ca="1">IF(_xll.EVDES(H42,$B$1)="#NODATA","",_xll.EVDES(H42,$B$1))</f>
        <v>#NAME?</v>
      </c>
      <c r="O42" s="157"/>
      <c r="P42" s="157"/>
      <c r="Q42" s="157"/>
      <c r="R42" s="157"/>
      <c r="S42" s="157"/>
      <c r="T42" s="157"/>
      <c r="U42" s="157"/>
      <c r="V42" s="157"/>
      <c r="W42" s="157"/>
      <c r="X42" s="157"/>
      <c r="Y42" s="157"/>
      <c r="Z42" s="157"/>
      <c r="AA42" s="157" t="str">
        <f>IFERROR(AA39/AA41,"")</f>
        <v/>
      </c>
      <c r="AB42" s="157"/>
      <c r="AD42" s="157"/>
      <c r="AE42" s="157"/>
      <c r="AF42" s="158" t="str">
        <f t="shared" si="1"/>
        <v/>
      </c>
      <c r="AG42" s="157"/>
      <c r="AH42" s="157"/>
      <c r="AI42" s="158" t="str">
        <f t="shared" si="2"/>
        <v/>
      </c>
    </row>
    <row r="43" spans="1:35" x14ac:dyDescent="0.2">
      <c r="A43" s="6" t="s">
        <v>31</v>
      </c>
      <c r="B43" s="7" t="s">
        <v>78</v>
      </c>
      <c r="G43" s="162">
        <f>COUNTIF(O44:AI44,FALSE)</f>
        <v>0</v>
      </c>
      <c r="H43" s="10"/>
      <c r="I43" s="25"/>
      <c r="J43" s="25"/>
      <c r="K43" s="24"/>
      <c r="L43" s="24"/>
      <c r="M43" s="24"/>
      <c r="N43" s="163" t="s">
        <v>345</v>
      </c>
      <c r="O43" s="160">
        <f t="shared" ref="O43:AA43" si="4">ROUND(IFERROR(O39/O41,0),2)</f>
        <v>0</v>
      </c>
      <c r="P43" s="165">
        <f t="shared" si="4"/>
        <v>0</v>
      </c>
      <c r="Q43" s="165">
        <f t="shared" si="4"/>
        <v>0</v>
      </c>
      <c r="R43" s="165">
        <f t="shared" si="4"/>
        <v>0</v>
      </c>
      <c r="S43" s="165">
        <f t="shared" si="4"/>
        <v>0</v>
      </c>
      <c r="T43" s="165">
        <f t="shared" si="4"/>
        <v>0</v>
      </c>
      <c r="U43" s="165">
        <f t="shared" si="4"/>
        <v>0</v>
      </c>
      <c r="V43" s="165">
        <f t="shared" si="4"/>
        <v>0</v>
      </c>
      <c r="W43" s="165">
        <f t="shared" si="4"/>
        <v>0</v>
      </c>
      <c r="X43" s="165">
        <f t="shared" si="4"/>
        <v>0</v>
      </c>
      <c r="Y43" s="165">
        <f t="shared" si="4"/>
        <v>0</v>
      </c>
      <c r="Z43" s="165">
        <f t="shared" si="4"/>
        <v>0</v>
      </c>
      <c r="AA43" s="165">
        <f t="shared" si="4"/>
        <v>0</v>
      </c>
      <c r="AB43" s="164"/>
      <c r="AD43" s="160">
        <f>ROUND(IFERROR(AD39/AD41,0),2)</f>
        <v>0</v>
      </c>
      <c r="AE43" s="165"/>
      <c r="AF43" s="161"/>
      <c r="AG43" s="160">
        <f>ROUND(IFERROR(AG39/AG41,0),2)</f>
        <v>0</v>
      </c>
      <c r="AH43" s="165"/>
      <c r="AI43" s="161"/>
    </row>
    <row r="44" spans="1:35" x14ac:dyDescent="0.2">
      <c r="A44" s="6" t="s">
        <v>32</v>
      </c>
      <c r="B44" s="7"/>
      <c r="H44" s="10"/>
      <c r="I44" s="25"/>
      <c r="J44" s="25"/>
      <c r="K44" s="24"/>
      <c r="L44" s="24"/>
      <c r="M44" s="24"/>
      <c r="N44" s="8" t="s">
        <v>314</v>
      </c>
      <c r="O44" s="292" t="b">
        <f t="shared" ref="O44:AA44" si="5">ROUND(O42,2)=ROUND(O43,2)</f>
        <v>1</v>
      </c>
      <c r="P44" s="293" t="b">
        <f t="shared" si="5"/>
        <v>1</v>
      </c>
      <c r="Q44" s="293" t="b">
        <f t="shared" si="5"/>
        <v>1</v>
      </c>
      <c r="R44" s="293" t="b">
        <f t="shared" si="5"/>
        <v>1</v>
      </c>
      <c r="S44" s="293" t="b">
        <f t="shared" si="5"/>
        <v>1</v>
      </c>
      <c r="T44" s="293" t="b">
        <f t="shared" si="5"/>
        <v>1</v>
      </c>
      <c r="U44" s="293" t="b">
        <f t="shared" si="5"/>
        <v>1</v>
      </c>
      <c r="V44" s="293" t="b">
        <f t="shared" si="5"/>
        <v>1</v>
      </c>
      <c r="W44" s="293" t="b">
        <f t="shared" si="5"/>
        <v>1</v>
      </c>
      <c r="X44" s="293" t="b">
        <f t="shared" si="5"/>
        <v>1</v>
      </c>
      <c r="Y44" s="293" t="b">
        <f t="shared" si="5"/>
        <v>1</v>
      </c>
      <c r="Z44" s="293" t="b">
        <f t="shared" si="5"/>
        <v>1</v>
      </c>
      <c r="AA44" s="293" t="e">
        <f t="shared" si="5"/>
        <v>#VALUE!</v>
      </c>
      <c r="AB44" s="294"/>
      <c r="AC44" s="206"/>
      <c r="AD44" s="292"/>
      <c r="AE44" s="293" t="b">
        <f>ROUND(AD42,2)=ROUND(AD43,2)</f>
        <v>1</v>
      </c>
      <c r="AF44" s="294"/>
      <c r="AG44" s="292"/>
      <c r="AH44" s="293" t="b">
        <f>ROUND(AG42,2)=ROUND(AG43,2)</f>
        <v>1</v>
      </c>
      <c r="AI44" s="294"/>
    </row>
    <row r="45" spans="1:35" x14ac:dyDescent="0.2">
      <c r="A45" s="6" t="s">
        <v>33</v>
      </c>
      <c r="B45" s="7"/>
      <c r="H45" s="10" t="s">
        <v>261</v>
      </c>
      <c r="I45" s="25" t="e">
        <f ca="1">_xll.EVPRO($B$1,$H45,"STYLE")</f>
        <v>#NAME?</v>
      </c>
      <c r="J45" s="25" t="e">
        <f ca="1">_xll.EVPRO($B$1,$H45,"CALC")</f>
        <v>#NAME?</v>
      </c>
      <c r="K45" s="24"/>
      <c r="L45" s="24" t="e">
        <f ca="1">_xll.EVPRO($B$1,H45,"JDEID")</f>
        <v>#NAME?</v>
      </c>
      <c r="M45" s="24" t="e">
        <f ca="1">IF(AND(I45="N",J45="N"),_xll.EVPRO($B$1,H45,"PSFTID"),"")</f>
        <v>#NAME?</v>
      </c>
      <c r="N45" s="24" t="e">
        <f ca="1">IF(_xll.EVDES(H45,$B$1)="#NODATA","",_xll.EVDES(H45,$B$1))</f>
        <v>#NAME?</v>
      </c>
      <c r="O45" s="19"/>
      <c r="P45" s="19"/>
      <c r="Q45" s="19"/>
      <c r="R45" s="19"/>
      <c r="S45" s="19"/>
      <c r="T45" s="19"/>
      <c r="U45" s="19"/>
      <c r="V45" s="19"/>
      <c r="W45" s="19"/>
      <c r="X45" s="19"/>
      <c r="Y45" s="19"/>
      <c r="Z45" s="19"/>
      <c r="AA45" s="19">
        <f t="shared" ref="AA45:AA51" si="6">SUM(O45:Z45)</f>
        <v>0</v>
      </c>
      <c r="AB45" s="15" t="str">
        <f>IF(AA45=0,"",IFERROR(AA45/AA$19,""))</f>
        <v/>
      </c>
      <c r="AD45" s="19"/>
      <c r="AE45" s="15" t="str">
        <f>IF(AD45=0,"",IFERROR(AD45/AD$19,""))</f>
        <v/>
      </c>
      <c r="AF45" s="47">
        <f t="shared" ref="AF45:AF52" si="7">IF(AND($AA45="",AD45=""),"",$AA45-AD45)</f>
        <v>0</v>
      </c>
      <c r="AG45" s="19"/>
      <c r="AH45" s="15" t="str">
        <f t="shared" si="3"/>
        <v/>
      </c>
      <c r="AI45" s="47">
        <f t="shared" ref="AI45:AI52" si="8">IF(AND($AA45="",AG45=""),"",$AA45-AG45)</f>
        <v>0</v>
      </c>
    </row>
    <row r="46" spans="1:35" x14ac:dyDescent="0.2">
      <c r="A46" s="6" t="s">
        <v>34</v>
      </c>
      <c r="B46" s="7"/>
      <c r="H46" s="133" t="s">
        <v>301</v>
      </c>
      <c r="I46" s="25" t="e">
        <f ca="1">_xll.EVPRO($B$1,$H46,"STYLE")</f>
        <v>#NAME?</v>
      </c>
      <c r="J46" s="25" t="e">
        <f ca="1">_xll.EVPRO($B$1,$H46,"CALC")</f>
        <v>#NAME?</v>
      </c>
      <c r="K46" s="24"/>
      <c r="L46" s="24" t="e">
        <f ca="1">_xll.EVPRO($B$1,H46,"JDEID")</f>
        <v>#NAME?</v>
      </c>
      <c r="M46" s="24" t="e">
        <f ca="1">IF(AND(I46="N",J46="N"),_xll.EVPRO($B$1,H46,"PSFTID"),"")</f>
        <v>#NAME?</v>
      </c>
      <c r="N46" s="24" t="e">
        <f ca="1">IF(_xll.EVDES(H46,$B$1)="#NODATA","",_xll.EVDES(H46,$B$1))</f>
        <v>#NAME?</v>
      </c>
      <c r="O46" s="19"/>
      <c r="P46" s="19"/>
      <c r="Q46" s="19"/>
      <c r="R46" s="19"/>
      <c r="S46" s="19"/>
      <c r="T46" s="19"/>
      <c r="U46" s="19"/>
      <c r="V46" s="19"/>
      <c r="W46" s="19"/>
      <c r="X46" s="19"/>
      <c r="Y46" s="19"/>
      <c r="Z46" s="19"/>
      <c r="AA46" s="19">
        <f t="shared" si="6"/>
        <v>0</v>
      </c>
      <c r="AB46" s="15" t="str">
        <f>IF(AA46=0,"",IFERROR(AA46/AA$19,""))</f>
        <v/>
      </c>
      <c r="AD46" s="19"/>
      <c r="AE46" s="15" t="str">
        <f>IF(AD46=0,"",IFERROR(AD46/AD$19,""))</f>
        <v/>
      </c>
      <c r="AF46" s="47">
        <f t="shared" si="7"/>
        <v>0</v>
      </c>
      <c r="AG46" s="19"/>
      <c r="AH46" s="15" t="str">
        <f t="shared" si="3"/>
        <v/>
      </c>
      <c r="AI46" s="47">
        <f t="shared" si="8"/>
        <v>0</v>
      </c>
    </row>
    <row r="47" spans="1:35" x14ac:dyDescent="0.2">
      <c r="A47" s="6" t="s">
        <v>35</v>
      </c>
      <c r="B47" s="7"/>
      <c r="H47" s="133" t="s">
        <v>305</v>
      </c>
      <c r="I47" s="25" t="e">
        <f ca="1">_xll.EVPRO($B$1,$H47,"STYLE")</f>
        <v>#NAME?</v>
      </c>
      <c r="J47" s="25" t="e">
        <f ca="1">_xll.EVPRO($B$1,$H47,"CALC")</f>
        <v>#NAME?</v>
      </c>
      <c r="K47" s="24"/>
      <c r="L47" s="24" t="e">
        <f ca="1">_xll.EVPRO($B$1,H47,"JDEID")</f>
        <v>#NAME?</v>
      </c>
      <c r="M47" s="24" t="e">
        <f ca="1">IF(AND(I47="N",J47="N"),_xll.EVPRO($B$1,H47,"PSFTID"),"")</f>
        <v>#NAME?</v>
      </c>
      <c r="N47" s="24" t="e">
        <f ca="1">IF(_xll.EVDES(H47,$B$1)="#NODATA","",_xll.EVDES(H47,$B$1))</f>
        <v>#NAME?</v>
      </c>
      <c r="O47" s="19"/>
      <c r="P47" s="19"/>
      <c r="Q47" s="19"/>
      <c r="R47" s="19"/>
      <c r="S47" s="19"/>
      <c r="T47" s="19"/>
      <c r="U47" s="19"/>
      <c r="V47" s="19"/>
      <c r="W47" s="19"/>
      <c r="X47" s="19"/>
      <c r="Y47" s="19"/>
      <c r="Z47" s="19"/>
      <c r="AA47" s="19">
        <f t="shared" si="6"/>
        <v>0</v>
      </c>
      <c r="AB47" s="15" t="str">
        <f>IF(AA47=0,"",IFERROR(AA47/AA$19,""))</f>
        <v/>
      </c>
      <c r="AD47" s="19"/>
      <c r="AE47" s="15" t="str">
        <f>IF(AD47=0,"",IFERROR(AD47/AD$19,""))</f>
        <v/>
      </c>
      <c r="AF47" s="47">
        <f t="shared" si="7"/>
        <v>0</v>
      </c>
      <c r="AG47" s="19"/>
      <c r="AH47" s="15" t="str">
        <f t="shared" si="3"/>
        <v/>
      </c>
      <c r="AI47" s="47">
        <f t="shared" si="8"/>
        <v>0</v>
      </c>
    </row>
    <row r="48" spans="1:35" x14ac:dyDescent="0.2">
      <c r="A48" s="6" t="s">
        <v>36</v>
      </c>
      <c r="B48" s="7"/>
      <c r="H48" s="133" t="s">
        <v>303</v>
      </c>
      <c r="I48" s="25" t="e">
        <f ca="1">_xll.EVPRO($B$1,$H48,"STYLE")</f>
        <v>#NAME?</v>
      </c>
      <c r="J48" s="25" t="e">
        <f ca="1">_xll.EVPRO($B$1,$H48,"CALC")</f>
        <v>#NAME?</v>
      </c>
      <c r="K48" s="24"/>
      <c r="L48" s="24" t="e">
        <f ca="1">_xll.EVPRO($B$1,H48,"JDEID")</f>
        <v>#NAME?</v>
      </c>
      <c r="M48" s="24" t="e">
        <f ca="1">IF(AND(I48="N",J48="N"),_xll.EVPRO($B$1,H48,"PSFTID"),"")</f>
        <v>#NAME?</v>
      </c>
      <c r="N48" s="24" t="e">
        <f ca="1">IF(_xll.EVDES(H48,$B$1)="#NODATA","",_xll.EVDES(H48,$B$1))</f>
        <v>#NAME?</v>
      </c>
      <c r="O48" s="28"/>
      <c r="P48" s="28"/>
      <c r="Q48" s="28"/>
      <c r="R48" s="28"/>
      <c r="S48" s="28"/>
      <c r="T48" s="28"/>
      <c r="U48" s="28"/>
      <c r="V48" s="28"/>
      <c r="W48" s="28"/>
      <c r="X48" s="28"/>
      <c r="Y48" s="28"/>
      <c r="Z48" s="28"/>
      <c r="AA48" s="28">
        <f t="shared" si="6"/>
        <v>0</v>
      </c>
      <c r="AB48" s="29" t="str">
        <f>IF(AA48=0,"",IFERROR(AA48/AA$19,""))</f>
        <v/>
      </c>
      <c r="AD48" s="28"/>
      <c r="AE48" s="29" t="str">
        <f>IF(AD48=0,"",IFERROR(AD48/AD$19,""))</f>
        <v/>
      </c>
      <c r="AF48" s="48">
        <f t="shared" si="7"/>
        <v>0</v>
      </c>
      <c r="AG48" s="28"/>
      <c r="AH48" s="29" t="str">
        <f t="shared" si="3"/>
        <v/>
      </c>
      <c r="AI48" s="48">
        <f t="shared" si="8"/>
        <v>0</v>
      </c>
    </row>
    <row r="49" spans="1:35" x14ac:dyDescent="0.2">
      <c r="A49" s="6" t="s">
        <v>37</v>
      </c>
      <c r="B49" s="7"/>
      <c r="H49" s="10" t="s">
        <v>319</v>
      </c>
      <c r="I49" s="25" t="e">
        <f ca="1">_xll.EVPRO($B$1,$H49,"STYLE")</f>
        <v>#NAME?</v>
      </c>
      <c r="J49" s="25" t="e">
        <f ca="1">_xll.EVPRO($B$1,$H49,"CALC")</f>
        <v>#NAME?</v>
      </c>
      <c r="K49" s="24"/>
      <c r="L49" s="24" t="e">
        <f ca="1">_xll.EVPRO($B$1,H49,"JDEID")</f>
        <v>#NAME?</v>
      </c>
      <c r="M49" s="24" t="e">
        <f ca="1">IF(AND(I49="N",J49="N"),_xll.EVPRO($B$1,H49,"PSFTID"),"")</f>
        <v>#NAME?</v>
      </c>
      <c r="N49" s="23" t="e">
        <f ca="1">IF(_xll.EVDES(H49,$B$1)="#NODATA","",_xll.EVDES(H49,$B$1))</f>
        <v>#NAME?</v>
      </c>
      <c r="O49" s="145"/>
      <c r="P49" s="145"/>
      <c r="Q49" s="145"/>
      <c r="R49" s="145"/>
      <c r="S49" s="145"/>
      <c r="T49" s="145"/>
      <c r="U49" s="145"/>
      <c r="V49" s="145"/>
      <c r="W49" s="145"/>
      <c r="X49" s="145"/>
      <c r="Y49" s="145"/>
      <c r="Z49" s="145"/>
      <c r="AA49" s="145">
        <f t="shared" si="6"/>
        <v>0</v>
      </c>
      <c r="AB49" s="156" t="str">
        <f>IF(AA49=0,"",IFERROR(AA49/AA$19,""))</f>
        <v/>
      </c>
      <c r="AD49" s="145"/>
      <c r="AE49" s="156" t="str">
        <f>IF(AD49=0,"",IFERROR(AD49/AD$19,""))</f>
        <v/>
      </c>
      <c r="AF49" s="146">
        <f t="shared" si="7"/>
        <v>0</v>
      </c>
      <c r="AG49" s="145"/>
      <c r="AH49" s="156" t="str">
        <f t="shared" si="3"/>
        <v/>
      </c>
      <c r="AI49" s="146">
        <f t="shared" si="8"/>
        <v>0</v>
      </c>
    </row>
    <row r="50" spans="1:35" x14ac:dyDescent="0.2">
      <c r="A50" s="6" t="s">
        <v>38</v>
      </c>
      <c r="B50" s="7"/>
      <c r="H50" s="10" t="s">
        <v>764</v>
      </c>
      <c r="I50" s="25" t="e">
        <f ca="1">_xll.EVPRO($B$1,$H50,"STYLE")</f>
        <v>#NAME?</v>
      </c>
      <c r="J50" s="25" t="e">
        <f ca="1">_xll.EVPRO($B$1,$H50,"CALC")</f>
        <v>#NAME?</v>
      </c>
      <c r="K50" s="24"/>
      <c r="L50" s="24" t="e">
        <f ca="1">_xll.EVPRO($B$1,H50,"JDEID")</f>
        <v>#NAME?</v>
      </c>
      <c r="M50" s="24" t="e">
        <f ca="1">IF(AND(I50="N",J50="N"),_xll.EVPRO($B$1,H50,"PSFTID"),"")</f>
        <v>#NAME?</v>
      </c>
      <c r="N50" s="24" t="e">
        <f ca="1">IF(_xll.EVDES(H50,$B$1)="#NODATA","",_xll.EVDES(H50,$B$1))</f>
        <v>#NAME?</v>
      </c>
      <c r="O50" s="35"/>
      <c r="P50" s="35"/>
      <c r="Q50" s="35"/>
      <c r="R50" s="35"/>
      <c r="S50" s="35"/>
      <c r="T50" s="35"/>
      <c r="U50" s="35"/>
      <c r="V50" s="35"/>
      <c r="W50" s="35"/>
      <c r="X50" s="35"/>
      <c r="Y50" s="35"/>
      <c r="Z50" s="35"/>
      <c r="AA50" s="35">
        <f t="shared" si="6"/>
        <v>0</v>
      </c>
      <c r="AB50" s="36"/>
      <c r="AD50" s="35"/>
      <c r="AE50" s="36"/>
      <c r="AF50" s="118">
        <f t="shared" si="7"/>
        <v>0</v>
      </c>
      <c r="AG50" s="35"/>
      <c r="AH50" s="36"/>
      <c r="AI50" s="118">
        <f t="shared" si="8"/>
        <v>0</v>
      </c>
    </row>
    <row r="51" spans="1:35" x14ac:dyDescent="0.2">
      <c r="A51" s="6" t="s">
        <v>39</v>
      </c>
      <c r="B51" s="7"/>
      <c r="H51" s="10" t="s">
        <v>298</v>
      </c>
      <c r="I51" s="25" t="e">
        <f ca="1">_xll.EVPRO($B$1,$H51,"STYLE")</f>
        <v>#NAME?</v>
      </c>
      <c r="J51" s="25" t="e">
        <f ca="1">_xll.EVPRO($B$1,$H51,"CALC")</f>
        <v>#NAME?</v>
      </c>
      <c r="K51" s="24"/>
      <c r="L51" s="24" t="e">
        <f ca="1">_xll.EVPRO($B$1,H51,"JDEID")</f>
        <v>#NAME?</v>
      </c>
      <c r="M51" s="24" t="e">
        <f ca="1">IF(AND(I51="N",J51="N"),_xll.EVPRO($B$1,H51,"PSFTID"),"")</f>
        <v>#NAME?</v>
      </c>
      <c r="N51" s="24" t="e">
        <f ca="1">IF(_xll.EVDES(H51,$B$1)="#NODATA","",_xll.EVDES(H51,$B$1))</f>
        <v>#NAME?</v>
      </c>
      <c r="O51" s="35"/>
      <c r="P51" s="35"/>
      <c r="Q51" s="35"/>
      <c r="R51" s="35"/>
      <c r="S51" s="35"/>
      <c r="T51" s="35"/>
      <c r="U51" s="35"/>
      <c r="V51" s="35"/>
      <c r="W51" s="35"/>
      <c r="X51" s="35"/>
      <c r="Y51" s="35"/>
      <c r="Z51" s="35"/>
      <c r="AA51" s="35">
        <f t="shared" si="6"/>
        <v>0</v>
      </c>
      <c r="AB51" s="36" t="str">
        <f>IF(AA51=0,"",IFERROR(AA51/AA$87,""))</f>
        <v/>
      </c>
      <c r="AD51" s="35"/>
      <c r="AE51" s="36" t="str">
        <f>IF(AD51=0,"",IFERROR(AD51/AD$87,""))</f>
        <v/>
      </c>
      <c r="AF51" s="118">
        <f t="shared" si="7"/>
        <v>0</v>
      </c>
      <c r="AG51" s="35"/>
      <c r="AH51" s="36" t="str">
        <f>IF(AG51=0,"",IFERROR(AG51/AG$87,""))</f>
        <v/>
      </c>
      <c r="AI51" s="118">
        <f t="shared" si="8"/>
        <v>0</v>
      </c>
    </row>
    <row r="52" spans="1:35" x14ac:dyDescent="0.2">
      <c r="A52" s="6" t="s">
        <v>40</v>
      </c>
      <c r="B52" s="7"/>
      <c r="H52" s="10" t="s">
        <v>315</v>
      </c>
      <c r="I52" s="25" t="e">
        <f ca="1">_xll.EVPRO($B$1,$H52,"STYLE")</f>
        <v>#NAME?</v>
      </c>
      <c r="J52" s="25" t="e">
        <f ca="1">_xll.EVPRO($B$1,$H52,"CALC")</f>
        <v>#NAME?</v>
      </c>
      <c r="K52" s="24"/>
      <c r="L52" s="24" t="e">
        <f ca="1">_xll.EVPRO($B$1,H52,"JDEID")</f>
        <v>#NAME?</v>
      </c>
      <c r="M52" s="24" t="e">
        <f ca="1">IF(AND(I52="N",J52="N"),_xll.EVPRO($B$1,H52,"PSFTID"),"")</f>
        <v>#NAME?</v>
      </c>
      <c r="N52" s="151" t="e">
        <f ca="1">IF(_xll.EVDES(H52,$B$1)="#NODATA","",_xll.EVDES(H52,$B$1))</f>
        <v>#NAME?</v>
      </c>
      <c r="O52" s="157"/>
      <c r="P52" s="157"/>
      <c r="Q52" s="157"/>
      <c r="R52" s="157"/>
      <c r="S52" s="157"/>
      <c r="T52" s="157"/>
      <c r="U52" s="157"/>
      <c r="V52" s="157"/>
      <c r="W52" s="157"/>
      <c r="X52" s="157"/>
      <c r="Y52" s="157"/>
      <c r="Z52" s="157"/>
      <c r="AA52" s="157" t="str">
        <f>IFERROR(AA49/AA51,"")</f>
        <v/>
      </c>
      <c r="AB52" s="157"/>
      <c r="AD52" s="157"/>
      <c r="AE52" s="157"/>
      <c r="AF52" s="158" t="str">
        <f t="shared" si="7"/>
        <v/>
      </c>
      <c r="AG52" s="157"/>
      <c r="AH52" s="157"/>
      <c r="AI52" s="158" t="str">
        <f t="shared" si="8"/>
        <v/>
      </c>
    </row>
    <row r="53" spans="1:35" x14ac:dyDescent="0.2">
      <c r="A53" s="6" t="s">
        <v>41</v>
      </c>
      <c r="B53" s="7"/>
      <c r="G53" s="162">
        <f>COUNTIF(O54:AI54,FALSE)</f>
        <v>0</v>
      </c>
      <c r="H53" s="10"/>
      <c r="I53" s="25"/>
      <c r="J53" s="25"/>
      <c r="K53" s="24"/>
      <c r="L53" s="24"/>
      <c r="M53" s="24"/>
      <c r="N53" s="163" t="s">
        <v>345</v>
      </c>
      <c r="O53" s="160">
        <f t="shared" ref="O53:AA53" si="9">ROUND(IFERROR(O49/O51,0),2)</f>
        <v>0</v>
      </c>
      <c r="P53" s="165">
        <f t="shared" si="9"/>
        <v>0</v>
      </c>
      <c r="Q53" s="165">
        <f t="shared" si="9"/>
        <v>0</v>
      </c>
      <c r="R53" s="165">
        <f t="shared" si="9"/>
        <v>0</v>
      </c>
      <c r="S53" s="165">
        <f t="shared" si="9"/>
        <v>0</v>
      </c>
      <c r="T53" s="165">
        <f t="shared" si="9"/>
        <v>0</v>
      </c>
      <c r="U53" s="165">
        <f t="shared" si="9"/>
        <v>0</v>
      </c>
      <c r="V53" s="165">
        <f t="shared" si="9"/>
        <v>0</v>
      </c>
      <c r="W53" s="165">
        <f t="shared" si="9"/>
        <v>0</v>
      </c>
      <c r="X53" s="165">
        <f t="shared" si="9"/>
        <v>0</v>
      </c>
      <c r="Y53" s="165">
        <f t="shared" si="9"/>
        <v>0</v>
      </c>
      <c r="Z53" s="165">
        <f t="shared" si="9"/>
        <v>0</v>
      </c>
      <c r="AA53" s="165">
        <f t="shared" si="9"/>
        <v>0</v>
      </c>
      <c r="AB53" s="164"/>
      <c r="AD53" s="160">
        <f>ROUND(IFERROR(AD49/AD51,0),2)</f>
        <v>0</v>
      </c>
      <c r="AE53" s="165"/>
      <c r="AF53" s="161"/>
      <c r="AG53" s="160">
        <f>ROUND(IFERROR(AG49/AG51,0),2)</f>
        <v>0</v>
      </c>
      <c r="AH53" s="165"/>
      <c r="AI53" s="161"/>
    </row>
    <row r="54" spans="1:35" x14ac:dyDescent="0.2">
      <c r="A54" s="6" t="s">
        <v>42</v>
      </c>
      <c r="B54" s="7"/>
      <c r="H54" s="10"/>
      <c r="I54" s="25"/>
      <c r="J54" s="25"/>
      <c r="K54" s="24"/>
      <c r="L54" s="24"/>
      <c r="M54" s="24"/>
      <c r="N54" s="8" t="s">
        <v>316</v>
      </c>
      <c r="O54" s="292" t="b">
        <f t="shared" ref="O54:AA54" si="10">ROUND(O52,2)=ROUND(O53,2)</f>
        <v>1</v>
      </c>
      <c r="P54" s="293" t="b">
        <f t="shared" si="10"/>
        <v>1</v>
      </c>
      <c r="Q54" s="293" t="b">
        <f t="shared" si="10"/>
        <v>1</v>
      </c>
      <c r="R54" s="293" t="b">
        <f t="shared" si="10"/>
        <v>1</v>
      </c>
      <c r="S54" s="293" t="b">
        <f t="shared" si="10"/>
        <v>1</v>
      </c>
      <c r="T54" s="293" t="b">
        <f t="shared" si="10"/>
        <v>1</v>
      </c>
      <c r="U54" s="293" t="b">
        <f t="shared" si="10"/>
        <v>1</v>
      </c>
      <c r="V54" s="293" t="b">
        <f t="shared" si="10"/>
        <v>1</v>
      </c>
      <c r="W54" s="293" t="b">
        <f t="shared" si="10"/>
        <v>1</v>
      </c>
      <c r="X54" s="293" t="b">
        <f t="shared" si="10"/>
        <v>1</v>
      </c>
      <c r="Y54" s="293" t="b">
        <f t="shared" si="10"/>
        <v>1</v>
      </c>
      <c r="Z54" s="293" t="b">
        <f t="shared" si="10"/>
        <v>1</v>
      </c>
      <c r="AA54" s="293" t="e">
        <f t="shared" si="10"/>
        <v>#VALUE!</v>
      </c>
      <c r="AB54" s="294"/>
      <c r="AC54" s="206"/>
      <c r="AD54" s="292"/>
      <c r="AE54" s="293" t="b">
        <f>ROUND(AD52,2)=ROUND(AD53,2)</f>
        <v>1</v>
      </c>
      <c r="AF54" s="294"/>
      <c r="AG54" s="292"/>
      <c r="AH54" s="293" t="b">
        <f>ROUND(AG52,2)=ROUND(AG53,2)</f>
        <v>1</v>
      </c>
      <c r="AI54" s="294"/>
    </row>
    <row r="55" spans="1:35" x14ac:dyDescent="0.2">
      <c r="A55" s="6" t="s">
        <v>43</v>
      </c>
      <c r="B55" s="7"/>
      <c r="H55" s="10" t="s">
        <v>262</v>
      </c>
      <c r="I55" s="25" t="e">
        <f ca="1">_xll.EVPRO($B$1,$H55,"STYLE")</f>
        <v>#NAME?</v>
      </c>
      <c r="J55" s="25" t="e">
        <f ca="1">_xll.EVPRO($B$1,$H55,"CALC")</f>
        <v>#NAME?</v>
      </c>
      <c r="K55" s="24"/>
      <c r="L55" s="24" t="e">
        <f ca="1">_xll.EVPRO($B$1,H55,"JDEID")</f>
        <v>#NAME?</v>
      </c>
      <c r="M55" s="24" t="e">
        <f ca="1">IF(AND(I55="N",J55="N"),_xll.EVPRO($B$1,H55,"PSFTID"),"")</f>
        <v>#NAME?</v>
      </c>
      <c r="N55" s="24" t="e">
        <f ca="1">IF(_xll.EVDES(H55,$B$1)="#NODATA","",_xll.EVDES(H55,$B$1))</f>
        <v>#NAME?</v>
      </c>
      <c r="O55" s="19"/>
      <c r="P55" s="19"/>
      <c r="Q55" s="19"/>
      <c r="R55" s="19"/>
      <c r="S55" s="19"/>
      <c r="T55" s="19"/>
      <c r="U55" s="19"/>
      <c r="V55" s="19"/>
      <c r="W55" s="19"/>
      <c r="X55" s="19"/>
      <c r="Y55" s="19"/>
      <c r="Z55" s="19"/>
      <c r="AA55" s="19">
        <f t="shared" ref="AA55:AA61" si="11">SUM(O55:Z55)</f>
        <v>0</v>
      </c>
      <c r="AB55" s="15" t="str">
        <f>IF(AA55=0,"",IFERROR(AA55/AA$19,""))</f>
        <v/>
      </c>
      <c r="AD55" s="19"/>
      <c r="AE55" s="15" t="str">
        <f>IF(AD55=0,"",IFERROR(AD55/AD$19,""))</f>
        <v/>
      </c>
      <c r="AF55" s="47">
        <f t="shared" ref="AF55:AF62" si="12">IF(AND($AA55="",AD55=""),"",$AA55-AD55)</f>
        <v>0</v>
      </c>
      <c r="AG55" s="19"/>
      <c r="AH55" s="15" t="str">
        <f t="shared" si="3"/>
        <v/>
      </c>
      <c r="AI55" s="47">
        <f t="shared" ref="AI55:AI62" si="13">IF(AND($AA55="",AG55=""),"",$AA55-AG55)</f>
        <v>0</v>
      </c>
    </row>
    <row r="56" spans="1:35" x14ac:dyDescent="0.2">
      <c r="A56" s="6" t="s">
        <v>44</v>
      </c>
      <c r="B56" s="7"/>
      <c r="H56" s="10" t="s">
        <v>302</v>
      </c>
      <c r="I56" s="25" t="e">
        <f ca="1">_xll.EVPRO($B$1,$H56,"STYLE")</f>
        <v>#NAME?</v>
      </c>
      <c r="J56" s="25" t="e">
        <f ca="1">_xll.EVPRO($B$1,$H56,"CALC")</f>
        <v>#NAME?</v>
      </c>
      <c r="K56" s="24"/>
      <c r="L56" s="24" t="e">
        <f ca="1">_xll.EVPRO($B$1,H56,"JDEID")</f>
        <v>#NAME?</v>
      </c>
      <c r="M56" s="24" t="e">
        <f ca="1">IF(AND(I56="N",J56="N"),_xll.EVPRO($B$1,H56,"PSFTID"),"")</f>
        <v>#NAME?</v>
      </c>
      <c r="N56" s="24" t="e">
        <f ca="1">IF(_xll.EVDES(H56,$B$1)="#NODATA","",_xll.EVDES(H56,$B$1))</f>
        <v>#NAME?</v>
      </c>
      <c r="O56" s="19"/>
      <c r="P56" s="19"/>
      <c r="Q56" s="19"/>
      <c r="R56" s="19"/>
      <c r="S56" s="19"/>
      <c r="T56" s="19"/>
      <c r="U56" s="19"/>
      <c r="V56" s="19"/>
      <c r="W56" s="19"/>
      <c r="X56" s="19"/>
      <c r="Y56" s="19"/>
      <c r="Z56" s="19"/>
      <c r="AA56" s="19">
        <f t="shared" si="11"/>
        <v>0</v>
      </c>
      <c r="AB56" s="15" t="str">
        <f>IF(AA56=0,"",IFERROR(AA56/AA$19,""))</f>
        <v/>
      </c>
      <c r="AD56" s="19"/>
      <c r="AE56" s="15" t="str">
        <f>IF(AD56=0,"",IFERROR(AD56/AD$19,""))</f>
        <v/>
      </c>
      <c r="AF56" s="47">
        <f t="shared" si="12"/>
        <v>0</v>
      </c>
      <c r="AG56" s="19"/>
      <c r="AH56" s="15" t="str">
        <f t="shared" si="3"/>
        <v/>
      </c>
      <c r="AI56" s="47">
        <f t="shared" si="13"/>
        <v>0</v>
      </c>
    </row>
    <row r="57" spans="1:35" x14ac:dyDescent="0.2">
      <c r="A57" s="6" t="s">
        <v>45</v>
      </c>
      <c r="B57" s="7"/>
      <c r="H57" s="10" t="s">
        <v>306</v>
      </c>
      <c r="I57" s="25" t="e">
        <f ca="1">_xll.EVPRO($B$1,$H57,"STYLE")</f>
        <v>#NAME?</v>
      </c>
      <c r="J57" s="25" t="e">
        <f ca="1">_xll.EVPRO($B$1,$H57,"CALC")</f>
        <v>#NAME?</v>
      </c>
      <c r="K57" s="24"/>
      <c r="L57" s="24" t="e">
        <f ca="1">_xll.EVPRO($B$1,H57,"JDEID")</f>
        <v>#NAME?</v>
      </c>
      <c r="M57" s="24" t="e">
        <f ca="1">IF(AND(I57="N",J57="N"),_xll.EVPRO($B$1,H57,"PSFTID"),"")</f>
        <v>#NAME?</v>
      </c>
      <c r="N57" s="24" t="e">
        <f ca="1">IF(_xll.EVDES(H57,$B$1)="#NODATA","",_xll.EVDES(H57,$B$1))</f>
        <v>#NAME?</v>
      </c>
      <c r="O57" s="19"/>
      <c r="P57" s="19"/>
      <c r="Q57" s="19"/>
      <c r="R57" s="19"/>
      <c r="S57" s="19"/>
      <c r="T57" s="19"/>
      <c r="U57" s="19"/>
      <c r="V57" s="19"/>
      <c r="W57" s="19"/>
      <c r="X57" s="19"/>
      <c r="Y57" s="19"/>
      <c r="Z57" s="19"/>
      <c r="AA57" s="19">
        <f t="shared" si="11"/>
        <v>0</v>
      </c>
      <c r="AB57" s="15" t="str">
        <f>IF(AA57=0,"",IFERROR(AA57/AA$19,""))</f>
        <v/>
      </c>
      <c r="AD57" s="19"/>
      <c r="AE57" s="15" t="str">
        <f>IF(AD57=0,"",IFERROR(AD57/AD$19,""))</f>
        <v/>
      </c>
      <c r="AF57" s="47">
        <f t="shared" si="12"/>
        <v>0</v>
      </c>
      <c r="AG57" s="19"/>
      <c r="AH57" s="15" t="str">
        <f t="shared" si="3"/>
        <v/>
      </c>
      <c r="AI57" s="47">
        <f t="shared" si="13"/>
        <v>0</v>
      </c>
    </row>
    <row r="58" spans="1:35" x14ac:dyDescent="0.2">
      <c r="A58" s="6" t="s">
        <v>46</v>
      </c>
      <c r="B58" s="7"/>
      <c r="H58" s="10" t="s">
        <v>304</v>
      </c>
      <c r="I58" s="25" t="e">
        <f ca="1">_xll.EVPRO($B$1,$H58,"STYLE")</f>
        <v>#NAME?</v>
      </c>
      <c r="J58" s="25" t="e">
        <f ca="1">_xll.EVPRO($B$1,$H58,"CALC")</f>
        <v>#NAME?</v>
      </c>
      <c r="K58" s="24"/>
      <c r="L58" s="24" t="e">
        <f ca="1">_xll.EVPRO($B$1,H58,"JDEID")</f>
        <v>#NAME?</v>
      </c>
      <c r="M58" s="24" t="e">
        <f ca="1">IF(AND(I58="N",J58="N"),_xll.EVPRO($B$1,H58,"PSFTID"),"")</f>
        <v>#NAME?</v>
      </c>
      <c r="N58" s="24" t="e">
        <f ca="1">IF(_xll.EVDES(H58,$B$1)="#NODATA","",_xll.EVDES(H58,$B$1))</f>
        <v>#NAME?</v>
      </c>
      <c r="O58" s="28"/>
      <c r="P58" s="28"/>
      <c r="Q58" s="28"/>
      <c r="R58" s="28"/>
      <c r="S58" s="28"/>
      <c r="T58" s="28"/>
      <c r="U58" s="28"/>
      <c r="V58" s="28"/>
      <c r="W58" s="28"/>
      <c r="X58" s="28"/>
      <c r="Y58" s="28"/>
      <c r="Z58" s="28"/>
      <c r="AA58" s="28">
        <f t="shared" si="11"/>
        <v>0</v>
      </c>
      <c r="AB58" s="29" t="str">
        <f>IF(AA58=0,"",IFERROR(AA58/AA$19,""))</f>
        <v/>
      </c>
      <c r="AD58" s="28"/>
      <c r="AE58" s="29" t="str">
        <f>IF(AD58=0,"",IFERROR(AD58/AD$19,""))</f>
        <v/>
      </c>
      <c r="AF58" s="48">
        <f t="shared" si="12"/>
        <v>0</v>
      </c>
      <c r="AG58" s="28"/>
      <c r="AH58" s="29" t="str">
        <f t="shared" si="3"/>
        <v/>
      </c>
      <c r="AI58" s="48">
        <f t="shared" si="13"/>
        <v>0</v>
      </c>
    </row>
    <row r="59" spans="1:35" x14ac:dyDescent="0.2">
      <c r="H59" s="10" t="s">
        <v>320</v>
      </c>
      <c r="I59" s="25" t="e">
        <f ca="1">_xll.EVPRO($B$1,$H59,"STYLE")</f>
        <v>#NAME?</v>
      </c>
      <c r="J59" s="25" t="e">
        <f ca="1">_xll.EVPRO($B$1,$H59,"CALC")</f>
        <v>#NAME?</v>
      </c>
      <c r="K59" s="24"/>
      <c r="L59" s="24" t="e">
        <f ca="1">_xll.EVPRO($B$1,H59,"JDEID")</f>
        <v>#NAME?</v>
      </c>
      <c r="M59" s="24" t="e">
        <f ca="1">IF(AND(I59="N",J59="N"),_xll.EVPRO($B$1,H59,"PSFTID"),"")</f>
        <v>#NAME?</v>
      </c>
      <c r="N59" s="23" t="e">
        <f ca="1">IF(_xll.EVDES(H59,$B$1)="#NODATA","",_xll.EVDES(H59,$B$1))</f>
        <v>#NAME?</v>
      </c>
      <c r="O59" s="145"/>
      <c r="P59" s="145"/>
      <c r="Q59" s="145"/>
      <c r="R59" s="145"/>
      <c r="S59" s="145"/>
      <c r="T59" s="145"/>
      <c r="U59" s="145"/>
      <c r="V59" s="145"/>
      <c r="W59" s="145"/>
      <c r="X59" s="145"/>
      <c r="Y59" s="145"/>
      <c r="Z59" s="145"/>
      <c r="AA59" s="145">
        <f t="shared" si="11"/>
        <v>0</v>
      </c>
      <c r="AB59" s="156" t="str">
        <f>IF(AA59=0,"",IFERROR(AA59/AA$19,""))</f>
        <v/>
      </c>
      <c r="AD59" s="145"/>
      <c r="AE59" s="156" t="str">
        <f>IF(AD59=0,"",IFERROR(AD59/AD$19,""))</f>
        <v/>
      </c>
      <c r="AF59" s="146">
        <f t="shared" si="12"/>
        <v>0</v>
      </c>
      <c r="AG59" s="145"/>
      <c r="AH59" s="156" t="str">
        <f t="shared" si="3"/>
        <v/>
      </c>
      <c r="AI59" s="146">
        <f t="shared" si="13"/>
        <v>0</v>
      </c>
    </row>
    <row r="60" spans="1:35" x14ac:dyDescent="0.2">
      <c r="H60" s="10" t="s">
        <v>765</v>
      </c>
      <c r="I60" s="25" t="e">
        <f ca="1">_xll.EVPRO($B$1,$H60,"STYLE")</f>
        <v>#NAME?</v>
      </c>
      <c r="J60" s="25" t="e">
        <f ca="1">_xll.EVPRO($B$1,$H60,"CALC")</f>
        <v>#NAME?</v>
      </c>
      <c r="K60" s="24"/>
      <c r="L60" s="24" t="e">
        <f ca="1">_xll.EVPRO($B$1,H60,"JDEID")</f>
        <v>#NAME?</v>
      </c>
      <c r="M60" s="24" t="e">
        <f ca="1">IF(AND(I60="N",J60="N"),_xll.EVPRO($B$1,H60,"PSFTID"),"")</f>
        <v>#NAME?</v>
      </c>
      <c r="N60" s="24" t="e">
        <f ca="1">IF(_xll.EVDES(H60,$B$1)="#NODATA","",_xll.EVDES(H60,$B$1))</f>
        <v>#NAME?</v>
      </c>
      <c r="O60" s="35"/>
      <c r="P60" s="35"/>
      <c r="Q60" s="35"/>
      <c r="R60" s="35"/>
      <c r="S60" s="35"/>
      <c r="T60" s="35"/>
      <c r="U60" s="35"/>
      <c r="V60" s="35"/>
      <c r="W60" s="35"/>
      <c r="X60" s="35"/>
      <c r="Y60" s="35"/>
      <c r="Z60" s="35"/>
      <c r="AA60" s="35">
        <f t="shared" si="11"/>
        <v>0</v>
      </c>
      <c r="AB60" s="36"/>
      <c r="AD60" s="35"/>
      <c r="AE60" s="36"/>
      <c r="AF60" s="118">
        <f t="shared" si="12"/>
        <v>0</v>
      </c>
      <c r="AG60" s="35"/>
      <c r="AH60" s="36"/>
      <c r="AI60" s="118">
        <f t="shared" si="13"/>
        <v>0</v>
      </c>
    </row>
    <row r="61" spans="1:35" x14ac:dyDescent="0.2">
      <c r="H61" s="10" t="s">
        <v>299</v>
      </c>
      <c r="I61" s="25" t="e">
        <f ca="1">_xll.EVPRO($B$1,$H61,"STYLE")</f>
        <v>#NAME?</v>
      </c>
      <c r="J61" s="25" t="e">
        <f ca="1">_xll.EVPRO($B$1,$H61,"CALC")</f>
        <v>#NAME?</v>
      </c>
      <c r="K61" s="24"/>
      <c r="L61" s="24" t="e">
        <f ca="1">_xll.EVPRO($B$1,H61,"JDEID")</f>
        <v>#NAME?</v>
      </c>
      <c r="M61" s="24" t="e">
        <f ca="1">IF(AND(I61="N",J61="N"),_xll.EVPRO($B$1,H61,"PSFTID"),"")</f>
        <v>#NAME?</v>
      </c>
      <c r="N61" s="24" t="e">
        <f ca="1">IF(_xll.EVDES(H61,$B$1)="#NODATA","",_xll.EVDES(H61,$B$1))</f>
        <v>#NAME?</v>
      </c>
      <c r="O61" s="35"/>
      <c r="P61" s="35"/>
      <c r="Q61" s="35"/>
      <c r="R61" s="35"/>
      <c r="S61" s="35"/>
      <c r="T61" s="35"/>
      <c r="U61" s="35"/>
      <c r="V61" s="35"/>
      <c r="W61" s="35"/>
      <c r="X61" s="35"/>
      <c r="Y61" s="35"/>
      <c r="Z61" s="35"/>
      <c r="AA61" s="35">
        <f t="shared" si="11"/>
        <v>0</v>
      </c>
      <c r="AB61" s="36" t="str">
        <f>IF(AA61=0,"",IFERROR(AA61/AA$87,""))</f>
        <v/>
      </c>
      <c r="AD61" s="35"/>
      <c r="AE61" s="36" t="str">
        <f>IF(AD61=0,"",IFERROR(AD61/AD$87,""))</f>
        <v/>
      </c>
      <c r="AF61" s="118">
        <f t="shared" si="12"/>
        <v>0</v>
      </c>
      <c r="AG61" s="35"/>
      <c r="AH61" s="36" t="str">
        <f>IF(AG61=0,"",IFERROR(AG61/AG$87,""))</f>
        <v/>
      </c>
      <c r="AI61" s="118">
        <f t="shared" si="13"/>
        <v>0</v>
      </c>
    </row>
    <row r="62" spans="1:35" x14ac:dyDescent="0.2">
      <c r="H62" s="133" t="s">
        <v>317</v>
      </c>
      <c r="I62" s="25" t="e">
        <f ca="1">_xll.EVPRO($B$1,$H62,"STYLE")</f>
        <v>#NAME?</v>
      </c>
      <c r="J62" s="25" t="e">
        <f ca="1">_xll.EVPRO($B$1,$H62,"CALC")</f>
        <v>#NAME?</v>
      </c>
      <c r="K62" s="24"/>
      <c r="L62" s="24" t="e">
        <f ca="1">_xll.EVPRO($B$1,H62,"JDEID")</f>
        <v>#NAME?</v>
      </c>
      <c r="M62" s="24" t="e">
        <f ca="1">IF(AND(I62="N",J62="N"),_xll.EVPRO($B$1,H62,"PSFTID"),"")</f>
        <v>#NAME?</v>
      </c>
      <c r="N62" s="151" t="e">
        <f ca="1">IF(_xll.EVDES(H62,$B$1)="#NODATA","",_xll.EVDES(H62,$B$1))</f>
        <v>#NAME?</v>
      </c>
      <c r="O62" s="157"/>
      <c r="P62" s="157"/>
      <c r="Q62" s="157"/>
      <c r="R62" s="157"/>
      <c r="S62" s="157"/>
      <c r="T62" s="157"/>
      <c r="U62" s="157"/>
      <c r="V62" s="157"/>
      <c r="W62" s="157"/>
      <c r="X62" s="157"/>
      <c r="Y62" s="157"/>
      <c r="Z62" s="157"/>
      <c r="AA62" s="157" t="str">
        <f>IFERROR(AA59/AA61,"")</f>
        <v/>
      </c>
      <c r="AB62" s="157"/>
      <c r="AD62" s="157"/>
      <c r="AE62" s="157"/>
      <c r="AF62" s="158" t="str">
        <f t="shared" si="12"/>
        <v/>
      </c>
      <c r="AG62" s="157"/>
      <c r="AH62" s="157"/>
      <c r="AI62" s="158" t="str">
        <f t="shared" si="13"/>
        <v/>
      </c>
    </row>
    <row r="63" spans="1:35" x14ac:dyDescent="0.2">
      <c r="G63" s="162">
        <f>COUNTIF(O64:AI64,FALSE)</f>
        <v>0</v>
      </c>
      <c r="H63" s="10"/>
      <c r="I63" s="25"/>
      <c r="J63" s="25"/>
      <c r="K63" s="24"/>
      <c r="L63" s="24"/>
      <c r="M63" s="24"/>
      <c r="N63" s="163" t="s">
        <v>345</v>
      </c>
      <c r="O63" s="160">
        <f t="shared" ref="O63:AA63" si="14">ROUND(IFERROR(O59/O61,0),2)</f>
        <v>0</v>
      </c>
      <c r="P63" s="165">
        <f t="shared" si="14"/>
        <v>0</v>
      </c>
      <c r="Q63" s="165">
        <f t="shared" si="14"/>
        <v>0</v>
      </c>
      <c r="R63" s="165">
        <f t="shared" si="14"/>
        <v>0</v>
      </c>
      <c r="S63" s="165">
        <f t="shared" si="14"/>
        <v>0</v>
      </c>
      <c r="T63" s="165">
        <f t="shared" si="14"/>
        <v>0</v>
      </c>
      <c r="U63" s="165">
        <f t="shared" si="14"/>
        <v>0</v>
      </c>
      <c r="V63" s="165">
        <f t="shared" si="14"/>
        <v>0</v>
      </c>
      <c r="W63" s="165">
        <f t="shared" si="14"/>
        <v>0</v>
      </c>
      <c r="X63" s="165">
        <f t="shared" si="14"/>
        <v>0</v>
      </c>
      <c r="Y63" s="165">
        <f t="shared" si="14"/>
        <v>0</v>
      </c>
      <c r="Z63" s="165">
        <f t="shared" si="14"/>
        <v>0</v>
      </c>
      <c r="AA63" s="165">
        <f t="shared" si="14"/>
        <v>0</v>
      </c>
      <c r="AB63" s="164"/>
      <c r="AD63" s="160">
        <f>ROUND(IFERROR(AD59/AD61,0),2)</f>
        <v>0</v>
      </c>
      <c r="AE63" s="165"/>
      <c r="AF63" s="161"/>
      <c r="AG63" s="160">
        <f>ROUND(IFERROR(AG59/AG61,0),2)</f>
        <v>0</v>
      </c>
      <c r="AH63" s="165"/>
      <c r="AI63" s="161"/>
    </row>
    <row r="64" spans="1:35" x14ac:dyDescent="0.2">
      <c r="H64" s="133"/>
      <c r="I64" s="25"/>
      <c r="J64" s="25"/>
      <c r="K64" s="24"/>
      <c r="L64" s="24"/>
      <c r="M64" s="24"/>
      <c r="N64" s="8" t="s">
        <v>307</v>
      </c>
      <c r="O64" s="292" t="b">
        <f t="shared" ref="O64:AA64" si="15">ROUND(O62,2)=ROUND(O63,2)</f>
        <v>1</v>
      </c>
      <c r="P64" s="293" t="b">
        <f t="shared" si="15"/>
        <v>1</v>
      </c>
      <c r="Q64" s="293" t="b">
        <f t="shared" si="15"/>
        <v>1</v>
      </c>
      <c r="R64" s="293" t="b">
        <f t="shared" si="15"/>
        <v>1</v>
      </c>
      <c r="S64" s="293" t="b">
        <f t="shared" si="15"/>
        <v>1</v>
      </c>
      <c r="T64" s="293" t="b">
        <f t="shared" si="15"/>
        <v>1</v>
      </c>
      <c r="U64" s="293" t="b">
        <f t="shared" si="15"/>
        <v>1</v>
      </c>
      <c r="V64" s="293" t="b">
        <f t="shared" si="15"/>
        <v>1</v>
      </c>
      <c r="W64" s="293" t="b">
        <f t="shared" si="15"/>
        <v>1</v>
      </c>
      <c r="X64" s="293" t="b">
        <f t="shared" si="15"/>
        <v>1</v>
      </c>
      <c r="Y64" s="293" t="b">
        <f t="shared" si="15"/>
        <v>1</v>
      </c>
      <c r="Z64" s="293" t="b">
        <f t="shared" si="15"/>
        <v>1</v>
      </c>
      <c r="AA64" s="293" t="e">
        <f t="shared" si="15"/>
        <v>#VALUE!</v>
      </c>
      <c r="AB64" s="294"/>
      <c r="AC64" s="206"/>
      <c r="AD64" s="292"/>
      <c r="AE64" s="293" t="b">
        <f>ROUND(AD62,2)=ROUND(AD63,2)</f>
        <v>1</v>
      </c>
      <c r="AF64" s="294"/>
      <c r="AG64" s="292"/>
      <c r="AH64" s="293" t="b">
        <f>ROUND(AG62,2)=ROUND(AG63,2)</f>
        <v>1</v>
      </c>
      <c r="AI64" s="294"/>
    </row>
    <row r="65" spans="3:35" x14ac:dyDescent="0.2">
      <c r="H65" s="133" t="s">
        <v>263</v>
      </c>
      <c r="I65" s="25" t="e">
        <f ca="1">_xll.EVPRO($B$1,$H65,"STYLE")</f>
        <v>#NAME?</v>
      </c>
      <c r="J65" s="25" t="e">
        <f ca="1">_xll.EVPRO($B$1,$H65,"CALC")</f>
        <v>#NAME?</v>
      </c>
      <c r="K65" s="24"/>
      <c r="L65" s="24" t="e">
        <f ca="1">_xll.EVPRO($B$1,H65,"JDEID")</f>
        <v>#NAME?</v>
      </c>
      <c r="M65" s="24" t="e">
        <f ca="1">IF(AND(I65="N",J65="N"),_xll.EVPRO($B$1,H65,"PSFTID"),"")</f>
        <v>#NAME?</v>
      </c>
      <c r="N65" s="24" t="e">
        <f ca="1">IF(_xll.EVDES(H65,$B$1)="#NODATA","",_xll.EVDES(H65,$B$1))</f>
        <v>#NAME?</v>
      </c>
      <c r="O65" s="19"/>
      <c r="P65" s="19"/>
      <c r="Q65" s="19"/>
      <c r="R65" s="19"/>
      <c r="S65" s="19"/>
      <c r="T65" s="19"/>
      <c r="U65" s="19"/>
      <c r="V65" s="19"/>
      <c r="W65" s="19"/>
      <c r="X65" s="19"/>
      <c r="Y65" s="19"/>
      <c r="Z65" s="19"/>
      <c r="AA65" s="19">
        <f t="shared" ref="AA65:AA71" si="16">SUM(O65:Z65)</f>
        <v>0</v>
      </c>
      <c r="AB65" s="15" t="str">
        <f>IF(AA65=0,"",IFERROR(AA65/AA$19,""))</f>
        <v/>
      </c>
      <c r="AD65" s="19"/>
      <c r="AE65" s="15" t="str">
        <f>IF(AD65=0,"",IFERROR(AD65/AD$19,""))</f>
        <v/>
      </c>
      <c r="AF65" s="47">
        <f t="shared" ref="AF65:AF72" si="17">IF(AND($AA65="",AD65=""),"",$AA65-AD65)</f>
        <v>0</v>
      </c>
      <c r="AG65" s="19"/>
      <c r="AH65" s="15" t="str">
        <f t="shared" si="3"/>
        <v/>
      </c>
      <c r="AI65" s="47">
        <f t="shared" ref="AI65:AI72" si="18">IF(AND($AA65="",AG65=""),"",$AA65-AG65)</f>
        <v>0</v>
      </c>
    </row>
    <row r="66" spans="3:35" x14ac:dyDescent="0.2">
      <c r="H66" s="133" t="s">
        <v>308</v>
      </c>
      <c r="I66" s="25" t="e">
        <f ca="1">_xll.EVPRO($B$1,$H66,"STYLE")</f>
        <v>#NAME?</v>
      </c>
      <c r="J66" s="25" t="e">
        <f ca="1">_xll.EVPRO($B$1,$H66,"CALC")</f>
        <v>#NAME?</v>
      </c>
      <c r="K66" s="24"/>
      <c r="L66" s="24" t="e">
        <f ca="1">_xll.EVPRO($B$1,H66,"JDEID")</f>
        <v>#NAME?</v>
      </c>
      <c r="M66" s="24" t="e">
        <f ca="1">IF(AND(I66="N",J66="N"),_xll.EVPRO($B$1,H66,"PSFTID"),"")</f>
        <v>#NAME?</v>
      </c>
      <c r="N66" s="24" t="e">
        <f ca="1">IF(_xll.EVDES(H66,$B$1)="#NODATA","",_xll.EVDES(H66,$B$1))</f>
        <v>#NAME?</v>
      </c>
      <c r="O66" s="19"/>
      <c r="P66" s="19"/>
      <c r="Q66" s="19"/>
      <c r="R66" s="19"/>
      <c r="S66" s="19"/>
      <c r="T66" s="19"/>
      <c r="U66" s="19"/>
      <c r="V66" s="19"/>
      <c r="W66" s="19"/>
      <c r="X66" s="19"/>
      <c r="Y66" s="19"/>
      <c r="Z66" s="19"/>
      <c r="AA66" s="19">
        <f t="shared" si="16"/>
        <v>0</v>
      </c>
      <c r="AB66" s="15" t="str">
        <f>IF(AA66=0,"",IFERROR(AA66/AA$19,""))</f>
        <v/>
      </c>
      <c r="AD66" s="19"/>
      <c r="AE66" s="15" t="str">
        <f>IF(AD66=0,"",IFERROR(AD66/AD$19,""))</f>
        <v/>
      </c>
      <c r="AF66" s="47">
        <f t="shared" si="17"/>
        <v>0</v>
      </c>
      <c r="AG66" s="19"/>
      <c r="AH66" s="15" t="str">
        <f t="shared" si="3"/>
        <v/>
      </c>
      <c r="AI66" s="47">
        <f t="shared" si="18"/>
        <v>0</v>
      </c>
    </row>
    <row r="67" spans="3:35" x14ac:dyDescent="0.2">
      <c r="H67" s="133" t="s">
        <v>310</v>
      </c>
      <c r="I67" s="25" t="e">
        <f ca="1">_xll.EVPRO($B$1,$H67,"STYLE")</f>
        <v>#NAME?</v>
      </c>
      <c r="J67" s="25" t="e">
        <f ca="1">_xll.EVPRO($B$1,$H67,"CALC")</f>
        <v>#NAME?</v>
      </c>
      <c r="K67" s="24"/>
      <c r="L67" s="24" t="e">
        <f ca="1">_xll.EVPRO($B$1,H67,"JDEID")</f>
        <v>#NAME?</v>
      </c>
      <c r="M67" s="24" t="e">
        <f ca="1">IF(AND(I67="N",J67="N"),_xll.EVPRO($B$1,H67,"PSFTID"),"")</f>
        <v>#NAME?</v>
      </c>
      <c r="N67" s="24" t="e">
        <f ca="1">IF(_xll.EVDES(H67,$B$1)="#NODATA","",_xll.EVDES(H67,$B$1))</f>
        <v>#NAME?</v>
      </c>
      <c r="O67" s="19"/>
      <c r="P67" s="19"/>
      <c r="Q67" s="19"/>
      <c r="R67" s="19"/>
      <c r="S67" s="19"/>
      <c r="T67" s="19"/>
      <c r="U67" s="19"/>
      <c r="V67" s="19"/>
      <c r="W67" s="19"/>
      <c r="X67" s="19"/>
      <c r="Y67" s="19"/>
      <c r="Z67" s="19"/>
      <c r="AA67" s="19">
        <f t="shared" si="16"/>
        <v>0</v>
      </c>
      <c r="AB67" s="15" t="str">
        <f>IF(AA67=0,"",IFERROR(AA67/AA$19,""))</f>
        <v/>
      </c>
      <c r="AD67" s="19"/>
      <c r="AE67" s="15" t="str">
        <f>IF(AD67=0,"",IFERROR(AD67/AD$19,""))</f>
        <v/>
      </c>
      <c r="AF67" s="47">
        <f t="shared" si="17"/>
        <v>0</v>
      </c>
      <c r="AG67" s="19"/>
      <c r="AH67" s="15" t="str">
        <f t="shared" si="3"/>
        <v/>
      </c>
      <c r="AI67" s="47">
        <f t="shared" si="18"/>
        <v>0</v>
      </c>
    </row>
    <row r="68" spans="3:35" x14ac:dyDescent="0.2">
      <c r="H68" s="133" t="s">
        <v>309</v>
      </c>
      <c r="I68" s="25" t="e">
        <f ca="1">_xll.EVPRO($B$1,$H68,"STYLE")</f>
        <v>#NAME?</v>
      </c>
      <c r="J68" s="25" t="e">
        <f ca="1">_xll.EVPRO($B$1,$H68,"CALC")</f>
        <v>#NAME?</v>
      </c>
      <c r="K68" s="24"/>
      <c r="L68" s="24" t="e">
        <f ca="1">_xll.EVPRO($B$1,H68,"JDEID")</f>
        <v>#NAME?</v>
      </c>
      <c r="M68" s="24" t="e">
        <f ca="1">IF(AND(I68="N",J68="N"),_xll.EVPRO($B$1,H68,"PSFTID"),"")</f>
        <v>#NAME?</v>
      </c>
      <c r="N68" s="24" t="e">
        <f ca="1">IF(_xll.EVDES(H68,$B$1)="#NODATA","",_xll.EVDES(H68,$B$1))</f>
        <v>#NAME?</v>
      </c>
      <c r="O68" s="28"/>
      <c r="P68" s="28"/>
      <c r="Q68" s="28"/>
      <c r="R68" s="28"/>
      <c r="S68" s="28"/>
      <c r="T68" s="28"/>
      <c r="U68" s="28"/>
      <c r="V68" s="28"/>
      <c r="W68" s="28"/>
      <c r="X68" s="28"/>
      <c r="Y68" s="28"/>
      <c r="Z68" s="28"/>
      <c r="AA68" s="28">
        <f t="shared" si="16"/>
        <v>0</v>
      </c>
      <c r="AB68" s="29" t="str">
        <f>IF(AA68=0,"",IFERROR(AA68/AA$19,""))</f>
        <v/>
      </c>
      <c r="AD68" s="28"/>
      <c r="AE68" s="29" t="str">
        <f>IF(AD68=0,"",IFERROR(AD68/AD$19,""))</f>
        <v/>
      </c>
      <c r="AF68" s="48">
        <f t="shared" si="17"/>
        <v>0</v>
      </c>
      <c r="AG68" s="28"/>
      <c r="AH68" s="29" t="str">
        <f t="shared" si="3"/>
        <v/>
      </c>
      <c r="AI68" s="48">
        <f t="shared" si="18"/>
        <v>0</v>
      </c>
    </row>
    <row r="69" spans="3:35" x14ac:dyDescent="0.2">
      <c r="H69" s="133" t="s">
        <v>327</v>
      </c>
      <c r="I69" s="25" t="e">
        <f ca="1">_xll.EVPRO($B$1,$H69,"STYLE")</f>
        <v>#NAME?</v>
      </c>
      <c r="J69" s="25" t="e">
        <f ca="1">_xll.EVPRO($B$1,$H69,"CALC")</f>
        <v>#NAME?</v>
      </c>
      <c r="K69" s="24"/>
      <c r="L69" s="24" t="e">
        <f ca="1">_xll.EVPRO($B$1,H69,"JDEID")</f>
        <v>#NAME?</v>
      </c>
      <c r="M69" s="24" t="e">
        <f ca="1">IF(AND(I69="N",J69="N"),_xll.EVPRO($B$1,H69,"PSFTID"),"")</f>
        <v>#NAME?</v>
      </c>
      <c r="N69" s="23" t="e">
        <f ca="1">IF(_xll.EVDES(H69,$B$1)="#NODATA","",_xll.EVDES(H69,$B$1))</f>
        <v>#NAME?</v>
      </c>
      <c r="O69" s="145"/>
      <c r="P69" s="145"/>
      <c r="Q69" s="145"/>
      <c r="R69" s="145"/>
      <c r="S69" s="145"/>
      <c r="T69" s="145"/>
      <c r="U69" s="145"/>
      <c r="V69" s="145"/>
      <c r="W69" s="145"/>
      <c r="X69" s="145"/>
      <c r="Y69" s="145"/>
      <c r="Z69" s="145"/>
      <c r="AA69" s="145">
        <f t="shared" si="16"/>
        <v>0</v>
      </c>
      <c r="AB69" s="156" t="str">
        <f>IF(AA69=0,"",IFERROR(AA69/AA$19,""))</f>
        <v/>
      </c>
      <c r="AD69" s="145"/>
      <c r="AE69" s="156" t="str">
        <f>IF(AD69=0,"",IFERROR(AD69/AD$19,""))</f>
        <v/>
      </c>
      <c r="AF69" s="146">
        <f t="shared" si="17"/>
        <v>0</v>
      </c>
      <c r="AG69" s="145"/>
      <c r="AH69" s="156" t="str">
        <f t="shared" si="3"/>
        <v/>
      </c>
      <c r="AI69" s="146">
        <f t="shared" si="18"/>
        <v>0</v>
      </c>
    </row>
    <row r="70" spans="3:35" x14ac:dyDescent="0.2">
      <c r="H70" s="133" t="s">
        <v>766</v>
      </c>
      <c r="I70" s="25" t="e">
        <f ca="1">_xll.EVPRO($B$1,$H70,"STYLE")</f>
        <v>#NAME?</v>
      </c>
      <c r="J70" s="25" t="e">
        <f ca="1">_xll.EVPRO($B$1,$H70,"CALC")</f>
        <v>#NAME?</v>
      </c>
      <c r="K70" s="24"/>
      <c r="L70" s="24" t="e">
        <f ca="1">_xll.EVPRO($B$1,H70,"JDEID")</f>
        <v>#NAME?</v>
      </c>
      <c r="M70" s="24" t="e">
        <f ca="1">IF(AND(I70="N",J70="N"),_xll.EVPRO($B$1,H70,"PSFTID"),"")</f>
        <v>#NAME?</v>
      </c>
      <c r="N70" s="24" t="e">
        <f ca="1">IF(_xll.EVDES(H70,$B$1)="#NODATA","",_xll.EVDES(H70,$B$1))</f>
        <v>#NAME?</v>
      </c>
      <c r="O70" s="35"/>
      <c r="P70" s="35"/>
      <c r="Q70" s="35"/>
      <c r="R70" s="35"/>
      <c r="S70" s="35"/>
      <c r="T70" s="35"/>
      <c r="U70" s="35"/>
      <c r="V70" s="35"/>
      <c r="W70" s="35"/>
      <c r="X70" s="35"/>
      <c r="Y70" s="35"/>
      <c r="Z70" s="35"/>
      <c r="AA70" s="35">
        <f t="shared" si="16"/>
        <v>0</v>
      </c>
      <c r="AB70" s="36"/>
      <c r="AD70" s="35"/>
      <c r="AE70" s="36"/>
      <c r="AF70" s="118">
        <f t="shared" si="17"/>
        <v>0</v>
      </c>
      <c r="AG70" s="35"/>
      <c r="AH70" s="36"/>
      <c r="AI70" s="118">
        <f t="shared" si="18"/>
        <v>0</v>
      </c>
    </row>
    <row r="71" spans="3:35" x14ac:dyDescent="0.2">
      <c r="H71" s="133" t="s">
        <v>326</v>
      </c>
      <c r="I71" s="25" t="e">
        <f ca="1">_xll.EVPRO($B$1,$H71,"STYLE")</f>
        <v>#NAME?</v>
      </c>
      <c r="J71" s="25" t="e">
        <f ca="1">_xll.EVPRO($B$1,$H71,"CALC")</f>
        <v>#NAME?</v>
      </c>
      <c r="K71" s="24"/>
      <c r="L71" s="24" t="e">
        <f ca="1">_xll.EVPRO($B$1,H71,"JDEID")</f>
        <v>#NAME?</v>
      </c>
      <c r="M71" s="24" t="e">
        <f ca="1">IF(AND(I71="N",J71="N"),_xll.EVPRO($B$1,H71,"PSFTID"),"")</f>
        <v>#NAME?</v>
      </c>
      <c r="N71" s="24" t="e">
        <f ca="1">IF(_xll.EVDES(H71,$B$1)="#NODATA","",_xll.EVDES(H71,$B$1))</f>
        <v>#NAME?</v>
      </c>
      <c r="O71" s="35"/>
      <c r="P71" s="35"/>
      <c r="Q71" s="35"/>
      <c r="R71" s="35"/>
      <c r="S71" s="35"/>
      <c r="T71" s="35"/>
      <c r="U71" s="35"/>
      <c r="V71" s="35"/>
      <c r="W71" s="35"/>
      <c r="X71" s="35"/>
      <c r="Y71" s="35"/>
      <c r="Z71" s="35"/>
      <c r="AA71" s="35">
        <f t="shared" si="16"/>
        <v>0</v>
      </c>
      <c r="AB71" s="36" t="str">
        <f>IF(AA71=0,"",IFERROR(AA71/AA$87,""))</f>
        <v/>
      </c>
      <c r="AD71" s="35"/>
      <c r="AE71" s="36" t="str">
        <f>IF(AD71=0,"",IFERROR(AD71/AD$87,""))</f>
        <v/>
      </c>
      <c r="AF71" s="118">
        <f t="shared" si="17"/>
        <v>0</v>
      </c>
      <c r="AG71" s="35"/>
      <c r="AH71" s="36" t="str">
        <f>IF(AG71=0,"",IFERROR(AG71/AG$87,""))</f>
        <v/>
      </c>
      <c r="AI71" s="118">
        <f t="shared" si="18"/>
        <v>0</v>
      </c>
    </row>
    <row r="72" spans="3:35" x14ac:dyDescent="0.2">
      <c r="H72" s="133" t="s">
        <v>328</v>
      </c>
      <c r="I72" s="25" t="e">
        <f ca="1">_xll.EVPRO($B$1,$H72,"STYLE")</f>
        <v>#NAME?</v>
      </c>
      <c r="J72" s="25" t="e">
        <f ca="1">_xll.EVPRO($B$1,$H72,"CALC")</f>
        <v>#NAME?</v>
      </c>
      <c r="K72" s="24"/>
      <c r="L72" s="24" t="e">
        <f ca="1">_xll.EVPRO($B$1,H72,"JDEID")</f>
        <v>#NAME?</v>
      </c>
      <c r="M72" s="24" t="e">
        <f ca="1">IF(AND(I72="N",J72="N"),_xll.EVPRO($B$1,H72,"PSFTID"),"")</f>
        <v>#NAME?</v>
      </c>
      <c r="N72" s="151" t="e">
        <f ca="1">IF(_xll.EVDES(H72,$B$1)="#NODATA","",_xll.EVDES(H72,$B$1))</f>
        <v>#NAME?</v>
      </c>
      <c r="O72" s="157"/>
      <c r="P72" s="157"/>
      <c r="Q72" s="157"/>
      <c r="R72" s="157"/>
      <c r="S72" s="157"/>
      <c r="T72" s="157"/>
      <c r="U72" s="157"/>
      <c r="V72" s="157"/>
      <c r="W72" s="157"/>
      <c r="X72" s="157"/>
      <c r="Y72" s="157"/>
      <c r="Z72" s="157"/>
      <c r="AA72" s="157" t="str">
        <f>IFERROR(AA69/AA71,"")</f>
        <v/>
      </c>
      <c r="AB72" s="157"/>
      <c r="AD72" s="157"/>
      <c r="AE72" s="157"/>
      <c r="AF72" s="158" t="str">
        <f t="shared" si="17"/>
        <v/>
      </c>
      <c r="AG72" s="157"/>
      <c r="AH72" s="157"/>
      <c r="AI72" s="158" t="str">
        <f t="shared" si="18"/>
        <v/>
      </c>
    </row>
    <row r="73" spans="3:35" x14ac:dyDescent="0.2">
      <c r="G73" s="162">
        <f>COUNTIF(O74:AI74,FALSE)</f>
        <v>0</v>
      </c>
      <c r="H73" s="10"/>
      <c r="I73" s="25"/>
      <c r="J73" s="25"/>
      <c r="K73" s="24"/>
      <c r="L73" s="24"/>
      <c r="M73" s="24"/>
      <c r="N73" s="163" t="s">
        <v>345</v>
      </c>
      <c r="O73" s="160">
        <f t="shared" ref="O73:AA73" si="19">ROUND(IFERROR(O69/O71,0),2)</f>
        <v>0</v>
      </c>
      <c r="P73" s="165">
        <f t="shared" si="19"/>
        <v>0</v>
      </c>
      <c r="Q73" s="165">
        <f t="shared" si="19"/>
        <v>0</v>
      </c>
      <c r="R73" s="165">
        <f t="shared" si="19"/>
        <v>0</v>
      </c>
      <c r="S73" s="165">
        <f t="shared" si="19"/>
        <v>0</v>
      </c>
      <c r="T73" s="165">
        <f t="shared" si="19"/>
        <v>0</v>
      </c>
      <c r="U73" s="165">
        <f t="shared" si="19"/>
        <v>0</v>
      </c>
      <c r="V73" s="165">
        <f t="shared" si="19"/>
        <v>0</v>
      </c>
      <c r="W73" s="165">
        <f t="shared" si="19"/>
        <v>0</v>
      </c>
      <c r="X73" s="165">
        <f t="shared" si="19"/>
        <v>0</v>
      </c>
      <c r="Y73" s="165">
        <f t="shared" si="19"/>
        <v>0</v>
      </c>
      <c r="Z73" s="165">
        <f t="shared" si="19"/>
        <v>0</v>
      </c>
      <c r="AA73" s="165">
        <f t="shared" si="19"/>
        <v>0</v>
      </c>
      <c r="AB73" s="164"/>
      <c r="AD73" s="160">
        <f>ROUND(IFERROR(AD69/AD71,0),2)</f>
        <v>0</v>
      </c>
      <c r="AE73" s="165"/>
      <c r="AF73" s="161"/>
      <c r="AG73" s="160">
        <f>ROUND(IFERROR(AG69/AG71,0),2)</f>
        <v>0</v>
      </c>
      <c r="AH73" s="165"/>
      <c r="AI73" s="161"/>
    </row>
    <row r="74" spans="3:35" x14ac:dyDescent="0.2">
      <c r="H74" s="133"/>
      <c r="I74" s="25"/>
      <c r="J74" s="25"/>
      <c r="K74" s="24"/>
      <c r="L74" s="24"/>
      <c r="M74" s="24"/>
      <c r="N74" s="8" t="s">
        <v>324</v>
      </c>
      <c r="O74" s="292" t="b">
        <f t="shared" ref="O74:AA74" si="20">ROUND(O72,2)=ROUND(O73,2)</f>
        <v>1</v>
      </c>
      <c r="P74" s="293" t="b">
        <f t="shared" si="20"/>
        <v>1</v>
      </c>
      <c r="Q74" s="293" t="b">
        <f t="shared" si="20"/>
        <v>1</v>
      </c>
      <c r="R74" s="293" t="b">
        <f t="shared" si="20"/>
        <v>1</v>
      </c>
      <c r="S74" s="293" t="b">
        <f t="shared" si="20"/>
        <v>1</v>
      </c>
      <c r="T74" s="293" t="b">
        <f t="shared" si="20"/>
        <v>1</v>
      </c>
      <c r="U74" s="293" t="b">
        <f t="shared" si="20"/>
        <v>1</v>
      </c>
      <c r="V74" s="293" t="b">
        <f t="shared" si="20"/>
        <v>1</v>
      </c>
      <c r="W74" s="293" t="b">
        <f t="shared" si="20"/>
        <v>1</v>
      </c>
      <c r="X74" s="293" t="b">
        <f t="shared" si="20"/>
        <v>1</v>
      </c>
      <c r="Y74" s="293" t="b">
        <f t="shared" si="20"/>
        <v>1</v>
      </c>
      <c r="Z74" s="293" t="b">
        <f t="shared" si="20"/>
        <v>1</v>
      </c>
      <c r="AA74" s="293" t="e">
        <f t="shared" si="20"/>
        <v>#VALUE!</v>
      </c>
      <c r="AB74" s="294"/>
      <c r="AC74" s="206"/>
      <c r="AD74" s="292"/>
      <c r="AE74" s="293" t="b">
        <f>ROUND(AD72,2)=ROUND(AD73,2)</f>
        <v>1</v>
      </c>
      <c r="AF74" s="294"/>
      <c r="AG74" s="292"/>
      <c r="AH74" s="293" t="b">
        <f>ROUND(AG72,2)=ROUND(AG73,2)</f>
        <v>1</v>
      </c>
      <c r="AI74" s="294"/>
    </row>
    <row r="75" spans="3:35" x14ac:dyDescent="0.2">
      <c r="H75" s="133" t="s">
        <v>264</v>
      </c>
      <c r="I75" s="25" t="e">
        <f ca="1">_xll.EVPRO($B$1,$H75,"STYLE")</f>
        <v>#NAME?</v>
      </c>
      <c r="J75" s="25" t="e">
        <f ca="1">_xll.EVPRO($B$1,$H75,"CALC")</f>
        <v>#NAME?</v>
      </c>
      <c r="K75" s="24"/>
      <c r="L75" s="24" t="e">
        <f ca="1">_xll.EVPRO($B$1,H75,"JDEID")</f>
        <v>#NAME?</v>
      </c>
      <c r="M75" s="24" t="e">
        <f ca="1">IF(AND(I75="N",J75="N"),_xll.EVPRO($B$1,H75,"PSFTID"),"")</f>
        <v>#NAME?</v>
      </c>
      <c r="N75" s="24" t="e">
        <f ca="1">IF(_xll.EVDES(H75,$B$1)="#NODATA","",_xll.EVDES(H75,$B$1))</f>
        <v>#NAME?</v>
      </c>
      <c r="O75" s="19"/>
      <c r="P75" s="19"/>
      <c r="Q75" s="19"/>
      <c r="R75" s="19"/>
      <c r="S75" s="19"/>
      <c r="T75" s="19"/>
      <c r="U75" s="19"/>
      <c r="V75" s="19"/>
      <c r="W75" s="19"/>
      <c r="X75" s="19"/>
      <c r="Y75" s="19"/>
      <c r="Z75" s="19"/>
      <c r="AA75" s="19">
        <f t="shared" ref="AA75:AA80" si="21">SUM(O75:Z75)</f>
        <v>0</v>
      </c>
      <c r="AB75" s="15" t="str">
        <f>IF(AA75=0,"",IFERROR(AA75/AA$19,""))</f>
        <v/>
      </c>
      <c r="AD75" s="19"/>
      <c r="AE75" s="15" t="str">
        <f>IF(AD75=0,"",IFERROR(AD75/AD$19,""))</f>
        <v/>
      </c>
      <c r="AF75" s="47">
        <f t="shared" ref="AF75:AF81" si="22">IF(AND($AA75="",AD75=""),"",$AA75-AD75)</f>
        <v>0</v>
      </c>
      <c r="AG75" s="19"/>
      <c r="AH75" s="15" t="str">
        <f t="shared" si="3"/>
        <v/>
      </c>
      <c r="AI75" s="47">
        <f t="shared" ref="AI75:AI81" si="23">IF(AND($AA75="",AG75=""),"",$AA75-AG75)</f>
        <v>0</v>
      </c>
    </row>
    <row r="76" spans="3:35" x14ac:dyDescent="0.2">
      <c r="H76" s="133" t="s">
        <v>321</v>
      </c>
      <c r="I76" s="25" t="e">
        <f ca="1">_xll.EVPRO($B$1,$H76,"STYLE")</f>
        <v>#NAME?</v>
      </c>
      <c r="J76" s="25" t="e">
        <f ca="1">_xll.EVPRO($B$1,$H76,"CALC")</f>
        <v>#NAME?</v>
      </c>
      <c r="K76" s="24"/>
      <c r="L76" s="24" t="e">
        <f ca="1">_xll.EVPRO($B$1,H76,"JDEID")</f>
        <v>#NAME?</v>
      </c>
      <c r="M76" s="24" t="e">
        <f ca="1">IF(AND(I76="N",J76="N"),_xll.EVPRO($B$1,H76,"PSFTID"),"")</f>
        <v>#NAME?</v>
      </c>
      <c r="N76" s="24" t="e">
        <f ca="1">IF(_xll.EVDES(H76,$B$1)="#NODATA","",_xll.EVDES(H76,$B$1))</f>
        <v>#NAME?</v>
      </c>
      <c r="O76" s="19"/>
      <c r="P76" s="19"/>
      <c r="Q76" s="19"/>
      <c r="R76" s="19"/>
      <c r="S76" s="19"/>
      <c r="T76" s="19"/>
      <c r="U76" s="19"/>
      <c r="V76" s="19"/>
      <c r="W76" s="19"/>
      <c r="X76" s="19"/>
      <c r="Y76" s="19"/>
      <c r="Z76" s="19"/>
      <c r="AA76" s="19">
        <f t="shared" si="21"/>
        <v>0</v>
      </c>
      <c r="AB76" s="15" t="str">
        <f>IF(AA76=0,"",IFERROR(AA76/AA$19,""))</f>
        <v/>
      </c>
      <c r="AD76" s="19"/>
      <c r="AE76" s="15" t="str">
        <f>IF(AD76=0,"",IFERROR(AD76/AD$19,""))</f>
        <v/>
      </c>
      <c r="AF76" s="47">
        <f t="shared" si="22"/>
        <v>0</v>
      </c>
      <c r="AG76" s="19"/>
      <c r="AH76" s="15" t="str">
        <f t="shared" si="3"/>
        <v/>
      </c>
      <c r="AI76" s="47">
        <f t="shared" si="23"/>
        <v>0</v>
      </c>
    </row>
    <row r="77" spans="3:35" x14ac:dyDescent="0.2">
      <c r="H77" s="133" t="s">
        <v>323</v>
      </c>
      <c r="I77" s="25" t="e">
        <f ca="1">_xll.EVPRO($B$1,$H77,"STYLE")</f>
        <v>#NAME?</v>
      </c>
      <c r="J77" s="25" t="e">
        <f ca="1">_xll.EVPRO($B$1,$H77,"CALC")</f>
        <v>#NAME?</v>
      </c>
      <c r="K77" s="24"/>
      <c r="L77" s="24" t="e">
        <f ca="1">_xll.EVPRO($B$1,H77,"JDEID")</f>
        <v>#NAME?</v>
      </c>
      <c r="M77" s="24" t="e">
        <f ca="1">IF(AND(I77="N",J77="N"),_xll.EVPRO($B$1,H77,"PSFTID"),"")</f>
        <v>#NAME?</v>
      </c>
      <c r="N77" s="24" t="e">
        <f ca="1">IF(_xll.EVDES(H77,$B$1)="#NODATA","",_xll.EVDES(H77,$B$1))</f>
        <v>#NAME?</v>
      </c>
      <c r="O77" s="19"/>
      <c r="P77" s="19"/>
      <c r="Q77" s="19"/>
      <c r="R77" s="19"/>
      <c r="S77" s="19"/>
      <c r="T77" s="19"/>
      <c r="U77" s="19"/>
      <c r="V77" s="19"/>
      <c r="W77" s="19"/>
      <c r="X77" s="19"/>
      <c r="Y77" s="19"/>
      <c r="Z77" s="19"/>
      <c r="AA77" s="19">
        <f t="shared" si="21"/>
        <v>0</v>
      </c>
      <c r="AB77" s="15" t="str">
        <f>IF(AA77=0,"",IFERROR(AA77/AA$19,""))</f>
        <v/>
      </c>
      <c r="AD77" s="19"/>
      <c r="AE77" s="15" t="str">
        <f>IF(AD77=0,"",IFERROR(AD77/AD$19,""))</f>
        <v/>
      </c>
      <c r="AF77" s="47">
        <f t="shared" si="22"/>
        <v>0</v>
      </c>
      <c r="AG77" s="19"/>
      <c r="AH77" s="15" t="str">
        <f t="shared" si="3"/>
        <v/>
      </c>
      <c r="AI77" s="47">
        <f t="shared" si="23"/>
        <v>0</v>
      </c>
    </row>
    <row r="78" spans="3:35" x14ac:dyDescent="0.2">
      <c r="C78" s="23"/>
      <c r="H78" s="133" t="s">
        <v>322</v>
      </c>
      <c r="I78" s="25" t="e">
        <f ca="1">_xll.EVPRO($B$1,$H78,"STYLE")</f>
        <v>#NAME?</v>
      </c>
      <c r="J78" s="25" t="e">
        <f ca="1">_xll.EVPRO($B$1,$H78,"CALC")</f>
        <v>#NAME?</v>
      </c>
      <c r="K78" s="24"/>
      <c r="L78" s="24" t="e">
        <f ca="1">_xll.EVPRO($B$1,H78,"JDEID")</f>
        <v>#NAME?</v>
      </c>
      <c r="M78" s="24" t="e">
        <f ca="1">IF(AND(I78="N",J78="N"),_xll.EVPRO($B$1,H78,"PSFTID"),"")</f>
        <v>#NAME?</v>
      </c>
      <c r="N78" s="24" t="e">
        <f ca="1">IF(_xll.EVDES(H78,$B$1)="#NODATA","",_xll.EVDES(H78,$B$1))</f>
        <v>#NAME?</v>
      </c>
      <c r="O78" s="28"/>
      <c r="P78" s="28"/>
      <c r="Q78" s="28"/>
      <c r="R78" s="28"/>
      <c r="S78" s="28"/>
      <c r="T78" s="28"/>
      <c r="U78" s="28"/>
      <c r="V78" s="28"/>
      <c r="W78" s="28"/>
      <c r="X78" s="28"/>
      <c r="Y78" s="28"/>
      <c r="Z78" s="28"/>
      <c r="AA78" s="28">
        <f t="shared" si="21"/>
        <v>0</v>
      </c>
      <c r="AB78" s="29" t="str">
        <f>IF(AA78=0,"",IFERROR(AA78/AA$19,""))</f>
        <v/>
      </c>
      <c r="AD78" s="28"/>
      <c r="AE78" s="29" t="str">
        <f>IF(AD78=0,"",IFERROR(AD78/AD$19,""))</f>
        <v/>
      </c>
      <c r="AF78" s="48">
        <f t="shared" si="22"/>
        <v>0</v>
      </c>
      <c r="AG78" s="28"/>
      <c r="AH78" s="29" t="str">
        <f t="shared" si="3"/>
        <v/>
      </c>
      <c r="AI78" s="48">
        <f t="shared" si="23"/>
        <v>0</v>
      </c>
    </row>
    <row r="79" spans="3:35" x14ac:dyDescent="0.2">
      <c r="C79" s="23"/>
      <c r="H79" s="133" t="s">
        <v>329</v>
      </c>
      <c r="I79" s="25" t="e">
        <f ca="1">_xll.EVPRO($B$1,$H79,"STYLE")</f>
        <v>#NAME?</v>
      </c>
      <c r="J79" s="25" t="e">
        <f ca="1">_xll.EVPRO($B$1,$H79,"CALC")</f>
        <v>#NAME?</v>
      </c>
      <c r="K79" s="24"/>
      <c r="L79" s="24" t="e">
        <f ca="1">_xll.EVPRO($B$1,H79,"JDEID")</f>
        <v>#NAME?</v>
      </c>
      <c r="M79" s="24" t="e">
        <f ca="1">IF(AND(I79="N",J79="N"),_xll.EVPRO($B$1,H79,"PSFTID"),"")</f>
        <v>#NAME?</v>
      </c>
      <c r="N79" s="23" t="e">
        <f ca="1">IF(_xll.EVDES(H79,$B$1)="#NODATA","",_xll.EVDES(H79,$B$1))</f>
        <v>#NAME?</v>
      </c>
      <c r="O79" s="145"/>
      <c r="P79" s="145"/>
      <c r="Q79" s="145"/>
      <c r="R79" s="145"/>
      <c r="S79" s="145"/>
      <c r="T79" s="145"/>
      <c r="U79" s="145"/>
      <c r="V79" s="145"/>
      <c r="W79" s="145"/>
      <c r="X79" s="145"/>
      <c r="Y79" s="145"/>
      <c r="Z79" s="145"/>
      <c r="AA79" s="145">
        <f t="shared" si="21"/>
        <v>0</v>
      </c>
      <c r="AB79" s="156" t="str">
        <f>IF(AA79=0,"",IFERROR(AA79/AA$19,""))</f>
        <v/>
      </c>
      <c r="AD79" s="145"/>
      <c r="AE79" s="156" t="str">
        <f>IF(AD79=0,"",IFERROR(AD79/AD$19,""))</f>
        <v/>
      </c>
      <c r="AF79" s="146">
        <f t="shared" si="22"/>
        <v>0</v>
      </c>
      <c r="AG79" s="145"/>
      <c r="AH79" s="156" t="str">
        <f t="shared" si="3"/>
        <v/>
      </c>
      <c r="AI79" s="146">
        <f t="shared" si="23"/>
        <v>0</v>
      </c>
    </row>
    <row r="80" spans="3:35" x14ac:dyDescent="0.2">
      <c r="C80" s="23"/>
      <c r="H80" s="133" t="s">
        <v>300</v>
      </c>
      <c r="I80" s="25" t="e">
        <f ca="1">_xll.EVPRO($B$1,$H80,"STYLE")</f>
        <v>#NAME?</v>
      </c>
      <c r="J80" s="25" t="e">
        <f ca="1">_xll.EVPRO($B$1,$H80,"CALC")</f>
        <v>#NAME?</v>
      </c>
      <c r="K80" s="24"/>
      <c r="L80" s="24" t="e">
        <f ca="1">_xll.EVPRO($B$1,H80,"JDEID")</f>
        <v>#NAME?</v>
      </c>
      <c r="M80" s="24" t="e">
        <f ca="1">IF(AND(I80="N",J80="N"),_xll.EVPRO($B$1,H80,"PSFTID"),"")</f>
        <v>#NAME?</v>
      </c>
      <c r="N80" s="24" t="e">
        <f ca="1">IF(_xll.EVDES(H80,$B$1)="#NODATA","",_xll.EVDES(H80,$B$1))</f>
        <v>#NAME?</v>
      </c>
      <c r="O80" s="35"/>
      <c r="P80" s="35"/>
      <c r="Q80" s="35"/>
      <c r="R80" s="35"/>
      <c r="S80" s="35"/>
      <c r="T80" s="35"/>
      <c r="U80" s="35"/>
      <c r="V80" s="35"/>
      <c r="W80" s="35"/>
      <c r="X80" s="35"/>
      <c r="Y80" s="35"/>
      <c r="Z80" s="35"/>
      <c r="AA80" s="35">
        <f t="shared" si="21"/>
        <v>0</v>
      </c>
      <c r="AB80" s="36" t="str">
        <f>IF(AA80=0,"",IFERROR(AA80/AA$87,""))</f>
        <v/>
      </c>
      <c r="AD80" s="35"/>
      <c r="AE80" s="36" t="str">
        <f>IF(AD80=0,"",IFERROR(AD80/AD$87,""))</f>
        <v/>
      </c>
      <c r="AF80" s="118">
        <f t="shared" si="22"/>
        <v>0</v>
      </c>
      <c r="AG80" s="35"/>
      <c r="AH80" s="36" t="str">
        <f>IF(AG80=0,"",IFERROR(AG80/AG$87,""))</f>
        <v/>
      </c>
      <c r="AI80" s="118">
        <f t="shared" si="23"/>
        <v>0</v>
      </c>
    </row>
    <row r="81" spans="3:35" x14ac:dyDescent="0.2">
      <c r="C81" s="23"/>
      <c r="H81" s="133" t="s">
        <v>325</v>
      </c>
      <c r="I81" s="25" t="e">
        <f ca="1">_xll.EVPRO($B$1,$H81,"STYLE")</f>
        <v>#NAME?</v>
      </c>
      <c r="J81" s="25" t="e">
        <f ca="1">_xll.EVPRO($B$1,$H81,"CALC")</f>
        <v>#NAME?</v>
      </c>
      <c r="K81" s="24"/>
      <c r="L81" s="24" t="e">
        <f ca="1">_xll.EVPRO($B$1,H81,"JDEID")</f>
        <v>#NAME?</v>
      </c>
      <c r="M81" s="24" t="e">
        <f ca="1">IF(AND(I81="N",J81="N"),_xll.EVPRO($B$1,H81,"PSFTID"),"")</f>
        <v>#NAME?</v>
      </c>
      <c r="N81" s="151" t="e">
        <f ca="1">IF(_xll.EVDES(H81,$B$1)="#NODATA","",_xll.EVDES(H81,$B$1))</f>
        <v>#NAME?</v>
      </c>
      <c r="O81" s="157"/>
      <c r="P81" s="157"/>
      <c r="Q81" s="157"/>
      <c r="R81" s="157"/>
      <c r="S81" s="157"/>
      <c r="T81" s="157"/>
      <c r="U81" s="157"/>
      <c r="V81" s="157"/>
      <c r="W81" s="157"/>
      <c r="X81" s="157"/>
      <c r="Y81" s="157"/>
      <c r="Z81" s="157"/>
      <c r="AA81" s="157" t="str">
        <f>IFERROR(AA79/AA80,"")</f>
        <v/>
      </c>
      <c r="AB81" s="157"/>
      <c r="AD81" s="157"/>
      <c r="AE81" s="157"/>
      <c r="AF81" s="158" t="str">
        <f t="shared" si="22"/>
        <v/>
      </c>
      <c r="AG81" s="157"/>
      <c r="AH81" s="157"/>
      <c r="AI81" s="158" t="str">
        <f t="shared" si="23"/>
        <v/>
      </c>
    </row>
    <row r="82" spans="3:35" x14ac:dyDescent="0.2">
      <c r="C82" s="23"/>
      <c r="G82" s="162">
        <f>COUNTIF(O84:AI84,FALSE)</f>
        <v>0</v>
      </c>
      <c r="H82" s="10"/>
      <c r="I82" s="25"/>
      <c r="J82" s="25"/>
      <c r="K82" s="24"/>
      <c r="L82" s="24"/>
      <c r="M82" s="24"/>
      <c r="N82" s="163" t="s">
        <v>345</v>
      </c>
      <c r="O82" s="160">
        <f t="shared" ref="O82:AA82" si="24">ROUND(IFERROR(O79/O80,0),2)</f>
        <v>0</v>
      </c>
      <c r="P82" s="165">
        <f t="shared" si="24"/>
        <v>0</v>
      </c>
      <c r="Q82" s="165">
        <f t="shared" si="24"/>
        <v>0</v>
      </c>
      <c r="R82" s="165">
        <f t="shared" si="24"/>
        <v>0</v>
      </c>
      <c r="S82" s="165">
        <f t="shared" si="24"/>
        <v>0</v>
      </c>
      <c r="T82" s="165">
        <f t="shared" si="24"/>
        <v>0</v>
      </c>
      <c r="U82" s="165">
        <f t="shared" si="24"/>
        <v>0</v>
      </c>
      <c r="V82" s="165">
        <f t="shared" si="24"/>
        <v>0</v>
      </c>
      <c r="W82" s="165">
        <f t="shared" si="24"/>
        <v>0</v>
      </c>
      <c r="X82" s="165">
        <f t="shared" si="24"/>
        <v>0</v>
      </c>
      <c r="Y82" s="165">
        <f t="shared" si="24"/>
        <v>0</v>
      </c>
      <c r="Z82" s="165">
        <f t="shared" si="24"/>
        <v>0</v>
      </c>
      <c r="AA82" s="165">
        <f t="shared" si="24"/>
        <v>0</v>
      </c>
      <c r="AB82" s="164"/>
      <c r="AD82" s="160">
        <f>ROUND(IFERROR(AD79/AD80,0),2)</f>
        <v>0</v>
      </c>
      <c r="AE82" s="165"/>
      <c r="AF82" s="161"/>
      <c r="AG82" s="160">
        <f>ROUND(IFERROR(AG79/AG80,0),2)</f>
        <v>0</v>
      </c>
      <c r="AH82" s="165"/>
      <c r="AI82" s="161"/>
    </row>
    <row r="83" spans="3:35" x14ac:dyDescent="0.2">
      <c r="C83" s="23"/>
      <c r="H83" s="10" t="s">
        <v>486</v>
      </c>
      <c r="I83" s="25" t="e">
        <f ca="1">_xll.EVPRO($B$1,$H83,"STYLE")</f>
        <v>#NAME?</v>
      </c>
      <c r="J83" s="25" t="e">
        <f ca="1">_xll.EVPRO($B$1,$H83,"CALC")</f>
        <v>#NAME?</v>
      </c>
      <c r="K83" s="24"/>
      <c r="L83" s="24" t="e">
        <f ca="1">_xll.EVPRO($B$1,H83,"JDEID")</f>
        <v>#NAME?</v>
      </c>
      <c r="M83" s="24" t="e">
        <f ca="1">IF(AND(I83="N",J83="N"),_xll.EVPRO($B$1,H83,"PSFTID"),"")</f>
        <v>#NAME?</v>
      </c>
      <c r="N83" s="24" t="e">
        <f ca="1">IF(_xll.EVDES(H83,$B$1)="#NODATA","",_xll.EVDES(H83,$B$1))</f>
        <v>#NAME?</v>
      </c>
      <c r="O83" s="19"/>
      <c r="P83" s="19"/>
      <c r="Q83" s="19"/>
      <c r="R83" s="19"/>
      <c r="S83" s="19"/>
      <c r="T83" s="19"/>
      <c r="U83" s="19"/>
      <c r="V83" s="19"/>
      <c r="W83" s="19"/>
      <c r="X83" s="19"/>
      <c r="Y83" s="19"/>
      <c r="Z83" s="19"/>
      <c r="AA83" s="19">
        <f>SUM(O83:Z83)</f>
        <v>0</v>
      </c>
      <c r="AB83" s="15" t="str">
        <f>IF(AA83=0,"",IFERROR(AA83/AA$19,""))</f>
        <v/>
      </c>
      <c r="AD83" s="19"/>
      <c r="AE83" s="15" t="str">
        <f>IF(AD83=0,"",IFERROR(AD83/AD$19,""))</f>
        <v/>
      </c>
      <c r="AF83" s="47">
        <f>IF(AND($AA83="",AD83=""),"",$AA83-AD83)</f>
        <v>0</v>
      </c>
      <c r="AG83" s="19"/>
      <c r="AH83" s="15" t="str">
        <f>IF(AG83=0,"",IFERROR(AG83/AG$19,""))</f>
        <v/>
      </c>
      <c r="AI83" s="47">
        <f>IF(AND($AA83="",AG83=""),"",$AA83-AG83)</f>
        <v>0</v>
      </c>
    </row>
    <row r="84" spans="3:35" x14ac:dyDescent="0.2">
      <c r="C84" s="23"/>
      <c r="H84" s="10"/>
      <c r="I84" s="25"/>
      <c r="J84" s="25"/>
      <c r="K84" s="24"/>
      <c r="L84" s="24"/>
      <c r="M84" s="24"/>
      <c r="N84" s="8" t="s">
        <v>348</v>
      </c>
      <c r="O84" s="292" t="b">
        <f t="shared" ref="O84:AA84" si="25">ROUND(O81,2)=ROUND(O82,2)</f>
        <v>1</v>
      </c>
      <c r="P84" s="293" t="b">
        <f t="shared" si="25"/>
        <v>1</v>
      </c>
      <c r="Q84" s="293" t="b">
        <f t="shared" si="25"/>
        <v>1</v>
      </c>
      <c r="R84" s="293" t="b">
        <f t="shared" si="25"/>
        <v>1</v>
      </c>
      <c r="S84" s="293" t="b">
        <f t="shared" si="25"/>
        <v>1</v>
      </c>
      <c r="T84" s="293" t="b">
        <f t="shared" si="25"/>
        <v>1</v>
      </c>
      <c r="U84" s="293" t="b">
        <f t="shared" si="25"/>
        <v>1</v>
      </c>
      <c r="V84" s="293" t="b">
        <f t="shared" si="25"/>
        <v>1</v>
      </c>
      <c r="W84" s="293" t="b">
        <f t="shared" si="25"/>
        <v>1</v>
      </c>
      <c r="X84" s="293" t="b">
        <f t="shared" si="25"/>
        <v>1</v>
      </c>
      <c r="Y84" s="293" t="b">
        <f t="shared" si="25"/>
        <v>1</v>
      </c>
      <c r="Z84" s="293" t="b">
        <f t="shared" si="25"/>
        <v>1</v>
      </c>
      <c r="AA84" s="293" t="e">
        <f t="shared" si="25"/>
        <v>#VALUE!</v>
      </c>
      <c r="AB84" s="294"/>
      <c r="AC84" s="206"/>
      <c r="AD84" s="292"/>
      <c r="AE84" s="293" t="b">
        <f>ROUND(AD81,2)=ROUND(AD82,2)</f>
        <v>1</v>
      </c>
      <c r="AF84" s="294"/>
      <c r="AG84" s="292"/>
      <c r="AH84" s="293" t="b">
        <f>ROUND(AG81,2)=ROUND(AG82,2)</f>
        <v>1</v>
      </c>
      <c r="AI84" s="294"/>
    </row>
    <row r="85" spans="3:35" x14ac:dyDescent="0.2">
      <c r="C85" s="23"/>
      <c r="H85" s="133" t="s">
        <v>273</v>
      </c>
      <c r="I85" s="25" t="e">
        <f ca="1">_xll.EVPRO($B$1,$H85,"STYLE")</f>
        <v>#NAME?</v>
      </c>
      <c r="J85" s="25" t="e">
        <f ca="1">_xll.EVPRO($B$1,$H85,"CALC")</f>
        <v>#NAME?</v>
      </c>
      <c r="L85" s="24" t="e">
        <f ca="1">_xll.EVPRO($B$1,H85,"JDEID")</f>
        <v>#NAME?</v>
      </c>
      <c r="M85" s="24" t="e">
        <f ca="1">IF(AND(I85="N",J85="N"),_xll.EVPRO($B$1,H85,"PSFTID"),"")</f>
        <v>#NAME?</v>
      </c>
      <c r="N85" s="24" t="e">
        <f ca="1">IF(_xll.EVDES(H85,$B$1)="#NODATA","",_xll.EVDES(H85,$B$1))</f>
        <v>#NAME?</v>
      </c>
      <c r="O85" s="152"/>
      <c r="P85" s="152"/>
      <c r="Q85" s="152"/>
      <c r="R85" s="152"/>
      <c r="S85" s="152"/>
      <c r="T85" s="152"/>
      <c r="U85" s="152"/>
      <c r="V85" s="152"/>
      <c r="W85" s="152"/>
      <c r="X85" s="152"/>
      <c r="Y85" s="152"/>
      <c r="Z85" s="152"/>
      <c r="AA85" s="152">
        <f>SUM(O85:Z85)</f>
        <v>0</v>
      </c>
      <c r="AB85" s="153" t="str">
        <f>IF(AA85=0,"",IFERROR(AA85/AA$19,""))</f>
        <v/>
      </c>
      <c r="AD85" s="152"/>
      <c r="AE85" s="153" t="str">
        <f>IF(AD85=0,"",IFERROR(AD85/AD$19,""))</f>
        <v/>
      </c>
      <c r="AF85" s="154">
        <f>IF(AND($AA85="",AD85=""),"",$AA85-AD85)</f>
        <v>0</v>
      </c>
      <c r="AG85" s="152"/>
      <c r="AH85" s="153" t="str">
        <f>IF(AG85=0,"",IFERROR(AG85/AG$19,""))</f>
        <v/>
      </c>
      <c r="AI85" s="154">
        <f>IF(AND($AA85="",AG85=""),"",$AA85-AG85)</f>
        <v>0</v>
      </c>
    </row>
    <row r="86" spans="3:35" x14ac:dyDescent="0.2">
      <c r="C86" s="23"/>
      <c r="H86" s="133" t="s">
        <v>767</v>
      </c>
      <c r="I86" s="25" t="e">
        <f ca="1">_xll.EVPRO($B$1,$H86,"STYLE")</f>
        <v>#NAME?</v>
      </c>
      <c r="J86" s="25" t="e">
        <f ca="1">_xll.EVPRO($B$1,$H86,"CALC")</f>
        <v>#NAME?</v>
      </c>
      <c r="L86" s="24" t="e">
        <f ca="1">_xll.EVPRO($B$1,H86,"JDEID")</f>
        <v>#NAME?</v>
      </c>
      <c r="M86" s="24" t="e">
        <f ca="1">IF(AND(I86="N",J86="N"),_xll.EVPRO($B$1,H86,"PSFTID"),"")</f>
        <v>#NAME?</v>
      </c>
      <c r="N86" s="24" t="e">
        <f ca="1">IF(_xll.EVDES(H86,$B$1)="#NODATA","",_xll.EVDES(H86,$B$1))</f>
        <v>#NAME?</v>
      </c>
      <c r="O86" s="152"/>
      <c r="P86" s="152"/>
      <c r="Q86" s="152"/>
      <c r="R86" s="152"/>
      <c r="S86" s="152"/>
      <c r="T86" s="152"/>
      <c r="U86" s="152"/>
      <c r="V86" s="152"/>
      <c r="W86" s="152"/>
      <c r="X86" s="152"/>
      <c r="Y86" s="152"/>
      <c r="Z86" s="152"/>
      <c r="AA86" s="152">
        <f>SUM(O86:Z86)</f>
        <v>0</v>
      </c>
      <c r="AB86" s="153"/>
      <c r="AD86" s="152"/>
      <c r="AE86" s="153"/>
      <c r="AF86" s="154">
        <f>IF(AND($AA86="",AD86=""),"",$AA86-AD86)</f>
        <v>0</v>
      </c>
      <c r="AG86" s="152"/>
      <c r="AH86" s="153"/>
      <c r="AI86" s="154">
        <f>IF(AND($AA86="",AG86=""),"",$AA86-AG86)</f>
        <v>0</v>
      </c>
    </row>
    <row r="87" spans="3:35" x14ac:dyDescent="0.2">
      <c r="C87" s="23"/>
      <c r="H87" s="133" t="s">
        <v>331</v>
      </c>
      <c r="I87" s="25" t="e">
        <f ca="1">_xll.EVPRO($B$1,$H87,"STYLE")</f>
        <v>#NAME?</v>
      </c>
      <c r="J87" s="25" t="e">
        <f ca="1">_xll.EVPRO($B$1,$H87,"CALC")</f>
        <v>#NAME?</v>
      </c>
      <c r="L87" s="24" t="e">
        <f ca="1">_xll.EVPRO($B$1,H87,"JDEID")</f>
        <v>#NAME?</v>
      </c>
      <c r="M87" s="24" t="e">
        <f ca="1">IF(AND(I87="N",J87="N"),_xll.EVPRO($B$1,H87,"PSFTID"),"")</f>
        <v>#NAME?</v>
      </c>
      <c r="N87" s="24" t="e">
        <f ca="1">IF(_xll.EVDES(H87,$B$1)="#NODATA","",_xll.EVDES(H87,$B$1))</f>
        <v>#NAME?</v>
      </c>
      <c r="O87" s="152"/>
      <c r="P87" s="152"/>
      <c r="Q87" s="152"/>
      <c r="R87" s="152"/>
      <c r="S87" s="152"/>
      <c r="T87" s="152"/>
      <c r="U87" s="152"/>
      <c r="V87" s="152"/>
      <c r="W87" s="152"/>
      <c r="X87" s="152"/>
      <c r="Y87" s="152"/>
      <c r="Z87" s="152"/>
      <c r="AA87" s="152">
        <f>SUM(O87:Z87)</f>
        <v>0</v>
      </c>
      <c r="AB87" s="153" t="str">
        <f>IF(AA87=0,"",IFERROR(AA87/AA$20,""))</f>
        <v/>
      </c>
      <c r="AD87" s="152"/>
      <c r="AE87" s="153" t="str">
        <f>IF(AD87=0,"",IFERROR(AD87/AD$20,""))</f>
        <v/>
      </c>
      <c r="AF87" s="154">
        <f>IF(AND($AA87="",AD87=""),"",$AA87-AD87)</f>
        <v>0</v>
      </c>
      <c r="AG87" s="152"/>
      <c r="AH87" s="153" t="str">
        <f>IF(AG87=0,"",IFERROR(AG87/AG$20,""))</f>
        <v/>
      </c>
      <c r="AI87" s="154">
        <f>IF(AND($AA87="",AG87=""),"",$AA87-AG87)</f>
        <v>0</v>
      </c>
    </row>
    <row r="88" spans="3:35" x14ac:dyDescent="0.2">
      <c r="C88" s="23"/>
      <c r="H88" s="133" t="s">
        <v>311</v>
      </c>
      <c r="I88" s="25" t="e">
        <f ca="1">_xll.EVPRO($B$1,$H88,"STYLE")</f>
        <v>#NAME?</v>
      </c>
      <c r="J88" s="25" t="e">
        <f ca="1">_xll.EVPRO($B$1,$H88,"CALC")</f>
        <v>#NAME?</v>
      </c>
      <c r="L88" s="24"/>
      <c r="M88" s="24"/>
      <c r="N88" s="24" t="e">
        <f ca="1">IF(_xll.EVDES(H88,$B$1)="#NODATA","",_xll.EVDES(H88,$B$1))</f>
        <v>#NAME?</v>
      </c>
      <c r="O88" s="157"/>
      <c r="P88" s="157"/>
      <c r="Q88" s="157"/>
      <c r="R88" s="157"/>
      <c r="S88" s="157"/>
      <c r="T88" s="157"/>
      <c r="U88" s="157"/>
      <c r="V88" s="157"/>
      <c r="W88" s="157"/>
      <c r="X88" s="157"/>
      <c r="Y88" s="157"/>
      <c r="Z88" s="157"/>
      <c r="AA88" s="157" t="str">
        <f>IFERROR(AA85/AA87,"")</f>
        <v/>
      </c>
      <c r="AB88" s="157"/>
      <c r="AD88" s="157"/>
      <c r="AE88" s="157"/>
      <c r="AF88" s="158" t="str">
        <f>IF(AND($AA88="",AD88=""),"",$AA88-AD88)</f>
        <v/>
      </c>
      <c r="AG88" s="157"/>
      <c r="AH88" s="157"/>
      <c r="AI88" s="158" t="str">
        <f>IF(AND($AA88="",AG88=""),"",$AA88-AG88)</f>
        <v/>
      </c>
    </row>
    <row r="89" spans="3:35" x14ac:dyDescent="0.2">
      <c r="C89" s="23"/>
      <c r="H89" s="133"/>
      <c r="I89" s="25"/>
      <c r="J89" s="25"/>
      <c r="L89" s="24"/>
      <c r="M89" s="24"/>
      <c r="N89" s="24"/>
      <c r="O89" s="38"/>
      <c r="P89" s="42"/>
      <c r="Q89" s="42"/>
      <c r="R89" s="42"/>
      <c r="S89" s="42"/>
      <c r="T89" s="42"/>
      <c r="U89" s="42"/>
      <c r="V89" s="42"/>
      <c r="W89" s="42"/>
      <c r="X89" s="42"/>
      <c r="Y89" s="42"/>
      <c r="Z89" s="42"/>
      <c r="AA89" s="42"/>
      <c r="AB89" s="39"/>
      <c r="AD89" s="38"/>
      <c r="AE89" s="42"/>
      <c r="AF89" s="39"/>
      <c r="AG89" s="38"/>
      <c r="AH89" s="42"/>
      <c r="AI89" s="39"/>
    </row>
    <row r="90" spans="3:35" x14ac:dyDescent="0.2">
      <c r="C90" s="23"/>
      <c r="H90" s="133"/>
      <c r="I90" s="25"/>
      <c r="J90" s="25"/>
      <c r="L90" s="24"/>
      <c r="M90" s="24"/>
      <c r="N90" s="8" t="s">
        <v>334</v>
      </c>
      <c r="O90" s="40"/>
      <c r="P90" s="43"/>
      <c r="Q90" s="43"/>
      <c r="R90" s="43"/>
      <c r="S90" s="43"/>
      <c r="T90" s="43"/>
      <c r="U90" s="43"/>
      <c r="V90" s="43"/>
      <c r="W90" s="43"/>
      <c r="X90" s="43"/>
      <c r="Y90" s="43"/>
      <c r="Z90" s="43"/>
      <c r="AA90" s="43"/>
      <c r="AB90" s="41"/>
      <c r="AD90" s="40"/>
      <c r="AE90" s="43"/>
      <c r="AF90" s="41"/>
      <c r="AG90" s="40"/>
      <c r="AH90" s="43"/>
      <c r="AI90" s="41"/>
    </row>
    <row r="91" spans="3:35" hidden="1" outlineLevel="1" x14ac:dyDescent="0.2">
      <c r="C91" s="23"/>
      <c r="H91" s="133" t="s">
        <v>332</v>
      </c>
      <c r="I91" s="25" t="e">
        <f ca="1">_xll.EVPRO($B$1,$H91,"STYLE")</f>
        <v>#NAME?</v>
      </c>
      <c r="J91" s="25" t="e">
        <f ca="1">_xll.EVPRO($B$1,$H91,"CALC")</f>
        <v>#NAME?</v>
      </c>
      <c r="L91" s="24"/>
      <c r="M91" s="24"/>
      <c r="N91" s="24" t="e">
        <f ca="1">IF(_xll.EVDES(H91,$B$1)="#NODATA","",_xll.EVDES(H91,$B$1))</f>
        <v>#NAME?</v>
      </c>
      <c r="O91" s="19"/>
      <c r="P91" s="19"/>
      <c r="Q91" s="19"/>
      <c r="R91" s="19"/>
      <c r="S91" s="19"/>
      <c r="T91" s="19"/>
      <c r="U91" s="19"/>
      <c r="V91" s="19"/>
      <c r="W91" s="19"/>
      <c r="X91" s="19"/>
      <c r="Y91" s="19"/>
      <c r="Z91" s="19"/>
      <c r="AA91" s="19">
        <f>SUM(O91:Z91)</f>
        <v>0</v>
      </c>
      <c r="AB91" s="15"/>
      <c r="AD91" s="19"/>
      <c r="AE91" s="15"/>
      <c r="AF91" s="47">
        <f>IF(AND($AA91="",AD91=""),"",$AA91-AD91)</f>
        <v>0</v>
      </c>
      <c r="AG91" s="19"/>
      <c r="AH91" s="15"/>
      <c r="AI91" s="47">
        <f>IF(AND($AA91="",AG91=""),"",$AA91-AG91)</f>
        <v>0</v>
      </c>
    </row>
    <row r="92" spans="3:35" hidden="1" outlineLevel="1" x14ac:dyDescent="0.2">
      <c r="C92" s="23"/>
      <c r="H92" s="133" t="s">
        <v>333</v>
      </c>
      <c r="I92" s="25" t="e">
        <f ca="1">_xll.EVPRO($B$1,$H92,"STYLE")</f>
        <v>#NAME?</v>
      </c>
      <c r="J92" s="25" t="e">
        <f ca="1">_xll.EVPRO($B$1,$H92,"CALC")</f>
        <v>#NAME?</v>
      </c>
      <c r="L92" s="24"/>
      <c r="M92" s="24"/>
      <c r="N92" s="24" t="e">
        <f ca="1">IF(_xll.EVDES(H92,$B$1)="#NODATA","",_xll.EVDES(H92,$B$1))</f>
        <v>#NAME?</v>
      </c>
      <c r="O92" s="19"/>
      <c r="P92" s="19"/>
      <c r="Q92" s="19"/>
      <c r="R92" s="19"/>
      <c r="S92" s="19"/>
      <c r="T92" s="19"/>
      <c r="U92" s="19"/>
      <c r="V92" s="19"/>
      <c r="W92" s="19"/>
      <c r="X92" s="19"/>
      <c r="Y92" s="19"/>
      <c r="Z92" s="19"/>
      <c r="AA92" s="19">
        <f>SUM(O92:Z92)</f>
        <v>0</v>
      </c>
      <c r="AB92" s="15"/>
      <c r="AD92" s="19"/>
      <c r="AE92" s="15"/>
      <c r="AF92" s="47">
        <f>IF(AND($AA92="",AD92=""),"",$AA92-AD92)</f>
        <v>0</v>
      </c>
      <c r="AG92" s="19"/>
      <c r="AH92" s="15"/>
      <c r="AI92" s="47">
        <f>IF(AND($AA92="",AG92=""),"",$AA92-AG92)</f>
        <v>0</v>
      </c>
    </row>
    <row r="93" spans="3:35" collapsed="1" x14ac:dyDescent="0.2">
      <c r="C93" s="23"/>
      <c r="H93" s="133"/>
      <c r="I93" s="25"/>
      <c r="J93" s="25"/>
      <c r="L93" s="24"/>
      <c r="M93" s="24"/>
      <c r="N93" s="24" t="s">
        <v>335</v>
      </c>
      <c r="O93" s="159" t="str">
        <f t="shared" ref="O93:AA93" si="26">IFERROR(O$87/O91,"")</f>
        <v/>
      </c>
      <c r="P93" s="159" t="str">
        <f t="shared" si="26"/>
        <v/>
      </c>
      <c r="Q93" s="159" t="str">
        <f t="shared" si="26"/>
        <v/>
      </c>
      <c r="R93" s="159" t="str">
        <f t="shared" si="26"/>
        <v/>
      </c>
      <c r="S93" s="159" t="str">
        <f t="shared" si="26"/>
        <v/>
      </c>
      <c r="T93" s="159" t="str">
        <f t="shared" si="26"/>
        <v/>
      </c>
      <c r="U93" s="159" t="str">
        <f t="shared" si="26"/>
        <v/>
      </c>
      <c r="V93" s="159" t="str">
        <f t="shared" si="26"/>
        <v/>
      </c>
      <c r="W93" s="159" t="str">
        <f t="shared" si="26"/>
        <v/>
      </c>
      <c r="X93" s="159" t="str">
        <f t="shared" si="26"/>
        <v/>
      </c>
      <c r="Y93" s="159" t="str">
        <f t="shared" si="26"/>
        <v/>
      </c>
      <c r="Z93" s="159" t="str">
        <f t="shared" si="26"/>
        <v/>
      </c>
      <c r="AA93" s="159" t="str">
        <f t="shared" si="26"/>
        <v/>
      </c>
      <c r="AB93" s="124"/>
      <c r="AD93" s="159" t="str">
        <f>IFERROR(AD$87/AD91,"")</f>
        <v/>
      </c>
      <c r="AE93" s="124"/>
      <c r="AF93" s="125" t="str">
        <f>IF(AND($AA93="",AD93=""),"",$AA93-AD93)</f>
        <v/>
      </c>
      <c r="AG93" s="159" t="str">
        <f>IFERROR(AG$87/AG91,"")</f>
        <v/>
      </c>
      <c r="AH93" s="124"/>
      <c r="AI93" s="125" t="str">
        <f>IF(AND($AA93="",AG93=""),"",$AA93-AG93)</f>
        <v/>
      </c>
    </row>
    <row r="94" spans="3:35" x14ac:dyDescent="0.2">
      <c r="C94" s="23"/>
      <c r="H94" s="133"/>
      <c r="I94" s="25"/>
      <c r="J94" s="25"/>
      <c r="L94" s="24"/>
      <c r="M94" s="24"/>
      <c r="N94" s="24" t="s">
        <v>336</v>
      </c>
      <c r="O94" s="159" t="str">
        <f t="shared" ref="O94:AA94" si="27">IFERROR(O$87/O92,"")</f>
        <v/>
      </c>
      <c r="P94" s="159" t="str">
        <f t="shared" si="27"/>
        <v/>
      </c>
      <c r="Q94" s="159" t="str">
        <f t="shared" si="27"/>
        <v/>
      </c>
      <c r="R94" s="159" t="str">
        <f t="shared" si="27"/>
        <v/>
      </c>
      <c r="S94" s="159" t="str">
        <f t="shared" si="27"/>
        <v/>
      </c>
      <c r="T94" s="159" t="str">
        <f t="shared" si="27"/>
        <v/>
      </c>
      <c r="U94" s="159" t="str">
        <f t="shared" si="27"/>
        <v/>
      </c>
      <c r="V94" s="159" t="str">
        <f t="shared" si="27"/>
        <v/>
      </c>
      <c r="W94" s="159" t="str">
        <f t="shared" si="27"/>
        <v/>
      </c>
      <c r="X94" s="159" t="str">
        <f t="shared" si="27"/>
        <v/>
      </c>
      <c r="Y94" s="159" t="str">
        <f t="shared" si="27"/>
        <v/>
      </c>
      <c r="Z94" s="159" t="str">
        <f t="shared" si="27"/>
        <v/>
      </c>
      <c r="AA94" s="159" t="str">
        <f t="shared" si="27"/>
        <v/>
      </c>
      <c r="AB94" s="124"/>
      <c r="AD94" s="159" t="str">
        <f>IFERROR(AD$87/AD92,"")</f>
        <v/>
      </c>
      <c r="AE94" s="124"/>
      <c r="AF94" s="125" t="str">
        <f>IF(AND($AA94="",AD94=""),"",$AA94-AD94)</f>
        <v/>
      </c>
      <c r="AG94" s="159" t="str">
        <f>IFERROR(AG$87/AG92,"")</f>
        <v/>
      </c>
      <c r="AH94" s="124"/>
      <c r="AI94" s="125" t="str">
        <f>IF(AND($AA94="",AG94=""),"",$AA94-AG94)</f>
        <v/>
      </c>
    </row>
    <row r="95" spans="3:35" x14ac:dyDescent="0.2">
      <c r="C95" s="23"/>
      <c r="H95" s="133"/>
      <c r="I95" s="25"/>
      <c r="J95" s="25"/>
      <c r="L95" s="24"/>
      <c r="M95" s="24"/>
      <c r="N95" s="24"/>
      <c r="O95" s="144"/>
      <c r="P95" s="147"/>
      <c r="Q95" s="147"/>
      <c r="R95" s="147"/>
      <c r="S95" s="147"/>
      <c r="T95" s="147"/>
      <c r="U95" s="147"/>
      <c r="V95" s="147"/>
      <c r="W95" s="147"/>
      <c r="X95" s="147"/>
      <c r="Y95" s="147"/>
      <c r="Z95" s="147"/>
      <c r="AA95" s="147"/>
      <c r="AB95" s="51"/>
      <c r="AD95" s="50"/>
      <c r="AF95" s="51"/>
      <c r="AI95" s="51"/>
    </row>
    <row r="96" spans="3:35" x14ac:dyDescent="0.2">
      <c r="C96" s="23"/>
      <c r="H96" s="133"/>
      <c r="I96" s="25"/>
      <c r="J96" s="25"/>
      <c r="L96" s="24"/>
      <c r="M96" s="24"/>
      <c r="N96" s="8" t="s">
        <v>343</v>
      </c>
      <c r="O96" s="50"/>
      <c r="AB96" s="149"/>
      <c r="AD96" s="148"/>
      <c r="AE96" s="150"/>
      <c r="AF96" s="51"/>
      <c r="AH96" s="150"/>
      <c r="AI96" s="51"/>
    </row>
    <row r="97" spans="3:35" x14ac:dyDescent="0.2">
      <c r="C97" s="23"/>
      <c r="H97" s="133"/>
      <c r="I97" s="25"/>
      <c r="J97" s="25"/>
      <c r="L97" s="24"/>
      <c r="M97" s="24"/>
      <c r="N97" s="8" t="s">
        <v>337</v>
      </c>
      <c r="O97" s="40"/>
      <c r="P97" s="43"/>
      <c r="Q97" s="43"/>
      <c r="R97" s="43"/>
      <c r="S97" s="43"/>
      <c r="T97" s="43"/>
      <c r="U97" s="43"/>
      <c r="V97" s="43"/>
      <c r="W97" s="43"/>
      <c r="X97" s="43"/>
      <c r="Y97" s="43"/>
      <c r="Z97" s="43"/>
      <c r="AA97" s="43"/>
      <c r="AB97" s="41"/>
      <c r="AD97" s="40"/>
      <c r="AE97" s="43"/>
      <c r="AF97" s="41"/>
      <c r="AG97" s="43"/>
      <c r="AH97" s="43"/>
      <c r="AI97" s="41"/>
    </row>
    <row r="98" spans="3:35" x14ac:dyDescent="0.2">
      <c r="C98" s="23"/>
      <c r="H98" s="133" t="s">
        <v>294</v>
      </c>
      <c r="I98" s="25"/>
      <c r="J98" s="25"/>
      <c r="L98" s="24" t="e">
        <f ca="1">_xll.EVPRO($B$1,H98,"JDEID")</f>
        <v>#NAME?</v>
      </c>
      <c r="M98" s="24" t="str">
        <f>IF(AND(I98="N",J98="N"),_xll.EVPRO($B$1,H98,"PSFTID"),"")</f>
        <v/>
      </c>
      <c r="N98" s="24" t="e">
        <f ca="1">IF(_xll.EVDES(H98,$B$1)="#NODATA","",_xll.EVDES(H98,$B$1))</f>
        <v>#NAME?</v>
      </c>
      <c r="O98" s="19"/>
      <c r="P98" s="19"/>
      <c r="Q98" s="19"/>
      <c r="R98" s="19"/>
      <c r="S98" s="19"/>
      <c r="T98" s="19"/>
      <c r="U98" s="19"/>
      <c r="V98" s="19"/>
      <c r="W98" s="19"/>
      <c r="X98" s="19"/>
      <c r="Y98" s="19"/>
      <c r="Z98" s="19"/>
      <c r="AA98" s="19">
        <f t="shared" ref="AA98:AA103" si="28">SUM(O98:Z98)</f>
        <v>0</v>
      </c>
      <c r="AB98" s="15" t="str">
        <f t="shared" ref="AB98:AB103" si="29">IF(AA98=0,"",IFERROR(AA98/AA$19,""))</f>
        <v/>
      </c>
      <c r="AD98" s="19"/>
      <c r="AE98" s="15" t="str">
        <f t="shared" ref="AE98:AE103" si="30">IF(AD98=0,"",IFERROR(AD98/AD$19,""))</f>
        <v/>
      </c>
      <c r="AF98" s="47">
        <f t="shared" ref="AF98:AF103" si="31">IF(AND($AA98="",AD98=""),"",$AA98-AD98)</f>
        <v>0</v>
      </c>
      <c r="AG98" s="19"/>
      <c r="AH98" s="15" t="str">
        <f t="shared" ref="AH98:AH103" si="32">IF(AG98=0,"",IFERROR(AG98/AG$19,""))</f>
        <v/>
      </c>
      <c r="AI98" s="47">
        <f t="shared" ref="AI98:AI103" si="33">IF(AND($AA98="",AG98=""),"",$AA98-AG98)</f>
        <v>0</v>
      </c>
    </row>
    <row r="99" spans="3:35" x14ac:dyDescent="0.2">
      <c r="C99" s="23"/>
      <c r="H99" s="133" t="s">
        <v>301</v>
      </c>
      <c r="I99" s="25"/>
      <c r="J99" s="25"/>
      <c r="L99" s="24" t="e">
        <f ca="1">_xll.EVPRO($B$1,H99,"JDEID")</f>
        <v>#NAME?</v>
      </c>
      <c r="M99" s="24" t="str">
        <f>IF(AND(I99="N",J99="N"),_xll.EVPRO($B$1,H99,"PSFTID"),"")</f>
        <v/>
      </c>
      <c r="N99" s="24" t="e">
        <f ca="1">IF(_xll.EVDES(H99,$B$1)="#NODATA","",_xll.EVDES(H99,$B$1))</f>
        <v>#NAME?</v>
      </c>
      <c r="O99" s="19"/>
      <c r="P99" s="19"/>
      <c r="Q99" s="19"/>
      <c r="R99" s="19"/>
      <c r="S99" s="19"/>
      <c r="T99" s="19"/>
      <c r="U99" s="19"/>
      <c r="V99" s="19"/>
      <c r="W99" s="19"/>
      <c r="X99" s="19"/>
      <c r="Y99" s="19"/>
      <c r="Z99" s="19"/>
      <c r="AA99" s="19">
        <f t="shared" si="28"/>
        <v>0</v>
      </c>
      <c r="AB99" s="15" t="str">
        <f t="shared" si="29"/>
        <v/>
      </c>
      <c r="AD99" s="19"/>
      <c r="AE99" s="15" t="str">
        <f t="shared" si="30"/>
        <v/>
      </c>
      <c r="AF99" s="47">
        <f t="shared" si="31"/>
        <v>0</v>
      </c>
      <c r="AG99" s="19"/>
      <c r="AH99" s="15" t="str">
        <f t="shared" si="32"/>
        <v/>
      </c>
      <c r="AI99" s="47">
        <f t="shared" si="33"/>
        <v>0</v>
      </c>
    </row>
    <row r="100" spans="3:35" x14ac:dyDescent="0.2">
      <c r="C100" s="23"/>
      <c r="H100" s="133" t="s">
        <v>302</v>
      </c>
      <c r="I100" s="25"/>
      <c r="J100" s="25"/>
      <c r="L100" s="24" t="e">
        <f ca="1">_xll.EVPRO($B$1,H100,"JDEID")</f>
        <v>#NAME?</v>
      </c>
      <c r="M100" s="24" t="str">
        <f>IF(AND(I100="N",J100="N"),_xll.EVPRO($B$1,H100,"PSFTID"),"")</f>
        <v/>
      </c>
      <c r="N100" s="24" t="e">
        <f ca="1">IF(_xll.EVDES(H100,$B$1)="#NODATA","",_xll.EVDES(H100,$B$1))</f>
        <v>#NAME?</v>
      </c>
      <c r="O100" s="19"/>
      <c r="P100" s="19"/>
      <c r="Q100" s="19"/>
      <c r="R100" s="19"/>
      <c r="S100" s="19"/>
      <c r="T100" s="19"/>
      <c r="U100" s="19"/>
      <c r="V100" s="19"/>
      <c r="W100" s="19"/>
      <c r="X100" s="19"/>
      <c r="Y100" s="19"/>
      <c r="Z100" s="19"/>
      <c r="AA100" s="19">
        <f t="shared" si="28"/>
        <v>0</v>
      </c>
      <c r="AB100" s="15" t="str">
        <f t="shared" si="29"/>
        <v/>
      </c>
      <c r="AD100" s="19"/>
      <c r="AE100" s="15" t="str">
        <f t="shared" si="30"/>
        <v/>
      </c>
      <c r="AF100" s="47">
        <f t="shared" si="31"/>
        <v>0</v>
      </c>
      <c r="AG100" s="19"/>
      <c r="AH100" s="15" t="str">
        <f t="shared" si="32"/>
        <v/>
      </c>
      <c r="AI100" s="47">
        <f t="shared" si="33"/>
        <v>0</v>
      </c>
    </row>
    <row r="101" spans="3:35" x14ac:dyDescent="0.2">
      <c r="C101" s="23"/>
      <c r="H101" s="133" t="s">
        <v>308</v>
      </c>
      <c r="I101" s="25"/>
      <c r="J101" s="25"/>
      <c r="L101" s="24" t="e">
        <f ca="1">_xll.EVPRO($B$1,H101,"JDEID")</f>
        <v>#NAME?</v>
      </c>
      <c r="M101" s="24" t="str">
        <f>IF(AND(I101="N",J101="N"),_xll.EVPRO($B$1,H101,"PSFTID"),"")</f>
        <v/>
      </c>
      <c r="N101" s="24" t="e">
        <f ca="1">IF(_xll.EVDES(H101,$B$1)="#NODATA","",_xll.EVDES(H101,$B$1))</f>
        <v>#NAME?</v>
      </c>
      <c r="O101" s="19"/>
      <c r="P101" s="19"/>
      <c r="Q101" s="19"/>
      <c r="R101" s="19"/>
      <c r="S101" s="19"/>
      <c r="T101" s="19"/>
      <c r="U101" s="19"/>
      <c r="V101" s="19"/>
      <c r="W101" s="19"/>
      <c r="X101" s="19"/>
      <c r="Y101" s="19"/>
      <c r="Z101" s="19"/>
      <c r="AA101" s="19">
        <f t="shared" si="28"/>
        <v>0</v>
      </c>
      <c r="AB101" s="15" t="str">
        <f t="shared" si="29"/>
        <v/>
      </c>
      <c r="AD101" s="19"/>
      <c r="AE101" s="15" t="str">
        <f t="shared" si="30"/>
        <v/>
      </c>
      <c r="AF101" s="47">
        <f t="shared" si="31"/>
        <v>0</v>
      </c>
      <c r="AG101" s="19"/>
      <c r="AH101" s="15" t="str">
        <f t="shared" si="32"/>
        <v/>
      </c>
      <c r="AI101" s="47">
        <f t="shared" si="33"/>
        <v>0</v>
      </c>
    </row>
    <row r="102" spans="3:35" x14ac:dyDescent="0.2">
      <c r="C102" s="23"/>
      <c r="H102" s="133" t="s">
        <v>321</v>
      </c>
      <c r="I102" s="25"/>
      <c r="J102" s="25"/>
      <c r="L102" s="24" t="e">
        <f ca="1">_xll.EVPRO($B$1,H102,"JDEID")</f>
        <v>#NAME?</v>
      </c>
      <c r="M102" s="24" t="str">
        <f>IF(AND(I102="N",J102="N"),_xll.EVPRO($B$1,H102,"PSFTID"),"")</f>
        <v/>
      </c>
      <c r="N102" s="24" t="e">
        <f ca="1">IF(_xll.EVDES(H102,$B$1)="#NODATA","",_xll.EVDES(H102,$B$1))</f>
        <v>#NAME?</v>
      </c>
      <c r="O102" s="19"/>
      <c r="P102" s="19"/>
      <c r="Q102" s="19"/>
      <c r="R102" s="19"/>
      <c r="S102" s="19"/>
      <c r="T102" s="19"/>
      <c r="U102" s="19"/>
      <c r="V102" s="19"/>
      <c r="W102" s="19"/>
      <c r="X102" s="19"/>
      <c r="Y102" s="19"/>
      <c r="Z102" s="19"/>
      <c r="AA102" s="19">
        <f t="shared" si="28"/>
        <v>0</v>
      </c>
      <c r="AB102" s="15" t="str">
        <f t="shared" si="29"/>
        <v/>
      </c>
      <c r="AD102" s="19"/>
      <c r="AE102" s="15" t="str">
        <f t="shared" si="30"/>
        <v/>
      </c>
      <c r="AF102" s="47">
        <f t="shared" si="31"/>
        <v>0</v>
      </c>
      <c r="AG102" s="19"/>
      <c r="AH102" s="15" t="str">
        <f t="shared" si="32"/>
        <v/>
      </c>
      <c r="AI102" s="47">
        <f t="shared" si="33"/>
        <v>0</v>
      </c>
    </row>
    <row r="103" spans="3:35" x14ac:dyDescent="0.2">
      <c r="C103" s="23"/>
      <c r="H103" s="133" t="s">
        <v>340</v>
      </c>
      <c r="I103" s="25"/>
      <c r="J103" s="25"/>
      <c r="L103" s="24" t="e">
        <f ca="1">_xll.EVPRO($B$1,H103,"JDEID")</f>
        <v>#NAME?</v>
      </c>
      <c r="M103" s="24" t="str">
        <f>IF(AND(I103="N",J103="N"),_xll.EVPRO($B$1,H103,"PSFTID"),"")</f>
        <v/>
      </c>
      <c r="N103" s="23" t="e">
        <f ca="1">IF(_xll.EVDES(H103,$B$1)="#NODATA","",_xll.EVDES(H103,$B$1))</f>
        <v>#NAME?</v>
      </c>
      <c r="O103" s="145"/>
      <c r="P103" s="145"/>
      <c r="Q103" s="145"/>
      <c r="R103" s="145"/>
      <c r="S103" s="145"/>
      <c r="T103" s="145"/>
      <c r="U103" s="145"/>
      <c r="V103" s="145"/>
      <c r="W103" s="145"/>
      <c r="X103" s="145"/>
      <c r="Y103" s="145"/>
      <c r="Z103" s="145"/>
      <c r="AA103" s="145">
        <f t="shared" si="28"/>
        <v>0</v>
      </c>
      <c r="AB103" s="156" t="str">
        <f t="shared" si="29"/>
        <v/>
      </c>
      <c r="AD103" s="145"/>
      <c r="AE103" s="156" t="str">
        <f t="shared" si="30"/>
        <v/>
      </c>
      <c r="AF103" s="146">
        <f t="shared" si="31"/>
        <v>0</v>
      </c>
      <c r="AG103" s="145"/>
      <c r="AH103" s="156" t="str">
        <f t="shared" si="32"/>
        <v/>
      </c>
      <c r="AI103" s="146">
        <f t="shared" si="33"/>
        <v>0</v>
      </c>
    </row>
    <row r="104" spans="3:35" x14ac:dyDescent="0.2">
      <c r="C104" s="23"/>
      <c r="H104" s="133"/>
      <c r="I104" s="25"/>
      <c r="J104" s="25"/>
      <c r="L104" s="24"/>
      <c r="M104" s="24"/>
      <c r="N104" s="8"/>
      <c r="O104" s="38"/>
      <c r="P104" s="42"/>
      <c r="Q104" s="42"/>
      <c r="R104" s="42"/>
      <c r="S104" s="42"/>
      <c r="T104" s="42"/>
      <c r="U104" s="42"/>
      <c r="V104" s="42"/>
      <c r="W104" s="42"/>
      <c r="X104" s="42"/>
      <c r="Y104" s="42"/>
      <c r="Z104" s="42"/>
      <c r="AA104" s="42"/>
      <c r="AB104" s="39"/>
      <c r="AD104" s="38"/>
      <c r="AE104" s="42"/>
      <c r="AF104" s="39"/>
      <c r="AG104" s="38"/>
      <c r="AH104" s="42"/>
      <c r="AI104" s="39"/>
    </row>
    <row r="105" spans="3:35" x14ac:dyDescent="0.2">
      <c r="C105" s="23"/>
      <c r="H105" s="133"/>
      <c r="I105" s="25"/>
      <c r="J105" s="25"/>
      <c r="L105" s="24"/>
      <c r="M105" s="24"/>
      <c r="N105" s="8" t="s">
        <v>339</v>
      </c>
      <c r="O105" s="40"/>
      <c r="P105" s="43"/>
      <c r="Q105" s="43"/>
      <c r="R105" s="43"/>
      <c r="S105" s="43"/>
      <c r="T105" s="43"/>
      <c r="U105" s="43"/>
      <c r="V105" s="43"/>
      <c r="W105" s="43"/>
      <c r="X105" s="43"/>
      <c r="Y105" s="43"/>
      <c r="Z105" s="43"/>
      <c r="AA105" s="43"/>
      <c r="AB105" s="41"/>
      <c r="AD105" s="40"/>
      <c r="AE105" s="43"/>
      <c r="AF105" s="41"/>
      <c r="AG105" s="40"/>
      <c r="AH105" s="43"/>
      <c r="AI105" s="41"/>
    </row>
    <row r="106" spans="3:35" x14ac:dyDescent="0.2">
      <c r="C106" s="23"/>
      <c r="H106" s="133" t="s">
        <v>295</v>
      </c>
      <c r="I106" s="25"/>
      <c r="J106" s="25"/>
      <c r="L106" s="24" t="e">
        <f ca="1">_xll.EVPRO($B$1,H106,"JDEID")</f>
        <v>#NAME?</v>
      </c>
      <c r="M106" s="24" t="str">
        <f>IF(AND(I106="N",J106="N"),_xll.EVPRO($B$1,H106,"PSFTID"),"")</f>
        <v/>
      </c>
      <c r="N106" s="24" t="e">
        <f ca="1">IF(_xll.EVDES(H106,$B$1)="#NODATA","",_xll.EVDES(H106,$B$1))</f>
        <v>#NAME?</v>
      </c>
      <c r="O106" s="19"/>
      <c r="P106" s="19"/>
      <c r="Q106" s="19"/>
      <c r="R106" s="19"/>
      <c r="S106" s="19"/>
      <c r="T106" s="19"/>
      <c r="U106" s="19"/>
      <c r="V106" s="19"/>
      <c r="W106" s="19"/>
      <c r="X106" s="19"/>
      <c r="Y106" s="19"/>
      <c r="Z106" s="19"/>
      <c r="AA106" s="19">
        <f t="shared" ref="AA106:AA111" si="34">SUM(O106:Z106)</f>
        <v>0</v>
      </c>
      <c r="AB106" s="15" t="str">
        <f t="shared" ref="AB106:AB111" si="35">IF(AA106=0,"",IFERROR(AA106/AA$19,""))</f>
        <v/>
      </c>
      <c r="AD106" s="19"/>
      <c r="AE106" s="15" t="str">
        <f t="shared" ref="AE106:AE111" si="36">IF(AD106=0,"",IFERROR(AD106/AD$19,""))</f>
        <v/>
      </c>
      <c r="AF106" s="47">
        <f t="shared" ref="AF106:AF111" si="37">IF(AND($AA106="",AD106=""),"",$AA106-AD106)</f>
        <v>0</v>
      </c>
      <c r="AG106" s="19"/>
      <c r="AH106" s="15" t="str">
        <f t="shared" ref="AH106:AH111" si="38">IF(AG106=0,"",IFERROR(AG106/AG$19,""))</f>
        <v/>
      </c>
      <c r="AI106" s="47">
        <f t="shared" ref="AI106:AI111" si="39">IF(AND($AA106="",AG106=""),"",$AA106-AG106)</f>
        <v>0</v>
      </c>
    </row>
    <row r="107" spans="3:35" x14ac:dyDescent="0.2">
      <c r="C107" s="23"/>
      <c r="H107" s="133" t="s">
        <v>305</v>
      </c>
      <c r="I107" s="25"/>
      <c r="J107" s="25"/>
      <c r="L107" s="24" t="e">
        <f ca="1">_xll.EVPRO($B$1,H107,"JDEID")</f>
        <v>#NAME?</v>
      </c>
      <c r="M107" s="24" t="str">
        <f>IF(AND(I107="N",J107="N"),_xll.EVPRO($B$1,H107,"PSFTID"),"")</f>
        <v/>
      </c>
      <c r="N107" s="24" t="e">
        <f ca="1">IF(_xll.EVDES(H107,$B$1)="#NODATA","",_xll.EVDES(H107,$B$1))</f>
        <v>#NAME?</v>
      </c>
      <c r="O107" s="19"/>
      <c r="P107" s="19"/>
      <c r="Q107" s="19"/>
      <c r="R107" s="19"/>
      <c r="S107" s="19"/>
      <c r="T107" s="19"/>
      <c r="U107" s="19"/>
      <c r="V107" s="19"/>
      <c r="W107" s="19"/>
      <c r="X107" s="19"/>
      <c r="Y107" s="19"/>
      <c r="Z107" s="19"/>
      <c r="AA107" s="19">
        <f t="shared" si="34"/>
        <v>0</v>
      </c>
      <c r="AB107" s="15" t="str">
        <f t="shared" si="35"/>
        <v/>
      </c>
      <c r="AD107" s="19"/>
      <c r="AE107" s="15" t="str">
        <f t="shared" si="36"/>
        <v/>
      </c>
      <c r="AF107" s="47">
        <f t="shared" si="37"/>
        <v>0</v>
      </c>
      <c r="AG107" s="19"/>
      <c r="AH107" s="15" t="str">
        <f t="shared" si="38"/>
        <v/>
      </c>
      <c r="AI107" s="47">
        <f t="shared" si="39"/>
        <v>0</v>
      </c>
    </row>
    <row r="108" spans="3:35" x14ac:dyDescent="0.2">
      <c r="C108" s="23"/>
      <c r="H108" s="133" t="s">
        <v>306</v>
      </c>
      <c r="I108" s="25"/>
      <c r="J108" s="25"/>
      <c r="L108" s="24" t="e">
        <f ca="1">_xll.EVPRO($B$1,H108,"JDEID")</f>
        <v>#NAME?</v>
      </c>
      <c r="M108" s="24" t="str">
        <f>IF(AND(I108="N",J108="N"),_xll.EVPRO($B$1,H108,"PSFTID"),"")</f>
        <v/>
      </c>
      <c r="N108" s="24" t="e">
        <f ca="1">IF(_xll.EVDES(H108,$B$1)="#NODATA","",_xll.EVDES(H108,$B$1))</f>
        <v>#NAME?</v>
      </c>
      <c r="O108" s="19"/>
      <c r="P108" s="19"/>
      <c r="Q108" s="19"/>
      <c r="R108" s="19"/>
      <c r="S108" s="19"/>
      <c r="T108" s="19"/>
      <c r="U108" s="19"/>
      <c r="V108" s="19"/>
      <c r="W108" s="19"/>
      <c r="X108" s="19"/>
      <c r="Y108" s="19"/>
      <c r="Z108" s="19"/>
      <c r="AA108" s="19">
        <f t="shared" si="34"/>
        <v>0</v>
      </c>
      <c r="AB108" s="15" t="str">
        <f t="shared" si="35"/>
        <v/>
      </c>
      <c r="AD108" s="19"/>
      <c r="AE108" s="15" t="str">
        <f t="shared" si="36"/>
        <v/>
      </c>
      <c r="AF108" s="47">
        <f t="shared" si="37"/>
        <v>0</v>
      </c>
      <c r="AG108" s="19"/>
      <c r="AH108" s="15" t="str">
        <f t="shared" si="38"/>
        <v/>
      </c>
      <c r="AI108" s="47">
        <f t="shared" si="39"/>
        <v>0</v>
      </c>
    </row>
    <row r="109" spans="3:35" x14ac:dyDescent="0.2">
      <c r="C109" s="23"/>
      <c r="H109" s="133" t="s">
        <v>310</v>
      </c>
      <c r="I109" s="25"/>
      <c r="J109" s="25"/>
      <c r="L109" s="24" t="e">
        <f ca="1">_xll.EVPRO($B$1,H109,"JDEID")</f>
        <v>#NAME?</v>
      </c>
      <c r="M109" s="24" t="str">
        <f>IF(AND(I109="N",J109="N"),_xll.EVPRO($B$1,H109,"PSFTID"),"")</f>
        <v/>
      </c>
      <c r="N109" s="24" t="e">
        <f ca="1">IF(_xll.EVDES(H109,$B$1)="#NODATA","",_xll.EVDES(H109,$B$1))</f>
        <v>#NAME?</v>
      </c>
      <c r="O109" s="19"/>
      <c r="P109" s="19"/>
      <c r="Q109" s="19"/>
      <c r="R109" s="19"/>
      <c r="S109" s="19"/>
      <c r="T109" s="19"/>
      <c r="U109" s="19"/>
      <c r="V109" s="19"/>
      <c r="W109" s="19"/>
      <c r="X109" s="19"/>
      <c r="Y109" s="19"/>
      <c r="Z109" s="19"/>
      <c r="AA109" s="19">
        <f t="shared" si="34"/>
        <v>0</v>
      </c>
      <c r="AB109" s="15" t="str">
        <f t="shared" si="35"/>
        <v/>
      </c>
      <c r="AD109" s="19"/>
      <c r="AE109" s="15" t="str">
        <f t="shared" si="36"/>
        <v/>
      </c>
      <c r="AF109" s="47">
        <f t="shared" si="37"/>
        <v>0</v>
      </c>
      <c r="AG109" s="19"/>
      <c r="AH109" s="15" t="str">
        <f t="shared" si="38"/>
        <v/>
      </c>
      <c r="AI109" s="47">
        <f t="shared" si="39"/>
        <v>0</v>
      </c>
    </row>
    <row r="110" spans="3:35" x14ac:dyDescent="0.2">
      <c r="C110" s="23"/>
      <c r="H110" s="133" t="s">
        <v>323</v>
      </c>
      <c r="I110" s="25"/>
      <c r="J110" s="25"/>
      <c r="L110" s="24" t="e">
        <f ca="1">_xll.EVPRO($B$1,H110,"JDEID")</f>
        <v>#NAME?</v>
      </c>
      <c r="M110" s="24" t="str">
        <f>IF(AND(I110="N",J110="N"),_xll.EVPRO($B$1,H110,"PSFTID"),"")</f>
        <v/>
      </c>
      <c r="N110" s="24" t="e">
        <f ca="1">IF(_xll.EVDES(H110,$B$1)="#NODATA","",_xll.EVDES(H110,$B$1))</f>
        <v>#NAME?</v>
      </c>
      <c r="O110" s="19"/>
      <c r="P110" s="19"/>
      <c r="Q110" s="19"/>
      <c r="R110" s="19"/>
      <c r="S110" s="19"/>
      <c r="T110" s="19"/>
      <c r="U110" s="19"/>
      <c r="V110" s="19"/>
      <c r="W110" s="19"/>
      <c r="X110" s="19"/>
      <c r="Y110" s="19"/>
      <c r="Z110" s="19"/>
      <c r="AA110" s="19">
        <f t="shared" si="34"/>
        <v>0</v>
      </c>
      <c r="AB110" s="15" t="str">
        <f t="shared" si="35"/>
        <v/>
      </c>
      <c r="AD110" s="19"/>
      <c r="AE110" s="15" t="str">
        <f t="shared" si="36"/>
        <v/>
      </c>
      <c r="AF110" s="47">
        <f t="shared" si="37"/>
        <v>0</v>
      </c>
      <c r="AG110" s="19"/>
      <c r="AH110" s="15" t="str">
        <f t="shared" si="38"/>
        <v/>
      </c>
      <c r="AI110" s="47">
        <f t="shared" si="39"/>
        <v>0</v>
      </c>
    </row>
    <row r="111" spans="3:35" x14ac:dyDescent="0.2">
      <c r="C111" s="23"/>
      <c r="H111" s="133" t="s">
        <v>342</v>
      </c>
      <c r="I111" s="25"/>
      <c r="J111" s="25"/>
      <c r="L111" s="24" t="e">
        <f ca="1">_xll.EVPRO($B$1,H111,"JDEID")</f>
        <v>#NAME?</v>
      </c>
      <c r="M111" s="24" t="str">
        <f>IF(AND(I111="N",J111="N"),_xll.EVPRO($B$1,H111,"PSFTID"),"")</f>
        <v/>
      </c>
      <c r="N111" s="23" t="e">
        <f ca="1">IF(_xll.EVDES(H111,$B$1)="#NODATA","",_xll.EVDES(H111,$B$1))</f>
        <v>#NAME?</v>
      </c>
      <c r="O111" s="145"/>
      <c r="P111" s="145"/>
      <c r="Q111" s="145"/>
      <c r="R111" s="145"/>
      <c r="S111" s="145"/>
      <c r="T111" s="145"/>
      <c r="U111" s="145"/>
      <c r="V111" s="145"/>
      <c r="W111" s="145"/>
      <c r="X111" s="145"/>
      <c r="Y111" s="145"/>
      <c r="Z111" s="145"/>
      <c r="AA111" s="145">
        <f t="shared" si="34"/>
        <v>0</v>
      </c>
      <c r="AB111" s="156" t="str">
        <f t="shared" si="35"/>
        <v/>
      </c>
      <c r="AD111" s="145"/>
      <c r="AE111" s="156" t="str">
        <f t="shared" si="36"/>
        <v/>
      </c>
      <c r="AF111" s="146">
        <f t="shared" si="37"/>
        <v>0</v>
      </c>
      <c r="AG111" s="145"/>
      <c r="AH111" s="156" t="str">
        <f t="shared" si="38"/>
        <v/>
      </c>
      <c r="AI111" s="146">
        <f t="shared" si="39"/>
        <v>0</v>
      </c>
    </row>
    <row r="112" spans="3:35" x14ac:dyDescent="0.2">
      <c r="C112" s="23"/>
      <c r="H112" s="133"/>
      <c r="I112" s="25"/>
      <c r="J112" s="25"/>
      <c r="L112" s="24"/>
      <c r="M112" s="24"/>
      <c r="N112" s="8"/>
      <c r="O112" s="38"/>
      <c r="P112" s="42"/>
      <c r="Q112" s="42"/>
      <c r="R112" s="42"/>
      <c r="S112" s="42"/>
      <c r="T112" s="42"/>
      <c r="U112" s="42"/>
      <c r="V112" s="42"/>
      <c r="W112" s="42"/>
      <c r="X112" s="42"/>
      <c r="Y112" s="42"/>
      <c r="Z112" s="42"/>
      <c r="AA112" s="42"/>
      <c r="AB112" s="39"/>
      <c r="AD112" s="38"/>
      <c r="AE112" s="42"/>
      <c r="AF112" s="39"/>
      <c r="AG112" s="38"/>
      <c r="AH112" s="42"/>
      <c r="AI112" s="39"/>
    </row>
    <row r="113" spans="3:35" x14ac:dyDescent="0.2">
      <c r="C113" s="23"/>
      <c r="H113" s="133"/>
      <c r="I113" s="25"/>
      <c r="J113" s="25"/>
      <c r="L113" s="24"/>
      <c r="M113" s="24"/>
      <c r="N113" s="8" t="s">
        <v>338</v>
      </c>
      <c r="O113" s="40"/>
      <c r="P113" s="43"/>
      <c r="Q113" s="43"/>
      <c r="R113" s="43"/>
      <c r="S113" s="43"/>
      <c r="T113" s="43"/>
      <c r="U113" s="43"/>
      <c r="V113" s="43"/>
      <c r="W113" s="43"/>
      <c r="X113" s="43"/>
      <c r="Y113" s="43"/>
      <c r="Z113" s="43"/>
      <c r="AA113" s="43"/>
      <c r="AB113" s="41"/>
      <c r="AD113" s="40"/>
      <c r="AE113" s="43"/>
      <c r="AF113" s="41"/>
      <c r="AG113" s="40"/>
      <c r="AH113" s="43"/>
      <c r="AI113" s="41"/>
    </row>
    <row r="114" spans="3:35" x14ac:dyDescent="0.2">
      <c r="C114" s="23"/>
      <c r="H114" s="133" t="s">
        <v>296</v>
      </c>
      <c r="I114" s="25"/>
      <c r="J114" s="25"/>
      <c r="L114" s="24" t="e">
        <f ca="1">_xll.EVPRO($B$1,H114,"JDEID")</f>
        <v>#NAME?</v>
      </c>
      <c r="M114" s="24" t="str">
        <f>IF(AND(I114="N",J114="N"),_xll.EVPRO($B$1,H114,"PSFTID"),"")</f>
        <v/>
      </c>
      <c r="N114" s="24" t="e">
        <f ca="1">IF(_xll.EVDES(H114,$B$1)="#NODATA","",_xll.EVDES(H114,$B$1))</f>
        <v>#NAME?</v>
      </c>
      <c r="O114" s="19"/>
      <c r="P114" s="19"/>
      <c r="Q114" s="19"/>
      <c r="R114" s="19"/>
      <c r="S114" s="19"/>
      <c r="T114" s="19"/>
      <c r="U114" s="19"/>
      <c r="V114" s="19"/>
      <c r="W114" s="19"/>
      <c r="X114" s="19"/>
      <c r="Y114" s="19"/>
      <c r="Z114" s="19"/>
      <c r="AA114" s="19">
        <f t="shared" ref="AA114:AA119" si="40">SUM(O114:Z114)</f>
        <v>0</v>
      </c>
      <c r="AB114" s="15" t="str">
        <f t="shared" ref="AB114:AB119" si="41">IF(AA114=0,"",IFERROR(AA114/AA$19,""))</f>
        <v/>
      </c>
      <c r="AD114" s="19"/>
      <c r="AE114" s="15" t="str">
        <f t="shared" ref="AE114:AE119" si="42">IF(AD114=0,"",IFERROR(AD114/AD$19,""))</f>
        <v/>
      </c>
      <c r="AF114" s="47">
        <f t="shared" ref="AF114:AF119" si="43">IF(AND($AA114="",AD114=""),"",$AA114-AD114)</f>
        <v>0</v>
      </c>
      <c r="AG114" s="19"/>
      <c r="AH114" s="15" t="str">
        <f t="shared" ref="AH114:AH119" si="44">IF(AG114=0,"",IFERROR(AG114/AG$19,""))</f>
        <v/>
      </c>
      <c r="AI114" s="47">
        <f t="shared" ref="AI114:AI119" si="45">IF(AND($AA114="",AG114=""),"",$AA114-AG114)</f>
        <v>0</v>
      </c>
    </row>
    <row r="115" spans="3:35" x14ac:dyDescent="0.2">
      <c r="C115" s="23"/>
      <c r="H115" s="133" t="s">
        <v>303</v>
      </c>
      <c r="I115" s="25"/>
      <c r="J115" s="25"/>
      <c r="L115" s="24" t="e">
        <f ca="1">_xll.EVPRO($B$1,H115,"JDEID")</f>
        <v>#NAME?</v>
      </c>
      <c r="M115" s="24" t="str">
        <f>IF(AND(I115="N",J115="N"),_xll.EVPRO($B$1,H115,"PSFTID"),"")</f>
        <v/>
      </c>
      <c r="N115" s="24" t="e">
        <f ca="1">IF(_xll.EVDES(H115,$B$1)="#NODATA","",_xll.EVDES(H115,$B$1))</f>
        <v>#NAME?</v>
      </c>
      <c r="O115" s="19"/>
      <c r="P115" s="19"/>
      <c r="Q115" s="19"/>
      <c r="R115" s="19"/>
      <c r="S115" s="19"/>
      <c r="T115" s="19"/>
      <c r="U115" s="19"/>
      <c r="V115" s="19"/>
      <c r="W115" s="19"/>
      <c r="X115" s="19"/>
      <c r="Y115" s="19"/>
      <c r="Z115" s="19"/>
      <c r="AA115" s="19">
        <f t="shared" si="40"/>
        <v>0</v>
      </c>
      <c r="AB115" s="15" t="str">
        <f t="shared" si="41"/>
        <v/>
      </c>
      <c r="AD115" s="19"/>
      <c r="AE115" s="15" t="str">
        <f t="shared" si="42"/>
        <v/>
      </c>
      <c r="AF115" s="47">
        <f t="shared" si="43"/>
        <v>0</v>
      </c>
      <c r="AG115" s="19"/>
      <c r="AH115" s="15" t="str">
        <f t="shared" si="44"/>
        <v/>
      </c>
      <c r="AI115" s="47">
        <f t="shared" si="45"/>
        <v>0</v>
      </c>
    </row>
    <row r="116" spans="3:35" x14ac:dyDescent="0.2">
      <c r="C116" s="23"/>
      <c r="H116" s="133" t="s">
        <v>304</v>
      </c>
      <c r="I116" s="25"/>
      <c r="J116" s="25"/>
      <c r="L116" s="24" t="e">
        <f ca="1">_xll.EVPRO($B$1,H116,"JDEID")</f>
        <v>#NAME?</v>
      </c>
      <c r="M116" s="24" t="str">
        <f>IF(AND(I116="N",J116="N"),_xll.EVPRO($B$1,H116,"PSFTID"),"")</f>
        <v/>
      </c>
      <c r="N116" s="24" t="e">
        <f ca="1">IF(_xll.EVDES(H116,$B$1)="#NODATA","",_xll.EVDES(H116,$B$1))</f>
        <v>#NAME?</v>
      </c>
      <c r="O116" s="19"/>
      <c r="P116" s="19"/>
      <c r="Q116" s="19"/>
      <c r="R116" s="19"/>
      <c r="S116" s="19"/>
      <c r="T116" s="19"/>
      <c r="U116" s="19"/>
      <c r="V116" s="19"/>
      <c r="W116" s="19"/>
      <c r="X116" s="19"/>
      <c r="Y116" s="19"/>
      <c r="Z116" s="19"/>
      <c r="AA116" s="19">
        <f t="shared" si="40"/>
        <v>0</v>
      </c>
      <c r="AB116" s="15" t="str">
        <f t="shared" si="41"/>
        <v/>
      </c>
      <c r="AD116" s="19"/>
      <c r="AE116" s="15" t="str">
        <f t="shared" si="42"/>
        <v/>
      </c>
      <c r="AF116" s="47">
        <f t="shared" si="43"/>
        <v>0</v>
      </c>
      <c r="AG116" s="19"/>
      <c r="AH116" s="15" t="str">
        <f t="shared" si="44"/>
        <v/>
      </c>
      <c r="AI116" s="47">
        <f t="shared" si="45"/>
        <v>0</v>
      </c>
    </row>
    <row r="117" spans="3:35" x14ac:dyDescent="0.2">
      <c r="C117" s="23"/>
      <c r="H117" s="133" t="s">
        <v>309</v>
      </c>
      <c r="I117" s="25"/>
      <c r="J117" s="25"/>
      <c r="L117" s="24" t="e">
        <f ca="1">_xll.EVPRO($B$1,H117,"JDEID")</f>
        <v>#NAME?</v>
      </c>
      <c r="M117" s="24" t="str">
        <f>IF(AND(I117="N",J117="N"),_xll.EVPRO($B$1,H117,"PSFTID"),"")</f>
        <v/>
      </c>
      <c r="N117" s="24" t="e">
        <f ca="1">IF(_xll.EVDES(H117,$B$1)="#NODATA","",_xll.EVDES(H117,$B$1))</f>
        <v>#NAME?</v>
      </c>
      <c r="O117" s="19"/>
      <c r="P117" s="19"/>
      <c r="Q117" s="19"/>
      <c r="R117" s="19"/>
      <c r="S117" s="19"/>
      <c r="T117" s="19"/>
      <c r="U117" s="19"/>
      <c r="V117" s="19"/>
      <c r="W117" s="19"/>
      <c r="X117" s="19"/>
      <c r="Y117" s="19"/>
      <c r="Z117" s="19"/>
      <c r="AA117" s="19">
        <f t="shared" si="40"/>
        <v>0</v>
      </c>
      <c r="AB117" s="15" t="str">
        <f t="shared" si="41"/>
        <v/>
      </c>
      <c r="AD117" s="19"/>
      <c r="AE117" s="15" t="str">
        <f t="shared" si="42"/>
        <v/>
      </c>
      <c r="AF117" s="47">
        <f t="shared" si="43"/>
        <v>0</v>
      </c>
      <c r="AG117" s="19"/>
      <c r="AH117" s="15" t="str">
        <f t="shared" si="44"/>
        <v/>
      </c>
      <c r="AI117" s="47">
        <f t="shared" si="45"/>
        <v>0</v>
      </c>
    </row>
    <row r="118" spans="3:35" x14ac:dyDescent="0.2">
      <c r="C118" s="23"/>
      <c r="H118" s="133" t="s">
        <v>322</v>
      </c>
      <c r="I118" s="25"/>
      <c r="J118" s="25"/>
      <c r="L118" s="24" t="e">
        <f ca="1">_xll.EVPRO($B$1,H118,"JDEID")</f>
        <v>#NAME?</v>
      </c>
      <c r="M118" s="24" t="str">
        <f>IF(AND(I118="N",J118="N"),_xll.EVPRO($B$1,H118,"PSFTID"),"")</f>
        <v/>
      </c>
      <c r="N118" s="24" t="e">
        <f ca="1">IF(_xll.EVDES(H118,$B$1)="#NODATA","",_xll.EVDES(H118,$B$1))</f>
        <v>#NAME?</v>
      </c>
      <c r="O118" s="19"/>
      <c r="P118" s="19"/>
      <c r="Q118" s="19"/>
      <c r="R118" s="19"/>
      <c r="S118" s="19"/>
      <c r="T118" s="19"/>
      <c r="U118" s="19"/>
      <c r="V118" s="19"/>
      <c r="W118" s="19"/>
      <c r="X118" s="19"/>
      <c r="Y118" s="19"/>
      <c r="Z118" s="19"/>
      <c r="AA118" s="19">
        <f t="shared" si="40"/>
        <v>0</v>
      </c>
      <c r="AB118" s="15" t="str">
        <f t="shared" si="41"/>
        <v/>
      </c>
      <c r="AD118" s="19"/>
      <c r="AE118" s="15" t="str">
        <f t="shared" si="42"/>
        <v/>
      </c>
      <c r="AF118" s="47">
        <f t="shared" si="43"/>
        <v>0</v>
      </c>
      <c r="AG118" s="19"/>
      <c r="AH118" s="15" t="str">
        <f t="shared" si="44"/>
        <v/>
      </c>
      <c r="AI118" s="47">
        <f t="shared" si="45"/>
        <v>0</v>
      </c>
    </row>
    <row r="119" spans="3:35" x14ac:dyDescent="0.2">
      <c r="C119" s="23"/>
      <c r="H119" s="133" t="s">
        <v>341</v>
      </c>
      <c r="I119" s="25"/>
      <c r="J119" s="25"/>
      <c r="L119" s="24" t="e">
        <f ca="1">_xll.EVPRO($B$1,H119,"JDEID")</f>
        <v>#NAME?</v>
      </c>
      <c r="M119" s="24" t="str">
        <f>IF(AND(I119="N",J119="N"),_xll.EVPRO($B$1,H119,"PSFTID"),"")</f>
        <v/>
      </c>
      <c r="N119" s="23" t="e">
        <f ca="1">IF(_xll.EVDES(H119,$B$1)="#NODATA","",_xll.EVDES(H119,$B$1))</f>
        <v>#NAME?</v>
      </c>
      <c r="O119" s="145"/>
      <c r="P119" s="145"/>
      <c r="Q119" s="145"/>
      <c r="R119" s="145"/>
      <c r="S119" s="145"/>
      <c r="T119" s="145"/>
      <c r="U119" s="145"/>
      <c r="V119" s="145"/>
      <c r="W119" s="145"/>
      <c r="X119" s="145"/>
      <c r="Y119" s="145"/>
      <c r="Z119" s="145"/>
      <c r="AA119" s="145">
        <f t="shared" si="40"/>
        <v>0</v>
      </c>
      <c r="AB119" s="156" t="str">
        <f t="shared" si="41"/>
        <v/>
      </c>
      <c r="AD119" s="145"/>
      <c r="AE119" s="156" t="str">
        <f t="shared" si="42"/>
        <v/>
      </c>
      <c r="AF119" s="146">
        <f t="shared" si="43"/>
        <v>0</v>
      </c>
      <c r="AG119" s="145"/>
      <c r="AH119" s="156" t="str">
        <f t="shared" si="44"/>
        <v/>
      </c>
      <c r="AI119" s="146">
        <f t="shared" si="45"/>
        <v>0</v>
      </c>
    </row>
    <row r="120" spans="3:35" x14ac:dyDescent="0.2">
      <c r="C120" s="23"/>
      <c r="H120" s="133"/>
      <c r="I120" s="25"/>
      <c r="J120" s="25"/>
      <c r="L120" s="24"/>
      <c r="M120" s="24"/>
      <c r="O120" s="38"/>
      <c r="P120" s="42"/>
      <c r="Q120" s="42"/>
      <c r="R120" s="42"/>
      <c r="S120" s="42"/>
      <c r="T120" s="42"/>
      <c r="U120" s="42"/>
      <c r="V120" s="42"/>
      <c r="W120" s="42"/>
      <c r="X120" s="42"/>
      <c r="Y120" s="42"/>
      <c r="Z120" s="42"/>
      <c r="AA120" s="42"/>
      <c r="AB120" s="39"/>
      <c r="AD120" s="38"/>
      <c r="AE120" s="42"/>
      <c r="AF120" s="39"/>
      <c r="AG120" s="38"/>
      <c r="AH120" s="42"/>
      <c r="AI120" s="39"/>
    </row>
    <row r="121" spans="3:35" x14ac:dyDescent="0.2">
      <c r="C121" s="23"/>
      <c r="H121" s="10" t="s">
        <v>267</v>
      </c>
      <c r="I121" s="25"/>
      <c r="J121" s="25"/>
      <c r="L121" s="24" t="e">
        <f ca="1">_xll.EVPRO($B$1,H121,"JDEID")</f>
        <v>#NAME?</v>
      </c>
      <c r="M121" s="24" t="str">
        <f>IF(AND(I121="N",J121="N"),_xll.EVPRO($B$1,H121,"PSFTID"),"")</f>
        <v/>
      </c>
      <c r="N121" s="24" t="e">
        <f ca="1">IF(_xll.EVDES(H121,$B$1)="#NODATA","",_xll.EVDES(H121,$B$1))</f>
        <v>#NAME?</v>
      </c>
      <c r="O121" s="19">
        <f t="shared" ref="O121:Z121" si="46">O98+O106+O114</f>
        <v>0</v>
      </c>
      <c r="P121" s="19">
        <f t="shared" si="46"/>
        <v>0</v>
      </c>
      <c r="Q121" s="19">
        <f t="shared" si="46"/>
        <v>0</v>
      </c>
      <c r="R121" s="19">
        <f t="shared" si="46"/>
        <v>0</v>
      </c>
      <c r="S121" s="19">
        <f t="shared" si="46"/>
        <v>0</v>
      </c>
      <c r="T121" s="19">
        <f t="shared" si="46"/>
        <v>0</v>
      </c>
      <c r="U121" s="19">
        <f t="shared" si="46"/>
        <v>0</v>
      </c>
      <c r="V121" s="19">
        <f t="shared" si="46"/>
        <v>0</v>
      </c>
      <c r="W121" s="19">
        <f t="shared" si="46"/>
        <v>0</v>
      </c>
      <c r="X121" s="19">
        <f t="shared" si="46"/>
        <v>0</v>
      </c>
      <c r="Y121" s="19">
        <f t="shared" si="46"/>
        <v>0</v>
      </c>
      <c r="Z121" s="19">
        <f t="shared" si="46"/>
        <v>0</v>
      </c>
      <c r="AA121" s="19">
        <f t="shared" ref="AA121:AA126" si="47">SUM(O121:Z121)</f>
        <v>0</v>
      </c>
      <c r="AB121" s="15" t="str">
        <f t="shared" ref="AB121:AB126" si="48">IF(AA121=0,"",IFERROR(AA121/AA$19,""))</f>
        <v/>
      </c>
      <c r="AD121" s="19">
        <f>AD98+AD106+AD114</f>
        <v>0</v>
      </c>
      <c r="AE121" s="15" t="str">
        <f t="shared" ref="AE121:AE126" si="49">IF(AD121=0,"",IFERROR(AD121/AD$19,""))</f>
        <v/>
      </c>
      <c r="AF121" s="47">
        <f t="shared" ref="AF121:AF126" si="50">IF(AND($AA121="",AD121=""),"",$AA121-AD121)</f>
        <v>0</v>
      </c>
      <c r="AG121" s="19">
        <f>AG98+AG106+AG114</f>
        <v>0</v>
      </c>
      <c r="AH121" s="15" t="str">
        <f t="shared" ref="AH121:AH126" si="51">IF(AG121=0,"",IFERROR(AG121/AG$19,""))</f>
        <v/>
      </c>
      <c r="AI121" s="47">
        <f t="shared" ref="AI121:AI126" si="52">IF(AND($AA121="",AG121=""),"",$AA121-AG121)</f>
        <v>0</v>
      </c>
    </row>
    <row r="122" spans="3:35" x14ac:dyDescent="0.2">
      <c r="C122" s="23"/>
      <c r="H122" s="10" t="s">
        <v>268</v>
      </c>
      <c r="I122" s="25"/>
      <c r="J122" s="25"/>
      <c r="L122" s="24" t="e">
        <f ca="1">_xll.EVPRO($B$1,H122,"JDEID")</f>
        <v>#NAME?</v>
      </c>
      <c r="M122" s="24" t="str">
        <f>IF(AND(I122="N",J122="N"),_xll.EVPRO($B$1,H122,"PSFTID"),"")</f>
        <v/>
      </c>
      <c r="N122" s="24" t="e">
        <f ca="1">IF(_xll.EVDES(H122,$B$1)="#NODATA","",_xll.EVDES(H122,$B$1))</f>
        <v>#NAME?</v>
      </c>
      <c r="O122" s="19">
        <f t="shared" ref="O122:Z122" si="53">O99+O107+O115</f>
        <v>0</v>
      </c>
      <c r="P122" s="19">
        <f t="shared" si="53"/>
        <v>0</v>
      </c>
      <c r="Q122" s="19">
        <f t="shared" si="53"/>
        <v>0</v>
      </c>
      <c r="R122" s="19">
        <f t="shared" si="53"/>
        <v>0</v>
      </c>
      <c r="S122" s="19">
        <f t="shared" si="53"/>
        <v>0</v>
      </c>
      <c r="T122" s="19">
        <f t="shared" si="53"/>
        <v>0</v>
      </c>
      <c r="U122" s="19">
        <f t="shared" si="53"/>
        <v>0</v>
      </c>
      <c r="V122" s="19">
        <f t="shared" si="53"/>
        <v>0</v>
      </c>
      <c r="W122" s="19">
        <f t="shared" si="53"/>
        <v>0</v>
      </c>
      <c r="X122" s="19">
        <f t="shared" si="53"/>
        <v>0</v>
      </c>
      <c r="Y122" s="19">
        <f t="shared" si="53"/>
        <v>0</v>
      </c>
      <c r="Z122" s="19">
        <f t="shared" si="53"/>
        <v>0</v>
      </c>
      <c r="AA122" s="19">
        <f t="shared" si="47"/>
        <v>0</v>
      </c>
      <c r="AB122" s="15" t="str">
        <f t="shared" si="48"/>
        <v/>
      </c>
      <c r="AD122" s="19">
        <f>AD99+AD107+AD115</f>
        <v>0</v>
      </c>
      <c r="AE122" s="15" t="str">
        <f t="shared" si="49"/>
        <v/>
      </c>
      <c r="AF122" s="47">
        <f t="shared" si="50"/>
        <v>0</v>
      </c>
      <c r="AG122" s="19">
        <f>AG99+AG107+AG115</f>
        <v>0</v>
      </c>
      <c r="AH122" s="15" t="str">
        <f t="shared" si="51"/>
        <v/>
      </c>
      <c r="AI122" s="47">
        <f t="shared" si="52"/>
        <v>0</v>
      </c>
    </row>
    <row r="123" spans="3:35" x14ac:dyDescent="0.2">
      <c r="C123" s="23"/>
      <c r="H123" s="133" t="s">
        <v>269</v>
      </c>
      <c r="I123" s="25"/>
      <c r="J123" s="25"/>
      <c r="L123" s="24" t="e">
        <f ca="1">_xll.EVPRO($B$1,H123,"JDEID")</f>
        <v>#NAME?</v>
      </c>
      <c r="M123" s="24" t="str">
        <f>IF(AND(I123="N",J123="N"),_xll.EVPRO($B$1,H123,"PSFTID"),"")</f>
        <v/>
      </c>
      <c r="N123" s="24" t="e">
        <f ca="1">IF(_xll.EVDES(H123,$B$1)="#NODATA","",_xll.EVDES(H123,$B$1))</f>
        <v>#NAME?</v>
      </c>
      <c r="O123" s="19">
        <f t="shared" ref="O123:Z123" si="54">O100+O108+O116</f>
        <v>0</v>
      </c>
      <c r="P123" s="19">
        <f t="shared" si="54"/>
        <v>0</v>
      </c>
      <c r="Q123" s="19">
        <f t="shared" si="54"/>
        <v>0</v>
      </c>
      <c r="R123" s="19">
        <f t="shared" si="54"/>
        <v>0</v>
      </c>
      <c r="S123" s="19">
        <f t="shared" si="54"/>
        <v>0</v>
      </c>
      <c r="T123" s="19">
        <f t="shared" si="54"/>
        <v>0</v>
      </c>
      <c r="U123" s="19">
        <f t="shared" si="54"/>
        <v>0</v>
      </c>
      <c r="V123" s="19">
        <f t="shared" si="54"/>
        <v>0</v>
      </c>
      <c r="W123" s="19">
        <f t="shared" si="54"/>
        <v>0</v>
      </c>
      <c r="X123" s="19">
        <f t="shared" si="54"/>
        <v>0</v>
      </c>
      <c r="Y123" s="19">
        <f t="shared" si="54"/>
        <v>0</v>
      </c>
      <c r="Z123" s="19">
        <f t="shared" si="54"/>
        <v>0</v>
      </c>
      <c r="AA123" s="19">
        <f t="shared" si="47"/>
        <v>0</v>
      </c>
      <c r="AB123" s="15" t="str">
        <f t="shared" si="48"/>
        <v/>
      </c>
      <c r="AD123" s="19">
        <f>AD100+AD108+AD116</f>
        <v>0</v>
      </c>
      <c r="AE123" s="15" t="str">
        <f t="shared" si="49"/>
        <v/>
      </c>
      <c r="AF123" s="47">
        <f t="shared" si="50"/>
        <v>0</v>
      </c>
      <c r="AG123" s="19">
        <f>AG100+AG108+AG116</f>
        <v>0</v>
      </c>
      <c r="AH123" s="15" t="str">
        <f t="shared" si="51"/>
        <v/>
      </c>
      <c r="AI123" s="47">
        <f t="shared" si="52"/>
        <v>0</v>
      </c>
    </row>
    <row r="124" spans="3:35" x14ac:dyDescent="0.2">
      <c r="C124" s="23"/>
      <c r="H124" s="133" t="s">
        <v>270</v>
      </c>
      <c r="I124" s="25"/>
      <c r="J124" s="25"/>
      <c r="L124" s="24" t="e">
        <f ca="1">_xll.EVPRO($B$1,H124,"JDEID")</f>
        <v>#NAME?</v>
      </c>
      <c r="M124" s="24" t="str">
        <f>IF(AND(I124="N",J124="N"),_xll.EVPRO($B$1,H124,"PSFTID"),"")</f>
        <v/>
      </c>
      <c r="N124" s="24" t="e">
        <f ca="1">IF(_xll.EVDES(H124,$B$1)="#NODATA","",_xll.EVDES(H124,$B$1))</f>
        <v>#NAME?</v>
      </c>
      <c r="O124" s="19">
        <f t="shared" ref="O124:Z124" si="55">O101+O109+O117</f>
        <v>0</v>
      </c>
      <c r="P124" s="19">
        <f t="shared" si="55"/>
        <v>0</v>
      </c>
      <c r="Q124" s="19">
        <f t="shared" si="55"/>
        <v>0</v>
      </c>
      <c r="R124" s="19">
        <f t="shared" si="55"/>
        <v>0</v>
      </c>
      <c r="S124" s="19">
        <f t="shared" si="55"/>
        <v>0</v>
      </c>
      <c r="T124" s="19">
        <f t="shared" si="55"/>
        <v>0</v>
      </c>
      <c r="U124" s="19">
        <f t="shared" si="55"/>
        <v>0</v>
      </c>
      <c r="V124" s="19">
        <f t="shared" si="55"/>
        <v>0</v>
      </c>
      <c r="W124" s="19">
        <f t="shared" si="55"/>
        <v>0</v>
      </c>
      <c r="X124" s="19">
        <f t="shared" si="55"/>
        <v>0</v>
      </c>
      <c r="Y124" s="19">
        <f t="shared" si="55"/>
        <v>0</v>
      </c>
      <c r="Z124" s="19">
        <f t="shared" si="55"/>
        <v>0</v>
      </c>
      <c r="AA124" s="19">
        <f t="shared" si="47"/>
        <v>0</v>
      </c>
      <c r="AB124" s="15" t="str">
        <f t="shared" si="48"/>
        <v/>
      </c>
      <c r="AD124" s="19">
        <f>AD101+AD109+AD117</f>
        <v>0</v>
      </c>
      <c r="AE124" s="15" t="str">
        <f t="shared" si="49"/>
        <v/>
      </c>
      <c r="AF124" s="47">
        <f t="shared" si="50"/>
        <v>0</v>
      </c>
      <c r="AG124" s="19">
        <f>AG101+AG109+AG117</f>
        <v>0</v>
      </c>
      <c r="AH124" s="15" t="str">
        <f t="shared" si="51"/>
        <v/>
      </c>
      <c r="AI124" s="47">
        <f t="shared" si="52"/>
        <v>0</v>
      </c>
    </row>
    <row r="125" spans="3:35" x14ac:dyDescent="0.2">
      <c r="C125" s="23"/>
      <c r="H125" s="133" t="s">
        <v>271</v>
      </c>
      <c r="I125" s="25"/>
      <c r="J125" s="25"/>
      <c r="L125" s="24" t="e">
        <f ca="1">_xll.EVPRO($B$1,H125,"JDEID")</f>
        <v>#NAME?</v>
      </c>
      <c r="M125" s="24" t="str">
        <f>IF(AND(I125="N",J125="N"),_xll.EVPRO($B$1,H125,"PSFTID"),"")</f>
        <v/>
      </c>
      <c r="N125" s="24" t="e">
        <f ca="1">IF(_xll.EVDES(H125,$B$1)="#NODATA","",_xll.EVDES(H125,$B$1))</f>
        <v>#NAME?</v>
      </c>
      <c r="O125" s="19">
        <f t="shared" ref="O125:Z125" si="56">O102+O110+O118</f>
        <v>0</v>
      </c>
      <c r="P125" s="19">
        <f t="shared" si="56"/>
        <v>0</v>
      </c>
      <c r="Q125" s="19">
        <f t="shared" si="56"/>
        <v>0</v>
      </c>
      <c r="R125" s="19">
        <f t="shared" si="56"/>
        <v>0</v>
      </c>
      <c r="S125" s="19">
        <f t="shared" si="56"/>
        <v>0</v>
      </c>
      <c r="T125" s="19">
        <f t="shared" si="56"/>
        <v>0</v>
      </c>
      <c r="U125" s="19">
        <f t="shared" si="56"/>
        <v>0</v>
      </c>
      <c r="V125" s="19">
        <f t="shared" si="56"/>
        <v>0</v>
      </c>
      <c r="W125" s="19">
        <f t="shared" si="56"/>
        <v>0</v>
      </c>
      <c r="X125" s="19">
        <f t="shared" si="56"/>
        <v>0</v>
      </c>
      <c r="Y125" s="19">
        <f t="shared" si="56"/>
        <v>0</v>
      </c>
      <c r="Z125" s="19">
        <f t="shared" si="56"/>
        <v>0</v>
      </c>
      <c r="AA125" s="19">
        <f t="shared" si="47"/>
        <v>0</v>
      </c>
      <c r="AB125" s="15" t="str">
        <f t="shared" si="48"/>
        <v/>
      </c>
      <c r="AD125" s="19">
        <f>AD102+AD110+AD118</f>
        <v>0</v>
      </c>
      <c r="AE125" s="15" t="str">
        <f t="shared" si="49"/>
        <v/>
      </c>
      <c r="AF125" s="47">
        <f t="shared" si="50"/>
        <v>0</v>
      </c>
      <c r="AG125" s="19">
        <f>AG102+AG110+AG118</f>
        <v>0</v>
      </c>
      <c r="AH125" s="15" t="str">
        <f t="shared" si="51"/>
        <v/>
      </c>
      <c r="AI125" s="47">
        <f t="shared" si="52"/>
        <v>0</v>
      </c>
    </row>
    <row r="126" spans="3:35" x14ac:dyDescent="0.2">
      <c r="C126" s="23"/>
      <c r="H126" s="10" t="s">
        <v>272</v>
      </c>
      <c r="I126" s="25"/>
      <c r="J126" s="25"/>
      <c r="L126" s="24" t="e">
        <f ca="1">_xll.EVPRO($B$1,H126,"JDEID")</f>
        <v>#NAME?</v>
      </c>
      <c r="M126" s="24" t="str">
        <f>IF(AND(I126="N",J126="N"),_xll.EVPRO($B$1,H126,"PSFTID"),"")</f>
        <v/>
      </c>
      <c r="N126" s="23" t="e">
        <f ca="1">IF(_xll.EVDES(H126,$B$1)="#NODATA","",_xll.EVDES(H126,$B$1))</f>
        <v>#NAME?</v>
      </c>
      <c r="O126" s="145">
        <f t="shared" ref="O126:Z126" si="57">SUM(O121:O125)</f>
        <v>0</v>
      </c>
      <c r="P126" s="145">
        <f t="shared" si="57"/>
        <v>0</v>
      </c>
      <c r="Q126" s="145">
        <f t="shared" si="57"/>
        <v>0</v>
      </c>
      <c r="R126" s="145">
        <f t="shared" si="57"/>
        <v>0</v>
      </c>
      <c r="S126" s="145">
        <f t="shared" si="57"/>
        <v>0</v>
      </c>
      <c r="T126" s="145">
        <f t="shared" si="57"/>
        <v>0</v>
      </c>
      <c r="U126" s="145">
        <f t="shared" si="57"/>
        <v>0</v>
      </c>
      <c r="V126" s="145">
        <f t="shared" si="57"/>
        <v>0</v>
      </c>
      <c r="W126" s="145">
        <f t="shared" si="57"/>
        <v>0</v>
      </c>
      <c r="X126" s="145">
        <f t="shared" si="57"/>
        <v>0</v>
      </c>
      <c r="Y126" s="145">
        <f t="shared" si="57"/>
        <v>0</v>
      </c>
      <c r="Z126" s="145">
        <f t="shared" si="57"/>
        <v>0</v>
      </c>
      <c r="AA126" s="145">
        <f t="shared" si="47"/>
        <v>0</v>
      </c>
      <c r="AB126" s="156" t="str">
        <f t="shared" si="48"/>
        <v/>
      </c>
      <c r="AD126" s="145">
        <f>SUM(AD121:AD125)</f>
        <v>0</v>
      </c>
      <c r="AE126" s="156" t="str">
        <f t="shared" si="49"/>
        <v/>
      </c>
      <c r="AF126" s="146">
        <f t="shared" si="50"/>
        <v>0</v>
      </c>
      <c r="AG126" s="145">
        <f>SUM(AG121:AG125)</f>
        <v>0</v>
      </c>
      <c r="AH126" s="156" t="str">
        <f t="shared" si="51"/>
        <v/>
      </c>
      <c r="AI126" s="146">
        <f t="shared" si="52"/>
        <v>0</v>
      </c>
    </row>
    <row r="127" spans="3:35" x14ac:dyDescent="0.2">
      <c r="C127" s="23"/>
      <c r="H127" s="133"/>
      <c r="I127" s="25"/>
      <c r="J127" s="25"/>
      <c r="O127" s="124">
        <f t="shared" ref="O127:AA127" si="58">O103+O111+O119-O126</f>
        <v>0</v>
      </c>
      <c r="P127" s="124">
        <f t="shared" si="58"/>
        <v>0</v>
      </c>
      <c r="Q127" s="124">
        <f t="shared" si="58"/>
        <v>0</v>
      </c>
      <c r="R127" s="124">
        <f t="shared" si="58"/>
        <v>0</v>
      </c>
      <c r="S127" s="124">
        <f t="shared" si="58"/>
        <v>0</v>
      </c>
      <c r="T127" s="124">
        <f t="shared" si="58"/>
        <v>0</v>
      </c>
      <c r="U127" s="124">
        <f t="shared" si="58"/>
        <v>0</v>
      </c>
      <c r="V127" s="124">
        <f t="shared" si="58"/>
        <v>0</v>
      </c>
      <c r="W127" s="124">
        <f t="shared" si="58"/>
        <v>0</v>
      </c>
      <c r="X127" s="124">
        <f t="shared" si="58"/>
        <v>0</v>
      </c>
      <c r="Y127" s="124">
        <f t="shared" si="58"/>
        <v>0</v>
      </c>
      <c r="Z127" s="124">
        <f t="shared" si="58"/>
        <v>0</v>
      </c>
      <c r="AA127" s="124">
        <f t="shared" si="58"/>
        <v>0</v>
      </c>
      <c r="AB127" s="15"/>
      <c r="AD127" s="124">
        <f>AD103+AD111+AD119-AD126</f>
        <v>0</v>
      </c>
      <c r="AE127" s="15"/>
      <c r="AF127" s="19"/>
      <c r="AG127" s="124">
        <f>AG103+AG111+AG119-AG126</f>
        <v>0</v>
      </c>
      <c r="AH127" s="15"/>
      <c r="AI127" s="19"/>
    </row>
    <row r="128" spans="3:35" x14ac:dyDescent="0.2">
      <c r="C128" s="23"/>
      <c r="H128" s="133"/>
      <c r="I128" s="25"/>
      <c r="J128" s="25"/>
      <c r="O128" s="38"/>
      <c r="P128" s="42"/>
      <c r="Q128" s="42"/>
      <c r="R128" s="42"/>
      <c r="S128" s="42"/>
      <c r="T128" s="42"/>
      <c r="U128" s="42"/>
      <c r="V128" s="42"/>
      <c r="W128" s="42"/>
      <c r="X128" s="42"/>
      <c r="Y128" s="42"/>
      <c r="Z128" s="42"/>
      <c r="AA128" s="42"/>
      <c r="AB128" s="39"/>
      <c r="AD128" s="38"/>
      <c r="AE128" s="42"/>
      <c r="AF128" s="39"/>
      <c r="AG128" s="38"/>
      <c r="AH128" s="42"/>
      <c r="AI128" s="39"/>
    </row>
    <row r="129" spans="3:35" ht="16" x14ac:dyDescent="0.2">
      <c r="C129" s="23"/>
      <c r="H129" s="133" t="s">
        <v>281</v>
      </c>
      <c r="I129" s="25"/>
      <c r="J129" s="25"/>
      <c r="N129" s="155" t="e">
        <f ca="1">IF(_xll.EVDES(H129,$B$1)="#NODATA","",_xll.EVDES(H129,$B$1))</f>
        <v>#NAME?</v>
      </c>
      <c r="O129" s="436"/>
      <c r="P129" s="438"/>
      <c r="Q129" s="438"/>
      <c r="R129" s="438"/>
      <c r="S129" s="438"/>
      <c r="T129" s="438"/>
      <c r="U129" s="438"/>
      <c r="V129" s="438"/>
      <c r="W129" s="438"/>
      <c r="X129" s="438"/>
      <c r="Y129" s="438"/>
      <c r="Z129" s="438"/>
      <c r="AA129" s="438"/>
      <c r="AB129" s="437"/>
      <c r="AD129" s="436"/>
      <c r="AE129" s="438"/>
      <c r="AF129" s="438"/>
      <c r="AG129" s="438"/>
      <c r="AH129" s="438"/>
      <c r="AI129" s="437"/>
    </row>
    <row r="130" spans="3:35" x14ac:dyDescent="0.2">
      <c r="C130" s="23"/>
      <c r="H130" s="133">
        <v>561100</v>
      </c>
      <c r="I130" s="25"/>
      <c r="J130" s="25"/>
      <c r="L130" s="24" t="e">
        <f ca="1">_xll.EVPRO($B$1,H130,"JDEID")</f>
        <v>#NAME?</v>
      </c>
      <c r="M130" s="24" t="str">
        <f>IF(AND(I130="N",J130="N"),_xll.EVPRO($B$1,H130,"PSFTID"),"")</f>
        <v/>
      </c>
      <c r="N130" s="24" t="e">
        <f ca="1">IF(_xll.EVDES(H130,$B$1)="#NODATA","",_xll.EVDES(H130,$B$1))</f>
        <v>#NAME?</v>
      </c>
      <c r="O130" s="19"/>
      <c r="P130" s="19"/>
      <c r="Q130" s="19"/>
      <c r="R130" s="19"/>
      <c r="S130" s="19"/>
      <c r="T130" s="19"/>
      <c r="U130" s="19"/>
      <c r="V130" s="19"/>
      <c r="W130" s="19"/>
      <c r="X130" s="19"/>
      <c r="Y130" s="19"/>
      <c r="Z130" s="19"/>
      <c r="AA130" s="19">
        <f>SUM(O130:Z130)</f>
        <v>0</v>
      </c>
      <c r="AB130" s="284" t="str">
        <f>IF(AA130=0,"",IFERROR(AA130/_xll.EVGTS($B$1,1,_xll.EVPRO($B$1,$H130,"COSBASIS"),$B$3,$B$5,$B$6,$B$7,$B$9,AA$16,AA$17,AA$11),""))</f>
        <v/>
      </c>
      <c r="AD130" s="19"/>
      <c r="AE130" s="284" t="str">
        <f>IF(AD130=0,"",IFERROR(AD130/_xll.EVGTS($B$1,1,_xll.EVPRO($B$1,$H130,"COSBASIS"),$B$3,$B$5,$B$6,$B$7,$B$9,AD$16,AD$17,AD$18),""))</f>
        <v/>
      </c>
      <c r="AF130" s="47">
        <f t="shared" ref="AF130:AF140" si="59">IF(AND($AA130="",AD130=""),"",$AA130-AD130)</f>
        <v>0</v>
      </c>
      <c r="AG130" s="19"/>
      <c r="AH130" s="284" t="str">
        <f>IF(AG130=0,"",IFERROR(AG130/_xll.EVGTS($B$1,1,_xll.EVPRO($B$1,$H130,"COSBASIS"),$B$3,$B$5,$B$6,$B$7,$B$9,AG$16,AG$17,AG$18),""))</f>
        <v/>
      </c>
      <c r="AI130" s="47">
        <f t="shared" ref="AI130:AI141" si="60">IF(AND($AA130="",AG130=""),"",$AA130-AG130)</f>
        <v>0</v>
      </c>
    </row>
    <row r="131" spans="3:35" x14ac:dyDescent="0.2">
      <c r="C131" s="23"/>
      <c r="H131" s="133" t="s">
        <v>756</v>
      </c>
      <c r="I131" s="25"/>
      <c r="J131" s="25"/>
      <c r="L131" s="24" t="e">
        <f ca="1">_xll.EVPRO($B$1,H131,"JDEID")</f>
        <v>#NAME?</v>
      </c>
      <c r="M131" s="24" t="str">
        <f>IF(AND(I131="N",J131="N"),_xll.EVPRO($B$1,H131,"PSFTID"),"")</f>
        <v/>
      </c>
      <c r="N131" s="439" t="e">
        <f ca="1">IF(_xll.EVDES(H131,$B$1)="#NODATA","",_xll.EVDES(H131,$B$1))</f>
        <v>#NAME?</v>
      </c>
      <c r="O131" s="153"/>
      <c r="P131" s="153"/>
      <c r="Q131" s="153"/>
      <c r="R131" s="153"/>
      <c r="S131" s="153"/>
      <c r="T131" s="153"/>
      <c r="U131" s="153"/>
      <c r="V131" s="153"/>
      <c r="W131" s="153"/>
      <c r="X131" s="153"/>
      <c r="Y131" s="153"/>
      <c r="Z131" s="153"/>
      <c r="AA131" s="153"/>
      <c r="AB131" s="284"/>
      <c r="AD131" s="153"/>
      <c r="AE131" s="284"/>
      <c r="AF131" s="440" t="str">
        <f t="shared" si="59"/>
        <v/>
      </c>
      <c r="AG131" s="153"/>
      <c r="AH131" s="284"/>
      <c r="AI131" s="440" t="str">
        <f t="shared" si="60"/>
        <v/>
      </c>
    </row>
    <row r="132" spans="3:35" x14ac:dyDescent="0.2">
      <c r="C132" s="23"/>
      <c r="H132" s="133" t="s">
        <v>636</v>
      </c>
      <c r="I132" s="25"/>
      <c r="J132" s="25"/>
      <c r="L132" s="24" t="e">
        <f ca="1">_xll.EVPRO($B$1,H132,"JDEID")</f>
        <v>#NAME?</v>
      </c>
      <c r="M132" s="24" t="str">
        <f>IF(AND(I132="N",J132="N"),_xll.EVPRO($B$1,H132,"PSFTID"),"")</f>
        <v/>
      </c>
      <c r="N132" s="24" t="e">
        <f ca="1">IF(_xll.EVDES(H132,$B$1)="#NODATA","",_xll.EVDES(H132,$B$1))</f>
        <v>#NAME?</v>
      </c>
      <c r="O132" s="19"/>
      <c r="P132" s="19"/>
      <c r="Q132" s="19"/>
      <c r="R132" s="19"/>
      <c r="S132" s="19"/>
      <c r="T132" s="19"/>
      <c r="U132" s="19"/>
      <c r="V132" s="19"/>
      <c r="W132" s="19"/>
      <c r="X132" s="19"/>
      <c r="Y132" s="19"/>
      <c r="Z132" s="19"/>
      <c r="AA132" s="19">
        <f>SUM(O132:Z132)</f>
        <v>0</v>
      </c>
      <c r="AB132" s="284" t="str">
        <f>IF(AA132=0,"",IFERROR(AA132/_xll.EVGTS($B$1,1,_xll.EVPRO($B$1,$H132,"COSBASIS"),$B$3,$B$5,$B$6,$B$7,$B$9,AA$16,AA$17,AA$11),""))</f>
        <v/>
      </c>
      <c r="AD132" s="19"/>
      <c r="AE132" s="284" t="str">
        <f>IF(AD132=0,"",IFERROR(AD132/_xll.EVGTS($B$1,1,_xll.EVPRO($B$1,$H132,"COSBASIS"),$B$3,$B$5,$B$6,$B$7,$B$9,AD$16,AD$17,AD$18),""))</f>
        <v/>
      </c>
      <c r="AF132" s="47">
        <f t="shared" si="59"/>
        <v>0</v>
      </c>
      <c r="AG132" s="19"/>
      <c r="AH132" s="284" t="str">
        <f>IF(AG132=0,"",IFERROR(AG132/_xll.EVGTS($B$1,1,_xll.EVPRO($B$1,$H132,"COSBASIS"),$B$3,$B$5,$B$6,$B$7,$B$9,AG$16,AG$17,AG$18),""))</f>
        <v/>
      </c>
      <c r="AI132" s="47">
        <f t="shared" si="60"/>
        <v>0</v>
      </c>
    </row>
    <row r="133" spans="3:35" x14ac:dyDescent="0.2">
      <c r="C133" s="23"/>
      <c r="H133" s="133" t="s">
        <v>757</v>
      </c>
      <c r="I133" s="25"/>
      <c r="J133" s="25"/>
      <c r="L133" s="24" t="e">
        <f ca="1">_xll.EVPRO($B$1,H133,"JDEID")</f>
        <v>#NAME?</v>
      </c>
      <c r="M133" s="24" t="str">
        <f>IF(AND(I133="N",J133="N"),_xll.EVPRO($B$1,H133,"PSFTID"),"")</f>
        <v/>
      </c>
      <c r="N133" s="439" t="e">
        <f ca="1">IF(_xll.EVDES(H133,$B$1)="#NODATA","",_xll.EVDES(H133,$B$1))</f>
        <v>#NAME?</v>
      </c>
      <c r="O133" s="153"/>
      <c r="P133" s="153"/>
      <c r="Q133" s="153"/>
      <c r="R133" s="153"/>
      <c r="S133" s="153"/>
      <c r="T133" s="153"/>
      <c r="U133" s="153"/>
      <c r="V133" s="153"/>
      <c r="W133" s="153"/>
      <c r="X133" s="153"/>
      <c r="Y133" s="153"/>
      <c r="Z133" s="153"/>
      <c r="AA133" s="153"/>
      <c r="AB133" s="284"/>
      <c r="AD133" s="153"/>
      <c r="AE133" s="284"/>
      <c r="AF133" s="440" t="str">
        <f t="shared" si="59"/>
        <v/>
      </c>
      <c r="AG133" s="153"/>
      <c r="AH133" s="284"/>
      <c r="AI133" s="440" t="str">
        <f t="shared" si="60"/>
        <v/>
      </c>
    </row>
    <row r="134" spans="3:35" x14ac:dyDescent="0.2">
      <c r="C134" s="23"/>
      <c r="H134" s="133" t="s">
        <v>755</v>
      </c>
      <c r="I134" s="25"/>
      <c r="J134" s="25"/>
      <c r="L134" s="24" t="e">
        <f ca="1">_xll.EVPRO($B$1,H134,"JDEID")</f>
        <v>#NAME?</v>
      </c>
      <c r="M134" s="24" t="str">
        <f>IF(AND(I134="N",J134="N"),_xll.EVPRO($B$1,H134,"PSFTID"),"")</f>
        <v/>
      </c>
      <c r="N134" s="24" t="e">
        <f ca="1">IF(_xll.EVDES(H134,$B$1)="#NODATA","",_xll.EVDES(H134,$B$1))</f>
        <v>#NAME?</v>
      </c>
      <c r="O134" s="19"/>
      <c r="P134" s="19"/>
      <c r="Q134" s="19"/>
      <c r="R134" s="19"/>
      <c r="S134" s="19"/>
      <c r="T134" s="19"/>
      <c r="U134" s="19"/>
      <c r="V134" s="19"/>
      <c r="W134" s="19"/>
      <c r="X134" s="19"/>
      <c r="Y134" s="19"/>
      <c r="Z134" s="19"/>
      <c r="AA134" s="19">
        <f>SUM(O134:Z134)</f>
        <v>0</v>
      </c>
      <c r="AB134" s="284" t="str">
        <f>IF(AA134=0,"",IFERROR(AA134/_xll.EVGTS($B$1,1,_xll.EVPRO($B$1,$H134,"COSBASIS"),$B$3,$B$5,$B$6,$B$7,$B$9,AA$16,AA$17,AA$11),""))</f>
        <v/>
      </c>
      <c r="AD134" s="19"/>
      <c r="AE134" s="284" t="str">
        <f>IF(AD134=0,"",IFERROR(AD134/_xll.EVGTS($B$1,1,_xll.EVPRO($B$1,$H134,"COSBASIS"),$B$3,$B$5,$B$6,$B$7,$B$9,AD$16,AD$17,AD$18),""))</f>
        <v/>
      </c>
      <c r="AF134" s="47">
        <f t="shared" si="59"/>
        <v>0</v>
      </c>
      <c r="AG134" s="19"/>
      <c r="AH134" s="284" t="str">
        <f>IF(AG134=0,"",IFERROR(AG134/_xll.EVGTS($B$1,1,_xll.EVPRO($B$1,$H134,"COSBASIS"),$B$3,$B$5,$B$6,$B$7,$B$9,AG$16,AG$17,AG$18),""))</f>
        <v/>
      </c>
      <c r="AI134" s="47">
        <f t="shared" si="60"/>
        <v>0</v>
      </c>
    </row>
    <row r="135" spans="3:35" x14ac:dyDescent="0.2">
      <c r="C135" s="23"/>
      <c r="H135" s="133" t="s">
        <v>758</v>
      </c>
      <c r="I135" s="25"/>
      <c r="J135" s="25"/>
      <c r="L135" s="24" t="e">
        <f ca="1">_xll.EVPRO($B$1,H135,"JDEID")</f>
        <v>#NAME?</v>
      </c>
      <c r="M135" s="24" t="str">
        <f>IF(AND(I135="N",J135="N"),_xll.EVPRO($B$1,H135,"PSFTID"),"")</f>
        <v/>
      </c>
      <c r="N135" s="439" t="e">
        <f ca="1">IF(_xll.EVDES(H135,$B$1)="#NODATA","",_xll.EVDES(H135,$B$1))</f>
        <v>#NAME?</v>
      </c>
      <c r="O135" s="153"/>
      <c r="P135" s="153"/>
      <c r="Q135" s="153"/>
      <c r="R135" s="153"/>
      <c r="S135" s="153"/>
      <c r="T135" s="153"/>
      <c r="U135" s="153"/>
      <c r="V135" s="153"/>
      <c r="W135" s="153"/>
      <c r="X135" s="153"/>
      <c r="Y135" s="153"/>
      <c r="Z135" s="153"/>
      <c r="AA135" s="153"/>
      <c r="AB135" s="284"/>
      <c r="AD135" s="153"/>
      <c r="AE135" s="284"/>
      <c r="AF135" s="440" t="str">
        <f t="shared" si="59"/>
        <v/>
      </c>
      <c r="AG135" s="153"/>
      <c r="AH135" s="284"/>
      <c r="AI135" s="440" t="str">
        <f t="shared" si="60"/>
        <v/>
      </c>
    </row>
    <row r="136" spans="3:35" x14ac:dyDescent="0.2">
      <c r="C136" s="23"/>
      <c r="H136" s="133">
        <v>561400</v>
      </c>
      <c r="I136" s="25"/>
      <c r="J136" s="25"/>
      <c r="L136" s="24" t="e">
        <f ca="1">_xll.EVPRO($B$1,H136,"JDEID")</f>
        <v>#NAME?</v>
      </c>
      <c r="M136" s="24" t="str">
        <f>IF(AND(I136="N",J136="N"),_xll.EVPRO($B$1,H136,"PSFTID"),"")</f>
        <v/>
      </c>
      <c r="N136" s="24" t="e">
        <f ca="1">IF(_xll.EVDES(H136,$B$1)="#NODATA","",_xll.EVDES(H136,$B$1))</f>
        <v>#NAME?</v>
      </c>
      <c r="O136" s="19"/>
      <c r="P136" s="19"/>
      <c r="Q136" s="19"/>
      <c r="R136" s="19"/>
      <c r="S136" s="19"/>
      <c r="T136" s="19"/>
      <c r="U136" s="19"/>
      <c r="V136" s="19"/>
      <c r="W136" s="19"/>
      <c r="X136" s="19"/>
      <c r="Y136" s="19"/>
      <c r="Z136" s="19"/>
      <c r="AA136" s="19">
        <f>SUM(O136:Z136)</f>
        <v>0</v>
      </c>
      <c r="AB136" s="284" t="str">
        <f>IF(AA136=0,"",IFERROR(AA136/_xll.EVGTS($B$1,1,_xll.EVPRO($B$1,$H136,"COSBASIS"),$B$3,$B$5,$B$6,$B$7,$B$9,AA$16,AA$17,AA$11),""))</f>
        <v/>
      </c>
      <c r="AD136" s="19"/>
      <c r="AE136" s="284" t="str">
        <f>IF(AD136=0,"",IFERROR(AD136/_xll.EVGTS($B$1,1,_xll.EVPRO($B$1,$H136,"COSBASIS"),$B$3,$B$5,$B$6,$B$7,$B$9,AD$16,AD$17,AD$18),""))</f>
        <v/>
      </c>
      <c r="AF136" s="47">
        <f t="shared" si="59"/>
        <v>0</v>
      </c>
      <c r="AG136" s="19"/>
      <c r="AH136" s="284" t="str">
        <f>IF(AG136=0,"",IFERROR(AG136/_xll.EVGTS($B$1,1,_xll.EVPRO($B$1,$H136,"COSBASIS"),$B$3,$B$5,$B$6,$B$7,$B$9,AG$16,AG$17,AG$18),""))</f>
        <v/>
      </c>
      <c r="AI136" s="47">
        <f t="shared" si="60"/>
        <v>0</v>
      </c>
    </row>
    <row r="137" spans="3:35" x14ac:dyDescent="0.2">
      <c r="C137" s="23"/>
      <c r="H137" s="133" t="s">
        <v>759</v>
      </c>
      <c r="I137" s="25"/>
      <c r="J137" s="25"/>
      <c r="L137" s="24" t="e">
        <f ca="1">_xll.EVPRO($B$1,H137,"JDEID")</f>
        <v>#NAME?</v>
      </c>
      <c r="M137" s="24" t="str">
        <f>IF(AND(I137="N",J137="N"),_xll.EVPRO($B$1,H137,"PSFTID"),"")</f>
        <v/>
      </c>
      <c r="N137" s="439" t="e">
        <f ca="1">IF(_xll.EVDES(H137,$B$1)="#NODATA","",_xll.EVDES(H137,$B$1))</f>
        <v>#NAME?</v>
      </c>
      <c r="O137" s="153"/>
      <c r="P137" s="153"/>
      <c r="Q137" s="153"/>
      <c r="R137" s="153"/>
      <c r="S137" s="153"/>
      <c r="T137" s="153"/>
      <c r="U137" s="153"/>
      <c r="V137" s="153"/>
      <c r="W137" s="153"/>
      <c r="X137" s="153"/>
      <c r="Y137" s="153"/>
      <c r="Z137" s="153"/>
      <c r="AA137" s="153"/>
      <c r="AB137" s="284"/>
      <c r="AD137" s="153"/>
      <c r="AE137" s="284"/>
      <c r="AF137" s="440" t="str">
        <f t="shared" si="59"/>
        <v/>
      </c>
      <c r="AG137" s="153"/>
      <c r="AH137" s="284"/>
      <c r="AI137" s="440" t="str">
        <f t="shared" si="60"/>
        <v/>
      </c>
    </row>
    <row r="138" spans="3:35" x14ac:dyDescent="0.2">
      <c r="H138" s="133">
        <v>561500</v>
      </c>
      <c r="I138" s="25"/>
      <c r="J138" s="25"/>
      <c r="L138" s="24" t="e">
        <f ca="1">_xll.EVPRO($B$1,H138,"JDEID")</f>
        <v>#NAME?</v>
      </c>
      <c r="M138" s="24" t="str">
        <f>IF(AND(I138="N",J138="N"),_xll.EVPRO($B$1,H138,"PSFTID"),"")</f>
        <v/>
      </c>
      <c r="N138" s="24" t="e">
        <f ca="1">IF(_xll.EVDES(H138,$B$1)="#NODATA","",_xll.EVDES(H138,$B$1))</f>
        <v>#NAME?</v>
      </c>
      <c r="O138" s="19"/>
      <c r="P138" s="19"/>
      <c r="Q138" s="19"/>
      <c r="R138" s="19"/>
      <c r="S138" s="19"/>
      <c r="T138" s="19"/>
      <c r="U138" s="19"/>
      <c r="V138" s="19"/>
      <c r="W138" s="19"/>
      <c r="X138" s="19"/>
      <c r="Y138" s="19"/>
      <c r="Z138" s="19"/>
      <c r="AA138" s="19">
        <f>SUM(O138:Z138)</f>
        <v>0</v>
      </c>
      <c r="AB138" s="284" t="str">
        <f>IF(AA138=0,"",IFERROR(AA138/_xll.EVGTS($B$1,1,_xll.EVPRO($B$1,$H138,"COSBASIS"),$B$3,$B$5,$B$6,$B$7,$B$9,AA$16,AA$17,AA$11),""))</f>
        <v/>
      </c>
      <c r="AD138" s="19"/>
      <c r="AE138" s="284" t="str">
        <f>IF(AD138=0,"",IFERROR(AD138/_xll.EVGTS($B$1,1,_xll.EVPRO($B$1,$H138,"COSBASIS"),$B$3,$B$5,$B$6,$B$7,$B$9,AD$16,AD$17,AD$18),""))</f>
        <v/>
      </c>
      <c r="AF138" s="47">
        <f t="shared" si="59"/>
        <v>0</v>
      </c>
      <c r="AG138" s="19"/>
      <c r="AH138" s="284" t="str">
        <f>IF(AG138=0,"",IFERROR(AG138/_xll.EVGTS($B$1,1,_xll.EVPRO($B$1,$H138,"COSBASIS"),$B$3,$B$5,$B$6,$B$7,$B$9,AG$16,AG$17,AG$18),""))</f>
        <v/>
      </c>
      <c r="AI138" s="47">
        <f t="shared" si="60"/>
        <v>0</v>
      </c>
    </row>
    <row r="139" spans="3:35" x14ac:dyDescent="0.2">
      <c r="C139" s="23"/>
      <c r="H139" s="133" t="s">
        <v>760</v>
      </c>
      <c r="I139" s="25"/>
      <c r="J139" s="25"/>
      <c r="L139" s="24" t="e">
        <f ca="1">_xll.EVPRO($B$1,H139,"JDEID")</f>
        <v>#NAME?</v>
      </c>
      <c r="M139" s="24" t="str">
        <f>IF(AND(I139="N",J139="N"),_xll.EVPRO($B$1,H139,"PSFTID"),"")</f>
        <v/>
      </c>
      <c r="N139" s="439" t="e">
        <f ca="1">IF(_xll.EVDES(H139,$B$1)="#NODATA","",_xll.EVDES(H139,$B$1))</f>
        <v>#NAME?</v>
      </c>
      <c r="O139" s="153"/>
      <c r="P139" s="153"/>
      <c r="Q139" s="153"/>
      <c r="R139" s="153"/>
      <c r="S139" s="153"/>
      <c r="T139" s="153"/>
      <c r="U139" s="153"/>
      <c r="V139" s="153"/>
      <c r="W139" s="153"/>
      <c r="X139" s="153"/>
      <c r="Y139" s="153"/>
      <c r="Z139" s="153"/>
      <c r="AA139" s="153"/>
      <c r="AB139" s="284"/>
      <c r="AD139" s="153"/>
      <c r="AE139" s="284"/>
      <c r="AF139" s="440" t="str">
        <f t="shared" si="59"/>
        <v/>
      </c>
      <c r="AG139" s="153"/>
      <c r="AH139" s="284"/>
      <c r="AI139" s="440" t="str">
        <f t="shared" si="60"/>
        <v/>
      </c>
    </row>
    <row r="140" spans="3:35" x14ac:dyDescent="0.2">
      <c r="C140" s="23"/>
      <c r="H140" s="133" t="s">
        <v>286</v>
      </c>
      <c r="I140" s="25"/>
      <c r="J140" s="25"/>
      <c r="L140" s="24" t="e">
        <f ca="1">_xll.EVPRO($B$1,H140,"JDEID")</f>
        <v>#NAME?</v>
      </c>
      <c r="M140" s="24" t="str">
        <f>IF(AND(I140="N",J140="N"),_xll.EVPRO($B$1,H140,"PSFTID"),"")</f>
        <v/>
      </c>
      <c r="N140" s="24" t="e">
        <f ca="1">IF(_xll.EVDES(H140,$B$1)="#NODATA","",_xll.EVDES(H140,$B$1))</f>
        <v>#NAME?</v>
      </c>
      <c r="O140" s="19"/>
      <c r="P140" s="19"/>
      <c r="Q140" s="19"/>
      <c r="R140" s="19"/>
      <c r="S140" s="19"/>
      <c r="T140" s="19"/>
      <c r="U140" s="19"/>
      <c r="V140" s="19"/>
      <c r="W140" s="19"/>
      <c r="X140" s="19"/>
      <c r="Y140" s="19"/>
      <c r="Z140" s="19"/>
      <c r="AA140" s="19">
        <f>SUM(O140:Z140)</f>
        <v>0</v>
      </c>
      <c r="AB140" s="284" t="str">
        <f>IF(AA140=0,"",IFERROR(AA140/_xll.EVGTS($B$1,1,_xll.EVPRO($B$1,$H140,"COSBASIS"),$B$3,$B$5,$B$6,$B$7,$B$9,AA$16,AA$17,AA$11),""))</f>
        <v/>
      </c>
      <c r="AD140" s="19"/>
      <c r="AE140" s="284" t="str">
        <f>IF(AD140=0,"",IFERROR(AD140/_xll.EVGTS($B$1,1,_xll.EVPRO($B$1,$H140,"COSBASIS"),$B$3,$B$5,$B$6,$B$7,$B$9,AD$16,AD$17,AD$18),""))</f>
        <v/>
      </c>
      <c r="AF140" s="47">
        <f t="shared" si="59"/>
        <v>0</v>
      </c>
      <c r="AG140" s="19"/>
      <c r="AH140" s="284" t="str">
        <f>IF(AG140=0,"",IFERROR(AG140/_xll.EVGTS($B$1,1,_xll.EVPRO($B$1,$H140,"COSBASIS"),$B$3,$B$5,$B$6,$B$7,$B$9,AG$16,AG$17,AG$18),""))</f>
        <v/>
      </c>
      <c r="AI140" s="47">
        <f t="shared" si="60"/>
        <v>0</v>
      </c>
    </row>
    <row r="141" spans="3:35" x14ac:dyDescent="0.2">
      <c r="C141" s="23"/>
      <c r="H141" s="133"/>
      <c r="I141" s="25"/>
      <c r="J141" s="25"/>
      <c r="L141" s="24"/>
      <c r="M141" s="24"/>
      <c r="N141" s="439" t="s">
        <v>762</v>
      </c>
      <c r="O141" s="153" t="str">
        <f>IFERROR(O140/O85,"")</f>
        <v/>
      </c>
      <c r="P141" s="153" t="str">
        <f t="shared" ref="P141:AA141" si="61">IFERROR(P140/P85,"")</f>
        <v/>
      </c>
      <c r="Q141" s="153" t="str">
        <f t="shared" si="61"/>
        <v/>
      </c>
      <c r="R141" s="153" t="str">
        <f t="shared" si="61"/>
        <v/>
      </c>
      <c r="S141" s="153" t="str">
        <f t="shared" si="61"/>
        <v/>
      </c>
      <c r="T141" s="153" t="str">
        <f t="shared" si="61"/>
        <v/>
      </c>
      <c r="U141" s="153" t="str">
        <f t="shared" si="61"/>
        <v/>
      </c>
      <c r="V141" s="153" t="str">
        <f t="shared" si="61"/>
        <v/>
      </c>
      <c r="W141" s="153" t="str">
        <f t="shared" si="61"/>
        <v/>
      </c>
      <c r="X141" s="153" t="str">
        <f t="shared" si="61"/>
        <v/>
      </c>
      <c r="Y141" s="153" t="str">
        <f t="shared" si="61"/>
        <v/>
      </c>
      <c r="Z141" s="153" t="str">
        <f t="shared" si="61"/>
        <v/>
      </c>
      <c r="AA141" s="153" t="str">
        <f t="shared" si="61"/>
        <v/>
      </c>
      <c r="AB141" s="284"/>
      <c r="AD141" s="153" t="str">
        <f>IFERROR(AD140/AD85,"")</f>
        <v/>
      </c>
      <c r="AE141" s="284"/>
      <c r="AF141" s="440" t="str">
        <f t="shared" ref="AF141" si="62">IF(AND($AA141="",AD141=""),"",$AA141-AD141)</f>
        <v/>
      </c>
      <c r="AG141" s="153" t="str">
        <f>IFERROR(AG140/AG85,"")</f>
        <v/>
      </c>
      <c r="AH141" s="284"/>
      <c r="AI141" s="440" t="str">
        <f t="shared" si="60"/>
        <v/>
      </c>
    </row>
    <row r="142" spans="3:35" x14ac:dyDescent="0.2">
      <c r="C142" s="23"/>
    </row>
    <row r="143" spans="3:35" x14ac:dyDescent="0.2">
      <c r="C143" s="23"/>
      <c r="H143" s="133"/>
      <c r="I143" s="25"/>
      <c r="J143" s="25"/>
      <c r="N143" s="24" t="e">
        <f ca="1">N85&amp;" - Check"</f>
        <v>#NAME?</v>
      </c>
      <c r="O143" s="124">
        <f t="shared" ref="O143:AA143" si="63">O39+O49+O59+O69+O79+O83-O85</f>
        <v>0</v>
      </c>
      <c r="P143" s="124">
        <f t="shared" si="63"/>
        <v>0</v>
      </c>
      <c r="Q143" s="124">
        <f t="shared" si="63"/>
        <v>0</v>
      </c>
      <c r="R143" s="124">
        <f t="shared" si="63"/>
        <v>0</v>
      </c>
      <c r="S143" s="124">
        <f t="shared" si="63"/>
        <v>0</v>
      </c>
      <c r="T143" s="124">
        <f t="shared" si="63"/>
        <v>0</v>
      </c>
      <c r="U143" s="124">
        <f t="shared" si="63"/>
        <v>0</v>
      </c>
      <c r="V143" s="124">
        <f t="shared" si="63"/>
        <v>0</v>
      </c>
      <c r="W143" s="124">
        <f t="shared" si="63"/>
        <v>0</v>
      </c>
      <c r="X143" s="124">
        <f t="shared" si="63"/>
        <v>0</v>
      </c>
      <c r="Y143" s="124">
        <f t="shared" si="63"/>
        <v>0</v>
      </c>
      <c r="Z143" s="124">
        <f t="shared" si="63"/>
        <v>0</v>
      </c>
      <c r="AA143" s="124">
        <f t="shared" si="63"/>
        <v>0</v>
      </c>
      <c r="AB143" s="15"/>
      <c r="AD143" s="124">
        <f>AD39+AD49+AD59+AD69+AD79+AD83-AD85</f>
        <v>0</v>
      </c>
      <c r="AE143" s="15"/>
      <c r="AF143" s="19"/>
      <c r="AG143" s="124">
        <f>AG39+AG49+AG59+AG69+AG79+AG83-AG85</f>
        <v>0</v>
      </c>
      <c r="AH143" s="15"/>
      <c r="AI143" s="19"/>
    </row>
    <row r="144" spans="3:35" x14ac:dyDescent="0.2">
      <c r="C144" s="23"/>
      <c r="H144" s="133"/>
      <c r="I144" s="25"/>
      <c r="J144" s="25"/>
      <c r="N144" s="24" t="e">
        <f ca="1">N87&amp;" - Check"</f>
        <v>#NAME?</v>
      </c>
      <c r="O144" s="124">
        <f t="shared" ref="O144:AA144" si="64">O41+O51+O61+O71+O80-O87</f>
        <v>0</v>
      </c>
      <c r="P144" s="124">
        <f t="shared" si="64"/>
        <v>0</v>
      </c>
      <c r="Q144" s="124">
        <f t="shared" si="64"/>
        <v>0</v>
      </c>
      <c r="R144" s="124">
        <f t="shared" si="64"/>
        <v>0</v>
      </c>
      <c r="S144" s="124">
        <f t="shared" si="64"/>
        <v>0</v>
      </c>
      <c r="T144" s="124">
        <f t="shared" si="64"/>
        <v>0</v>
      </c>
      <c r="U144" s="124">
        <f t="shared" si="64"/>
        <v>0</v>
      </c>
      <c r="V144" s="124">
        <f t="shared" si="64"/>
        <v>0</v>
      </c>
      <c r="W144" s="124">
        <f t="shared" si="64"/>
        <v>0</v>
      </c>
      <c r="X144" s="124">
        <f t="shared" si="64"/>
        <v>0</v>
      </c>
      <c r="Y144" s="124">
        <f t="shared" si="64"/>
        <v>0</v>
      </c>
      <c r="Z144" s="124">
        <f t="shared" si="64"/>
        <v>0</v>
      </c>
      <c r="AA144" s="124">
        <f t="shared" si="64"/>
        <v>0</v>
      </c>
      <c r="AB144" s="15"/>
      <c r="AD144" s="124">
        <f>AD41+AD51+AD61+AD71+AD80-AD87</f>
        <v>0</v>
      </c>
      <c r="AE144" s="15"/>
      <c r="AF144" s="19"/>
      <c r="AG144" s="124">
        <f>AG41+AG51+AG61+AG71+AG80-AG87</f>
        <v>0</v>
      </c>
      <c r="AH144" s="15"/>
      <c r="AI144" s="19"/>
    </row>
    <row r="145" spans="3:35" x14ac:dyDescent="0.2">
      <c r="C145" s="23"/>
      <c r="H145" s="133"/>
      <c r="I145" s="25"/>
      <c r="J145" s="25"/>
      <c r="N145" s="24" t="e">
        <f ca="1">N88&amp;" - Check"</f>
        <v>#NAME?</v>
      </c>
      <c r="O145" s="159" t="e">
        <f>IFERROR(O$85/O87,"")-O88</f>
        <v>#VALUE!</v>
      </c>
      <c r="P145" s="159" t="e">
        <f t="shared" ref="P145:Z145" si="65">IFERROR(P$85/P87,"")-P88</f>
        <v>#VALUE!</v>
      </c>
      <c r="Q145" s="159" t="e">
        <f t="shared" si="65"/>
        <v>#VALUE!</v>
      </c>
      <c r="R145" s="159" t="e">
        <f t="shared" si="65"/>
        <v>#VALUE!</v>
      </c>
      <c r="S145" s="159" t="e">
        <f t="shared" si="65"/>
        <v>#VALUE!</v>
      </c>
      <c r="T145" s="159" t="e">
        <f t="shared" si="65"/>
        <v>#VALUE!</v>
      </c>
      <c r="U145" s="159" t="e">
        <f t="shared" si="65"/>
        <v>#VALUE!</v>
      </c>
      <c r="V145" s="159" t="e">
        <f t="shared" si="65"/>
        <v>#VALUE!</v>
      </c>
      <c r="W145" s="159" t="e">
        <f t="shared" si="65"/>
        <v>#VALUE!</v>
      </c>
      <c r="X145" s="159" t="e">
        <f t="shared" si="65"/>
        <v>#VALUE!</v>
      </c>
      <c r="Y145" s="159" t="e">
        <f t="shared" si="65"/>
        <v>#VALUE!</v>
      </c>
      <c r="Z145" s="159" t="e">
        <f t="shared" si="65"/>
        <v>#VALUE!</v>
      </c>
      <c r="AA145" s="159" t="e">
        <f>IFERROR(AA$85/AA87,"")-AA88</f>
        <v>#VALUE!</v>
      </c>
      <c r="AB145" s="15"/>
      <c r="AD145" s="159" t="e">
        <f>IFERROR(AD$85/AD87,"")-AD88</f>
        <v>#VALUE!</v>
      </c>
      <c r="AE145" s="15"/>
      <c r="AF145" s="19"/>
      <c r="AG145" s="159" t="e">
        <f>IFERROR(AG$85/AG87,"")-AG88</f>
        <v>#VALUE!</v>
      </c>
      <c r="AH145" s="15"/>
      <c r="AI145" s="19"/>
    </row>
    <row r="146" spans="3:35" x14ac:dyDescent="0.2">
      <c r="C146" s="23"/>
      <c r="H146" s="133"/>
      <c r="I146" s="25"/>
      <c r="J146" s="25"/>
      <c r="N146" s="24" t="s">
        <v>768</v>
      </c>
      <c r="O146" s="124">
        <f>(O130+O132)-O140</f>
        <v>0</v>
      </c>
      <c r="P146" s="124">
        <f t="shared" ref="P146:AA146" si="66">(P130+P132)-P140</f>
        <v>0</v>
      </c>
      <c r="Q146" s="124">
        <f t="shared" si="66"/>
        <v>0</v>
      </c>
      <c r="R146" s="124">
        <f t="shared" si="66"/>
        <v>0</v>
      </c>
      <c r="S146" s="124">
        <f t="shared" si="66"/>
        <v>0</v>
      </c>
      <c r="T146" s="124">
        <f t="shared" si="66"/>
        <v>0</v>
      </c>
      <c r="U146" s="124">
        <f t="shared" si="66"/>
        <v>0</v>
      </c>
      <c r="V146" s="124">
        <f t="shared" si="66"/>
        <v>0</v>
      </c>
      <c r="W146" s="124">
        <f t="shared" si="66"/>
        <v>0</v>
      </c>
      <c r="X146" s="124">
        <f t="shared" si="66"/>
        <v>0</v>
      </c>
      <c r="Y146" s="124">
        <f t="shared" si="66"/>
        <v>0</v>
      </c>
      <c r="Z146" s="124">
        <f t="shared" si="66"/>
        <v>0</v>
      </c>
      <c r="AA146" s="124">
        <f t="shared" si="66"/>
        <v>0</v>
      </c>
      <c r="AB146" s="15"/>
      <c r="AD146" s="124">
        <f>(AD130+AD132)-AD140</f>
        <v>0</v>
      </c>
      <c r="AE146" s="15"/>
      <c r="AF146" s="19"/>
      <c r="AG146" s="124">
        <f>(AG130+AG132)-AG140</f>
        <v>0</v>
      </c>
      <c r="AH146" s="15"/>
      <c r="AI146" s="19"/>
    </row>
    <row r="147" spans="3:35" x14ac:dyDescent="0.2">
      <c r="C147" s="23"/>
    </row>
    <row r="148" spans="3:35" x14ac:dyDescent="0.2">
      <c r="C148" s="23"/>
    </row>
    <row r="149" spans="3:35" x14ac:dyDescent="0.2">
      <c r="C149" s="23"/>
    </row>
    <row r="150" spans="3:35" x14ac:dyDescent="0.2">
      <c r="C150" s="23"/>
    </row>
    <row r="151" spans="3:35" x14ac:dyDescent="0.2">
      <c r="C151" s="23"/>
    </row>
    <row r="152" spans="3:35" x14ac:dyDescent="0.2">
      <c r="C152" s="23"/>
    </row>
    <row r="153" spans="3:35" x14ac:dyDescent="0.2">
      <c r="C153" s="23"/>
    </row>
    <row r="169" spans="9:34" x14ac:dyDescent="0.2">
      <c r="I169" s="72"/>
      <c r="J169" s="1"/>
      <c r="K169" s="72"/>
      <c r="L169" s="72"/>
      <c r="M169" s="72"/>
      <c r="O169" s="72"/>
      <c r="P169" s="72"/>
      <c r="Q169" s="72"/>
      <c r="R169" s="72"/>
      <c r="S169" s="72"/>
      <c r="T169" s="72"/>
      <c r="U169" s="72"/>
      <c r="V169" s="72"/>
      <c r="W169" s="72"/>
      <c r="X169" s="72"/>
      <c r="Y169" s="72"/>
      <c r="Z169" s="72"/>
      <c r="AA169" s="72"/>
      <c r="AD169" s="72"/>
      <c r="AF169" s="72"/>
      <c r="AH169" s="72"/>
    </row>
    <row r="173" spans="9:34" x14ac:dyDescent="0.2">
      <c r="I173" s="72"/>
      <c r="J173" s="1"/>
      <c r="K173" s="72"/>
      <c r="L173" s="72"/>
      <c r="M173" s="72"/>
      <c r="O173" s="72"/>
      <c r="P173" s="72"/>
      <c r="Q173" s="72"/>
      <c r="R173" s="72"/>
      <c r="S173" s="72"/>
      <c r="T173" s="72"/>
      <c r="U173" s="72"/>
      <c r="V173" s="72"/>
      <c r="W173" s="72"/>
      <c r="X173" s="72"/>
      <c r="Y173" s="72"/>
      <c r="Z173" s="72"/>
      <c r="AA173" s="72"/>
      <c r="AD173" s="72"/>
      <c r="AF173" s="72"/>
      <c r="AH173" s="72"/>
    </row>
    <row r="207" spans="5:5" x14ac:dyDescent="0.2">
      <c r="E207" s="72"/>
    </row>
    <row r="211" spans="5:5" x14ac:dyDescent="0.2">
      <c r="E211" s="72"/>
    </row>
  </sheetData>
  <mergeCells count="2">
    <mergeCell ref="AD31:AE31"/>
    <mergeCell ref="AG31:AH31"/>
  </mergeCells>
  <conditionalFormatting sqref="N43">
    <cfRule type="expression" dxfId="80" priority="14">
      <formula>$G43&lt;&gt;0</formula>
    </cfRule>
  </conditionalFormatting>
  <conditionalFormatting sqref="N53">
    <cfRule type="expression" dxfId="79" priority="12">
      <formula>$G53&lt;&gt;0</formula>
    </cfRule>
  </conditionalFormatting>
  <conditionalFormatting sqref="N63">
    <cfRule type="expression" dxfId="78" priority="10">
      <formula>$G63&lt;&gt;0</formula>
    </cfRule>
  </conditionalFormatting>
  <conditionalFormatting sqref="N73">
    <cfRule type="expression" dxfId="77" priority="8">
      <formula>$G73&lt;&gt;0</formula>
    </cfRule>
  </conditionalFormatting>
  <conditionalFormatting sqref="N82">
    <cfRule type="expression" dxfId="76" priority="7">
      <formula>$G82&lt;&gt;0</formula>
    </cfRule>
  </conditionalFormatting>
  <conditionalFormatting sqref="O43:AA43 AD43 AF43:AG43">
    <cfRule type="expression" dxfId="75" priority="15">
      <formula>ROUND(O42,2)&lt;&gt;ROUND(O43,2)</formula>
    </cfRule>
  </conditionalFormatting>
  <conditionalFormatting sqref="O53:AA53 AD53 AF53:AG53">
    <cfRule type="expression" dxfId="74" priority="13">
      <formula>ROUND(O52,2)&lt;&gt;ROUND(O53,2)</formula>
    </cfRule>
  </conditionalFormatting>
  <conditionalFormatting sqref="O63:AA63 AD63 AF63:AG63">
    <cfRule type="expression" dxfId="73" priority="11">
      <formula>ROUND(O62,2)&lt;&gt;ROUND(O63,2)</formula>
    </cfRule>
  </conditionalFormatting>
  <conditionalFormatting sqref="O73:AA73 AD73 AF73:AG73">
    <cfRule type="expression" dxfId="72" priority="9">
      <formula>ROUND(O72,2)&lt;&gt;ROUND(O73,2)</formula>
    </cfRule>
  </conditionalFormatting>
  <conditionalFormatting sqref="O82:AA82 AD82 AF82:AG82">
    <cfRule type="expression" dxfId="71" priority="6">
      <formula>ROUND(O81,2)&lt;&gt;ROUND(O82,2)</formula>
    </cfRule>
  </conditionalFormatting>
  <conditionalFormatting sqref="AI43">
    <cfRule type="expression" dxfId="70" priority="5">
      <formula>ROUND(AI42,2)&lt;&gt;ROUND(AI43,2)</formula>
    </cfRule>
  </conditionalFormatting>
  <conditionalFormatting sqref="AI53">
    <cfRule type="expression" dxfId="69" priority="4">
      <formula>ROUND(AI52,2)&lt;&gt;ROUND(AI53,2)</formula>
    </cfRule>
  </conditionalFormatting>
  <conditionalFormatting sqref="AI63">
    <cfRule type="expression" dxfId="68" priority="3">
      <formula>ROUND(AI62,2)&lt;&gt;ROUND(AI63,2)</formula>
    </cfRule>
  </conditionalFormatting>
  <conditionalFormatting sqref="AI73">
    <cfRule type="expression" dxfId="67" priority="2">
      <formula>ROUND(AI72,2)&lt;&gt;ROUND(AI73,2)</formula>
    </cfRule>
  </conditionalFormatting>
  <conditionalFormatting sqref="AI82">
    <cfRule type="expression" dxfId="66" priority="1">
      <formula>ROUND(AI81,2)&lt;&gt;ROUND(AI82,2)</formula>
    </cfRule>
  </conditionalFormatting>
  <dataValidations count="2">
    <dataValidation type="list" allowBlank="1" sqref="B28" xr:uid="{00000000-0002-0000-2400-000000000000}">
      <formula1>"ACCOUNT,BUSINESSUNIT,CATEGORY,DATASRC,DEPARTMENT,INTCO,MEASURES,RPTCURRENCY,TIME"</formula1>
    </dataValidation>
    <dataValidation type="list" allowBlank="1" sqref="B29" xr:uid="{00000000-0002-0000-24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5">
    <tabColor theme="6" tint="0.39997558519241921"/>
    <pageSetUpPr fitToPage="1"/>
  </sheetPr>
  <dimension ref="A1:AO19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G1" s="319" t="s">
        <v>22</v>
      </c>
      <c r="H1" s="46" t="s">
        <v>728</v>
      </c>
      <c r="I1" s="1"/>
      <c r="J1" s="1"/>
      <c r="N1" s="16" t="e">
        <f ca="1">IF(OR(_xll.EVCGT($B$1,$B$6,$H$1,$H$2,$H$3,$H$4,$H$5,$H$6,$H$7,$H$8)="#RFR",_xll.EVCGT($B$1,$B$6,$H$1,$H$2,$H$3,$H$4,$H$5,$H$6,$H$7,$H$8)="#NODATA"),"",_xll.EVCGT($B$1,$B$6,$H$1,$H$2,$H$3,$H$4,$H$5,$H$6,$H$7,$H$8))</f>
        <v>#NAME?</v>
      </c>
      <c r="O1" s="1" t="s">
        <v>731</v>
      </c>
    </row>
    <row r="2" spans="1:35" hidden="1" outlineLevel="1" x14ac:dyDescent="0.2">
      <c r="A2" s="8" t="s">
        <v>22</v>
      </c>
      <c r="B2" s="12" t="s">
        <v>56</v>
      </c>
      <c r="C2" s="1" t="e">
        <f ca="1">_xll.EVDES(B2,$B$1)</f>
        <v>#NAME?</v>
      </c>
      <c r="G2" s="319" t="s">
        <v>50</v>
      </c>
      <c r="H2" s="46" t="e">
        <f ca="1">"BU"&amp;RIGHT(B3,4)</f>
        <v>#NAME?</v>
      </c>
      <c r="I2" s="1"/>
      <c r="J2" s="1"/>
    </row>
    <row r="3" spans="1:35" hidden="1" outlineLevel="1" x14ac:dyDescent="0.2">
      <c r="A3" s="8" t="s">
        <v>50</v>
      </c>
      <c r="B3" s="9" t="e">
        <f ca="1">_xll.EVCVW($B$1,A3)</f>
        <v>#NAME?</v>
      </c>
      <c r="C3" s="1" t="e">
        <f ca="1">_xll.EVDES(B3,$B$1)</f>
        <v>#NAME?</v>
      </c>
      <c r="G3" s="319" t="s">
        <v>19</v>
      </c>
      <c r="H3" s="46" t="s">
        <v>683</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c r="G4" s="319" t="s">
        <v>51</v>
      </c>
      <c r="H4" s="46" t="s">
        <v>730</v>
      </c>
    </row>
    <row r="5" spans="1:35" hidden="1" outlineLevel="1" x14ac:dyDescent="0.2">
      <c r="A5" s="8" t="s">
        <v>51</v>
      </c>
      <c r="B5" s="12" t="s">
        <v>59</v>
      </c>
      <c r="C5" s="1" t="e">
        <f ca="1">_xll.EVDES(B5,$B$1)</f>
        <v>#NAME?</v>
      </c>
      <c r="G5" s="319" t="s">
        <v>53</v>
      </c>
      <c r="H5" s="46" t="s">
        <v>729</v>
      </c>
    </row>
    <row r="6" spans="1:35" hidden="1" outlineLevel="1" x14ac:dyDescent="0.2">
      <c r="A6" s="8" t="s">
        <v>52</v>
      </c>
      <c r="B6" s="12" t="s">
        <v>734</v>
      </c>
      <c r="C6" s="1" t="e">
        <f ca="1">_xll.EVDES(B6,$B$1)</f>
        <v>#NAME?</v>
      </c>
      <c r="E6" s="46" t="e">
        <f ca="1">_xll.EVPRO($B$1,$B$6,$F$6)</f>
        <v>#NAME?</v>
      </c>
      <c r="F6" s="1" t="s">
        <v>278</v>
      </c>
      <c r="G6" s="319" t="s">
        <v>20</v>
      </c>
      <c r="H6" s="46" t="s">
        <v>55</v>
      </c>
    </row>
    <row r="7" spans="1:35" hidden="1" outlineLevel="1" x14ac:dyDescent="0.2">
      <c r="A7" s="8" t="s">
        <v>53</v>
      </c>
      <c r="B7" s="12" t="s">
        <v>61</v>
      </c>
      <c r="C7" s="1" t="e">
        <f ca="1">_xll.EVDES(B7,$B$1)</f>
        <v>#NAME?</v>
      </c>
      <c r="G7" s="319" t="s">
        <v>54</v>
      </c>
      <c r="H7" s="46" t="s">
        <v>62</v>
      </c>
    </row>
    <row r="8" spans="1:35" hidden="1" outlineLevel="1" x14ac:dyDescent="0.2">
      <c r="A8" s="8" t="s">
        <v>20</v>
      </c>
      <c r="B8" s="12" t="s">
        <v>63</v>
      </c>
      <c r="C8" s="1" t="e">
        <f ca="1">_xll.EVDES(B8,$B$1)</f>
        <v>#NAME?</v>
      </c>
      <c r="G8" s="319" t="s">
        <v>18</v>
      </c>
      <c r="H8" s="46" t="s">
        <v>727</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_xll.EVRNG(H35:H58)</f>
        <v>#NAME?</v>
      </c>
      <c r="G19" s="16" t="str">
        <f>$B$6</f>
        <v>D2146</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tr">
        <f>$B$6</f>
        <v>D2146</v>
      </c>
      <c r="H20" s="16">
        <v>946000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I21" s="1"/>
      <c r="J21" s="1"/>
    </row>
    <row r="22" spans="1:40" hidden="1" outlineLevel="1" x14ac:dyDescent="0.2">
      <c r="A22" s="6" t="s">
        <v>7</v>
      </c>
      <c r="B22" s="7" t="e">
        <f ca="1">_xll.EVRNG(A36:F44)</f>
        <v>#NAME?</v>
      </c>
      <c r="I22" s="1"/>
      <c r="J22" s="1"/>
    </row>
    <row r="23" spans="1:40" hidden="1" outlineLevel="1" x14ac:dyDescent="0.2">
      <c r="A23" s="6" t="s">
        <v>47</v>
      </c>
      <c r="B23" s="7" t="e">
        <f ca="1">_xll.EVRNG($A$125:$B$146)</f>
        <v>#NAME?</v>
      </c>
      <c r="K23" s="53"/>
      <c r="L23" s="53"/>
      <c r="M23" s="53"/>
      <c r="AD23" s="136"/>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IF($N$1="",IF(_xll.EVDES(B6,$B$1)="#NODATA","",_xll.EVDES(B6,$B$1)&amp;" Department"),$N$1)</f>
        <v>#NAME?</v>
      </c>
    </row>
    <row r="28" spans="1:40" ht="16" x14ac:dyDescent="0.2">
      <c r="A28" s="6" t="s">
        <v>12</v>
      </c>
      <c r="B28" s="7" t="s">
        <v>22</v>
      </c>
      <c r="N28" s="67" t="e">
        <f ca="1">"For the Period ended"&amp;" "&amp;IF(_xll.EVDES($B$10,$B$1)="#NODATA","",_xll.EVDES($B$10,$B$1))</f>
        <v>#NAME?</v>
      </c>
    </row>
    <row r="29" spans="1:40" ht="15" customHeight="1" x14ac:dyDescent="0.2">
      <c r="A29" s="6" t="s">
        <v>13</v>
      </c>
      <c r="B29" s="7" t="e">
        <f ca="1">"DEP(REV_F) AND "&amp;$E$6&amp;"=Y,REV_F,BEV,DEP(REV_BEV) AND "&amp;$E$6&amp;"=Y,REV_BEV,ALLOW_FB,REV_FB,OTHR_REV,DEP(REV_OTHR) AND "&amp;$E$6&amp;"=Y,REV_OTHR,400000"</f>
        <v>#NAME?</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751</v>
      </c>
      <c r="AK30" s="209"/>
      <c r="AL30" s="210"/>
      <c r="AM30" s="209" t="s">
        <v>750</v>
      </c>
      <c r="AN30" s="209"/>
    </row>
    <row r="31" spans="1:40" x14ac:dyDescent="0.2">
      <c r="A31" s="6" t="s">
        <v>15</v>
      </c>
      <c r="B31" s="7"/>
      <c r="G31" s="13"/>
      <c r="K31" s="11"/>
      <c r="L31" s="11"/>
      <c r="M31" s="1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69</v>
      </c>
      <c r="I33" s="11" t="e">
        <f ca="1">_xll.EVPRO($B$1,$H33,"STYLE")</f>
        <v>#NAME?</v>
      </c>
      <c r="J33" s="11" t="e">
        <f ca="1">_xll.EVPRO($B$1,$H33,"CALC")</f>
        <v>#NAME?</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0" x14ac:dyDescent="0.2">
      <c r="H34" s="1" t="s">
        <v>259</v>
      </c>
      <c r="I34" s="11" t="e">
        <f ca="1">_xll.EVPRO($B$1,$H34,"STYLE")</f>
        <v>#NAME?</v>
      </c>
      <c r="J34" s="11" t="e">
        <f ca="1">_xll.EVPRO($B$1,$H34,"CALC")</f>
        <v>#NAME?</v>
      </c>
      <c r="L34" s="175" t="s">
        <v>364</v>
      </c>
      <c r="M34" s="175" t="s">
        <v>782</v>
      </c>
      <c r="N34" s="8" t="e">
        <f ca="1">IF(_xll.EVDES(H34,$B$1)="#NODATA","",_xll.EVDES(H34,$B$1))</f>
        <v>#NAME?</v>
      </c>
      <c r="O34" s="50"/>
      <c r="AB34" s="51"/>
      <c r="AD34" s="50"/>
      <c r="AF34" s="51"/>
      <c r="AG34" s="50"/>
      <c r="AI34" s="51"/>
    </row>
    <row r="35" spans="1:40" x14ac:dyDescent="0.2">
      <c r="A35" s="20" t="s">
        <v>92</v>
      </c>
      <c r="B35" s="21" t="s">
        <v>93</v>
      </c>
      <c r="C35" s="21" t="s">
        <v>94</v>
      </c>
      <c r="D35" s="21" t="s">
        <v>95</v>
      </c>
      <c r="E35" s="21" t="s">
        <v>96</v>
      </c>
      <c r="F35" s="22" t="s">
        <v>97</v>
      </c>
      <c r="H35" s="10" t="s">
        <v>260</v>
      </c>
      <c r="I35" s="25" t="e">
        <f ca="1">_xll.EVPRO($B$1,$H35,"STYLE")</f>
        <v>#NAME?</v>
      </c>
      <c r="J35" s="25" t="e">
        <f ca="1">_xll.EVPRO($B$1,$H35,"CALC")</f>
        <v>#NAME?</v>
      </c>
      <c r="K35" s="64" t="e">
        <f ca="1">IF(AND(I35&gt;="T5"),"&gt;","")</f>
        <v>#NAME?</v>
      </c>
      <c r="L35" s="24" t="e">
        <f ca="1">_xll.EVPRO($B$1,H35,"JDEID")</f>
        <v>#NAME?</v>
      </c>
      <c r="M35" s="24" t="e">
        <f ca="1">IF(AND(I35="N",J35="N"),_xll.EVPRO($B$1,H35,"PSFTID"),"")</f>
        <v>#NAME?</v>
      </c>
      <c r="N35" s="24" t="e">
        <f ca="1">IF(_xll.EVDES(H35,$B$1)="#NODATA","",_xll.EVDES(H35,$B$1))</f>
        <v>#NAME?</v>
      </c>
      <c r="O35" s="282"/>
      <c r="P35" s="283"/>
      <c r="Q35" s="283"/>
      <c r="R35" s="283"/>
      <c r="S35" s="283"/>
      <c r="T35" s="283"/>
      <c r="U35" s="283"/>
      <c r="V35" s="283"/>
      <c r="W35" s="283"/>
      <c r="X35" s="283"/>
      <c r="Y35" s="283"/>
      <c r="Z35" s="283"/>
      <c r="AA35" s="283" t="e">
        <f t="shared" ref="AA35:AA58" ca="1" si="0">IF($I35="B1","",SUM(O35:Z35))</f>
        <v>#NAME?</v>
      </c>
      <c r="AB35" s="284" t="e">
        <f t="shared" ref="AB35:AB58" ca="1" si="1">IF(AA35=0,"",IFERROR(AA35/AA$19,""))</f>
        <v>#NAME?</v>
      </c>
      <c r="AC35" s="300"/>
      <c r="AD35" s="283"/>
      <c r="AE35" s="284" t="str">
        <f t="shared" ref="AE35:AE58" si="2">IF(AD35=0,"",IFERROR(AD35/AD$19,""))</f>
        <v/>
      </c>
      <c r="AF35" s="285" t="e">
        <f t="shared" ref="AF35:AF58" ca="1" si="3">IF(AND($AA35="",AD35=""),"",$AA35-AD35)</f>
        <v>#NAME?</v>
      </c>
      <c r="AG35" s="283">
        <v>617.95000000000005</v>
      </c>
      <c r="AH35" s="284" t="str">
        <f ca="1">IF(AG35=0,"",IFERROR(AG35/AG$19,""))</f>
        <v/>
      </c>
      <c r="AI35" s="286" t="e">
        <f ca="1">IF(AND($AA35="",AG35=""),"",$AA35-AG35)</f>
        <v>#NAME?</v>
      </c>
      <c r="AJ35" s="371">
        <f ca="1">IFERROR(AA35/AA$20,0)</f>
        <v>0</v>
      </c>
      <c r="AK35" s="372">
        <f ca="1">IFERROR(AD35/AD$20,0)</f>
        <v>0</v>
      </c>
      <c r="AL35" s="373">
        <f ca="1">IFERROR(AG35/AG$20,0)</f>
        <v>0</v>
      </c>
      <c r="AM35" s="374">
        <f ca="1">+IFERROR(ROUND(($AB35-AE35)*100,2)&amp;" pts.",0)</f>
        <v>0</v>
      </c>
      <c r="AN35" s="375">
        <f ca="1">+IFERROR(ROUND(($AB35-AH35)*100,2)&amp;" pts.",0)</f>
        <v>0</v>
      </c>
    </row>
    <row r="36" spans="1:40" x14ac:dyDescent="0.2">
      <c r="H36" s="10" t="s">
        <v>261</v>
      </c>
      <c r="I36" s="25" t="e">
        <f ca="1">_xll.EVPRO($B$1,$H36,"STYLE")</f>
        <v>#NAME?</v>
      </c>
      <c r="J36" s="25" t="e">
        <f ca="1">_xll.EVPRO($B$1,$H36,"CALC")</f>
        <v>#NAME?</v>
      </c>
      <c r="K36" s="64" t="e">
        <f t="shared" ref="K36:K58" ca="1" si="4">IF(AND(I36&gt;="T5"),"&gt;","")</f>
        <v>#NAME?</v>
      </c>
      <c r="L36" s="24" t="e">
        <f ca="1">_xll.EVPRO($B$1,H36,"JDEID")</f>
        <v>#NAME?</v>
      </c>
      <c r="M36" s="24" t="e">
        <f ca="1">IF(AND(I36="N",J36="N"),_xll.EVPRO($B$1,H36,"PSFTID"),"")</f>
        <v>#NAME?</v>
      </c>
      <c r="N36" s="24" t="e">
        <f ca="1">IF(_xll.EVDES(H36,$B$1)="#NODATA","",_xll.EVDES(H36,$B$1))</f>
        <v>#NAME?</v>
      </c>
      <c r="O36" s="282"/>
      <c r="P36" s="283"/>
      <c r="Q36" s="283"/>
      <c r="R36" s="283"/>
      <c r="S36" s="283"/>
      <c r="T36" s="283"/>
      <c r="U36" s="283"/>
      <c r="V36" s="283"/>
      <c r="W36" s="283"/>
      <c r="X36" s="283"/>
      <c r="Y36" s="283"/>
      <c r="Z36" s="283"/>
      <c r="AA36" s="283" t="e">
        <f t="shared" ca="1" si="0"/>
        <v>#NAME?</v>
      </c>
      <c r="AB36" s="284" t="e">
        <f t="shared" ca="1" si="1"/>
        <v>#NAME?</v>
      </c>
      <c r="AC36" s="300"/>
      <c r="AD36" s="283"/>
      <c r="AE36" s="284" t="str">
        <f t="shared" si="2"/>
        <v/>
      </c>
      <c r="AF36" s="285" t="e">
        <f t="shared" ca="1" si="3"/>
        <v>#NAME?</v>
      </c>
      <c r="AG36" s="283"/>
      <c r="AH36" s="284" t="str">
        <f t="shared" ref="AH36:AH58" si="5">IF(AG36=0,"",IFERROR(AG36/AG$19,""))</f>
        <v/>
      </c>
      <c r="AI36" s="286" t="e">
        <f t="shared" ref="AI36:AI58" ca="1" si="6">IF(AND($AA36="",AG36=""),"",$AA36-AG36)</f>
        <v>#NAME?</v>
      </c>
      <c r="AJ36" s="371">
        <f t="shared" ref="AJ36:AJ58" ca="1" si="7">IFERROR(AA36/AA$20,0)</f>
        <v>0</v>
      </c>
      <c r="AK36" s="372">
        <f t="shared" ref="AK36:AK58" ca="1" si="8">IFERROR(AD36/AD$20,0)</f>
        <v>0</v>
      </c>
      <c r="AL36" s="373">
        <f t="shared" ref="AL36:AL58" ca="1" si="9">IFERROR(AG36/AG$20,0)</f>
        <v>0</v>
      </c>
      <c r="AM36" s="374">
        <f t="shared" ref="AM36:AM58" ca="1" si="10">+IFERROR(ROUND(($AB36-AE36)*100,2)&amp;" pts.",0)</f>
        <v>0</v>
      </c>
      <c r="AN36" s="375">
        <f t="shared" ref="AN36:AN58" ca="1" si="11">+IFERROR(ROUND(($AB36-AH36)*100,2)&amp;" pts.",0)</f>
        <v>0</v>
      </c>
    </row>
    <row r="37" spans="1:40" x14ac:dyDescent="0.2">
      <c r="A37" s="1" t="s">
        <v>209</v>
      </c>
      <c r="B37" s="1" t="s">
        <v>21</v>
      </c>
      <c r="C37" s="70"/>
      <c r="D37" s="1" t="s">
        <v>590</v>
      </c>
      <c r="F37" s="1" t="s">
        <v>99</v>
      </c>
      <c r="H37" s="10" t="s">
        <v>262</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282"/>
      <c r="P37" s="283"/>
      <c r="Q37" s="283"/>
      <c r="R37" s="283"/>
      <c r="S37" s="283"/>
      <c r="T37" s="283"/>
      <c r="U37" s="283"/>
      <c r="V37" s="283"/>
      <c r="W37" s="283"/>
      <c r="X37" s="283"/>
      <c r="Y37" s="283"/>
      <c r="Z37" s="283"/>
      <c r="AA37" s="283" t="e">
        <f t="shared" ca="1" si="0"/>
        <v>#NAME?</v>
      </c>
      <c r="AB37" s="284" t="e">
        <f t="shared" ca="1" si="1"/>
        <v>#NAME?</v>
      </c>
      <c r="AC37" s="300"/>
      <c r="AD37" s="283"/>
      <c r="AE37" s="284" t="str">
        <f t="shared" si="2"/>
        <v/>
      </c>
      <c r="AF37" s="285" t="e">
        <f t="shared" ca="1" si="3"/>
        <v>#NAME?</v>
      </c>
      <c r="AG37" s="283"/>
      <c r="AH37" s="284" t="str">
        <f t="shared" si="5"/>
        <v/>
      </c>
      <c r="AI37" s="286" t="e">
        <f t="shared" ca="1" si="6"/>
        <v>#NAME?</v>
      </c>
      <c r="AJ37" s="371">
        <f t="shared" ca="1" si="7"/>
        <v>0</v>
      </c>
      <c r="AK37" s="372">
        <f t="shared" ca="1" si="8"/>
        <v>0</v>
      </c>
      <c r="AL37" s="373">
        <f t="shared" ca="1" si="9"/>
        <v>0</v>
      </c>
      <c r="AM37" s="374">
        <f t="shared" ca="1" si="10"/>
        <v>0</v>
      </c>
      <c r="AN37" s="375">
        <f t="shared" ca="1" si="11"/>
        <v>0</v>
      </c>
    </row>
    <row r="38" spans="1:40" x14ac:dyDescent="0.2">
      <c r="A38" s="1" t="s">
        <v>105</v>
      </c>
      <c r="C38" s="24" t="s">
        <v>101</v>
      </c>
      <c r="D38" s="1" t="s">
        <v>106</v>
      </c>
      <c r="F38" s="1" t="s">
        <v>98</v>
      </c>
      <c r="H38" s="10" t="s">
        <v>263</v>
      </c>
      <c r="I38" s="25" t="e">
        <f ca="1">_xll.EVPRO($B$1,$H38,"STYLE")</f>
        <v>#NAME?</v>
      </c>
      <c r="J38" s="25" t="e">
        <f ca="1">_xll.EVPRO($B$1,$H38,"CALC")</f>
        <v>#NAME?</v>
      </c>
      <c r="K38" s="64" t="e">
        <f t="shared" ca="1" si="4"/>
        <v>#NAME?</v>
      </c>
      <c r="L38" s="24" t="e">
        <f ca="1">_xll.EVPRO($B$1,H38,"JDEID")</f>
        <v>#NAME?</v>
      </c>
      <c r="M38" s="24" t="e">
        <f ca="1">IF(AND(I38="N",J38="N"),_xll.EVPRO($B$1,H38,"PSFTID"),"")</f>
        <v>#NAME?</v>
      </c>
      <c r="N38" s="24" t="e">
        <f ca="1">IF(_xll.EVDES(H38,$B$1)="#NODATA","",_xll.EVDES(H38,$B$1))</f>
        <v>#NAME?</v>
      </c>
      <c r="O38" s="282">
        <v>1575</v>
      </c>
      <c r="P38" s="283"/>
      <c r="Q38" s="283"/>
      <c r="R38" s="283"/>
      <c r="S38" s="283"/>
      <c r="T38" s="283"/>
      <c r="U38" s="283"/>
      <c r="V38" s="283"/>
      <c r="W38" s="283"/>
      <c r="X38" s="283"/>
      <c r="Y38" s="283"/>
      <c r="Z38" s="283"/>
      <c r="AA38" s="283" t="e">
        <f t="shared" ca="1" si="0"/>
        <v>#NAME?</v>
      </c>
      <c r="AB38" s="284" t="e">
        <f t="shared" ca="1" si="1"/>
        <v>#NAME?</v>
      </c>
      <c r="AC38" s="300"/>
      <c r="AD38" s="283"/>
      <c r="AE38" s="284" t="str">
        <f t="shared" si="2"/>
        <v/>
      </c>
      <c r="AF38" s="285" t="e">
        <f t="shared" ca="1" si="3"/>
        <v>#NAME?</v>
      </c>
      <c r="AG38" s="283">
        <v>142656.99</v>
      </c>
      <c r="AH38" s="284" t="str">
        <f t="shared" ca="1" si="5"/>
        <v/>
      </c>
      <c r="AI38" s="286" t="e">
        <f t="shared" ca="1" si="6"/>
        <v>#NAME?</v>
      </c>
      <c r="AJ38" s="371">
        <f t="shared" ca="1" si="7"/>
        <v>0</v>
      </c>
      <c r="AK38" s="372">
        <f t="shared" ca="1" si="8"/>
        <v>0</v>
      </c>
      <c r="AL38" s="373">
        <f t="shared" ca="1" si="9"/>
        <v>0</v>
      </c>
      <c r="AM38" s="374">
        <f t="shared" ca="1" si="10"/>
        <v>0</v>
      </c>
      <c r="AN38" s="375">
        <f t="shared" ca="1" si="11"/>
        <v>0</v>
      </c>
    </row>
    <row r="39" spans="1:40" x14ac:dyDescent="0.2">
      <c r="A39" s="1" t="s">
        <v>104</v>
      </c>
      <c r="C39" s="24" t="s">
        <v>101</v>
      </c>
      <c r="D39" s="1" t="s">
        <v>106</v>
      </c>
      <c r="F39" s="1" t="s">
        <v>98</v>
      </c>
      <c r="H39" s="10" t="s">
        <v>264</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295"/>
      <c r="P39" s="296"/>
      <c r="Q39" s="296"/>
      <c r="R39" s="296"/>
      <c r="S39" s="296"/>
      <c r="T39" s="296"/>
      <c r="U39" s="296"/>
      <c r="V39" s="296"/>
      <c r="W39" s="296"/>
      <c r="X39" s="296"/>
      <c r="Y39" s="296"/>
      <c r="Z39" s="296"/>
      <c r="AA39" s="296" t="e">
        <f t="shared" ca="1" si="0"/>
        <v>#NAME?</v>
      </c>
      <c r="AB39" s="297" t="e">
        <f t="shared" ca="1" si="1"/>
        <v>#NAME?</v>
      </c>
      <c r="AC39" s="263"/>
      <c r="AD39" s="296"/>
      <c r="AE39" s="297" t="str">
        <f t="shared" si="2"/>
        <v/>
      </c>
      <c r="AF39" s="298" t="e">
        <f t="shared" ca="1" si="3"/>
        <v>#NAME?</v>
      </c>
      <c r="AG39" s="296"/>
      <c r="AH39" s="297" t="str">
        <f t="shared" si="5"/>
        <v/>
      </c>
      <c r="AI39" s="299" t="e">
        <f t="shared" ca="1" si="6"/>
        <v>#NAME?</v>
      </c>
      <c r="AJ39" s="381">
        <f t="shared" ca="1" si="7"/>
        <v>0</v>
      </c>
      <c r="AK39" s="382">
        <f t="shared" ca="1" si="8"/>
        <v>0</v>
      </c>
      <c r="AL39" s="383">
        <f t="shared" ca="1" si="9"/>
        <v>0</v>
      </c>
      <c r="AM39" s="384">
        <f t="shared" ca="1" si="10"/>
        <v>0</v>
      </c>
      <c r="AN39" s="385">
        <f t="shared" ca="1" si="11"/>
        <v>0</v>
      </c>
    </row>
    <row r="40" spans="1:40" x14ac:dyDescent="0.2">
      <c r="A40" s="1" t="s">
        <v>100</v>
      </c>
      <c r="C40" s="8" t="s">
        <v>101</v>
      </c>
      <c r="D40" s="1" t="s">
        <v>106</v>
      </c>
      <c r="F40" s="1" t="s">
        <v>98</v>
      </c>
      <c r="H40" s="10" t="s">
        <v>265</v>
      </c>
      <c r="I40" s="447" t="e">
        <f ca="1">_xll.EVPRO($B$1,$H40,"STYLE")</f>
        <v>#NAME?</v>
      </c>
      <c r="J40" s="447" t="e">
        <f ca="1">_xll.EVPRO($B$1,$H40,"CALC")</f>
        <v>#NAME?</v>
      </c>
      <c r="K40" s="448" t="e">
        <f t="shared" ca="1" si="4"/>
        <v>#NAME?</v>
      </c>
      <c r="L40" s="151" t="e">
        <f ca="1">_xll.EVPRO($B$1,H40,"JDEID")</f>
        <v>#NAME?</v>
      </c>
      <c r="M40" s="151" t="e">
        <f ca="1">IF(AND(I40="N",J40="N"),_xll.EVPRO($B$1,H40,"PSFTID"),"")</f>
        <v>#NAME?</v>
      </c>
      <c r="N40" s="151" t="e">
        <f ca="1">IF(_xll.EVDES(H40,$B$1)="#NODATA","",_xll.EVDES(H40,$B$1))</f>
        <v>#NAME?</v>
      </c>
      <c r="O40" s="202">
        <v>1575</v>
      </c>
      <c r="P40" s="120"/>
      <c r="Q40" s="120"/>
      <c r="R40" s="120"/>
      <c r="S40" s="120"/>
      <c r="T40" s="120"/>
      <c r="U40" s="120"/>
      <c r="V40" s="120"/>
      <c r="W40" s="120"/>
      <c r="X40" s="120"/>
      <c r="Y40" s="120"/>
      <c r="Z40" s="120"/>
      <c r="AA40" s="120" t="e">
        <f t="shared" ca="1" si="0"/>
        <v>#NAME?</v>
      </c>
      <c r="AB40" s="121" t="e">
        <f t="shared" ca="1" si="1"/>
        <v>#NAME?</v>
      </c>
      <c r="AC40" s="123"/>
      <c r="AD40" s="120"/>
      <c r="AE40" s="121" t="str">
        <f t="shared" si="2"/>
        <v/>
      </c>
      <c r="AF40" s="122" t="e">
        <f t="shared" ca="1" si="3"/>
        <v>#NAME?</v>
      </c>
      <c r="AG40" s="120">
        <v>143274.94</v>
      </c>
      <c r="AH40" s="121" t="str">
        <f t="shared" ca="1" si="5"/>
        <v/>
      </c>
      <c r="AI40" s="264" t="e">
        <f t="shared" ca="1" si="6"/>
        <v>#NAME?</v>
      </c>
      <c r="AJ40" s="332">
        <f t="shared" ca="1" si="7"/>
        <v>0</v>
      </c>
      <c r="AK40" s="333">
        <f t="shared" ca="1" si="8"/>
        <v>0</v>
      </c>
      <c r="AL40" s="335">
        <f t="shared" ca="1" si="9"/>
        <v>0</v>
      </c>
      <c r="AM40" s="377">
        <f t="shared" ca="1" si="10"/>
        <v>0</v>
      </c>
      <c r="AN40" s="378">
        <f t="shared" ca="1" si="11"/>
        <v>0</v>
      </c>
    </row>
    <row r="41" spans="1:40" x14ac:dyDescent="0.2">
      <c r="A41" s="1" t="s">
        <v>102</v>
      </c>
      <c r="C41" s="23" t="s">
        <v>101</v>
      </c>
      <c r="D41" s="1" t="s">
        <v>106</v>
      </c>
      <c r="F41" s="1" t="s">
        <v>98</v>
      </c>
      <c r="H41" s="10" t="s">
        <v>266</v>
      </c>
      <c r="I41" s="447" t="e">
        <f ca="1">_xll.EVPRO($B$1,$H41,"STYLE")</f>
        <v>#NAME?</v>
      </c>
      <c r="J41" s="447" t="e">
        <f ca="1">_xll.EVPRO($B$1,$H41,"CALC")</f>
        <v>#NAME?</v>
      </c>
      <c r="K41" s="448" t="e">
        <f t="shared" ca="1" si="4"/>
        <v>#NAME?</v>
      </c>
      <c r="L41" s="151" t="e">
        <f ca="1">_xll.EVPRO($B$1,H41,"JDEID")</f>
        <v>#NAME?</v>
      </c>
      <c r="M41" s="151" t="e">
        <f ca="1">IF(AND(I41="N",J41="N"),_xll.EVPRO($B$1,H41,"PSFTID"),"")</f>
        <v>#NAME?</v>
      </c>
      <c r="N41" s="151" t="e">
        <f ca="1">IF(_xll.EVDES(H41,$B$1)="#NODATA","",_xll.EVDES(H41,$B$1))</f>
        <v>#NAME?</v>
      </c>
      <c r="O41" s="287"/>
      <c r="P41" s="288"/>
      <c r="Q41" s="288"/>
      <c r="R41" s="288"/>
      <c r="S41" s="288"/>
      <c r="T41" s="288"/>
      <c r="U41" s="288"/>
      <c r="V41" s="288"/>
      <c r="W41" s="288"/>
      <c r="X41" s="288"/>
      <c r="Y41" s="288"/>
      <c r="Z41" s="288"/>
      <c r="AA41" s="288" t="e">
        <f t="shared" ca="1" si="0"/>
        <v>#NAME?</v>
      </c>
      <c r="AB41" s="289" t="e">
        <f t="shared" ca="1" si="1"/>
        <v>#NAME?</v>
      </c>
      <c r="AC41" s="301"/>
      <c r="AD41" s="288"/>
      <c r="AE41" s="289" t="str">
        <f t="shared" si="2"/>
        <v/>
      </c>
      <c r="AF41" s="290" t="e">
        <f t="shared" ca="1" si="3"/>
        <v>#NAME?</v>
      </c>
      <c r="AG41" s="288"/>
      <c r="AH41" s="289" t="str">
        <f t="shared" si="5"/>
        <v/>
      </c>
      <c r="AI41" s="291" t="e">
        <f t="shared" ca="1" si="6"/>
        <v>#NAME?</v>
      </c>
      <c r="AJ41" s="325">
        <f t="shared" ca="1" si="7"/>
        <v>0</v>
      </c>
      <c r="AK41" s="326">
        <f t="shared" ca="1" si="8"/>
        <v>0</v>
      </c>
      <c r="AL41" s="328">
        <f t="shared" ca="1" si="9"/>
        <v>0</v>
      </c>
      <c r="AM41" s="362">
        <f t="shared" ca="1" si="10"/>
        <v>0</v>
      </c>
      <c r="AN41" s="376">
        <f t="shared" ca="1" si="11"/>
        <v>0</v>
      </c>
    </row>
    <row r="42" spans="1:40" x14ac:dyDescent="0.2">
      <c r="A42" s="1" t="s">
        <v>102</v>
      </c>
      <c r="C42" s="135" t="s">
        <v>101</v>
      </c>
      <c r="D42" s="1" t="s">
        <v>107</v>
      </c>
      <c r="F42" s="1" t="s">
        <v>99</v>
      </c>
      <c r="H42" s="10" t="s">
        <v>267</v>
      </c>
      <c r="I42" s="25" t="e">
        <f ca="1">_xll.EVPRO($B$1,$H42,"STYLE")</f>
        <v>#NAME?</v>
      </c>
      <c r="J42" s="25" t="e">
        <f ca="1">_xll.EVPRO($B$1,$H42,"CALC")</f>
        <v>#NAME?</v>
      </c>
      <c r="K42" s="64" t="e">
        <f t="shared" ca="1" si="4"/>
        <v>#NAME?</v>
      </c>
      <c r="L42" s="24" t="e">
        <f ca="1">_xll.EVPRO($B$1,H42,"JDEID")</f>
        <v>#NAME?</v>
      </c>
      <c r="M42" s="24" t="e">
        <f ca="1">IF(AND(I42="N",J42="N"),_xll.EVPRO($B$1,H42,"PSFTID"),"")</f>
        <v>#NAME?</v>
      </c>
      <c r="N42" s="24" t="e">
        <f ca="1">IF(_xll.EVDES(H42,$B$1)="#NODATA","",_xll.EVDES(H42,$B$1))</f>
        <v>#NAME?</v>
      </c>
      <c r="O42" s="282"/>
      <c r="P42" s="283"/>
      <c r="Q42" s="283"/>
      <c r="R42" s="283"/>
      <c r="S42" s="283"/>
      <c r="T42" s="283"/>
      <c r="U42" s="283"/>
      <c r="V42" s="283"/>
      <c r="W42" s="283"/>
      <c r="X42" s="283"/>
      <c r="Y42" s="283"/>
      <c r="Z42" s="283"/>
      <c r="AA42" s="283" t="e">
        <f t="shared" ca="1" si="0"/>
        <v>#NAME?</v>
      </c>
      <c r="AB42" s="284" t="e">
        <f t="shared" ca="1" si="1"/>
        <v>#NAME?</v>
      </c>
      <c r="AC42" s="300"/>
      <c r="AD42" s="283"/>
      <c r="AE42" s="284" t="str">
        <f t="shared" si="2"/>
        <v/>
      </c>
      <c r="AF42" s="285" t="e">
        <f t="shared" ca="1" si="3"/>
        <v>#NAME?</v>
      </c>
      <c r="AG42" s="283"/>
      <c r="AH42" s="284" t="str">
        <f t="shared" si="5"/>
        <v/>
      </c>
      <c r="AI42" s="286" t="e">
        <f t="shared" ca="1" si="6"/>
        <v>#NAME?</v>
      </c>
      <c r="AJ42" s="371">
        <f t="shared" ca="1" si="7"/>
        <v>0</v>
      </c>
      <c r="AK42" s="372">
        <f t="shared" ca="1" si="8"/>
        <v>0</v>
      </c>
      <c r="AL42" s="373">
        <f t="shared" ca="1" si="9"/>
        <v>0</v>
      </c>
      <c r="AM42" s="374">
        <f t="shared" ca="1" si="10"/>
        <v>0</v>
      </c>
      <c r="AN42" s="375">
        <f t="shared" ca="1" si="11"/>
        <v>0</v>
      </c>
    </row>
    <row r="43" spans="1:40" x14ac:dyDescent="0.2">
      <c r="A43" s="1" t="s">
        <v>108</v>
      </c>
      <c r="C43" s="23" t="s">
        <v>101</v>
      </c>
      <c r="D43" s="1" t="s">
        <v>106</v>
      </c>
      <c r="F43" s="1" t="s">
        <v>98</v>
      </c>
      <c r="H43" s="10" t="s">
        <v>268</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282"/>
      <c r="P43" s="283"/>
      <c r="Q43" s="283"/>
      <c r="R43" s="283"/>
      <c r="S43" s="283"/>
      <c r="T43" s="283"/>
      <c r="U43" s="283"/>
      <c r="V43" s="283"/>
      <c r="W43" s="283"/>
      <c r="X43" s="283"/>
      <c r="Y43" s="283"/>
      <c r="Z43" s="283"/>
      <c r="AA43" s="283" t="e">
        <f t="shared" ca="1" si="0"/>
        <v>#NAME?</v>
      </c>
      <c r="AB43" s="284" t="e">
        <f t="shared" ca="1" si="1"/>
        <v>#NAME?</v>
      </c>
      <c r="AC43" s="300"/>
      <c r="AD43" s="283"/>
      <c r="AE43" s="284" t="str">
        <f t="shared" si="2"/>
        <v/>
      </c>
      <c r="AF43" s="285" t="e">
        <f t="shared" ca="1" si="3"/>
        <v>#NAME?</v>
      </c>
      <c r="AG43" s="283">
        <v>49</v>
      </c>
      <c r="AH43" s="284" t="str">
        <f t="shared" ca="1" si="5"/>
        <v/>
      </c>
      <c r="AI43" s="286" t="e">
        <f t="shared" ca="1" si="6"/>
        <v>#NAME?</v>
      </c>
      <c r="AJ43" s="371">
        <f t="shared" ca="1" si="7"/>
        <v>0</v>
      </c>
      <c r="AK43" s="372">
        <f t="shared" ca="1" si="8"/>
        <v>0</v>
      </c>
      <c r="AL43" s="373">
        <f t="shared" ca="1" si="9"/>
        <v>0</v>
      </c>
      <c r="AM43" s="374">
        <f t="shared" ca="1" si="10"/>
        <v>0</v>
      </c>
      <c r="AN43" s="375">
        <f t="shared" ca="1" si="11"/>
        <v>0</v>
      </c>
    </row>
    <row r="44" spans="1:40" x14ac:dyDescent="0.2">
      <c r="A44" s="1" t="s">
        <v>108</v>
      </c>
      <c r="C44" s="135" t="s">
        <v>101</v>
      </c>
      <c r="D44" s="1" t="s">
        <v>107</v>
      </c>
      <c r="F44" s="1" t="s">
        <v>99</v>
      </c>
      <c r="H44" s="10" t="s">
        <v>269</v>
      </c>
      <c r="I44" s="25" t="e">
        <f ca="1">_xll.EVPRO($B$1,$H44,"STYLE")</f>
        <v>#NAME?</v>
      </c>
      <c r="J44" s="25" t="e">
        <f ca="1">_xll.EVPRO($B$1,$H44,"CALC")</f>
        <v>#NAME?</v>
      </c>
      <c r="K44" s="64" t="e">
        <f t="shared" ca="1" si="4"/>
        <v>#NAME?</v>
      </c>
      <c r="L44" s="24" t="e">
        <f ca="1">_xll.EVPRO($B$1,H44,"JDEID")</f>
        <v>#NAME?</v>
      </c>
      <c r="M44" s="24" t="e">
        <f ca="1">IF(AND(I44="N",J44="N"),_xll.EVPRO($B$1,H44,"PSFTID"),"")</f>
        <v>#NAME?</v>
      </c>
      <c r="N44" s="24" t="e">
        <f ca="1">IF(_xll.EVDES(H44,$B$1)="#NODATA","",_xll.EVDES(H44,$B$1))</f>
        <v>#NAME?</v>
      </c>
      <c r="O44" s="282"/>
      <c r="P44" s="283"/>
      <c r="Q44" s="283"/>
      <c r="R44" s="283"/>
      <c r="S44" s="283"/>
      <c r="T44" s="283"/>
      <c r="U44" s="283"/>
      <c r="V44" s="283"/>
      <c r="W44" s="283"/>
      <c r="X44" s="283"/>
      <c r="Y44" s="283"/>
      <c r="Z44" s="283"/>
      <c r="AA44" s="283" t="e">
        <f t="shared" ca="1" si="0"/>
        <v>#NAME?</v>
      </c>
      <c r="AB44" s="284" t="e">
        <f t="shared" ca="1" si="1"/>
        <v>#NAME?</v>
      </c>
      <c r="AC44" s="300"/>
      <c r="AD44" s="283"/>
      <c r="AE44" s="284" t="str">
        <f t="shared" si="2"/>
        <v/>
      </c>
      <c r="AF44" s="285" t="e">
        <f t="shared" ca="1" si="3"/>
        <v>#NAME?</v>
      </c>
      <c r="AG44" s="283"/>
      <c r="AH44" s="284" t="str">
        <f t="shared" si="5"/>
        <v/>
      </c>
      <c r="AI44" s="286" t="e">
        <f t="shared" ca="1" si="6"/>
        <v>#NAME?</v>
      </c>
      <c r="AJ44" s="371">
        <f t="shared" ca="1" si="7"/>
        <v>0</v>
      </c>
      <c r="AK44" s="372">
        <f t="shared" ca="1" si="8"/>
        <v>0</v>
      </c>
      <c r="AL44" s="373">
        <f t="shared" ca="1" si="9"/>
        <v>0</v>
      </c>
      <c r="AM44" s="374">
        <f t="shared" ca="1" si="10"/>
        <v>0</v>
      </c>
      <c r="AN44" s="375">
        <f t="shared" ca="1" si="11"/>
        <v>0</v>
      </c>
    </row>
    <row r="45" spans="1:40" x14ac:dyDescent="0.2">
      <c r="H45" s="10" t="s">
        <v>270</v>
      </c>
      <c r="I45" s="25" t="e">
        <f ca="1">_xll.EVPRO($B$1,$H45,"STYLE")</f>
        <v>#NAME?</v>
      </c>
      <c r="J45" s="25" t="e">
        <f ca="1">_xll.EVPRO($B$1,$H45,"CALC")</f>
        <v>#NAME?</v>
      </c>
      <c r="K45" s="64" t="e">
        <f t="shared" ca="1" si="4"/>
        <v>#NAME?</v>
      </c>
      <c r="L45" s="24" t="e">
        <f ca="1">_xll.EVPRO($B$1,H45,"JDEID")</f>
        <v>#NAME?</v>
      </c>
      <c r="M45" s="24" t="e">
        <f ca="1">IF(AND(I45="N",J45="N"),_xll.EVPRO($B$1,H45,"PSFTID"),"")</f>
        <v>#NAME?</v>
      </c>
      <c r="N45" s="24" t="e">
        <f ca="1">IF(_xll.EVDES(H45,$B$1)="#NODATA","",_xll.EVDES(H45,$B$1))</f>
        <v>#NAME?</v>
      </c>
      <c r="O45" s="282">
        <v>5343</v>
      </c>
      <c r="P45" s="283"/>
      <c r="Q45" s="283"/>
      <c r="R45" s="283"/>
      <c r="S45" s="283"/>
      <c r="T45" s="283"/>
      <c r="U45" s="283"/>
      <c r="V45" s="283"/>
      <c r="W45" s="283"/>
      <c r="X45" s="283"/>
      <c r="Y45" s="283"/>
      <c r="Z45" s="283"/>
      <c r="AA45" s="283" t="e">
        <f t="shared" ca="1" si="0"/>
        <v>#NAME?</v>
      </c>
      <c r="AB45" s="284" t="e">
        <f t="shared" ca="1" si="1"/>
        <v>#NAME?</v>
      </c>
      <c r="AC45" s="300"/>
      <c r="AD45" s="283"/>
      <c r="AE45" s="284" t="str">
        <f t="shared" si="2"/>
        <v/>
      </c>
      <c r="AF45" s="285" t="e">
        <f t="shared" ca="1" si="3"/>
        <v>#NAME?</v>
      </c>
      <c r="AG45" s="283">
        <v>284405.74</v>
      </c>
      <c r="AH45" s="284" t="str">
        <f t="shared" ca="1" si="5"/>
        <v/>
      </c>
      <c r="AI45" s="286" t="e">
        <f t="shared" ca="1" si="6"/>
        <v>#NAME?</v>
      </c>
      <c r="AJ45" s="371">
        <f t="shared" ca="1" si="7"/>
        <v>0</v>
      </c>
      <c r="AK45" s="372">
        <f t="shared" ca="1" si="8"/>
        <v>0</v>
      </c>
      <c r="AL45" s="373">
        <f t="shared" ca="1" si="9"/>
        <v>0</v>
      </c>
      <c r="AM45" s="374">
        <f t="shared" ca="1" si="10"/>
        <v>0</v>
      </c>
      <c r="AN45" s="375">
        <f t="shared" ca="1" si="11"/>
        <v>0</v>
      </c>
    </row>
    <row r="46" spans="1:40" x14ac:dyDescent="0.2">
      <c r="H46" s="10" t="s">
        <v>271</v>
      </c>
      <c r="I46" s="25" t="e">
        <f ca="1">_xll.EVPRO($B$1,$H46,"STYLE")</f>
        <v>#NAME?</v>
      </c>
      <c r="J46" s="25" t="e">
        <f ca="1">_xll.EVPRO($B$1,$H46,"CALC")</f>
        <v>#NAME?</v>
      </c>
      <c r="K46" s="64" t="e">
        <f t="shared" ca="1" si="4"/>
        <v>#NAME?</v>
      </c>
      <c r="L46" s="24" t="e">
        <f ca="1">_xll.EVPRO($B$1,H46,"JDEID")</f>
        <v>#NAME?</v>
      </c>
      <c r="M46" s="24" t="e">
        <f ca="1">IF(AND(I46="N",J46="N"),_xll.EVPRO($B$1,H46,"PSFTID"),"")</f>
        <v>#NAME?</v>
      </c>
      <c r="N46" s="24" t="e">
        <f ca="1">IF(_xll.EVDES(H46,$B$1)="#NODATA","",_xll.EVDES(H46,$B$1))</f>
        <v>#NAME?</v>
      </c>
      <c r="O46" s="295"/>
      <c r="P46" s="296"/>
      <c r="Q46" s="296"/>
      <c r="R46" s="296"/>
      <c r="S46" s="296"/>
      <c r="T46" s="296"/>
      <c r="U46" s="296"/>
      <c r="V46" s="296"/>
      <c r="W46" s="296"/>
      <c r="X46" s="296"/>
      <c r="Y46" s="296"/>
      <c r="Z46" s="296"/>
      <c r="AA46" s="296" t="e">
        <f t="shared" ca="1" si="0"/>
        <v>#NAME?</v>
      </c>
      <c r="AB46" s="297" t="e">
        <f t="shared" ca="1" si="1"/>
        <v>#NAME?</v>
      </c>
      <c r="AC46" s="263"/>
      <c r="AD46" s="296"/>
      <c r="AE46" s="297" t="str">
        <f t="shared" si="2"/>
        <v/>
      </c>
      <c r="AF46" s="298" t="e">
        <f t="shared" ca="1" si="3"/>
        <v>#NAME?</v>
      </c>
      <c r="AG46" s="296"/>
      <c r="AH46" s="297" t="str">
        <f t="shared" si="5"/>
        <v/>
      </c>
      <c r="AI46" s="299" t="e">
        <f t="shared" ca="1" si="6"/>
        <v>#NAME?</v>
      </c>
      <c r="AJ46" s="381">
        <f t="shared" ca="1" si="7"/>
        <v>0</v>
      </c>
      <c r="AK46" s="382">
        <f t="shared" ca="1" si="8"/>
        <v>0</v>
      </c>
      <c r="AL46" s="383">
        <f t="shared" ca="1" si="9"/>
        <v>0</v>
      </c>
      <c r="AM46" s="384">
        <f t="shared" ca="1" si="10"/>
        <v>0</v>
      </c>
      <c r="AN46" s="385">
        <f t="shared" ca="1" si="11"/>
        <v>0</v>
      </c>
    </row>
    <row r="47" spans="1:40" x14ac:dyDescent="0.2">
      <c r="A47" s="4" t="e">
        <f ca="1">_xll.EVDRE($B$1,A50:B57,A60:B66)</f>
        <v>#NAME?</v>
      </c>
      <c r="H47" s="10" t="s">
        <v>272</v>
      </c>
      <c r="I47" s="447" t="e">
        <f ca="1">_xll.EVPRO($B$1,$H47,"STYLE")</f>
        <v>#NAME?</v>
      </c>
      <c r="J47" s="447" t="e">
        <f ca="1">_xll.EVPRO($B$1,$H47,"CALC")</f>
        <v>#NAME?</v>
      </c>
      <c r="K47" s="448" t="e">
        <f t="shared" ca="1" si="4"/>
        <v>#NAME?</v>
      </c>
      <c r="L47" s="151" t="e">
        <f ca="1">_xll.EVPRO($B$1,H47,"JDEID")</f>
        <v>#NAME?</v>
      </c>
      <c r="M47" s="151" t="e">
        <f ca="1">IF(AND(I47="N",J47="N"),_xll.EVPRO($B$1,H47,"PSFTID"),"")</f>
        <v>#NAME?</v>
      </c>
      <c r="N47" s="151" t="e">
        <f ca="1">IF(_xll.EVDES(H47,$B$1)="#NODATA","",_xll.EVDES(H47,$B$1))</f>
        <v>#NAME?</v>
      </c>
      <c r="O47" s="202">
        <v>5343</v>
      </c>
      <c r="P47" s="120"/>
      <c r="Q47" s="120"/>
      <c r="R47" s="120"/>
      <c r="S47" s="120"/>
      <c r="T47" s="120"/>
      <c r="U47" s="120"/>
      <c r="V47" s="120"/>
      <c r="W47" s="120"/>
      <c r="X47" s="120"/>
      <c r="Y47" s="120"/>
      <c r="Z47" s="120"/>
      <c r="AA47" s="120" t="e">
        <f t="shared" ca="1" si="0"/>
        <v>#NAME?</v>
      </c>
      <c r="AB47" s="121" t="e">
        <f t="shared" ca="1" si="1"/>
        <v>#NAME?</v>
      </c>
      <c r="AC47" s="123"/>
      <c r="AD47" s="120"/>
      <c r="AE47" s="121" t="str">
        <f t="shared" si="2"/>
        <v/>
      </c>
      <c r="AF47" s="122" t="e">
        <f t="shared" ca="1" si="3"/>
        <v>#NAME?</v>
      </c>
      <c r="AG47" s="120">
        <v>284454.74</v>
      </c>
      <c r="AH47" s="121" t="str">
        <f t="shared" ca="1" si="5"/>
        <v/>
      </c>
      <c r="AI47" s="264" t="e">
        <f t="shared" ca="1" si="6"/>
        <v>#NAME?</v>
      </c>
      <c r="AJ47" s="332">
        <f t="shared" ca="1" si="7"/>
        <v>0</v>
      </c>
      <c r="AK47" s="333">
        <f t="shared" ca="1" si="8"/>
        <v>0</v>
      </c>
      <c r="AL47" s="335">
        <f t="shared" ca="1" si="9"/>
        <v>0</v>
      </c>
      <c r="AM47" s="377">
        <f t="shared" ca="1" si="10"/>
        <v>0</v>
      </c>
      <c r="AN47" s="378">
        <f t="shared" ca="1" si="11"/>
        <v>0</v>
      </c>
    </row>
    <row r="48" spans="1:40" x14ac:dyDescent="0.2">
      <c r="H48" s="10" t="s">
        <v>486</v>
      </c>
      <c r="I48" s="25" t="e">
        <f ca="1">_xll.EVPRO($B$1,$H48,"STYLE")</f>
        <v>#NAME?</v>
      </c>
      <c r="J48" s="25" t="e">
        <f ca="1">_xll.EVPRO($B$1,$H48,"CALC")</f>
        <v>#NAME?</v>
      </c>
      <c r="K48" s="64" t="e">
        <f t="shared" ca="1" si="4"/>
        <v>#NAME?</v>
      </c>
      <c r="L48" s="24" t="e">
        <f ca="1">_xll.EVPRO($B$1,H48,"JDEID")</f>
        <v>#NAME?</v>
      </c>
      <c r="M48" s="24" t="e">
        <f ca="1">IF(AND(I48="N",J48="N"),_xll.EVPRO($B$1,H48,"PSFTID"),"")</f>
        <v>#NAME?</v>
      </c>
      <c r="N48" s="24" t="e">
        <f ca="1">IF(_xll.EVDES(H48,$B$1)="#NODATA","",_xll.EVDES(H48,$B$1))</f>
        <v>#NAME?</v>
      </c>
      <c r="O48" s="302"/>
      <c r="P48" s="44"/>
      <c r="Q48" s="44"/>
      <c r="R48" s="44"/>
      <c r="S48" s="44"/>
      <c r="T48" s="44"/>
      <c r="U48" s="44"/>
      <c r="V48" s="44"/>
      <c r="W48" s="44"/>
      <c r="X48" s="44"/>
      <c r="Y48" s="44"/>
      <c r="Z48" s="44"/>
      <c r="AA48" s="44" t="e">
        <f t="shared" ca="1" si="0"/>
        <v>#NAME?</v>
      </c>
      <c r="AB48" s="45" t="e">
        <f t="shared" ca="1" si="1"/>
        <v>#NAME?</v>
      </c>
      <c r="AD48" s="44"/>
      <c r="AE48" s="45" t="str">
        <f t="shared" si="2"/>
        <v/>
      </c>
      <c r="AF48" s="134" t="e">
        <f t="shared" ca="1" si="3"/>
        <v>#NAME?</v>
      </c>
      <c r="AG48" s="44">
        <v>-373.61</v>
      </c>
      <c r="AH48" s="45" t="str">
        <f t="shared" ca="1" si="5"/>
        <v/>
      </c>
      <c r="AI48" s="303" t="e">
        <f t="shared" ca="1" si="6"/>
        <v>#NAME?</v>
      </c>
      <c r="AJ48" s="392">
        <f t="shared" ca="1" si="7"/>
        <v>0</v>
      </c>
      <c r="AK48" s="393">
        <f t="shared" ca="1" si="8"/>
        <v>0</v>
      </c>
      <c r="AL48" s="394">
        <f t="shared" ca="1" si="9"/>
        <v>0</v>
      </c>
      <c r="AM48" s="395">
        <f t="shared" ca="1" si="10"/>
        <v>0</v>
      </c>
      <c r="AN48" s="396">
        <f t="shared" ca="1" si="11"/>
        <v>0</v>
      </c>
    </row>
    <row r="49" spans="1:40" x14ac:dyDescent="0.2">
      <c r="A49" s="3" t="s">
        <v>0</v>
      </c>
      <c r="B49" s="5" t="s">
        <v>1</v>
      </c>
      <c r="H49" s="10" t="s">
        <v>273</v>
      </c>
      <c r="I49" s="447" t="e">
        <f ca="1">_xll.EVPRO($B$1,$H49,"STYLE")</f>
        <v>#NAME?</v>
      </c>
      <c r="J49" s="447" t="e">
        <f ca="1">_xll.EVPRO($B$1,$H49,"CALC")</f>
        <v>#NAME?</v>
      </c>
      <c r="K49" s="448" t="e">
        <f t="shared" ca="1" si="4"/>
        <v>#NAME?</v>
      </c>
      <c r="L49" s="151" t="e">
        <f ca="1">_xll.EVPRO($B$1,H49,"JDEID")</f>
        <v>#NAME?</v>
      </c>
      <c r="M49" s="151" t="e">
        <f ca="1">IF(AND(I49="N",J49="N"),_xll.EVPRO($B$1,H49,"PSFTID"),"")</f>
        <v>#NAME?</v>
      </c>
      <c r="N49" s="151" t="e">
        <f ca="1">IF(_xll.EVDES(H49,$B$1)="#NODATA","",_xll.EVDES(H49,$B$1))</f>
        <v>#NAME?</v>
      </c>
      <c r="O49" s="202">
        <v>6918</v>
      </c>
      <c r="P49" s="120"/>
      <c r="Q49" s="120"/>
      <c r="R49" s="120"/>
      <c r="S49" s="120"/>
      <c r="T49" s="120"/>
      <c r="U49" s="120"/>
      <c r="V49" s="120"/>
      <c r="W49" s="120"/>
      <c r="X49" s="120"/>
      <c r="Y49" s="120"/>
      <c r="Z49" s="120"/>
      <c r="AA49" s="120" t="e">
        <f t="shared" ca="1" si="0"/>
        <v>#NAME?</v>
      </c>
      <c r="AB49" s="121" t="e">
        <f t="shared" ca="1" si="1"/>
        <v>#NAME?</v>
      </c>
      <c r="AC49" s="123"/>
      <c r="AD49" s="120"/>
      <c r="AE49" s="121" t="str">
        <f t="shared" si="2"/>
        <v/>
      </c>
      <c r="AF49" s="122" t="e">
        <f t="shared" ca="1" si="3"/>
        <v>#NAME?</v>
      </c>
      <c r="AG49" s="120">
        <v>427356.07</v>
      </c>
      <c r="AH49" s="121" t="str">
        <f t="shared" ca="1" si="5"/>
        <v/>
      </c>
      <c r="AI49" s="264" t="e">
        <f t="shared" ca="1" si="6"/>
        <v>#NAME?</v>
      </c>
      <c r="AJ49" s="332">
        <f t="shared" ca="1" si="7"/>
        <v>0</v>
      </c>
      <c r="AK49" s="333">
        <f t="shared" ca="1" si="8"/>
        <v>0</v>
      </c>
      <c r="AL49" s="335">
        <f t="shared" ca="1" si="9"/>
        <v>0</v>
      </c>
      <c r="AM49" s="377">
        <f t="shared" ca="1" si="10"/>
        <v>0</v>
      </c>
      <c r="AN49" s="378">
        <f t="shared" ca="1" si="11"/>
        <v>0</v>
      </c>
    </row>
    <row r="50" spans="1:40" x14ac:dyDescent="0.2">
      <c r="A50" s="6" t="s">
        <v>2</v>
      </c>
      <c r="B50" s="7" t="e">
        <f ca="1">_xll.EVRNG($B$2:$B$10)</f>
        <v>#NAME?</v>
      </c>
      <c r="H50" s="10" t="s">
        <v>279</v>
      </c>
      <c r="I50" s="447" t="e">
        <f ca="1">_xll.EVPRO($B$1,$H50,"STYLE")</f>
        <v>#NAME?</v>
      </c>
      <c r="J50" s="447" t="e">
        <f ca="1">_xll.EVPRO($B$1,$H50,"CALC")</f>
        <v>#NAME?</v>
      </c>
      <c r="K50" s="448" t="e">
        <f t="shared" ca="1" si="4"/>
        <v>#NAME?</v>
      </c>
      <c r="L50" s="151" t="e">
        <f ca="1">_xll.EVPRO($B$1,H50,"JDEID")</f>
        <v>#NAME?</v>
      </c>
      <c r="M50" s="151" t="e">
        <f ca="1">IF(AND(I50="N",J50="N"),_xll.EVPRO($B$1,H50,"PSFTID"),"")</f>
        <v>#NAME?</v>
      </c>
      <c r="N50" s="151" t="e">
        <f ca="1">IF(_xll.EVDES(H50,$B$1)="#NODATA","",_xll.EVDES(H50,$B$1))</f>
        <v>#NAME?</v>
      </c>
      <c r="O50" s="287"/>
      <c r="P50" s="288"/>
      <c r="Q50" s="288"/>
      <c r="R50" s="288"/>
      <c r="S50" s="288"/>
      <c r="T50" s="288"/>
      <c r="U50" s="288"/>
      <c r="V50" s="288"/>
      <c r="W50" s="288"/>
      <c r="X50" s="288"/>
      <c r="Y50" s="288"/>
      <c r="Z50" s="288"/>
      <c r="AA50" s="288" t="e">
        <f t="shared" ca="1" si="0"/>
        <v>#NAME?</v>
      </c>
      <c r="AB50" s="289" t="e">
        <f t="shared" ca="1" si="1"/>
        <v>#NAME?</v>
      </c>
      <c r="AC50" s="301"/>
      <c r="AD50" s="288"/>
      <c r="AE50" s="289" t="str">
        <f t="shared" si="2"/>
        <v/>
      </c>
      <c r="AF50" s="290" t="e">
        <f t="shared" ca="1" si="3"/>
        <v>#NAME?</v>
      </c>
      <c r="AG50" s="288"/>
      <c r="AH50" s="289" t="str">
        <f t="shared" si="5"/>
        <v/>
      </c>
      <c r="AI50" s="291" t="e">
        <f t="shared" ca="1" si="6"/>
        <v>#NAME?</v>
      </c>
      <c r="AJ50" s="325">
        <f t="shared" ca="1" si="7"/>
        <v>0</v>
      </c>
      <c r="AK50" s="326">
        <f t="shared" ca="1" si="8"/>
        <v>0</v>
      </c>
      <c r="AL50" s="328">
        <f t="shared" ca="1" si="9"/>
        <v>0</v>
      </c>
      <c r="AM50" s="362">
        <f t="shared" ca="1" si="10"/>
        <v>0</v>
      </c>
      <c r="AN50" s="376">
        <f t="shared" ca="1" si="11"/>
        <v>0</v>
      </c>
    </row>
    <row r="51" spans="1:40" x14ac:dyDescent="0.2">
      <c r="A51" s="6" t="s">
        <v>3</v>
      </c>
      <c r="B51" s="7" t="e">
        <f ca="1">_xll.EVRNG($O$16:$AN$18)</f>
        <v>#NAME?</v>
      </c>
      <c r="H51" s="10" t="s">
        <v>274</v>
      </c>
      <c r="I51" s="25" t="e">
        <f ca="1">_xll.EVPRO($B$1,$H51,"STYLE")</f>
        <v>#NAME?</v>
      </c>
      <c r="J51" s="25" t="e">
        <f ca="1">_xll.EVPRO($B$1,$H51,"CALC")</f>
        <v>#NAME?</v>
      </c>
      <c r="K51" s="64" t="e">
        <f t="shared" ca="1" si="4"/>
        <v>#NAME?</v>
      </c>
      <c r="L51" s="24" t="e">
        <f ca="1">_xll.EVPRO($B$1,H51,"JDEID")</f>
        <v>#NAME?</v>
      </c>
      <c r="M51" s="24" t="e">
        <f ca="1">IF(AND(I51="N",J51="N"),_xll.EVPRO($B$1,H51,"PSFTID"),"")</f>
        <v>#NAME?</v>
      </c>
      <c r="N51" s="24" t="e">
        <f ca="1">IF(_xll.EVDES(H51,$B$1)="#NODATA","",_xll.EVDES(H51,$B$1))</f>
        <v>#NAME?</v>
      </c>
      <c r="O51" s="282"/>
      <c r="P51" s="283"/>
      <c r="Q51" s="283"/>
      <c r="R51" s="283"/>
      <c r="S51" s="283"/>
      <c r="T51" s="283"/>
      <c r="U51" s="283"/>
      <c r="V51" s="283"/>
      <c r="W51" s="283"/>
      <c r="X51" s="283"/>
      <c r="Y51" s="283"/>
      <c r="Z51" s="283"/>
      <c r="AA51" s="283" t="e">
        <f t="shared" ca="1" si="0"/>
        <v>#NAME?</v>
      </c>
      <c r="AB51" s="284" t="e">
        <f t="shared" ca="1" si="1"/>
        <v>#NAME?</v>
      </c>
      <c r="AC51" s="300"/>
      <c r="AD51" s="283"/>
      <c r="AE51" s="284" t="str">
        <f t="shared" si="2"/>
        <v/>
      </c>
      <c r="AF51" s="285" t="e">
        <f t="shared" ca="1" si="3"/>
        <v>#NAME?</v>
      </c>
      <c r="AG51" s="283"/>
      <c r="AH51" s="284" t="str">
        <f t="shared" si="5"/>
        <v/>
      </c>
      <c r="AI51" s="286" t="e">
        <f t="shared" ca="1" si="6"/>
        <v>#NAME?</v>
      </c>
      <c r="AJ51" s="371">
        <f t="shared" ca="1" si="7"/>
        <v>0</v>
      </c>
      <c r="AK51" s="372">
        <f t="shared" ca="1" si="8"/>
        <v>0</v>
      </c>
      <c r="AL51" s="373">
        <f t="shared" ca="1" si="9"/>
        <v>0</v>
      </c>
      <c r="AM51" s="374">
        <f t="shared" ca="1" si="10"/>
        <v>0</v>
      </c>
      <c r="AN51" s="375">
        <f t="shared" ca="1" si="11"/>
        <v>0</v>
      </c>
    </row>
    <row r="52" spans="1:40" x14ac:dyDescent="0.2">
      <c r="A52" s="6" t="s">
        <v>4</v>
      </c>
      <c r="B52" s="7" t="e">
        <f ca="1">_xll.EVRNG(H62:H70)</f>
        <v>#NAME?</v>
      </c>
      <c r="H52" s="10" t="s">
        <v>275</v>
      </c>
      <c r="I52" s="25" t="e">
        <f ca="1">_xll.EVPRO($B$1,$H52,"STYLE")</f>
        <v>#NAME?</v>
      </c>
      <c r="J52" s="25" t="e">
        <f ca="1">_xll.EVPRO($B$1,$H52,"CALC")</f>
        <v>#NAME?</v>
      </c>
      <c r="K52" s="64" t="e">
        <f t="shared" ca="1" si="4"/>
        <v>#NAME?</v>
      </c>
      <c r="L52" s="24" t="e">
        <f ca="1">_xll.EVPRO($B$1,H52,"JDEID")</f>
        <v>#NAME?</v>
      </c>
      <c r="M52" s="24" t="e">
        <f ca="1">IF(AND(I52="N",J52="N"),_xll.EVPRO($B$1,H52,"PSFTID"),"")</f>
        <v>#NAME?</v>
      </c>
      <c r="N52" s="24" t="e">
        <f ca="1">IF(_xll.EVDES(H52,$B$1)="#NODATA","",_xll.EVDES(H52,$B$1))</f>
        <v>#NAME?</v>
      </c>
      <c r="O52" s="282"/>
      <c r="P52" s="283"/>
      <c r="Q52" s="283"/>
      <c r="R52" s="283"/>
      <c r="S52" s="283"/>
      <c r="T52" s="283"/>
      <c r="U52" s="283"/>
      <c r="V52" s="283"/>
      <c r="W52" s="283"/>
      <c r="X52" s="283"/>
      <c r="Y52" s="283"/>
      <c r="Z52" s="283"/>
      <c r="AA52" s="283" t="e">
        <f t="shared" ca="1" si="0"/>
        <v>#NAME?</v>
      </c>
      <c r="AB52" s="284" t="e">
        <f t="shared" ca="1" si="1"/>
        <v>#NAME?</v>
      </c>
      <c r="AC52" s="300"/>
      <c r="AD52" s="283"/>
      <c r="AE52" s="284" t="str">
        <f t="shared" si="2"/>
        <v/>
      </c>
      <c r="AF52" s="285" t="e">
        <f t="shared" ca="1" si="3"/>
        <v>#NAME?</v>
      </c>
      <c r="AG52" s="283"/>
      <c r="AH52" s="284" t="str">
        <f t="shared" si="5"/>
        <v/>
      </c>
      <c r="AI52" s="286" t="e">
        <f t="shared" ca="1" si="6"/>
        <v>#NAME?</v>
      </c>
      <c r="AJ52" s="371">
        <f t="shared" ca="1" si="7"/>
        <v>0</v>
      </c>
      <c r="AK52" s="372">
        <f t="shared" ca="1" si="8"/>
        <v>0</v>
      </c>
      <c r="AL52" s="373">
        <f t="shared" ca="1" si="9"/>
        <v>0</v>
      </c>
      <c r="AM52" s="374">
        <f t="shared" ca="1" si="10"/>
        <v>0</v>
      </c>
      <c r="AN52" s="375">
        <f t="shared" ca="1" si="11"/>
        <v>0</v>
      </c>
    </row>
    <row r="53" spans="1:40" x14ac:dyDescent="0.2">
      <c r="A53" s="6" t="s">
        <v>5</v>
      </c>
      <c r="B53" s="7"/>
      <c r="F53" s="136"/>
      <c r="H53" s="10" t="s">
        <v>276</v>
      </c>
      <c r="I53" s="25" t="e">
        <f ca="1">_xll.EVPRO($B$1,$H53,"STYLE")</f>
        <v>#NAME?</v>
      </c>
      <c r="J53" s="25" t="e">
        <f ca="1">_xll.EVPRO($B$1,$H53,"CALC")</f>
        <v>#NAME?</v>
      </c>
      <c r="K53" s="64" t="e">
        <f t="shared" ca="1" si="4"/>
        <v>#NAME?</v>
      </c>
      <c r="L53" s="24" t="e">
        <f ca="1">_xll.EVPRO($B$1,H53,"JDEID")</f>
        <v>#NAME?</v>
      </c>
      <c r="M53" s="24" t="e">
        <f ca="1">IF(AND(I53="N",J53="N"),_xll.EVPRO($B$1,H53,"PSFTID"),"")</f>
        <v>#NAME?</v>
      </c>
      <c r="N53" s="24" t="e">
        <f ca="1">IF(_xll.EVDES(H53,$B$1)="#NODATA","",_xll.EVDES(H53,$B$1))</f>
        <v>#NAME?</v>
      </c>
      <c r="O53" s="282"/>
      <c r="P53" s="283"/>
      <c r="Q53" s="283"/>
      <c r="R53" s="283"/>
      <c r="S53" s="283"/>
      <c r="T53" s="283"/>
      <c r="U53" s="283"/>
      <c r="V53" s="283"/>
      <c r="W53" s="283"/>
      <c r="X53" s="283"/>
      <c r="Y53" s="283"/>
      <c r="Z53" s="283"/>
      <c r="AA53" s="283" t="e">
        <f t="shared" ca="1" si="0"/>
        <v>#NAME?</v>
      </c>
      <c r="AB53" s="284" t="e">
        <f t="shared" ca="1" si="1"/>
        <v>#NAME?</v>
      </c>
      <c r="AC53" s="300"/>
      <c r="AD53" s="283"/>
      <c r="AE53" s="284" t="str">
        <f t="shared" si="2"/>
        <v/>
      </c>
      <c r="AF53" s="285" t="e">
        <f t="shared" ca="1" si="3"/>
        <v>#NAME?</v>
      </c>
      <c r="AG53" s="283"/>
      <c r="AH53" s="284" t="str">
        <f t="shared" si="5"/>
        <v/>
      </c>
      <c r="AI53" s="286" t="e">
        <f t="shared" ca="1" si="6"/>
        <v>#NAME?</v>
      </c>
      <c r="AJ53" s="371">
        <f t="shared" ca="1" si="7"/>
        <v>0</v>
      </c>
      <c r="AK53" s="372">
        <f t="shared" ca="1" si="8"/>
        <v>0</v>
      </c>
      <c r="AL53" s="373">
        <f t="shared" ca="1" si="9"/>
        <v>0</v>
      </c>
      <c r="AM53" s="374">
        <f t="shared" ca="1" si="10"/>
        <v>0</v>
      </c>
      <c r="AN53" s="375">
        <f t="shared" ca="1" si="11"/>
        <v>0</v>
      </c>
    </row>
    <row r="54" spans="1:40" x14ac:dyDescent="0.2">
      <c r="A54" s="6" t="s">
        <v>6</v>
      </c>
      <c r="B54" s="7"/>
      <c r="F54" s="136"/>
      <c r="H54" s="10" t="s">
        <v>282</v>
      </c>
      <c r="I54" s="25" t="e">
        <f ca="1">_xll.EVPRO($B$1,$H54,"STYLE")</f>
        <v>#NAME?</v>
      </c>
      <c r="J54" s="25" t="e">
        <f ca="1">_xll.EVPRO($B$1,$H54,"CALC")</f>
        <v>#NAME?</v>
      </c>
      <c r="K54" s="64" t="e">
        <f t="shared" ca="1" si="4"/>
        <v>#NAME?</v>
      </c>
      <c r="L54" s="24" t="e">
        <f ca="1">_xll.EVPRO($B$1,H54,"JDEID")</f>
        <v>#NAME?</v>
      </c>
      <c r="M54" s="24" t="e">
        <f ca="1">IF(AND(I54="N",J54="N"),_xll.EVPRO($B$1,H54,"PSFTID"),"")</f>
        <v>#NAME?</v>
      </c>
      <c r="N54" s="24" t="e">
        <f ca="1">IF(_xll.EVDES(H54,$B$1)="#NODATA","",_xll.EVDES(H54,$B$1))</f>
        <v>#NAME?</v>
      </c>
      <c r="O54" s="282">
        <v>1239.1199999999999</v>
      </c>
      <c r="P54" s="283"/>
      <c r="Q54" s="283"/>
      <c r="R54" s="283"/>
      <c r="S54" s="283"/>
      <c r="T54" s="283"/>
      <c r="U54" s="283"/>
      <c r="V54" s="283"/>
      <c r="W54" s="283"/>
      <c r="X54" s="283"/>
      <c r="Y54" s="283"/>
      <c r="Z54" s="283"/>
      <c r="AA54" s="283" t="e">
        <f t="shared" ca="1" si="0"/>
        <v>#NAME?</v>
      </c>
      <c r="AB54" s="284" t="e">
        <f t="shared" ca="1" si="1"/>
        <v>#NAME?</v>
      </c>
      <c r="AC54" s="300"/>
      <c r="AD54" s="283"/>
      <c r="AE54" s="284" t="str">
        <f t="shared" si="2"/>
        <v/>
      </c>
      <c r="AF54" s="285" t="e">
        <f t="shared" ca="1" si="3"/>
        <v>#NAME?</v>
      </c>
      <c r="AG54" s="283">
        <v>77229.070000000007</v>
      </c>
      <c r="AH54" s="284" t="str">
        <f t="shared" ca="1" si="5"/>
        <v/>
      </c>
      <c r="AI54" s="286" t="e">
        <f t="shared" ca="1" si="6"/>
        <v>#NAME?</v>
      </c>
      <c r="AJ54" s="371">
        <f t="shared" ca="1" si="7"/>
        <v>0</v>
      </c>
      <c r="AK54" s="372">
        <f t="shared" ca="1" si="8"/>
        <v>0</v>
      </c>
      <c r="AL54" s="373">
        <f t="shared" ca="1" si="9"/>
        <v>0</v>
      </c>
      <c r="AM54" s="374">
        <f t="shared" ca="1" si="10"/>
        <v>0</v>
      </c>
      <c r="AN54" s="375">
        <f t="shared" ca="1" si="11"/>
        <v>0</v>
      </c>
    </row>
    <row r="55" spans="1:40" x14ac:dyDescent="0.2">
      <c r="A55" s="6" t="s">
        <v>7</v>
      </c>
      <c r="B55" s="7" t="e">
        <f ca="1">_xll.EVRNG(A69:F77)</f>
        <v>#NAME?</v>
      </c>
      <c r="F55" s="136"/>
      <c r="H55" s="10" t="s">
        <v>283</v>
      </c>
      <c r="I55" s="25" t="e">
        <f ca="1">_xll.EVPRO($B$1,$H55,"STYLE")</f>
        <v>#NAME?</v>
      </c>
      <c r="J55" s="25" t="e">
        <f ca="1">_xll.EVPRO($B$1,$H55,"CALC")</f>
        <v>#NAME?</v>
      </c>
      <c r="K55" s="64" t="e">
        <f t="shared" ca="1" si="4"/>
        <v>#NAME?</v>
      </c>
      <c r="L55" s="24" t="e">
        <f ca="1">_xll.EVPRO($B$1,H55,"JDEID")</f>
        <v>#NAME?</v>
      </c>
      <c r="M55" s="24" t="e">
        <f ca="1">IF(AND(I55="N",J55="N"),_xll.EVPRO($B$1,H55,"PSFTID"),"")</f>
        <v>#NAME?</v>
      </c>
      <c r="N55" s="24" t="e">
        <f ca="1">IF(_xll.EVDES(H55,$B$1)="#NODATA","",_xll.EVDES(H55,$B$1))</f>
        <v>#NAME?</v>
      </c>
      <c r="O55" s="282">
        <v>50</v>
      </c>
      <c r="P55" s="283"/>
      <c r="Q55" s="283"/>
      <c r="R55" s="283"/>
      <c r="S55" s="283"/>
      <c r="T55" s="283"/>
      <c r="U55" s="283"/>
      <c r="V55" s="283"/>
      <c r="W55" s="283"/>
      <c r="X55" s="283"/>
      <c r="Y55" s="283"/>
      <c r="Z55" s="283"/>
      <c r="AA55" s="283" t="e">
        <f t="shared" ca="1" si="0"/>
        <v>#NAME?</v>
      </c>
      <c r="AB55" s="284" t="e">
        <f t="shared" ca="1" si="1"/>
        <v>#NAME?</v>
      </c>
      <c r="AC55" s="300"/>
      <c r="AD55" s="283"/>
      <c r="AE55" s="284" t="str">
        <f t="shared" si="2"/>
        <v/>
      </c>
      <c r="AF55" s="285" t="e">
        <f t="shared" ca="1" si="3"/>
        <v>#NAME?</v>
      </c>
      <c r="AG55" s="283">
        <v>1244</v>
      </c>
      <c r="AH55" s="284" t="str">
        <f t="shared" ca="1" si="5"/>
        <v/>
      </c>
      <c r="AI55" s="286" t="e">
        <f t="shared" ca="1" si="6"/>
        <v>#NAME?</v>
      </c>
      <c r="AJ55" s="371">
        <f t="shared" ca="1" si="7"/>
        <v>0</v>
      </c>
      <c r="AK55" s="372">
        <f t="shared" ca="1" si="8"/>
        <v>0</v>
      </c>
      <c r="AL55" s="373">
        <f t="shared" ca="1" si="9"/>
        <v>0</v>
      </c>
      <c r="AM55" s="374">
        <f t="shared" ca="1" si="10"/>
        <v>0</v>
      </c>
      <c r="AN55" s="375">
        <f t="shared" ca="1" si="11"/>
        <v>0</v>
      </c>
    </row>
    <row r="56" spans="1:40" x14ac:dyDescent="0.2">
      <c r="A56" s="6" t="s">
        <v>47</v>
      </c>
      <c r="B56" s="7" t="e">
        <f ca="1">_xll.EVRNG($A$125:$B$146)</f>
        <v>#NAME?</v>
      </c>
      <c r="H56" s="10" t="s">
        <v>473</v>
      </c>
      <c r="I56" s="25" t="e">
        <f ca="1">_xll.EVPRO($B$1,$H56,"STYLE")</f>
        <v>#NAME?</v>
      </c>
      <c r="J56" s="25" t="e">
        <f ca="1">_xll.EVPRO($B$1,$H56,"CALC")</f>
        <v>#NAME?</v>
      </c>
      <c r="K56" s="64" t="e">
        <f t="shared" ca="1" si="4"/>
        <v>#NAME?</v>
      </c>
      <c r="L56" s="24" t="e">
        <f ca="1">_xll.EVPRO($B$1,H56,"JDEID")</f>
        <v>#NAME?</v>
      </c>
      <c r="M56" s="24" t="e">
        <f ca="1">IF(AND(I56="N",J56="N"),_xll.EVPRO($B$1,H56,"PSFTID"),"")</f>
        <v>#NAME?</v>
      </c>
      <c r="N56" s="24" t="e">
        <f ca="1">IF(_xll.EVDES(H56,$B$1)="#NODATA","",_xll.EVDES(H56,$B$1))</f>
        <v>#NAME?</v>
      </c>
      <c r="O56" s="295"/>
      <c r="P56" s="296"/>
      <c r="Q56" s="296"/>
      <c r="R56" s="296"/>
      <c r="S56" s="296"/>
      <c r="T56" s="296"/>
      <c r="U56" s="296"/>
      <c r="V56" s="296"/>
      <c r="W56" s="296"/>
      <c r="X56" s="296"/>
      <c r="Y56" s="296"/>
      <c r="Z56" s="296"/>
      <c r="AA56" s="296" t="e">
        <f t="shared" ca="1" si="0"/>
        <v>#NAME?</v>
      </c>
      <c r="AB56" s="297" t="e">
        <f t="shared" ca="1" si="1"/>
        <v>#NAME?</v>
      </c>
      <c r="AC56" s="263"/>
      <c r="AD56" s="296"/>
      <c r="AE56" s="297" t="str">
        <f t="shared" si="2"/>
        <v/>
      </c>
      <c r="AF56" s="298" t="e">
        <f t="shared" ca="1" si="3"/>
        <v>#NAME?</v>
      </c>
      <c r="AG56" s="296"/>
      <c r="AH56" s="297" t="str">
        <f t="shared" si="5"/>
        <v/>
      </c>
      <c r="AI56" s="299" t="e">
        <f t="shared" ca="1" si="6"/>
        <v>#NAME?</v>
      </c>
      <c r="AJ56" s="381">
        <f t="shared" ca="1" si="7"/>
        <v>0</v>
      </c>
      <c r="AK56" s="382">
        <f t="shared" ca="1" si="8"/>
        <v>0</v>
      </c>
      <c r="AL56" s="383">
        <f t="shared" ca="1" si="9"/>
        <v>0</v>
      </c>
      <c r="AM56" s="384">
        <f t="shared" ca="1" si="10"/>
        <v>0</v>
      </c>
      <c r="AN56" s="385">
        <f t="shared" ca="1" si="11"/>
        <v>0</v>
      </c>
    </row>
    <row r="57" spans="1:40" x14ac:dyDescent="0.2">
      <c r="A57" s="6" t="s">
        <v>8</v>
      </c>
      <c r="B57" s="7"/>
      <c r="H57" s="10" t="s">
        <v>277</v>
      </c>
      <c r="I57" s="447" t="e">
        <f ca="1">_xll.EVPRO($B$1,$H57,"STYLE")</f>
        <v>#NAME?</v>
      </c>
      <c r="J57" s="447" t="e">
        <f ca="1">_xll.EVPRO($B$1,$H57,"CALC")</f>
        <v>#NAME?</v>
      </c>
      <c r="K57" s="448" t="e">
        <f t="shared" ca="1" si="4"/>
        <v>#NAME?</v>
      </c>
      <c r="L57" s="151" t="e">
        <f ca="1">_xll.EVPRO($B$1,H57,"JDEID")</f>
        <v>#NAME?</v>
      </c>
      <c r="M57" s="151" t="e">
        <f ca="1">IF(AND(I57="N",J57="N"),_xll.EVPRO($B$1,H57,"PSFTID"),"")</f>
        <v>#NAME?</v>
      </c>
      <c r="N57" s="151" t="e">
        <f ca="1">IF(_xll.EVDES(H57,$B$1)="#NODATA","",_xll.EVDES(H57,$B$1))</f>
        <v>#NAME?</v>
      </c>
      <c r="O57" s="203">
        <v>1289.1199999999999</v>
      </c>
      <c r="P57" s="33"/>
      <c r="Q57" s="33"/>
      <c r="R57" s="33"/>
      <c r="S57" s="33"/>
      <c r="T57" s="33"/>
      <c r="U57" s="33"/>
      <c r="V57" s="33"/>
      <c r="W57" s="33"/>
      <c r="X57" s="33"/>
      <c r="Y57" s="33"/>
      <c r="Z57" s="33"/>
      <c r="AA57" s="33" t="e">
        <f t="shared" ca="1" si="0"/>
        <v>#NAME?</v>
      </c>
      <c r="AB57" s="34" t="e">
        <f t="shared" ca="1" si="1"/>
        <v>#NAME?</v>
      </c>
      <c r="AC57" s="32"/>
      <c r="AD57" s="33"/>
      <c r="AE57" s="34" t="str">
        <f t="shared" si="2"/>
        <v/>
      </c>
      <c r="AF57" s="54" t="e">
        <f t="shared" ca="1" si="3"/>
        <v>#NAME?</v>
      </c>
      <c r="AG57" s="33">
        <v>78473.070000000007</v>
      </c>
      <c r="AH57" s="34" t="str">
        <f t="shared" ca="1" si="5"/>
        <v/>
      </c>
      <c r="AI57" s="265" t="e">
        <f t="shared" ca="1" si="6"/>
        <v>#NAME?</v>
      </c>
      <c r="AJ57" s="344">
        <f t="shared" ca="1" si="7"/>
        <v>0</v>
      </c>
      <c r="AK57" s="345">
        <f t="shared" ca="1" si="8"/>
        <v>0</v>
      </c>
      <c r="AL57" s="347">
        <f t="shared" ca="1" si="9"/>
        <v>0</v>
      </c>
      <c r="AM57" s="379">
        <f t="shared" ca="1" si="10"/>
        <v>0</v>
      </c>
      <c r="AN57" s="380">
        <f t="shared" ca="1" si="11"/>
        <v>0</v>
      </c>
    </row>
    <row r="58" spans="1:40" x14ac:dyDescent="0.2">
      <c r="G58" s="13"/>
      <c r="H58" s="10" t="s">
        <v>280</v>
      </c>
      <c r="I58" s="447" t="e">
        <f ca="1">_xll.EVPRO($B$1,$H58,"STYLE")</f>
        <v>#NAME?</v>
      </c>
      <c r="J58" s="447" t="e">
        <f ca="1">_xll.EVPRO($B$1,$H58,"CALC")</f>
        <v>#NAME?</v>
      </c>
      <c r="K58" s="448" t="e">
        <f t="shared" ca="1" si="4"/>
        <v>#NAME?</v>
      </c>
      <c r="L58" s="151" t="e">
        <f ca="1">_xll.EVPRO($B$1,H58,"JDEID")</f>
        <v>#NAME?</v>
      </c>
      <c r="M58" s="151" t="e">
        <f ca="1">IF(AND(I58="N",J58="N"),_xll.EVPRO($B$1,H58,"PSFTID"),"")</f>
        <v>#NAME?</v>
      </c>
      <c r="N58" s="151" t="e">
        <f ca="1">IF(_xll.EVDES(H58,$B$1)="#NODATA","",_xll.EVDES(H58,$B$1))</f>
        <v>#NAME?</v>
      </c>
      <c r="O58" s="202">
        <v>8207.1200000000008</v>
      </c>
      <c r="P58" s="120"/>
      <c r="Q58" s="120"/>
      <c r="R58" s="120"/>
      <c r="S58" s="120"/>
      <c r="T58" s="120"/>
      <c r="U58" s="120"/>
      <c r="V58" s="120"/>
      <c r="W58" s="120"/>
      <c r="X58" s="120"/>
      <c r="Y58" s="120"/>
      <c r="Z58" s="120"/>
      <c r="AA58" s="120" t="e">
        <f t="shared" ca="1" si="0"/>
        <v>#NAME?</v>
      </c>
      <c r="AB58" s="121" t="e">
        <f t="shared" ca="1" si="1"/>
        <v>#NAME?</v>
      </c>
      <c r="AC58" s="123"/>
      <c r="AD58" s="120"/>
      <c r="AE58" s="121" t="str">
        <f t="shared" si="2"/>
        <v/>
      </c>
      <c r="AF58" s="122" t="e">
        <f t="shared" ca="1" si="3"/>
        <v>#NAME?</v>
      </c>
      <c r="AG58" s="120">
        <v>505829.14</v>
      </c>
      <c r="AH58" s="121" t="str">
        <f t="shared" ca="1" si="5"/>
        <v/>
      </c>
      <c r="AI58" s="264" t="e">
        <f t="shared" ca="1" si="6"/>
        <v>#NAME?</v>
      </c>
      <c r="AJ58" s="332">
        <f t="shared" ca="1" si="7"/>
        <v>0</v>
      </c>
      <c r="AK58" s="333">
        <f t="shared" ca="1" si="8"/>
        <v>0</v>
      </c>
      <c r="AL58" s="335">
        <f t="shared" ca="1" si="9"/>
        <v>0</v>
      </c>
      <c r="AM58" s="377">
        <f t="shared" ca="1" si="10"/>
        <v>0</v>
      </c>
      <c r="AN58" s="378">
        <f t="shared" ca="1" si="11"/>
        <v>0</v>
      </c>
    </row>
    <row r="59" spans="1:40" x14ac:dyDescent="0.2">
      <c r="A59" s="3" t="s">
        <v>9</v>
      </c>
      <c r="B59" s="5" t="s">
        <v>10</v>
      </c>
      <c r="O59" s="50"/>
      <c r="AB59" s="51"/>
      <c r="AD59" s="50"/>
      <c r="AF59" s="51"/>
      <c r="AG59" s="50"/>
      <c r="AI59" s="51"/>
    </row>
    <row r="60" spans="1:40" x14ac:dyDescent="0.2">
      <c r="A60" s="6" t="s">
        <v>11</v>
      </c>
      <c r="B60" s="7" t="s">
        <v>21</v>
      </c>
      <c r="H60" s="1" t="s">
        <v>281</v>
      </c>
      <c r="I60" s="11" t="e">
        <f ca="1">_xll.EVPRO($B$1,$H60,"STYLE")</f>
        <v>#NAME?</v>
      </c>
      <c r="J60" s="11" t="e">
        <f ca="1">_xll.EVPRO($B$1,$H60,"CALC")</f>
        <v>#NAME?</v>
      </c>
      <c r="N60" s="37" t="e">
        <f ca="1">IF(_xll.EVDES(H60,$B$1)="#NODATA","",_xll.EVDES(H60,$B$1))</f>
        <v>#NAME?</v>
      </c>
      <c r="O60" s="50"/>
      <c r="AB60" s="51"/>
      <c r="AD60" s="50"/>
      <c r="AF60" s="51"/>
      <c r="AG60" s="50"/>
      <c r="AI60" s="51"/>
    </row>
    <row r="61" spans="1:40" x14ac:dyDescent="0.2">
      <c r="A61" s="6" t="s">
        <v>12</v>
      </c>
      <c r="B61" s="7" t="s">
        <v>22</v>
      </c>
      <c r="H61" s="1" t="s">
        <v>284</v>
      </c>
      <c r="I61" s="11" t="e">
        <f ca="1">_xll.EVPRO($B$1,$H61,"STYLE")</f>
        <v>#NAME?</v>
      </c>
      <c r="J61" s="11" t="e">
        <f ca="1">_xll.EVPRO($B$1,$H61,"CALC")</f>
        <v>#NAME?</v>
      </c>
      <c r="N61" s="8" t="e">
        <f ca="1">IF(_xll.EVDES(H61,$B$1)="#NODATA","",_xll.EVDES(H61,$B$1))</f>
        <v>#NAME?</v>
      </c>
      <c r="O61" s="50"/>
      <c r="AB61" s="51"/>
      <c r="AD61" s="50"/>
      <c r="AF61" s="51"/>
      <c r="AG61" s="50"/>
      <c r="AI61" s="51"/>
    </row>
    <row r="62" spans="1:40" x14ac:dyDescent="0.2">
      <c r="A62" s="6" t="s">
        <v>13</v>
      </c>
      <c r="B62" s="7" t="e">
        <f ca="1">"DEP(COS_FB) AND "&amp;$E$6&amp;"=Y,COS_FB,COSOTH,DEP(COS_OTHR) AND "&amp;$E$6&amp;"=Y,COS_OTHR,500001"</f>
        <v>#NAME?</v>
      </c>
      <c r="H62" s="10" t="s">
        <v>285</v>
      </c>
      <c r="I62" s="25" t="e">
        <f ca="1">_xll.EVPRO($B$1,$H62,"STYLE")</f>
        <v>#NAME?</v>
      </c>
      <c r="J62" s="25" t="e">
        <f ca="1">_xll.EVPRO($B$1,$H62,"CALC")</f>
        <v>#NAME?</v>
      </c>
      <c r="K62" s="64" t="e">
        <f ca="1">IF(AND(I62&gt;="T5"),"&gt;","")</f>
        <v>#NAME?</v>
      </c>
      <c r="L62" s="24" t="e">
        <f ca="1">_xll.EVPRO($B$1,H62,"JDEID")</f>
        <v>#NAME?</v>
      </c>
      <c r="M62" s="24" t="e">
        <f ca="1">IF(AND(I62="N",J62="N"),_xll.EVPRO($B$1,H62,"PSFTID"),"")</f>
        <v>#NAME?</v>
      </c>
      <c r="N62" s="24" t="e">
        <f ca="1">IF(_xll.EVDES(H62,$B$1)="#NODATA","",_xll.EVDES(H62,$B$1))</f>
        <v>#NAME?</v>
      </c>
      <c r="O62" s="282">
        <v>349.5</v>
      </c>
      <c r="P62" s="283">
        <v>-41.3</v>
      </c>
      <c r="Q62" s="283">
        <v>-61.95</v>
      </c>
      <c r="R62" s="283"/>
      <c r="S62" s="283"/>
      <c r="T62" s="283"/>
      <c r="U62" s="283"/>
      <c r="V62" s="283"/>
      <c r="W62" s="283"/>
      <c r="X62" s="283"/>
      <c r="Y62" s="283"/>
      <c r="Z62" s="283"/>
      <c r="AA62" s="283" t="e">
        <f t="shared" ref="AA62:AA70" ca="1" si="12">IF($I62="B1","",SUM(O62:Z62))</f>
        <v>#NAME?</v>
      </c>
      <c r="AB62" s="284" t="e">
        <f ca="1">IF(AA62=0,"",IFERROR(AA62/_xll.EVGTS($B$1,1,_xll.EVPRO($B$1,$H62,"COSBASIS"),$B$3,$B$5,$B$6,$B$7,$B$9,AA$16,AA$17,AA$11),""))</f>
        <v>#NAME?</v>
      </c>
      <c r="AC62" s="300"/>
      <c r="AD62" s="283"/>
      <c r="AE62" s="284" t="str">
        <f>IF(AD62=0,"",IFERROR(AD62/_xll.EVGTS($B$1,1,_xll.EVPRO($B$1,$H62,"COSBASIS"),$B$3,$B$5,$B$6,$B$7,$B$9,AD$16,AD$17,AD$18),""))</f>
        <v/>
      </c>
      <c r="AF62" s="285" t="e">
        <f t="shared" ref="AF62:AF70" ca="1" si="13">IF(AND($AA62="",AD62=""),"",$AA62-AD62)</f>
        <v>#NAME?</v>
      </c>
      <c r="AG62" s="283">
        <v>34587.86</v>
      </c>
      <c r="AH62" s="284" t="str">
        <f ca="1">IF(AG62=0,"",IFERROR(AG62/_xll.EVGTS($B$1,1,_xll.EVPRO($B$1,$H62,"COSBASIS"),$B$3,$B$5,$B$6,$B$7,$B$9,AG$16,AG$17,AG$18),""))</f>
        <v/>
      </c>
      <c r="AI62" s="286" t="e">
        <f ca="1">IF(AND($AA62="",AG62=""),"",$AA62-AG62)</f>
        <v>#NAME?</v>
      </c>
      <c r="AJ62" s="371">
        <f ca="1">IFERROR(AA62/AA$20,0)</f>
        <v>0</v>
      </c>
      <c r="AK62" s="372">
        <f ca="1">IFERROR(AD62/AD$20,0)</f>
        <v>0</v>
      </c>
      <c r="AL62" s="373">
        <f ca="1">IFERROR(AG62/AG$20,0)</f>
        <v>0</v>
      </c>
      <c r="AM62" s="374">
        <f ca="1">+IFERROR(ROUND(($AB62-AE62)*100,2)&amp;" pts.",0)</f>
        <v>0</v>
      </c>
      <c r="AN62" s="375">
        <f ca="1">+IFERROR(ROUND(($AB62-AH62)*100,2)&amp;" pts.",0)</f>
        <v>0</v>
      </c>
    </row>
    <row r="63" spans="1:40" x14ac:dyDescent="0.2">
      <c r="A63" s="6" t="s">
        <v>14</v>
      </c>
      <c r="B63" s="7"/>
      <c r="H63" s="10" t="s">
        <v>636</v>
      </c>
      <c r="I63" s="25" t="e">
        <f ca="1">_xll.EVPRO($B$1,$H63,"STYLE")</f>
        <v>#NAME?</v>
      </c>
      <c r="J63" s="25" t="e">
        <f ca="1">_xll.EVPRO($B$1,$H63,"CALC")</f>
        <v>#NAME?</v>
      </c>
      <c r="K63" s="64" t="e">
        <f t="shared" ref="K63:K70" ca="1" si="14">IF(AND(I63&gt;="T5"),"&gt;","")</f>
        <v>#NAME?</v>
      </c>
      <c r="L63" s="24" t="e">
        <f ca="1">_xll.EVPRO($B$1,H63,"JDEID")</f>
        <v>#NAME?</v>
      </c>
      <c r="M63" s="24" t="e">
        <f ca="1">IF(AND(I63="N",J63="N"),_xll.EVPRO($B$1,H63,"PSFTID"),"")</f>
        <v>#NAME?</v>
      </c>
      <c r="N63" s="24" t="e">
        <f ca="1">IF(_xll.EVDES(H63,$B$1)="#NODATA","",_xll.EVDES(H63,$B$1))</f>
        <v>#NAME?</v>
      </c>
      <c r="O63" s="295">
        <v>1037.05</v>
      </c>
      <c r="P63" s="296"/>
      <c r="Q63" s="296"/>
      <c r="R63" s="296"/>
      <c r="S63" s="296"/>
      <c r="T63" s="296"/>
      <c r="U63" s="296"/>
      <c r="V63" s="296"/>
      <c r="W63" s="296"/>
      <c r="X63" s="296"/>
      <c r="Y63" s="296"/>
      <c r="Z63" s="296"/>
      <c r="AA63" s="296" t="e">
        <f t="shared" ca="1" si="12"/>
        <v>#NAME?</v>
      </c>
      <c r="AB63" s="297" t="e">
        <f ca="1">IF(AA63=0,"",IFERROR(AA63/_xll.EVGTS($B$1,1,_xll.EVPRO($B$1,$H63,"COSBASIS"),$B$3,$B$5,$B$6,$B$7,$B$9,AA$16,AA$17,AA$11),""))</f>
        <v>#NAME?</v>
      </c>
      <c r="AC63" s="263"/>
      <c r="AD63" s="296"/>
      <c r="AE63" s="297" t="str">
        <f>IF(AD63=0,"",IFERROR(AD63/_xll.EVGTS($B$1,1,_xll.EVPRO($B$1,$H63,"COSBASIS"),$B$3,$B$5,$B$6,$B$7,$B$9,AD$16,AD$17,AD$18),""))</f>
        <v/>
      </c>
      <c r="AF63" s="298" t="e">
        <f t="shared" ca="1" si="13"/>
        <v>#NAME?</v>
      </c>
      <c r="AG63" s="296">
        <v>57855.37</v>
      </c>
      <c r="AH63" s="297" t="str">
        <f ca="1">IF(AG63=0,"",IFERROR(AG63/_xll.EVGTS($B$1,1,_xll.EVPRO($B$1,$H63,"COSBASIS"),$B$3,$B$5,$B$6,$B$7,$B$9,AG$16,AG$17,AG$18),""))</f>
        <v/>
      </c>
      <c r="AI63" s="299" t="e">
        <f t="shared" ref="AI63:AI70" ca="1" si="15">IF(AND($AA63="",AG63=""),"",$AA63-AG63)</f>
        <v>#NAME?</v>
      </c>
      <c r="AJ63" s="381">
        <f t="shared" ref="AJ63:AJ70" ca="1" si="16">IFERROR(AA63/AA$20,0)</f>
        <v>0</v>
      </c>
      <c r="AK63" s="382">
        <f t="shared" ref="AK63:AK70" ca="1" si="17">IFERROR(AD63/AD$20,0)</f>
        <v>0</v>
      </c>
      <c r="AL63" s="383">
        <f t="shared" ref="AL63:AL70" ca="1" si="18">IFERROR(AG63/AG$20,0)</f>
        <v>0</v>
      </c>
      <c r="AM63" s="384">
        <f t="shared" ref="AM63:AM70" ca="1" si="19">+IFERROR(ROUND(($AB63-AE63)*100,2)&amp;" pts.",0)</f>
        <v>0</v>
      </c>
      <c r="AN63" s="385">
        <f t="shared" ref="AN63:AN70" ca="1" si="20">+IFERROR(ROUND(($AB63-AH63)*100,2)&amp;" pts.",0)</f>
        <v>0</v>
      </c>
    </row>
    <row r="64" spans="1:40" x14ac:dyDescent="0.2">
      <c r="A64" s="6" t="s">
        <v>15</v>
      </c>
      <c r="B64" s="7"/>
      <c r="H64" s="10" t="s">
        <v>286</v>
      </c>
      <c r="I64" s="447" t="e">
        <f ca="1">_xll.EVPRO($B$1,$H64,"STYLE")</f>
        <v>#NAME?</v>
      </c>
      <c r="J64" s="447" t="e">
        <f ca="1">_xll.EVPRO($B$1,$H64,"CALC")</f>
        <v>#NAME?</v>
      </c>
      <c r="K64" s="448" t="e">
        <f t="shared" ca="1" si="14"/>
        <v>#NAME?</v>
      </c>
      <c r="L64" s="151" t="e">
        <f ca="1">_xll.EVPRO($B$1,H64,"JDEID")</f>
        <v>#NAME?</v>
      </c>
      <c r="M64" s="151" t="e">
        <f ca="1">IF(AND(I64="N",J64="N"),_xll.EVPRO($B$1,H64,"PSFTID"),"")</f>
        <v>#NAME?</v>
      </c>
      <c r="N64" s="151" t="e">
        <f ca="1">IF(_xll.EVDES(H64,$B$1)="#NODATA","",_xll.EVDES(H64,$B$1))</f>
        <v>#NAME?</v>
      </c>
      <c r="O64" s="202">
        <v>1386.55</v>
      </c>
      <c r="P64" s="120">
        <v>-41.3</v>
      </c>
      <c r="Q64" s="120">
        <v>-61.95</v>
      </c>
      <c r="R64" s="120"/>
      <c r="S64" s="120"/>
      <c r="T64" s="120"/>
      <c r="U64" s="120"/>
      <c r="V64" s="120"/>
      <c r="W64" s="120"/>
      <c r="X64" s="120"/>
      <c r="Y64" s="120"/>
      <c r="Z64" s="120"/>
      <c r="AA64" s="120" t="e">
        <f t="shared" ca="1" si="12"/>
        <v>#NAME?</v>
      </c>
      <c r="AB64" s="121" t="e">
        <f ca="1">IF(AA64=0,"",IFERROR(AA64/_xll.EVGTS($B$1,1,_xll.EVPRO($B$1,$H64,"COSBASIS"),$B$3,$B$5,$B$6,$B$7,$B$9,AA$16,AA$17,AA$11),""))</f>
        <v>#NAME?</v>
      </c>
      <c r="AC64" s="123"/>
      <c r="AD64" s="120"/>
      <c r="AE64" s="121" t="str">
        <f>IF(AD64=0,"",IFERROR(AD64/_xll.EVGTS($B$1,1,_xll.EVPRO($B$1,$H64,"COSBASIS"),$B$3,$B$5,$B$6,$B$7,$B$9,AD$16,AD$17,AD$18),""))</f>
        <v/>
      </c>
      <c r="AF64" s="122" t="e">
        <f t="shared" ca="1" si="13"/>
        <v>#NAME?</v>
      </c>
      <c r="AG64" s="120">
        <v>92443.23</v>
      </c>
      <c r="AH64" s="121" t="str">
        <f ca="1">IF(AG64=0,"",IFERROR(AG64/_xll.EVGTS($B$1,1,_xll.EVPRO($B$1,$H64,"COSBASIS"),$B$3,$B$5,$B$6,$B$7,$B$9,AG$16,AG$17,AG$18),""))</f>
        <v/>
      </c>
      <c r="AI64" s="264" t="e">
        <f t="shared" ca="1" si="15"/>
        <v>#NAME?</v>
      </c>
      <c r="AJ64" s="332">
        <f t="shared" ca="1" si="16"/>
        <v>0</v>
      </c>
      <c r="AK64" s="333">
        <f t="shared" ca="1" si="17"/>
        <v>0</v>
      </c>
      <c r="AL64" s="335">
        <f t="shared" ca="1" si="18"/>
        <v>0</v>
      </c>
      <c r="AM64" s="377">
        <f t="shared" ca="1" si="19"/>
        <v>0</v>
      </c>
      <c r="AN64" s="378">
        <f t="shared" ca="1" si="20"/>
        <v>0</v>
      </c>
    </row>
    <row r="65" spans="1:40" x14ac:dyDescent="0.2">
      <c r="A65" s="6" t="s">
        <v>16</v>
      </c>
      <c r="B65" s="7"/>
      <c r="H65" s="10" t="s">
        <v>287</v>
      </c>
      <c r="I65" s="447" t="e">
        <f ca="1">_xll.EVPRO($B$1,$H65,"STYLE")</f>
        <v>#NAME?</v>
      </c>
      <c r="J65" s="447" t="e">
        <f ca="1">_xll.EVPRO($B$1,$H65,"CALC")</f>
        <v>#NAME?</v>
      </c>
      <c r="K65" s="448" t="e">
        <f t="shared" ca="1" si="14"/>
        <v>#NAME?</v>
      </c>
      <c r="L65" s="151" t="e">
        <f ca="1">_xll.EVPRO($B$1,H65,"JDEID")</f>
        <v>#NAME?</v>
      </c>
      <c r="M65" s="151" t="e">
        <f ca="1">IF(AND(I65="N",J65="N"),_xll.EVPRO($B$1,H65,"PSFTID"),"")</f>
        <v>#NAME?</v>
      </c>
      <c r="N65" s="151" t="e">
        <f ca="1">IF(_xll.EVDES(H65,$B$1)="#NODATA","",_xll.EVDES(H65,$B$1))</f>
        <v>#NAME?</v>
      </c>
      <c r="O65" s="287"/>
      <c r="P65" s="288"/>
      <c r="Q65" s="288"/>
      <c r="R65" s="288"/>
      <c r="S65" s="288"/>
      <c r="T65" s="288"/>
      <c r="U65" s="288"/>
      <c r="V65" s="288"/>
      <c r="W65" s="288"/>
      <c r="X65" s="288"/>
      <c r="Y65" s="288"/>
      <c r="Z65" s="288"/>
      <c r="AA65" s="288" t="e">
        <f t="shared" ca="1" si="12"/>
        <v>#NAME?</v>
      </c>
      <c r="AB65" s="289" t="e">
        <f ca="1">IF(AA65=0,"",IFERROR(AA65/_xll.EVGTS($B$1,1,_xll.EVPRO($B$1,$H65,"COSBASIS"),$B$3,$B$5,$B$6,$B$7,$B$9,AA$16,AA$17,AA$11),""))</f>
        <v>#NAME?</v>
      </c>
      <c r="AC65" s="301"/>
      <c r="AD65" s="288"/>
      <c r="AE65" s="289" t="str">
        <f>IF(AD65=0,"",IFERROR(AD65/_xll.EVGTS($B$1,1,_xll.EVPRO($B$1,$H65,"COSBASIS"),$B$3,$B$5,$B$6,$B$7,$B$9,AD$16,AD$17,AD$18),""))</f>
        <v/>
      </c>
      <c r="AF65" s="290" t="e">
        <f t="shared" ca="1" si="13"/>
        <v>#NAME?</v>
      </c>
      <c r="AG65" s="288"/>
      <c r="AH65" s="289" t="str">
        <f>IF(AG65=0,"",IFERROR(AG65/_xll.EVGTS($B$1,1,_xll.EVPRO($B$1,$H65,"COSBASIS"),$B$3,$B$5,$B$6,$B$7,$B$9,AG$16,AG$17,AG$18),""))</f>
        <v/>
      </c>
      <c r="AI65" s="291" t="e">
        <f t="shared" ca="1" si="15"/>
        <v>#NAME?</v>
      </c>
      <c r="AJ65" s="325">
        <f t="shared" ca="1" si="16"/>
        <v>0</v>
      </c>
      <c r="AK65" s="326">
        <f t="shared" ca="1" si="17"/>
        <v>0</v>
      </c>
      <c r="AL65" s="328">
        <f t="shared" ca="1" si="18"/>
        <v>0</v>
      </c>
      <c r="AM65" s="362">
        <f t="shared" ca="1" si="19"/>
        <v>0</v>
      </c>
      <c r="AN65" s="376">
        <f t="shared" ca="1" si="20"/>
        <v>0</v>
      </c>
    </row>
    <row r="66" spans="1:40" x14ac:dyDescent="0.2">
      <c r="A66" s="6" t="s">
        <v>17</v>
      </c>
      <c r="B66" s="7"/>
      <c r="H66" s="10" t="s">
        <v>637</v>
      </c>
      <c r="I66" s="25" t="e">
        <f ca="1">_xll.EVPRO($B$1,$H66,"STYLE")</f>
        <v>#NAME?</v>
      </c>
      <c r="J66" s="25" t="e">
        <f ca="1">_xll.EVPRO($B$1,$H66,"CALC")</f>
        <v>#NAME?</v>
      </c>
      <c r="K66" s="64" t="e">
        <f t="shared" ca="1" si="14"/>
        <v>#NAME?</v>
      </c>
      <c r="L66" s="24" t="e">
        <f ca="1">_xll.EVPRO($B$1,H66,"JDEID")</f>
        <v>#NAME?</v>
      </c>
      <c r="M66" s="24" t="e">
        <f ca="1">IF(AND(I66="N",J66="N"),_xll.EVPRO($B$1,H66,"PSFTID"),"")</f>
        <v>#NAME?</v>
      </c>
      <c r="N66" s="24" t="e">
        <f ca="1">IF(_xll.EVDES(H66,$B$1)="#NODATA","",_xll.EVDES(H66,$B$1))</f>
        <v>#NAME?</v>
      </c>
      <c r="O66" s="282"/>
      <c r="P66" s="283"/>
      <c r="Q66" s="283"/>
      <c r="R66" s="283"/>
      <c r="S66" s="283"/>
      <c r="T66" s="283"/>
      <c r="U66" s="283"/>
      <c r="V66" s="283"/>
      <c r="W66" s="283"/>
      <c r="X66" s="283"/>
      <c r="Y66" s="283"/>
      <c r="Z66" s="283"/>
      <c r="AA66" s="283" t="e">
        <f t="shared" ca="1" si="12"/>
        <v>#NAME?</v>
      </c>
      <c r="AB66" s="284" t="e">
        <f ca="1">IF(AA66=0,"",IFERROR(AA66/_xll.EVGTS($B$1,1,_xll.EVPRO($B$1,$H66,"COSBASIS"),$B$3,$B$5,$B$6,$B$7,$B$9,AA$16,AA$17,AA$11),""))</f>
        <v>#NAME?</v>
      </c>
      <c r="AC66" s="300"/>
      <c r="AD66" s="283"/>
      <c r="AE66" s="284" t="str">
        <f>IF(AD66=0,"",IFERROR(AD66/_xll.EVGTS($B$1,1,_xll.EVPRO($B$1,$H66,"COSBASIS"),$B$3,$B$5,$B$6,$B$7,$B$9,AD$16,AD$17,AD$18),""))</f>
        <v/>
      </c>
      <c r="AF66" s="285" t="e">
        <f t="shared" ca="1" si="13"/>
        <v>#NAME?</v>
      </c>
      <c r="AG66" s="283"/>
      <c r="AH66" s="284" t="str">
        <f>IF(AG66=0,"",IFERROR(AG66/_xll.EVGTS($B$1,1,_xll.EVPRO($B$1,$H66,"COSBASIS"),$B$3,$B$5,$B$6,$B$7,$B$9,AG$16,AG$17,AG$18),""))</f>
        <v/>
      </c>
      <c r="AI66" s="286" t="e">
        <f t="shared" ca="1" si="15"/>
        <v>#NAME?</v>
      </c>
      <c r="AJ66" s="371">
        <f t="shared" ca="1" si="16"/>
        <v>0</v>
      </c>
      <c r="AK66" s="372">
        <f t="shared" ca="1" si="17"/>
        <v>0</v>
      </c>
      <c r="AL66" s="373">
        <f t="shared" ca="1" si="18"/>
        <v>0</v>
      </c>
      <c r="AM66" s="374">
        <f t="shared" ca="1" si="19"/>
        <v>0</v>
      </c>
      <c r="AN66" s="375">
        <f t="shared" ca="1" si="20"/>
        <v>0</v>
      </c>
    </row>
    <row r="67" spans="1:40" x14ac:dyDescent="0.2">
      <c r="H67" s="10" t="s">
        <v>638</v>
      </c>
      <c r="I67" s="25" t="e">
        <f ca="1">_xll.EVPRO($B$1,$H67,"STYLE")</f>
        <v>#NAME?</v>
      </c>
      <c r="J67" s="25" t="e">
        <f ca="1">_xll.EVPRO($B$1,$H67,"CALC")</f>
        <v>#NAME?</v>
      </c>
      <c r="K67" s="64" t="e">
        <f t="shared" ca="1" si="14"/>
        <v>#NAME?</v>
      </c>
      <c r="L67" s="24" t="e">
        <f ca="1">_xll.EVPRO($B$1,H67,"JDEID")</f>
        <v>#NAME?</v>
      </c>
      <c r="M67" s="24" t="e">
        <f ca="1">IF(AND(I67="N",J67="N"),_xll.EVPRO($B$1,H67,"PSFTID"),"")</f>
        <v>#NAME?</v>
      </c>
      <c r="N67" s="24" t="e">
        <f ca="1">IF(_xll.EVDES(H67,$B$1)="#NODATA","",_xll.EVDES(H67,$B$1))</f>
        <v>#NAME?</v>
      </c>
      <c r="O67" s="282"/>
      <c r="P67" s="283"/>
      <c r="Q67" s="283"/>
      <c r="R67" s="283"/>
      <c r="S67" s="283"/>
      <c r="T67" s="283"/>
      <c r="U67" s="283"/>
      <c r="V67" s="283"/>
      <c r="W67" s="283"/>
      <c r="X67" s="283"/>
      <c r="Y67" s="283"/>
      <c r="Z67" s="283"/>
      <c r="AA67" s="283" t="e">
        <f t="shared" ca="1" si="12"/>
        <v>#NAME?</v>
      </c>
      <c r="AB67" s="284" t="e">
        <f ca="1">IF(AA67=0,"",IFERROR(AA67/_xll.EVGTS($B$1,1,_xll.EVPRO($B$1,$H67,"COSBASIS"),$B$3,$B$5,$B$6,$B$7,$B$9,AA$16,AA$17,AA$11),""))</f>
        <v>#NAME?</v>
      </c>
      <c r="AC67" s="300"/>
      <c r="AD67" s="283"/>
      <c r="AE67" s="284" t="str">
        <f>IF(AD67=0,"",IFERROR(AD67/_xll.EVGTS($B$1,1,_xll.EVPRO($B$1,$H67,"COSBASIS"),$B$3,$B$5,$B$6,$B$7,$B$9,AD$16,AD$17,AD$18),""))</f>
        <v/>
      </c>
      <c r="AF67" s="285" t="e">
        <f t="shared" ca="1" si="13"/>
        <v>#NAME?</v>
      </c>
      <c r="AG67" s="283"/>
      <c r="AH67" s="284" t="str">
        <f>IF(AG67=0,"",IFERROR(AG67/_xll.EVGTS($B$1,1,_xll.EVPRO($B$1,$H67,"COSBASIS"),$B$3,$B$5,$B$6,$B$7,$B$9,AG$16,AG$17,AG$18),""))</f>
        <v/>
      </c>
      <c r="AI67" s="286" t="e">
        <f t="shared" ca="1" si="15"/>
        <v>#NAME?</v>
      </c>
      <c r="AJ67" s="371">
        <f t="shared" ca="1" si="16"/>
        <v>0</v>
      </c>
      <c r="AK67" s="372">
        <f t="shared" ca="1" si="17"/>
        <v>0</v>
      </c>
      <c r="AL67" s="373">
        <f t="shared" ca="1" si="18"/>
        <v>0</v>
      </c>
      <c r="AM67" s="374">
        <f t="shared" ca="1" si="19"/>
        <v>0</v>
      </c>
      <c r="AN67" s="375">
        <f t="shared" ca="1" si="20"/>
        <v>0</v>
      </c>
    </row>
    <row r="68" spans="1:40" x14ac:dyDescent="0.2">
      <c r="A68" s="20" t="s">
        <v>92</v>
      </c>
      <c r="B68" s="21" t="s">
        <v>93</v>
      </c>
      <c r="C68" s="21" t="s">
        <v>94</v>
      </c>
      <c r="D68" s="21" t="s">
        <v>95</v>
      </c>
      <c r="E68" s="21" t="s">
        <v>96</v>
      </c>
      <c r="F68" s="22" t="s">
        <v>97</v>
      </c>
      <c r="H68" s="10" t="s">
        <v>639</v>
      </c>
      <c r="I68" s="25" t="e">
        <f ca="1">_xll.EVPRO($B$1,$H68,"STYLE")</f>
        <v>#NAME?</v>
      </c>
      <c r="J68" s="25" t="e">
        <f ca="1">_xll.EVPRO($B$1,$H68,"CALC")</f>
        <v>#NAME?</v>
      </c>
      <c r="K68" s="64" t="e">
        <f t="shared" ca="1" si="14"/>
        <v>#NAME?</v>
      </c>
      <c r="L68" s="24" t="e">
        <f ca="1">_xll.EVPRO($B$1,H68,"JDEID")</f>
        <v>#NAME?</v>
      </c>
      <c r="M68" s="24" t="e">
        <f ca="1">IF(AND(I68="N",J68="N"),_xll.EVPRO($B$1,H68,"PSFTID"),"")</f>
        <v>#NAME?</v>
      </c>
      <c r="N68" s="24" t="e">
        <f ca="1">IF(_xll.EVDES(H68,$B$1)="#NODATA","",_xll.EVDES(H68,$B$1))</f>
        <v>#NAME?</v>
      </c>
      <c r="O68" s="295"/>
      <c r="P68" s="296"/>
      <c r="Q68" s="296"/>
      <c r="R68" s="296"/>
      <c r="S68" s="296"/>
      <c r="T68" s="296"/>
      <c r="U68" s="296"/>
      <c r="V68" s="296"/>
      <c r="W68" s="296"/>
      <c r="X68" s="296"/>
      <c r="Y68" s="296"/>
      <c r="Z68" s="296"/>
      <c r="AA68" s="296" t="e">
        <f t="shared" ca="1" si="12"/>
        <v>#NAME?</v>
      </c>
      <c r="AB68" s="297" t="e">
        <f ca="1">IF(AA68=0,"",IFERROR(AA68/_xll.EVGTS($B$1,1,_xll.EVPRO($B$1,$H68,"COSBASIS"),$B$3,$B$5,$B$6,$B$7,$B$9,AA$16,AA$17,AA$11),""))</f>
        <v>#NAME?</v>
      </c>
      <c r="AC68" s="263"/>
      <c r="AD68" s="296"/>
      <c r="AE68" s="297" t="str">
        <f>IF(AD68=0,"",IFERROR(AD68/_xll.EVGTS($B$1,1,_xll.EVPRO($B$1,$H68,"COSBASIS"),$B$3,$B$5,$B$6,$B$7,$B$9,AD$16,AD$17,AD$18),""))</f>
        <v/>
      </c>
      <c r="AF68" s="298" t="e">
        <f t="shared" ca="1" si="13"/>
        <v>#NAME?</v>
      </c>
      <c r="AG68" s="296"/>
      <c r="AH68" s="297" t="str">
        <f>IF(AG68=0,"",IFERROR(AG68/_xll.EVGTS($B$1,1,_xll.EVPRO($B$1,$H68,"COSBASIS"),$B$3,$B$5,$B$6,$B$7,$B$9,AG$16,AG$17,AG$18),""))</f>
        <v/>
      </c>
      <c r="AI68" s="299" t="e">
        <f t="shared" ca="1" si="15"/>
        <v>#NAME?</v>
      </c>
      <c r="AJ68" s="381">
        <f t="shared" ca="1" si="16"/>
        <v>0</v>
      </c>
      <c r="AK68" s="382">
        <f t="shared" ca="1" si="17"/>
        <v>0</v>
      </c>
      <c r="AL68" s="383">
        <f t="shared" ca="1" si="18"/>
        <v>0</v>
      </c>
      <c r="AM68" s="384">
        <f t="shared" ca="1" si="19"/>
        <v>0</v>
      </c>
      <c r="AN68" s="385">
        <f t="shared" ca="1" si="20"/>
        <v>0</v>
      </c>
    </row>
    <row r="69" spans="1:40" x14ac:dyDescent="0.2">
      <c r="H69" s="10" t="s">
        <v>288</v>
      </c>
      <c r="I69" s="447" t="e">
        <f ca="1">_xll.EVPRO($B$1,$H69,"STYLE")</f>
        <v>#NAME?</v>
      </c>
      <c r="J69" s="447" t="e">
        <f ca="1">_xll.EVPRO($B$1,$H69,"CALC")</f>
        <v>#NAME?</v>
      </c>
      <c r="K69" s="448" t="e">
        <f t="shared" ca="1" si="14"/>
        <v>#NAME?</v>
      </c>
      <c r="L69" s="151" t="e">
        <f ca="1">_xll.EVPRO($B$1,H69,"JDEID")</f>
        <v>#NAME?</v>
      </c>
      <c r="M69" s="151" t="e">
        <f ca="1">IF(AND(I69="N",J69="N"),_xll.EVPRO($B$1,H69,"PSFTID"),"")</f>
        <v>#NAME?</v>
      </c>
      <c r="N69" s="151" t="e">
        <f ca="1">IF(_xll.EVDES(H69,$B$1)="#NODATA","",_xll.EVDES(H69,$B$1))</f>
        <v>#NAME?</v>
      </c>
      <c r="O69" s="203"/>
      <c r="P69" s="33"/>
      <c r="Q69" s="33"/>
      <c r="R69" s="33"/>
      <c r="S69" s="33"/>
      <c r="T69" s="33"/>
      <c r="U69" s="33"/>
      <c r="V69" s="33"/>
      <c r="W69" s="33"/>
      <c r="X69" s="33"/>
      <c r="Y69" s="33"/>
      <c r="Z69" s="33"/>
      <c r="AA69" s="33" t="e">
        <f t="shared" ca="1" si="12"/>
        <v>#NAME?</v>
      </c>
      <c r="AB69" s="34" t="e">
        <f ca="1">IF(AA69=0,"",IFERROR(AA69/_xll.EVGTS($B$1,1,_xll.EVPRO($B$1,$H69,"COSBASIS"),$B$3,$B$5,$B$6,$B$7,$B$9,AA$16,AA$17,AA$11),""))</f>
        <v>#NAME?</v>
      </c>
      <c r="AC69" s="32"/>
      <c r="AD69" s="33"/>
      <c r="AE69" s="34" t="str">
        <f>IF(AD69=0,"",IFERROR(AD69/_xll.EVGTS($B$1,1,_xll.EVPRO($B$1,$H69,"COSBASIS"),$B$3,$B$5,$B$6,$B$7,$B$9,AD$16,AD$17,AD$18),""))</f>
        <v/>
      </c>
      <c r="AF69" s="54" t="e">
        <f t="shared" ca="1" si="13"/>
        <v>#NAME?</v>
      </c>
      <c r="AG69" s="33"/>
      <c r="AH69" s="34" t="str">
        <f>IF(AG69=0,"",IFERROR(AG69/_xll.EVGTS($B$1,1,_xll.EVPRO($B$1,$H69,"COSBASIS"),$B$3,$B$5,$B$6,$B$7,$B$9,AG$16,AG$17,AG$18),""))</f>
        <v/>
      </c>
      <c r="AI69" s="265" t="e">
        <f t="shared" ca="1" si="15"/>
        <v>#NAME?</v>
      </c>
      <c r="AJ69" s="344">
        <f t="shared" ca="1" si="16"/>
        <v>0</v>
      </c>
      <c r="AK69" s="345">
        <f t="shared" ca="1" si="17"/>
        <v>0</v>
      </c>
      <c r="AL69" s="347">
        <f t="shared" ca="1" si="18"/>
        <v>0</v>
      </c>
      <c r="AM69" s="379">
        <f t="shared" ca="1" si="19"/>
        <v>0</v>
      </c>
      <c r="AN69" s="380">
        <f t="shared" ca="1" si="20"/>
        <v>0</v>
      </c>
    </row>
    <row r="70" spans="1:40" x14ac:dyDescent="0.2">
      <c r="A70" s="1" t="s">
        <v>209</v>
      </c>
      <c r="B70" s="1" t="s">
        <v>21</v>
      </c>
      <c r="C70" s="70"/>
      <c r="D70" s="1" t="s">
        <v>590</v>
      </c>
      <c r="F70" s="1" t="s">
        <v>99</v>
      </c>
      <c r="H70" s="10" t="s">
        <v>289</v>
      </c>
      <c r="I70" s="447" t="e">
        <f ca="1">_xll.EVPRO($B$1,$H70,"STYLE")</f>
        <v>#NAME?</v>
      </c>
      <c r="J70" s="447" t="e">
        <f ca="1">_xll.EVPRO($B$1,$H70,"CALC")</f>
        <v>#NAME?</v>
      </c>
      <c r="K70" s="448" t="e">
        <f t="shared" ca="1" si="14"/>
        <v>#NAME?</v>
      </c>
      <c r="L70" s="151" t="e">
        <f ca="1">_xll.EVPRO($B$1,H70,"JDEID")</f>
        <v>#NAME?</v>
      </c>
      <c r="M70" s="151" t="e">
        <f ca="1">IF(AND(I70="N",J70="N"),_xll.EVPRO($B$1,H70,"PSFTID"),"")</f>
        <v>#NAME?</v>
      </c>
      <c r="N70" s="151" t="e">
        <f ca="1">IF(_xll.EVDES(H70,$B$1)="#NODATA","",_xll.EVDES(H70,$B$1))</f>
        <v>#NAME?</v>
      </c>
      <c r="O70" s="202">
        <v>1386.55</v>
      </c>
      <c r="P70" s="120">
        <v>-41.3</v>
      </c>
      <c r="Q70" s="120">
        <v>-61.95</v>
      </c>
      <c r="R70" s="120"/>
      <c r="S70" s="120"/>
      <c r="T70" s="120"/>
      <c r="U70" s="120"/>
      <c r="V70" s="120"/>
      <c r="W70" s="120"/>
      <c r="X70" s="120"/>
      <c r="Y70" s="120"/>
      <c r="Z70" s="120"/>
      <c r="AA70" s="120" t="e">
        <f t="shared" ca="1" si="12"/>
        <v>#NAME?</v>
      </c>
      <c r="AB70" s="121" t="e">
        <f ca="1">IF(AA70=0,"",IFERROR(AA70/_xll.EVGTS($B$1,1,_xll.EVPRO($B$1,$H70,"COSBASIS"),$B$3,$B$5,$B$6,$B$7,$B$9,AA$16,AA$17,AA$11),""))</f>
        <v>#NAME?</v>
      </c>
      <c r="AC70" s="123"/>
      <c r="AD70" s="120"/>
      <c r="AE70" s="121" t="str">
        <f>IF(AD70=0,"",IFERROR(AD70/_xll.EVGTS($B$1,1,_xll.EVPRO($B$1,$H70,"COSBASIS"),$B$3,$B$5,$B$6,$B$7,$B$9,AD$16,AD$17,AD$18),""))</f>
        <v/>
      </c>
      <c r="AF70" s="122" t="e">
        <f t="shared" ca="1" si="13"/>
        <v>#NAME?</v>
      </c>
      <c r="AG70" s="120">
        <v>92443.23</v>
      </c>
      <c r="AH70" s="121" t="str">
        <f ca="1">IF(AG70=0,"",IFERROR(AG70/_xll.EVGTS($B$1,1,_xll.EVPRO($B$1,$H70,"COSBASIS"),$B$3,$B$5,$B$6,$B$7,$B$9,AG$16,AG$17,AG$18),""))</f>
        <v/>
      </c>
      <c r="AI70" s="264" t="e">
        <f t="shared" ca="1" si="15"/>
        <v>#NAME?</v>
      </c>
      <c r="AJ70" s="332">
        <f t="shared" ca="1" si="16"/>
        <v>0</v>
      </c>
      <c r="AK70" s="333">
        <f t="shared" ca="1" si="17"/>
        <v>0</v>
      </c>
      <c r="AL70" s="335">
        <f t="shared" ca="1" si="18"/>
        <v>0</v>
      </c>
      <c r="AM70" s="377">
        <f t="shared" ca="1" si="19"/>
        <v>0</v>
      </c>
      <c r="AN70" s="378">
        <f t="shared" ca="1" si="20"/>
        <v>0</v>
      </c>
    </row>
    <row r="71" spans="1:40" x14ac:dyDescent="0.2">
      <c r="A71" s="1" t="s">
        <v>105</v>
      </c>
      <c r="C71" s="24" t="s">
        <v>101</v>
      </c>
      <c r="D71" s="1" t="s">
        <v>106</v>
      </c>
      <c r="F71" s="1" t="s">
        <v>98</v>
      </c>
      <c r="H71" s="133" t="s">
        <v>175</v>
      </c>
      <c r="I71" s="26" t="e">
        <f ca="1">_xll.EVPRO($B$1,$H71,"STYLE")</f>
        <v>#NAME?</v>
      </c>
      <c r="J71" s="26" t="e">
        <f ca="1">_xll.EVPRO($B$1,$H71,"CALC")</f>
        <v>#NAME?</v>
      </c>
      <c r="K71" s="65" t="e">
        <f ca="1">IF(AND(I71&gt;="T5"),"&gt;","")</f>
        <v>#NAME?</v>
      </c>
      <c r="L71" s="65"/>
      <c r="M71" s="65"/>
      <c r="N71" s="23" t="e">
        <f ca="1">IF(_xll.EVDES(H71,$B$1)="#NODATA","",_xll.EVDES(H71,$B$1))</f>
        <v>#NAME?</v>
      </c>
      <c r="O71" s="44"/>
      <c r="P71" s="44"/>
      <c r="Q71" s="44"/>
      <c r="R71" s="44"/>
      <c r="S71" s="44"/>
      <c r="T71" s="44"/>
      <c r="U71" s="44"/>
      <c r="V71" s="44"/>
      <c r="W71" s="44"/>
      <c r="X71" s="44"/>
      <c r="Y71" s="44"/>
      <c r="Z71" s="44"/>
      <c r="AA71" s="44"/>
      <c r="AB71" s="45" t="str">
        <f>IF(O71=0,"",IFERROR(O71/_xll.EVGTS($B$1,1,INDEX($C$152:$C$175,MATCH($H71,$A$152:$A$175,0)),$B$3,$B$5,$B$6,$B$7,$B$9,O$16,O$17,O$18),""))</f>
        <v/>
      </c>
      <c r="AD71" s="44"/>
      <c r="AE71" s="45" t="str">
        <f>IF(AD71=0,"",IFERROR(AD71/_xll.EVGTS($B$1,1,INDEX($C$152:$C$175,MATCH($H71,$A$152:$A$175,0)),$B$3,$B$5,$B$6,$B$7,$B$9,AD$16,AD$17,AD$18),""))</f>
        <v/>
      </c>
      <c r="AF71" s="134" t="str">
        <f t="shared" ref="AF71:AF72" si="21">IF(AND($AA71="",AD71=""),"",$AA71-AD71)</f>
        <v/>
      </c>
      <c r="AG71" s="44"/>
      <c r="AH71" s="45" t="str">
        <f>IF(AG71=0,"",IFERROR(AG71/_xll.EVGTS($B$1,1,INDEX($C$152:$C$175,MATCH($H71,$A$152:$A$175,0)),$B$3,$B$5,$B$6,$B$7,$B$9,AG$16,AG$17,AG$18),""))</f>
        <v/>
      </c>
      <c r="AI71" s="134" t="str">
        <f>IF(AND($AA71="",AG71=""),"",$AA71-AG71)</f>
        <v/>
      </c>
      <c r="AJ71" s="392">
        <f ca="1">IFERROR(AA71/AA$20,0)</f>
        <v>0</v>
      </c>
      <c r="AK71" s="393">
        <f ca="1">IFERROR(AD71/AD$20,0)</f>
        <v>0</v>
      </c>
      <c r="AL71" s="394">
        <f ca="1">IFERROR(AG71/AG$20,0)</f>
        <v>0</v>
      </c>
      <c r="AM71" s="395">
        <f>+IFERROR(ROUND(($AB71-AE71)*100,2)&amp;" pts.",0)</f>
        <v>0</v>
      </c>
      <c r="AN71" s="396">
        <f>+IFERROR(ROUND(($AB71-AH71)*100,2)&amp;" pts.",0)</f>
        <v>0</v>
      </c>
    </row>
    <row r="72" spans="1:40" x14ac:dyDescent="0.2">
      <c r="A72" s="1" t="s">
        <v>104</v>
      </c>
      <c r="C72" s="24" t="s">
        <v>101</v>
      </c>
      <c r="D72" s="1" t="s">
        <v>106</v>
      </c>
      <c r="F72" s="1" t="s">
        <v>98</v>
      </c>
      <c r="H72" s="133" t="s">
        <v>292</v>
      </c>
      <c r="I72" s="26" t="e">
        <f ca="1">_xll.EVPRO($B$1,$H72,"STYLE")</f>
        <v>#NAME?</v>
      </c>
      <c r="J72" s="26" t="e">
        <f ca="1">_xll.EVPRO($B$1,$H72,"CALC")</f>
        <v>#NAME?</v>
      </c>
      <c r="K72" s="65" t="e">
        <f ca="1">IF(AND(I72&gt;="T5"),"&gt;","")</f>
        <v>#NAME?</v>
      </c>
      <c r="L72" s="65"/>
      <c r="M72" s="65"/>
      <c r="N72" s="23" t="e">
        <f ca="1">IF(_xll.EVDES(H72,$B$1)="#NODATA","",_xll.EVDES(H72,$B$1))</f>
        <v>#NAME?</v>
      </c>
      <c r="O72" s="145">
        <f>SUMIF($H$35:$H$70,"400000",O35:O70)-SUMIF($H$35:$H$70,"500001",O35:O70)</f>
        <v>6820.5700000000006</v>
      </c>
      <c r="P72" s="145">
        <f t="shared" ref="P72:Y72" si="22">SUMIF($H$35:$H$70,"400000",P35:P70)-SUMIF($H$35:$H$70,"500001",P35:P70)</f>
        <v>41.3</v>
      </c>
      <c r="Q72" s="145">
        <f t="shared" si="22"/>
        <v>61.95</v>
      </c>
      <c r="R72" s="145">
        <f t="shared" si="22"/>
        <v>0</v>
      </c>
      <c r="S72" s="145">
        <f t="shared" si="22"/>
        <v>0</v>
      </c>
      <c r="T72" s="145">
        <f t="shared" si="22"/>
        <v>0</v>
      </c>
      <c r="U72" s="145">
        <f t="shared" si="22"/>
        <v>0</v>
      </c>
      <c r="V72" s="145">
        <f t="shared" si="22"/>
        <v>0</v>
      </c>
      <c r="W72" s="145">
        <f t="shared" si="22"/>
        <v>0</v>
      </c>
      <c r="X72" s="145">
        <f t="shared" si="22"/>
        <v>0</v>
      </c>
      <c r="Y72" s="145">
        <f t="shared" si="22"/>
        <v>0</v>
      </c>
      <c r="Z72" s="145">
        <f>SUMIF($H$35:$H$70,"400000",Z35:Z70)-SUMIF($H$35:$H$70,"500001",Z35:Z70)</f>
        <v>0</v>
      </c>
      <c r="AA72" s="120" t="e">
        <f ca="1">IF($I72="B1","",SUM(O72:Z72))</f>
        <v>#NAME?</v>
      </c>
      <c r="AB72" s="121" t="e">
        <f ca="1">IF(AA72=0,"",IFERROR(AA72/AA$19,""))</f>
        <v>#NAME?</v>
      </c>
      <c r="AD72" s="145">
        <f>SUMIF($H$35:$H$70,"400000",AD35:AD70)-SUMIF($H$35:$H$70,"500001",AD35:AD70)</f>
        <v>0</v>
      </c>
      <c r="AE72" s="121" t="str">
        <f>IF(AD72=0,"",IFERROR(AD72/AD$19,""))</f>
        <v/>
      </c>
      <c r="AF72" s="146" t="e">
        <f t="shared" ca="1" si="21"/>
        <v>#NAME?</v>
      </c>
      <c r="AG72" s="145">
        <f>SUMIF($H$35:$H$70,"400000",AG35:AG70)-SUMIF($H$35:$H$70,"500001",AG35:AG70)</f>
        <v>413385.91000000003</v>
      </c>
      <c r="AH72" s="121" t="str">
        <f ca="1">IF(AG72=0,"",IFERROR(AG72/AG$19,""))</f>
        <v/>
      </c>
      <c r="AI72" s="146" t="e">
        <f ca="1">IF(AND($AA72="",AG72=""),"",$AA72-AG72)</f>
        <v>#NAME?</v>
      </c>
      <c r="AJ72" s="364">
        <f ca="1">IFERROR(AA72/AA$20,0)</f>
        <v>0</v>
      </c>
      <c r="AK72" s="365">
        <f ca="1">IFERROR(AD72/AD$20,0)</f>
        <v>0</v>
      </c>
      <c r="AL72" s="366">
        <f ca="1">IFERROR(AG72/AG$20,0)</f>
        <v>0</v>
      </c>
      <c r="AM72" s="367">
        <f ca="1">+IFERROR(ROUND(($AB72-AE72)*100,2)&amp;" pts.",0)</f>
        <v>0</v>
      </c>
      <c r="AN72" s="409">
        <f ca="1">+IFERROR(ROUND(($AB72-AH72)*100,2)&amp;" pts.",0)</f>
        <v>0</v>
      </c>
    </row>
    <row r="73" spans="1:40" x14ac:dyDescent="0.2">
      <c r="A73" s="1" t="s">
        <v>100</v>
      </c>
      <c r="C73" s="8" t="s">
        <v>101</v>
      </c>
      <c r="D73" s="1" t="s">
        <v>106</v>
      </c>
      <c r="F73" s="1" t="s">
        <v>98</v>
      </c>
      <c r="O73" s="144"/>
      <c r="P73" s="147"/>
      <c r="Q73" s="147"/>
      <c r="R73" s="147"/>
      <c r="S73" s="147"/>
      <c r="T73" s="147"/>
      <c r="U73" s="147"/>
      <c r="V73" s="147"/>
      <c r="W73" s="147"/>
      <c r="X73" s="147"/>
      <c r="Y73" s="147"/>
      <c r="Z73" s="147"/>
      <c r="AA73" s="147"/>
      <c r="AB73" s="51"/>
      <c r="AD73" s="50"/>
      <c r="AF73" s="51"/>
      <c r="AI73" s="51"/>
    </row>
    <row r="74" spans="1:40" x14ac:dyDescent="0.2">
      <c r="A74" s="1" t="s">
        <v>102</v>
      </c>
      <c r="C74" s="23" t="s">
        <v>101</v>
      </c>
      <c r="D74" s="1" t="s">
        <v>106</v>
      </c>
      <c r="F74" s="1" t="s">
        <v>98</v>
      </c>
      <c r="H74" s="1" t="s">
        <v>73</v>
      </c>
      <c r="I74" s="11" t="e">
        <f ca="1">_xll.EVPRO($B$1,$H74,"STYLE")</f>
        <v>#NAME?</v>
      </c>
      <c r="J74" s="11" t="e">
        <f ca="1">_xll.EVPRO($B$1,$H74,"CALC")</f>
        <v>#NAME?</v>
      </c>
      <c r="N74" s="37" t="e">
        <f ca="1">IF(_xll.EVDES(H74,$B$1)="#NODATA","",_xll.EVDES(H74,$B$1))</f>
        <v>#NAME?</v>
      </c>
      <c r="O74" s="50"/>
      <c r="AB74" s="149"/>
      <c r="AD74" s="148"/>
      <c r="AE74" s="150"/>
      <c r="AF74" s="51"/>
      <c r="AH74" s="150"/>
      <c r="AI74" s="51"/>
    </row>
    <row r="75" spans="1:40" x14ac:dyDescent="0.2">
      <c r="A75" s="1" t="s">
        <v>102</v>
      </c>
      <c r="C75" s="135" t="s">
        <v>101</v>
      </c>
      <c r="D75" s="1" t="s">
        <v>107</v>
      </c>
      <c r="F75" s="1" t="s">
        <v>99</v>
      </c>
      <c r="H75" s="1" t="s">
        <v>74</v>
      </c>
      <c r="I75" s="11" t="e">
        <f ca="1">_xll.EVPRO($B$1,$H75,"STYLE")</f>
        <v>#NAME?</v>
      </c>
      <c r="J75" s="11" t="e">
        <f ca="1">_xll.EVPRO($B$1,$H75,"CALC")</f>
        <v>#NAME?</v>
      </c>
      <c r="N75" s="8" t="e">
        <f ca="1">IF(_xll.EVDES(H75,$B$1)="#NODATA","",_xll.EVDES(H75,$B$1))</f>
        <v>#NAME?</v>
      </c>
      <c r="O75" s="40"/>
      <c r="P75" s="43"/>
      <c r="Q75" s="43"/>
      <c r="R75" s="43"/>
      <c r="S75" s="43"/>
      <c r="T75" s="43"/>
      <c r="U75" s="43"/>
      <c r="V75" s="43"/>
      <c r="W75" s="43"/>
      <c r="X75" s="43"/>
      <c r="Y75" s="43"/>
      <c r="Z75" s="43"/>
      <c r="AA75" s="43"/>
      <c r="AB75" s="41"/>
      <c r="AD75" s="40"/>
      <c r="AE75" s="43"/>
      <c r="AF75" s="41"/>
      <c r="AG75" s="43"/>
      <c r="AH75" s="43"/>
      <c r="AI75" s="41"/>
    </row>
    <row r="76" spans="1:40" hidden="1" x14ac:dyDescent="0.2">
      <c r="A76" s="1" t="s">
        <v>108</v>
      </c>
      <c r="C76" s="23" t="s">
        <v>101</v>
      </c>
      <c r="D76" s="1" t="s">
        <v>106</v>
      </c>
      <c r="F76" s="1" t="s">
        <v>98</v>
      </c>
      <c r="H76" s="10" t="s">
        <v>667</v>
      </c>
      <c r="I76" s="25" t="e">
        <f ca="1">_xll.EVPRO($B$1,$H76,"STYLE")</f>
        <v>#NAME?</v>
      </c>
      <c r="J76" s="25" t="e">
        <f ca="1">_xll.EVPRO($B$1,$H76,"CALC")</f>
        <v>#NAME?</v>
      </c>
      <c r="K76" s="64" t="e">
        <f ca="1">IF(AND(I76&gt;="T3"),"&gt;","")</f>
        <v>#NAME?</v>
      </c>
      <c r="L76" s="24" t="e">
        <f ca="1">_xll.EVPRO($B$1,H76,"JDEID")</f>
        <v>#NAME?</v>
      </c>
      <c r="M76" s="24" t="e">
        <f ca="1">IF(AND(I76="N",J76="N"),_xll.EVPRO($B$1,H76,"PSFTID"),"")</f>
        <v>#NAME?</v>
      </c>
      <c r="N76" s="24" t="e">
        <f ca="1">IF(_xll.EVDES(H76,$B$1)="#NODATA","",_xll.EVDES(H76,$B$1))</f>
        <v>#NAME?</v>
      </c>
      <c r="O76" s="35"/>
      <c r="P76" s="35"/>
      <c r="Q76" s="35"/>
      <c r="R76" s="35"/>
      <c r="S76" s="35"/>
      <c r="T76" s="35"/>
      <c r="U76" s="35"/>
      <c r="V76" s="35"/>
      <c r="W76" s="35"/>
      <c r="X76" s="35"/>
      <c r="Y76" s="35"/>
      <c r="Z76" s="35"/>
      <c r="AA76" s="283" t="e">
        <f t="shared" ref="AA76:AA85" ca="1" si="23">IF($I76="B1","",SUM(O76:Z76))</f>
        <v>#NAME?</v>
      </c>
      <c r="AB76" s="36" t="e">
        <f t="shared" ref="AB76:AB85" ca="1" si="24">IF(AA76=0,"",IFERROR(AA76/AA$19,""))</f>
        <v>#NAME?</v>
      </c>
      <c r="AD76" s="35"/>
      <c r="AE76" s="36" t="str">
        <f t="shared" ref="AE76:AE85" si="25">IF(AD76=0,"",IFERROR(AD76/AD$19,""))</f>
        <v/>
      </c>
      <c r="AF76" s="118" t="e">
        <f t="shared" ref="AF76:AF85" ca="1" si="26">IF(AND($AA76="",AD76=""),"",$AA76-AD76)</f>
        <v>#NAME?</v>
      </c>
      <c r="AG76" s="35"/>
      <c r="AH76" s="36" t="str">
        <f>IF(AG76=0,"",IFERROR(AG76/AG$19,""))</f>
        <v/>
      </c>
      <c r="AI76" s="118" t="e">
        <f ca="1">IF(AND($AA76="",AG76=""),"",$AA76-AG76)</f>
        <v>#NAME?</v>
      </c>
      <c r="AJ76" s="371">
        <f ca="1">IFERROR(AA76/AA$20,0)</f>
        <v>0</v>
      </c>
      <c r="AK76" s="372">
        <f ca="1">IFERROR(AD76/AD$20,0)</f>
        <v>0</v>
      </c>
      <c r="AL76" s="373">
        <f ca="1">IFERROR(AG76/AG$20,0)</f>
        <v>0</v>
      </c>
      <c r="AM76" s="374">
        <f ca="1">+IFERROR(ROUND(($AB76-AE76)*100,2)&amp;" pts.",0)</f>
        <v>0</v>
      </c>
      <c r="AN76" s="375">
        <f ca="1">+IFERROR(ROUND(($AB76-AH76)*100,2)&amp;" pts.",0)</f>
        <v>0</v>
      </c>
    </row>
    <row r="77" spans="1:40" hidden="1" x14ac:dyDescent="0.2">
      <c r="A77" s="1" t="s">
        <v>108</v>
      </c>
      <c r="C77" s="135" t="s">
        <v>101</v>
      </c>
      <c r="D77" s="1" t="s">
        <v>107</v>
      </c>
      <c r="F77" s="1" t="s">
        <v>99</v>
      </c>
      <c r="H77" s="133"/>
      <c r="I77" s="25" t="e">
        <f ca="1">_xll.EVPRO($B$1,$H77,"STYLE")</f>
        <v>#NAME?</v>
      </c>
      <c r="J77" s="25" t="e">
        <f ca="1">_xll.EVPRO($B$1,$H77,"CALC")</f>
        <v>#NAME?</v>
      </c>
      <c r="K77" s="64" t="e">
        <f ca="1">IF(AND(I77&gt;="T3"),"&gt;","")</f>
        <v>#NAME?</v>
      </c>
      <c r="L77" s="24" t="e">
        <f ca="1">_xll.EVPRO($B$1,H77,"JDEID")</f>
        <v>#NAME?</v>
      </c>
      <c r="M77" s="24" t="e">
        <f ca="1">IF(AND(I77="N",J77="N"),_xll.EVPRO($B$1,H77,"PSFTID"),"")</f>
        <v>#NAME?</v>
      </c>
      <c r="N77" s="24" t="e">
        <f ca="1">IF(_xll.EVDES(H77,$B$1)="#NODATA","",_xll.EVDES(H77,$B$1))</f>
        <v>#NAME?</v>
      </c>
      <c r="O77" s="35"/>
      <c r="P77" s="35"/>
      <c r="Q77" s="35"/>
      <c r="R77" s="35"/>
      <c r="S77" s="35"/>
      <c r="T77" s="35"/>
      <c r="U77" s="35"/>
      <c r="V77" s="35"/>
      <c r="W77" s="35"/>
      <c r="X77" s="35"/>
      <c r="Y77" s="35"/>
      <c r="Z77" s="35"/>
      <c r="AA77" s="283" t="e">
        <f t="shared" ca="1" si="23"/>
        <v>#NAME?</v>
      </c>
      <c r="AB77" s="36" t="e">
        <f t="shared" ca="1" si="24"/>
        <v>#NAME?</v>
      </c>
      <c r="AD77" s="35"/>
      <c r="AE77" s="36" t="str">
        <f t="shared" si="25"/>
        <v/>
      </c>
      <c r="AF77" s="118" t="e">
        <f t="shared" ca="1" si="26"/>
        <v>#NAME?</v>
      </c>
      <c r="AG77" s="35"/>
      <c r="AH77" s="36" t="str">
        <f>IF(AG77=0,"",IFERROR(AG77/AG$19,""))</f>
        <v/>
      </c>
      <c r="AI77" s="118" t="e">
        <f ca="1">IF(AND($AA77="",AG77=""),"",$AA77-AG77)</f>
        <v>#NAME?</v>
      </c>
      <c r="AJ77" s="371">
        <f ca="1">IFERROR(AA77/AA$20,0)</f>
        <v>0</v>
      </c>
      <c r="AK77" s="372">
        <f ca="1">IFERROR(AD77/AD$20,0)</f>
        <v>0</v>
      </c>
      <c r="AL77" s="373">
        <f ca="1">IFERROR(AG77/AG$20,0)</f>
        <v>0</v>
      </c>
      <c r="AM77" s="374">
        <f ca="1">+IFERROR(ROUND(($AB77-AE77)*100,2)&amp;" pts.",0)</f>
        <v>0</v>
      </c>
      <c r="AN77" s="375">
        <f ca="1">+IFERROR(ROUND(($AB77-AH77)*100,2)&amp;" pts.",0)</f>
        <v>0</v>
      </c>
    </row>
    <row r="78" spans="1:40" x14ac:dyDescent="0.2">
      <c r="H78" s="10" t="s">
        <v>75</v>
      </c>
      <c r="I78" s="26" t="e">
        <f ca="1">_xll.EVPRO($B$1,$H78,"STYLE")</f>
        <v>#NAME?</v>
      </c>
      <c r="J78" s="26" t="e">
        <f ca="1">_xll.EVPRO($B$1,$H78,"CALC")</f>
        <v>#NAME?</v>
      </c>
      <c r="K78" s="65" t="e">
        <f ca="1">IF(AND(I78&gt;="T3"),"&gt;","")</f>
        <v>#NAME?</v>
      </c>
      <c r="L78" s="23" t="e">
        <f ca="1">_xll.EVPRO($B$1,H78,"JDEID")</f>
        <v>#NAME?</v>
      </c>
      <c r="M78" s="24" t="e">
        <f ca="1">IF(AND(I78="N",J78="N"),_xll.EVPRO($B$1,H78,"PSFTID"),"")</f>
        <v>#NAME?</v>
      </c>
      <c r="N78" s="23" t="e">
        <f ca="1">IF(_xll.EVDES(H78,$B$1)="#NODATA","",_xll.EVDES(H78,$B$1))</f>
        <v>#NAME?</v>
      </c>
      <c r="O78" s="35"/>
      <c r="P78" s="35"/>
      <c r="Q78" s="35"/>
      <c r="R78" s="35"/>
      <c r="S78" s="35"/>
      <c r="T78" s="35"/>
      <c r="U78" s="35"/>
      <c r="V78" s="35"/>
      <c r="W78" s="35"/>
      <c r="X78" s="35"/>
      <c r="Y78" s="35"/>
      <c r="Z78" s="35"/>
      <c r="AA78" s="283" t="e">
        <f t="shared" ca="1" si="23"/>
        <v>#NAME?</v>
      </c>
      <c r="AB78" s="36" t="e">
        <f t="shared" ca="1" si="24"/>
        <v>#NAME?</v>
      </c>
      <c r="AD78" s="35"/>
      <c r="AE78" s="36" t="str">
        <f t="shared" si="25"/>
        <v/>
      </c>
      <c r="AF78" s="118" t="e">
        <f t="shared" ca="1" si="26"/>
        <v>#NAME?</v>
      </c>
      <c r="AG78" s="35"/>
      <c r="AH78" s="36" t="str">
        <f>IF(AG78=0,"",IFERROR(AG78/AG$19,""))</f>
        <v/>
      </c>
      <c r="AI78" s="118" t="e">
        <f ca="1">IF(AND($AA78="",AG78=""),"",$AA78-AG78)</f>
        <v>#NAME?</v>
      </c>
      <c r="AJ78" s="371">
        <f ca="1">IFERROR(AA78/AA$20,0)</f>
        <v>0</v>
      </c>
      <c r="AK78" s="372">
        <f ca="1">IFERROR(AD78/AD$20,0)</f>
        <v>0</v>
      </c>
      <c r="AL78" s="373">
        <f ca="1">IFERROR(AG78/AG$20,0)</f>
        <v>0</v>
      </c>
      <c r="AM78" s="374">
        <f ca="1">+IFERROR(ROUND(($AB78-AE78)*100,2)&amp;" pts.",0)</f>
        <v>0</v>
      </c>
      <c r="AN78" s="375">
        <f ca="1">+IFERROR(ROUND(($AB78-AH78)*100,2)&amp;" pts.",0)</f>
        <v>0</v>
      </c>
    </row>
    <row r="79" spans="1:40" x14ac:dyDescent="0.2">
      <c r="C79" s="23"/>
      <c r="H79" s="10" t="s">
        <v>861</v>
      </c>
      <c r="I79" s="25" t="e">
        <f ca="1">_xll.EVPRO($B$1,$H79,"STYLE")</f>
        <v>#NAME?</v>
      </c>
      <c r="J79" s="25" t="e">
        <f ca="1">_xll.EVPRO($B$1,$H79,"CALC")</f>
        <v>#NAME?</v>
      </c>
      <c r="K79" s="64" t="e">
        <f ca="1">IF(AND(I79&gt;="T3"),"&gt;","")</f>
        <v>#NAME?</v>
      </c>
      <c r="L79" s="24" t="e">
        <f ca="1">_xll.EVPRO($B$1,H79,"JDEID")</f>
        <v>#NAME?</v>
      </c>
      <c r="M79" s="24" t="e">
        <f ca="1">IF(AND(I79="N",J79="N"),_xll.EVPRO($B$1,H79,"PSFTID"),"")</f>
        <v>#NAME?</v>
      </c>
      <c r="N79" s="24" t="e">
        <f ca="1">IF(_xll.EVDES(H79,$B$1)="#NODATA","",_xll.EVDES(H79,$B$1))</f>
        <v>#NAME?</v>
      </c>
      <c r="O79" s="44">
        <v>656.56</v>
      </c>
      <c r="P79" s="44"/>
      <c r="Q79" s="44"/>
      <c r="R79" s="44"/>
      <c r="S79" s="44"/>
      <c r="T79" s="44"/>
      <c r="U79" s="44"/>
      <c r="V79" s="44"/>
      <c r="W79" s="44"/>
      <c r="X79" s="44"/>
      <c r="Y79" s="44"/>
      <c r="Z79" s="44"/>
      <c r="AA79" s="296" t="e">
        <f t="shared" ca="1" si="23"/>
        <v>#NAME?</v>
      </c>
      <c r="AB79" s="45" t="e">
        <f t="shared" ca="1" si="24"/>
        <v>#NAME?</v>
      </c>
      <c r="AD79" s="44"/>
      <c r="AE79" s="45" t="str">
        <f t="shared" si="25"/>
        <v/>
      </c>
      <c r="AF79" s="134" t="e">
        <f t="shared" ca="1" si="26"/>
        <v>#NAME?</v>
      </c>
      <c r="AG79" s="44">
        <v>34868</v>
      </c>
      <c r="AH79" s="45" t="str">
        <f ca="1">IF(AG79=0,"",IFERROR(AG79/AG$19,""))</f>
        <v/>
      </c>
      <c r="AI79" s="134" t="e">
        <f ca="1">IF(AND($AA79="",AG79=""),"",$AA79-AG79)</f>
        <v>#NAME?</v>
      </c>
      <c r="AJ79" s="381">
        <f ca="1">IFERROR(AA79/AA$20,0)</f>
        <v>0</v>
      </c>
      <c r="AK79" s="382">
        <f ca="1">IFERROR(AD79/AD$20,0)</f>
        <v>0</v>
      </c>
      <c r="AL79" s="383">
        <f ca="1">IFERROR(AG79/AG$20,0)</f>
        <v>0</v>
      </c>
      <c r="AM79" s="384">
        <f ca="1">+IFERROR(ROUND(($AB79-AE79)*100,2)&amp;" pts.",0)</f>
        <v>0</v>
      </c>
      <c r="AN79" s="385">
        <f ca="1">+IFERROR(ROUND(($AB79-AH79)*100,2)&amp;" pts.",0)</f>
        <v>0</v>
      </c>
    </row>
    <row r="80" spans="1:40" x14ac:dyDescent="0.2">
      <c r="A80" s="4" t="e">
        <f ca="1">_xll.EVDRE($B$1,A83:B90,A93:B99)</f>
        <v>#NAME?</v>
      </c>
      <c r="H80" s="10" t="s">
        <v>849</v>
      </c>
      <c r="I80" s="447" t="e">
        <f ca="1">_xll.EVPRO($B$1,$H80,"STYLE")</f>
        <v>#NAME?</v>
      </c>
      <c r="J80" s="447" t="e">
        <f ca="1">_xll.EVPRO($B$1,$H80,"CALC")</f>
        <v>#NAME?</v>
      </c>
      <c r="K80" s="448" t="e">
        <f t="shared" ref="K80:K85" ca="1" si="27">IF(AND(I80&gt;="T3"),"&gt;","")</f>
        <v>#NAME?</v>
      </c>
      <c r="L80" s="151" t="e">
        <f ca="1">_xll.EVPRO($B$1,H80,"JDEID")</f>
        <v>#NAME?</v>
      </c>
      <c r="M80" s="151" t="e">
        <f ca="1">IF(AND(I80="N",J80="N"),_xll.EVPRO($B$1,H80,"PSFTID"),"")</f>
        <v>#NAME?</v>
      </c>
      <c r="N80" s="151" t="e">
        <f ca="1">IF(_xll.EVDES(H80,$B$1)="#NODATA","",_xll.EVDES(H80,$B$1))</f>
        <v>#NAME?</v>
      </c>
      <c r="O80" s="120">
        <v>656.56</v>
      </c>
      <c r="P80" s="120"/>
      <c r="Q80" s="120"/>
      <c r="R80" s="120"/>
      <c r="S80" s="120"/>
      <c r="T80" s="120"/>
      <c r="U80" s="120"/>
      <c r="V80" s="120"/>
      <c r="W80" s="120"/>
      <c r="X80" s="120"/>
      <c r="Y80" s="120"/>
      <c r="Z80" s="120"/>
      <c r="AA80" s="120" t="e">
        <f t="shared" ca="1" si="23"/>
        <v>#NAME?</v>
      </c>
      <c r="AB80" s="121" t="e">
        <f t="shared" ca="1" si="24"/>
        <v>#NAME?</v>
      </c>
      <c r="AC80" s="123"/>
      <c r="AD80" s="120"/>
      <c r="AE80" s="121" t="str">
        <f t="shared" si="25"/>
        <v/>
      </c>
      <c r="AF80" s="122" t="e">
        <f t="shared" ca="1" si="26"/>
        <v>#NAME?</v>
      </c>
      <c r="AG80" s="120">
        <v>34868</v>
      </c>
      <c r="AH80" s="121" t="str">
        <f t="shared" ref="AH80:AH85" ca="1" si="28">IF(AG80=0,"",IFERROR(AG80/AG$19,""))</f>
        <v/>
      </c>
      <c r="AI80" s="122" t="e">
        <f t="shared" ref="AI80:AI85" ca="1" si="29">IF(AND($AA80="",AG80=""),"",$AA80-AG80)</f>
        <v>#NAME?</v>
      </c>
      <c r="AJ80" s="332">
        <f t="shared" ref="AJ80:AJ85" ca="1" si="30">IFERROR(AA80/AA$20,0)</f>
        <v>0</v>
      </c>
      <c r="AK80" s="333">
        <f t="shared" ref="AK80:AK85" ca="1" si="31">IFERROR(AD80/AD$20,0)</f>
        <v>0</v>
      </c>
      <c r="AL80" s="335">
        <f t="shared" ref="AL80:AL85" ca="1" si="32">IFERROR(AG80/AG$20,0)</f>
        <v>0</v>
      </c>
      <c r="AM80" s="377">
        <f t="shared" ref="AM80:AM85" ca="1" si="33">+IFERROR(ROUND(($AB80-AE80)*100,2)&amp;" pts.",0)</f>
        <v>0</v>
      </c>
      <c r="AN80" s="378">
        <f t="shared" ref="AN80:AN85" ca="1" si="34">+IFERROR(ROUND(($AB80-AH80)*100,2)&amp;" pts.",0)</f>
        <v>0</v>
      </c>
    </row>
    <row r="81" spans="1:40" x14ac:dyDescent="0.2">
      <c r="H81" s="10" t="s">
        <v>862</v>
      </c>
      <c r="I81" s="25" t="e">
        <f ca="1">_xll.EVPRO($B$1,$H81,"STYLE")</f>
        <v>#NAME?</v>
      </c>
      <c r="J81" s="25" t="e">
        <f ca="1">_xll.EVPRO($B$1,$H81,"CALC")</f>
        <v>#NAME?</v>
      </c>
      <c r="K81" s="64" t="e">
        <f t="shared" ca="1" si="27"/>
        <v>#NAME?</v>
      </c>
      <c r="L81" s="24" t="e">
        <f ca="1">_xll.EVPRO($B$1,H81,"JDEID")</f>
        <v>#NAME?</v>
      </c>
      <c r="M81" s="24" t="e">
        <f ca="1">IF(AND(I81="N",J81="N"),_xll.EVPRO($B$1,H81,"PSFTID"),"")</f>
        <v>#NAME?</v>
      </c>
      <c r="N81" s="24" t="e">
        <f ca="1">IF(_xll.EVDES(H81,$B$1)="#NODATA","",_xll.EVDES(H81,$B$1))</f>
        <v>#NAME?</v>
      </c>
      <c r="O81" s="44">
        <v>1239.1199999999999</v>
      </c>
      <c r="P81" s="44"/>
      <c r="Q81" s="44"/>
      <c r="R81" s="44"/>
      <c r="S81" s="44"/>
      <c r="T81" s="44"/>
      <c r="U81" s="44"/>
      <c r="V81" s="44"/>
      <c r="W81" s="44"/>
      <c r="X81" s="44"/>
      <c r="Y81" s="44"/>
      <c r="Z81" s="44"/>
      <c r="AA81" s="44" t="e">
        <f t="shared" ca="1" si="23"/>
        <v>#NAME?</v>
      </c>
      <c r="AB81" s="45" t="e">
        <f t="shared" ca="1" si="24"/>
        <v>#NAME?</v>
      </c>
      <c r="AD81" s="44"/>
      <c r="AE81" s="45" t="str">
        <f t="shared" si="25"/>
        <v/>
      </c>
      <c r="AF81" s="134" t="e">
        <f t="shared" ca="1" si="26"/>
        <v>#NAME?</v>
      </c>
      <c r="AG81" s="44">
        <v>77228.850000000006</v>
      </c>
      <c r="AH81" s="45" t="str">
        <f t="shared" ca="1" si="28"/>
        <v/>
      </c>
      <c r="AI81" s="134" t="e">
        <f t="shared" ca="1" si="29"/>
        <v>#NAME?</v>
      </c>
      <c r="AJ81" s="392">
        <f t="shared" ca="1" si="30"/>
        <v>0</v>
      </c>
      <c r="AK81" s="393">
        <f t="shared" ca="1" si="31"/>
        <v>0</v>
      </c>
      <c r="AL81" s="394">
        <f t="shared" ca="1" si="32"/>
        <v>0</v>
      </c>
      <c r="AM81" s="395">
        <f t="shared" ca="1" si="33"/>
        <v>0</v>
      </c>
      <c r="AN81" s="396">
        <f t="shared" ca="1" si="34"/>
        <v>0</v>
      </c>
    </row>
    <row r="82" spans="1:40" x14ac:dyDescent="0.2">
      <c r="A82" s="3" t="s">
        <v>0</v>
      </c>
      <c r="B82" s="5" t="s">
        <v>1</v>
      </c>
      <c r="H82" s="10" t="s">
        <v>851</v>
      </c>
      <c r="I82" s="447" t="e">
        <f ca="1">_xll.EVPRO($B$1,$H82,"STYLE")</f>
        <v>#NAME?</v>
      </c>
      <c r="J82" s="447" t="e">
        <f ca="1">_xll.EVPRO($B$1,$H82,"CALC")</f>
        <v>#NAME?</v>
      </c>
      <c r="K82" s="448" t="e">
        <f t="shared" ca="1" si="27"/>
        <v>#NAME?</v>
      </c>
      <c r="L82" s="151" t="e">
        <f ca="1">_xll.EVPRO($B$1,H82,"JDEID")</f>
        <v>#NAME?</v>
      </c>
      <c r="M82" s="151" t="e">
        <f ca="1">IF(AND(I82="N",J82="N"),_xll.EVPRO($B$1,H82,"PSFTID"),"")</f>
        <v>#NAME?</v>
      </c>
      <c r="N82" s="151" t="e">
        <f ca="1">IF(_xll.EVDES(H82,$B$1)="#NODATA","",_xll.EVDES(H82,$B$1))</f>
        <v>#NAME?</v>
      </c>
      <c r="O82" s="120">
        <v>1895.68</v>
      </c>
      <c r="P82" s="120"/>
      <c r="Q82" s="120"/>
      <c r="R82" s="120"/>
      <c r="S82" s="120"/>
      <c r="T82" s="120"/>
      <c r="U82" s="120"/>
      <c r="V82" s="120"/>
      <c r="W82" s="120"/>
      <c r="X82" s="120"/>
      <c r="Y82" s="120"/>
      <c r="Z82" s="120"/>
      <c r="AA82" s="120" t="e">
        <f t="shared" ca="1" si="23"/>
        <v>#NAME?</v>
      </c>
      <c r="AB82" s="121" t="e">
        <f t="shared" ca="1" si="24"/>
        <v>#NAME?</v>
      </c>
      <c r="AC82" s="123"/>
      <c r="AD82" s="120"/>
      <c r="AE82" s="121" t="str">
        <f t="shared" si="25"/>
        <v/>
      </c>
      <c r="AF82" s="122" t="e">
        <f t="shared" ca="1" si="26"/>
        <v>#NAME?</v>
      </c>
      <c r="AG82" s="120">
        <v>112096.85</v>
      </c>
      <c r="AH82" s="121" t="str">
        <f t="shared" ca="1" si="28"/>
        <v/>
      </c>
      <c r="AI82" s="122" t="e">
        <f t="shared" ca="1" si="29"/>
        <v>#NAME?</v>
      </c>
      <c r="AJ82" s="332">
        <f t="shared" ca="1" si="30"/>
        <v>0</v>
      </c>
      <c r="AK82" s="333">
        <f t="shared" ca="1" si="31"/>
        <v>0</v>
      </c>
      <c r="AL82" s="335">
        <f t="shared" ca="1" si="32"/>
        <v>0</v>
      </c>
      <c r="AM82" s="377">
        <f t="shared" ca="1" si="33"/>
        <v>0</v>
      </c>
      <c r="AN82" s="378">
        <f t="shared" ca="1" si="34"/>
        <v>0</v>
      </c>
    </row>
    <row r="83" spans="1:40" x14ac:dyDescent="0.2">
      <c r="A83" s="6" t="s">
        <v>2</v>
      </c>
      <c r="B83" s="7" t="e">
        <f ca="1">_xll.EVRNG($B$2:$B$10)</f>
        <v>#NAME?</v>
      </c>
      <c r="H83" s="10" t="s">
        <v>854</v>
      </c>
      <c r="I83" s="25" t="e">
        <f ca="1">_xll.EVPRO($B$1,$H83,"STYLE")</f>
        <v>#NAME?</v>
      </c>
      <c r="J83" s="25" t="e">
        <f ca="1">_xll.EVPRO($B$1,$H83,"CALC")</f>
        <v>#NAME?</v>
      </c>
      <c r="K83" s="64" t="e">
        <f t="shared" ca="1" si="27"/>
        <v>#NAME?</v>
      </c>
      <c r="L83" s="24" t="e">
        <f ca="1">_xll.EVPRO($B$1,H83,"JDEID")</f>
        <v>#NAME?</v>
      </c>
      <c r="M83" s="24" t="e">
        <f ca="1">IF(AND(I83="N",J83="N"),_xll.EVPRO($B$1,H83,"PSFTID"),"")</f>
        <v>#NAME?</v>
      </c>
      <c r="N83" s="24" t="e">
        <f ca="1">IF(_xll.EVDES(H83,$B$1)="#NODATA","",_xll.EVDES(H83,$B$1))</f>
        <v>#NAME?</v>
      </c>
      <c r="O83" s="44">
        <v>181.31</v>
      </c>
      <c r="P83" s="44"/>
      <c r="Q83" s="44"/>
      <c r="R83" s="44"/>
      <c r="S83" s="44"/>
      <c r="T83" s="44"/>
      <c r="U83" s="44"/>
      <c r="V83" s="44"/>
      <c r="W83" s="44"/>
      <c r="X83" s="44"/>
      <c r="Y83" s="44"/>
      <c r="Z83" s="44"/>
      <c r="AA83" s="44" t="e">
        <f t="shared" ca="1" si="23"/>
        <v>#NAME?</v>
      </c>
      <c r="AB83" s="45" t="e">
        <f t="shared" ca="1" si="24"/>
        <v>#NAME?</v>
      </c>
      <c r="AD83" s="44"/>
      <c r="AE83" s="45" t="str">
        <f t="shared" si="25"/>
        <v/>
      </c>
      <c r="AF83" s="134" t="e">
        <f t="shared" ca="1" si="26"/>
        <v>#NAME?</v>
      </c>
      <c r="AG83" s="44">
        <v>7984.3</v>
      </c>
      <c r="AH83" s="45" t="str">
        <f t="shared" ca="1" si="28"/>
        <v/>
      </c>
      <c r="AI83" s="134" t="e">
        <f t="shared" ca="1" si="29"/>
        <v>#NAME?</v>
      </c>
      <c r="AJ83" s="392">
        <f t="shared" ca="1" si="30"/>
        <v>0</v>
      </c>
      <c r="AK83" s="393">
        <f t="shared" ca="1" si="31"/>
        <v>0</v>
      </c>
      <c r="AL83" s="394">
        <f t="shared" ca="1" si="32"/>
        <v>0</v>
      </c>
      <c r="AM83" s="395">
        <f t="shared" ca="1" si="33"/>
        <v>0</v>
      </c>
      <c r="AN83" s="396">
        <f t="shared" ca="1" si="34"/>
        <v>0</v>
      </c>
    </row>
    <row r="84" spans="1:40" x14ac:dyDescent="0.2">
      <c r="A84" s="6" t="s">
        <v>3</v>
      </c>
      <c r="B84" s="7" t="e">
        <f ca="1">_xll.EVRNG($O$16:$AN$18)</f>
        <v>#NAME?</v>
      </c>
      <c r="H84" s="10" t="s">
        <v>855</v>
      </c>
      <c r="I84" s="447" t="e">
        <f ca="1">_xll.EVPRO($B$1,$H84,"STYLE")</f>
        <v>#NAME?</v>
      </c>
      <c r="J84" s="447" t="e">
        <f ca="1">_xll.EVPRO($B$1,$H84,"CALC")</f>
        <v>#NAME?</v>
      </c>
      <c r="K84" s="448" t="e">
        <f t="shared" ca="1" si="27"/>
        <v>#NAME?</v>
      </c>
      <c r="L84" s="151" t="e">
        <f ca="1">_xll.EVPRO($B$1,H84,"JDEID")</f>
        <v>#NAME?</v>
      </c>
      <c r="M84" s="151" t="e">
        <f ca="1">IF(AND(I84="N",J84="N"),_xll.EVPRO($B$1,H84,"PSFTID"),"")</f>
        <v>#NAME?</v>
      </c>
      <c r="N84" s="151" t="e">
        <f ca="1">IF(_xll.EVDES(H84,$B$1)="#NODATA","",_xll.EVDES(H84,$B$1))</f>
        <v>#NAME?</v>
      </c>
      <c r="O84" s="33">
        <v>181.31</v>
      </c>
      <c r="P84" s="33"/>
      <c r="Q84" s="33"/>
      <c r="R84" s="33"/>
      <c r="S84" s="33"/>
      <c r="T84" s="33"/>
      <c r="U84" s="33"/>
      <c r="V84" s="33"/>
      <c r="W84" s="33"/>
      <c r="X84" s="33"/>
      <c r="Y84" s="33"/>
      <c r="Z84" s="33"/>
      <c r="AA84" s="33" t="e">
        <f t="shared" ca="1" si="23"/>
        <v>#NAME?</v>
      </c>
      <c r="AB84" s="34" t="e">
        <f t="shared" ca="1" si="24"/>
        <v>#NAME?</v>
      </c>
      <c r="AC84" s="32"/>
      <c r="AD84" s="33"/>
      <c r="AE84" s="34" t="str">
        <f t="shared" si="25"/>
        <v/>
      </c>
      <c r="AF84" s="54" t="e">
        <f t="shared" ca="1" si="26"/>
        <v>#NAME?</v>
      </c>
      <c r="AG84" s="33">
        <v>7984.3</v>
      </c>
      <c r="AH84" s="34" t="str">
        <f t="shared" ca="1" si="28"/>
        <v/>
      </c>
      <c r="AI84" s="54" t="e">
        <f t="shared" ca="1" si="29"/>
        <v>#NAME?</v>
      </c>
      <c r="AJ84" s="344">
        <f t="shared" ca="1" si="30"/>
        <v>0</v>
      </c>
      <c r="AK84" s="345">
        <f t="shared" ca="1" si="31"/>
        <v>0</v>
      </c>
      <c r="AL84" s="347">
        <f t="shared" ca="1" si="32"/>
        <v>0</v>
      </c>
      <c r="AM84" s="379">
        <f t="shared" ca="1" si="33"/>
        <v>0</v>
      </c>
      <c r="AN84" s="380">
        <f t="shared" ca="1" si="34"/>
        <v>0</v>
      </c>
    </row>
    <row r="85" spans="1:40" x14ac:dyDescent="0.2">
      <c r="A85" s="6" t="s">
        <v>4</v>
      </c>
      <c r="B85" s="7" t="e">
        <f ca="1">_xll.EVRNG(H76:H77,H79:H85,H88:H96)</f>
        <v>#NAME?</v>
      </c>
      <c r="H85" s="10" t="s">
        <v>76</v>
      </c>
      <c r="I85" s="447" t="e">
        <f ca="1">_xll.EVPRO($B$1,$H85,"STYLE")</f>
        <v>#NAME?</v>
      </c>
      <c r="J85" s="447" t="e">
        <f ca="1">_xll.EVPRO($B$1,$H85,"CALC")</f>
        <v>#NAME?</v>
      </c>
      <c r="K85" s="448" t="e">
        <f t="shared" ca="1" si="27"/>
        <v>#NAME?</v>
      </c>
      <c r="L85" s="151" t="e">
        <f ca="1">_xll.EVPRO($B$1,H85,"JDEID")</f>
        <v>#NAME?</v>
      </c>
      <c r="M85" s="151" t="e">
        <f ca="1">IF(AND(I85="N",J85="N"),_xll.EVPRO($B$1,H85,"PSFTID"),"")</f>
        <v>#NAME?</v>
      </c>
      <c r="N85" s="151" t="e">
        <f ca="1">IF(_xll.EVDES(H85,$B$1)="#NODATA","",_xll.EVDES(H85,$B$1))</f>
        <v>#NAME?</v>
      </c>
      <c r="O85" s="33">
        <v>2076.9899999999998</v>
      </c>
      <c r="P85" s="33"/>
      <c r="Q85" s="33"/>
      <c r="R85" s="33"/>
      <c r="S85" s="33"/>
      <c r="T85" s="33"/>
      <c r="U85" s="33"/>
      <c r="V85" s="33"/>
      <c r="W85" s="33"/>
      <c r="X85" s="33"/>
      <c r="Y85" s="33"/>
      <c r="Z85" s="33"/>
      <c r="AA85" s="33" t="e">
        <f t="shared" ca="1" si="23"/>
        <v>#NAME?</v>
      </c>
      <c r="AB85" s="34" t="e">
        <f t="shared" ca="1" si="24"/>
        <v>#NAME?</v>
      </c>
      <c r="AC85" s="32"/>
      <c r="AD85" s="33"/>
      <c r="AE85" s="34" t="str">
        <f t="shared" si="25"/>
        <v/>
      </c>
      <c r="AF85" s="54" t="e">
        <f t="shared" ca="1" si="26"/>
        <v>#NAME?</v>
      </c>
      <c r="AG85" s="33">
        <v>120081.15</v>
      </c>
      <c r="AH85" s="34" t="str">
        <f t="shared" ca="1" si="28"/>
        <v/>
      </c>
      <c r="AI85" s="54" t="e">
        <f t="shared" ca="1" si="29"/>
        <v>#NAME?</v>
      </c>
      <c r="AJ85" s="344">
        <f t="shared" ca="1" si="30"/>
        <v>0</v>
      </c>
      <c r="AK85" s="345">
        <f t="shared" ca="1" si="31"/>
        <v>0</v>
      </c>
      <c r="AL85" s="347">
        <f t="shared" ca="1" si="32"/>
        <v>0</v>
      </c>
      <c r="AM85" s="379">
        <f t="shared" ca="1" si="33"/>
        <v>0</v>
      </c>
      <c r="AN85" s="380">
        <f t="shared" ca="1" si="34"/>
        <v>0</v>
      </c>
    </row>
    <row r="86" spans="1:40" x14ac:dyDescent="0.2">
      <c r="A86" s="6" t="s">
        <v>5</v>
      </c>
      <c r="B86" s="7"/>
      <c r="O86" s="38"/>
      <c r="P86" s="42"/>
      <c r="Q86" s="42"/>
      <c r="R86" s="42"/>
      <c r="S86" s="42"/>
      <c r="T86" s="42"/>
      <c r="U86" s="42"/>
      <c r="V86" s="42"/>
      <c r="W86" s="42"/>
      <c r="X86" s="42"/>
      <c r="Y86" s="42"/>
      <c r="Z86" s="42"/>
      <c r="AA86" s="42"/>
      <c r="AB86" s="39"/>
      <c r="AD86" s="38"/>
      <c r="AE86" s="42"/>
      <c r="AF86" s="39"/>
      <c r="AG86" s="38"/>
      <c r="AH86" s="42"/>
      <c r="AI86" s="39"/>
    </row>
    <row r="87" spans="1:40" x14ac:dyDescent="0.2">
      <c r="A87" s="6" t="s">
        <v>6</v>
      </c>
      <c r="B87" s="7"/>
      <c r="H87" s="1" t="s">
        <v>82</v>
      </c>
      <c r="I87" s="11" t="e">
        <f ca="1">_xll.EVPRO($B$1,$H87,"STYLE")</f>
        <v>#NAME?</v>
      </c>
      <c r="J87" s="11" t="e">
        <f ca="1">_xll.EVPRO($B$1,$H87,"CALC")</f>
        <v>#NAME?</v>
      </c>
      <c r="N87" s="37" t="e">
        <f ca="1">IF(_xll.EVDES(H87,$B$1)="#NODATA","",_xll.EVDES(H87,$B$1))</f>
        <v>#NAME?</v>
      </c>
      <c r="O87" s="40"/>
      <c r="P87" s="43"/>
      <c r="Q87" s="43"/>
      <c r="R87" s="43"/>
      <c r="S87" s="43"/>
      <c r="T87" s="43"/>
      <c r="U87" s="43"/>
      <c r="V87" s="43"/>
      <c r="W87" s="43"/>
      <c r="X87" s="43"/>
      <c r="Y87" s="43"/>
      <c r="Z87" s="43"/>
      <c r="AA87" s="43"/>
      <c r="AB87" s="41"/>
      <c r="AD87" s="40"/>
      <c r="AE87" s="43"/>
      <c r="AF87" s="41"/>
      <c r="AG87" s="40"/>
      <c r="AH87" s="43"/>
      <c r="AI87" s="41"/>
    </row>
    <row r="88" spans="1:40" x14ac:dyDescent="0.2">
      <c r="A88" s="6" t="s">
        <v>7</v>
      </c>
      <c r="B88" s="7" t="e">
        <f ca="1">_xll.EVRNG(A102:F108)</f>
        <v>#NAME?</v>
      </c>
      <c r="H88" s="10" t="s">
        <v>868</v>
      </c>
      <c r="I88" s="25" t="e">
        <f ca="1">_xll.EVPRO($B$1,$H88,"STYLE")</f>
        <v>#NAME?</v>
      </c>
      <c r="J88" s="25" t="e">
        <f ca="1">_xll.EVPRO($B$1,$H88,"CALC")</f>
        <v>#NAME?</v>
      </c>
      <c r="K88" s="64" t="e">
        <f ca="1">IF(AND(I88&lt;&gt;"B1",J88="Y"),"&gt;","")</f>
        <v>#NAME?</v>
      </c>
      <c r="L88" s="24" t="e">
        <f ca="1">_xll.EVPRO($B$1,H88,"JDEID")</f>
        <v>#NAME?</v>
      </c>
      <c r="M88" s="24" t="e">
        <f ca="1">IF(AND(I88="N",J88="N"),_xll.EVPRO($B$1,H88,"PSFTID"),"")</f>
        <v>#NAME?</v>
      </c>
      <c r="N88" s="24" t="e">
        <f ca="1">IF(_xll.EVDES(H88,$B$1)="#NODATA","",_xll.EVDES(H88,$B$1))</f>
        <v>#NAME?</v>
      </c>
      <c r="O88" s="19"/>
      <c r="P88" s="19"/>
      <c r="Q88" s="19"/>
      <c r="R88" s="19"/>
      <c r="S88" s="19"/>
      <c r="T88" s="19"/>
      <c r="U88" s="19"/>
      <c r="V88" s="19"/>
      <c r="W88" s="19"/>
      <c r="X88" s="19"/>
      <c r="Y88" s="19"/>
      <c r="Z88" s="19"/>
      <c r="AA88" s="283" t="e">
        <f t="shared" ref="AA88:AA97" ca="1" si="35">IF($I88="B1","",SUM(O88:Z88))</f>
        <v>#NAME?</v>
      </c>
      <c r="AB88" s="15" t="e">
        <f t="shared" ref="AB88:AB97" ca="1" si="36">IF(AA88=0,"",IFERROR(AA88/AA$19,""))</f>
        <v>#NAME?</v>
      </c>
      <c r="AD88" s="19"/>
      <c r="AE88" s="15" t="str">
        <f t="shared" ref="AE88:AE97" si="37">IF(AD88=0,"",IFERROR(AD88/AD$19,""))</f>
        <v/>
      </c>
      <c r="AF88" s="47" t="e">
        <f t="shared" ref="AF88:AF97" ca="1" si="38">IF(AND($AA88="",AD88=""),"",$AA88-AD88)</f>
        <v>#NAME?</v>
      </c>
      <c r="AG88" s="19">
        <v>237.54</v>
      </c>
      <c r="AH88" s="15" t="str">
        <f ca="1">IF(AG88=0,"",IFERROR(AG88/AG$19,""))</f>
        <v/>
      </c>
      <c r="AI88" s="47" t="e">
        <f ca="1">IF(AND($AA88="",AG88=""),"",$AA88-AG88)</f>
        <v>#NAME?</v>
      </c>
      <c r="AJ88" s="371">
        <f ca="1">IFERROR(AA88/AA$20,0)</f>
        <v>0</v>
      </c>
      <c r="AK88" s="372">
        <f ca="1">IFERROR(AD88/AD$20,0)</f>
        <v>0</v>
      </c>
      <c r="AL88" s="373">
        <f ca="1">IFERROR(AG88/AG$20,0)</f>
        <v>0</v>
      </c>
      <c r="AM88" s="374">
        <f ca="1">+IFERROR(ROUND(($AB88-AE88)*100,2)&amp;" pts.",0)</f>
        <v>0</v>
      </c>
      <c r="AN88" s="375">
        <f ca="1">+IFERROR(ROUND(($AB88-AH88)*100,2)&amp;" pts.",0)</f>
        <v>0</v>
      </c>
    </row>
    <row r="89" spans="1:40" x14ac:dyDescent="0.2">
      <c r="A89" s="6" t="s">
        <v>47</v>
      </c>
      <c r="B89" s="7" t="e">
        <f ca="1">_xll.EVRNG($A$125:$B$146)</f>
        <v>#NAME?</v>
      </c>
      <c r="H89" s="10" t="s">
        <v>832</v>
      </c>
      <c r="I89" s="25" t="e">
        <f ca="1">_xll.EVPRO($B$1,$H89,"STYLE")</f>
        <v>#NAME?</v>
      </c>
      <c r="J89" s="25" t="e">
        <f ca="1">_xll.EVPRO($B$1,$H89,"CALC")</f>
        <v>#NAME?</v>
      </c>
      <c r="K89" s="64" t="e">
        <f t="shared" ref="K89:K96" ca="1" si="39">IF(AND(I89&lt;&gt;"B1",J89="Y"),"&gt;","")</f>
        <v>#NAME?</v>
      </c>
      <c r="L89" s="24" t="e">
        <f ca="1">_xll.EVPRO($B$1,H89,"JDEID")</f>
        <v>#NAME?</v>
      </c>
      <c r="M89" s="24" t="e">
        <f ca="1">IF(AND(I89="N",J89="N"),_xll.EVPRO($B$1,H89,"PSFTID"),"")</f>
        <v>#NAME?</v>
      </c>
      <c r="N89" s="24" t="e">
        <f ca="1">IF(_xll.EVDES(H89,$B$1)="#NODATA","",_xll.EVDES(H89,$B$1))</f>
        <v>#NAME?</v>
      </c>
      <c r="O89" s="19"/>
      <c r="P89" s="19"/>
      <c r="Q89" s="19"/>
      <c r="R89" s="19"/>
      <c r="S89" s="19"/>
      <c r="T89" s="19"/>
      <c r="U89" s="19"/>
      <c r="V89" s="19"/>
      <c r="W89" s="19"/>
      <c r="X89" s="19"/>
      <c r="Y89" s="19"/>
      <c r="Z89" s="19"/>
      <c r="AA89" s="283" t="e">
        <f t="shared" ca="1" si="35"/>
        <v>#NAME?</v>
      </c>
      <c r="AB89" s="15" t="e">
        <f t="shared" ca="1" si="36"/>
        <v>#NAME?</v>
      </c>
      <c r="AD89" s="19"/>
      <c r="AE89" s="15" t="str">
        <f t="shared" si="37"/>
        <v/>
      </c>
      <c r="AF89" s="47" t="e">
        <f t="shared" ca="1" si="38"/>
        <v>#NAME?</v>
      </c>
      <c r="AG89" s="19">
        <v>6856.33</v>
      </c>
      <c r="AH89" s="15" t="str">
        <f t="shared" ref="AH89:AH96" ca="1" si="40">IF(AG89=0,"",IFERROR(AG89/AG$19,""))</f>
        <v/>
      </c>
      <c r="AI89" s="47" t="e">
        <f t="shared" ref="AI89:AI96" ca="1" si="41">IF(AND($AA89="",AG89=""),"",$AA89-AG89)</f>
        <v>#NAME?</v>
      </c>
      <c r="AJ89" s="371">
        <f t="shared" ref="AJ89:AJ96" ca="1" si="42">IFERROR(AA89/AA$20,0)</f>
        <v>0</v>
      </c>
      <c r="AK89" s="372">
        <f t="shared" ref="AK89:AK96" ca="1" si="43">IFERROR(AD89/AD$20,0)</f>
        <v>0</v>
      </c>
      <c r="AL89" s="373">
        <f t="shared" ref="AL89:AL96" ca="1" si="44">IFERROR(AG89/AG$20,0)</f>
        <v>0</v>
      </c>
      <c r="AM89" s="374">
        <f t="shared" ref="AM89:AM96" ca="1" si="45">+IFERROR(ROUND(($AB89-AE89)*100,2)&amp;" pts.",0)</f>
        <v>0</v>
      </c>
      <c r="AN89" s="375">
        <f t="shared" ref="AN89:AN96" ca="1" si="46">+IFERROR(ROUND(($AB89-AH89)*100,2)&amp;" pts.",0)</f>
        <v>0</v>
      </c>
    </row>
    <row r="90" spans="1:40" x14ac:dyDescent="0.2">
      <c r="A90" s="6" t="s">
        <v>8</v>
      </c>
      <c r="B90" s="7"/>
      <c r="H90" s="10" t="s">
        <v>857</v>
      </c>
      <c r="I90" s="25" t="e">
        <f ca="1">_xll.EVPRO($B$1,$H90,"STYLE")</f>
        <v>#NAME?</v>
      </c>
      <c r="J90" s="25" t="e">
        <f ca="1">_xll.EVPRO($B$1,$H90,"CALC")</f>
        <v>#NAME?</v>
      </c>
      <c r="K90" s="64" t="e">
        <f t="shared" ca="1" si="39"/>
        <v>#NAME?</v>
      </c>
      <c r="L90" s="24" t="e">
        <f ca="1">_xll.EVPRO($B$1,H90,"JDEID")</f>
        <v>#NAME?</v>
      </c>
      <c r="M90" s="24" t="e">
        <f ca="1">IF(AND(I90="N",J90="N"),_xll.EVPRO($B$1,H90,"PSFTID"),"")</f>
        <v>#NAME?</v>
      </c>
      <c r="N90" s="24" t="e">
        <f ca="1">IF(_xll.EVDES(H90,$B$1)="#NODATA","",_xll.EVDES(H90,$B$1))</f>
        <v>#NAME?</v>
      </c>
      <c r="O90" s="19"/>
      <c r="P90" s="19"/>
      <c r="Q90" s="19"/>
      <c r="R90" s="19"/>
      <c r="S90" s="19"/>
      <c r="T90" s="19"/>
      <c r="U90" s="19"/>
      <c r="V90" s="19"/>
      <c r="W90" s="19"/>
      <c r="X90" s="19"/>
      <c r="Y90" s="19"/>
      <c r="Z90" s="19"/>
      <c r="AA90" s="283" t="e">
        <f t="shared" ca="1" si="35"/>
        <v>#NAME?</v>
      </c>
      <c r="AB90" s="15" t="e">
        <f t="shared" ca="1" si="36"/>
        <v>#NAME?</v>
      </c>
      <c r="AD90" s="19"/>
      <c r="AE90" s="15" t="str">
        <f t="shared" si="37"/>
        <v/>
      </c>
      <c r="AF90" s="47" t="e">
        <f t="shared" ca="1" si="38"/>
        <v>#NAME?</v>
      </c>
      <c r="AG90" s="19">
        <v>1204</v>
      </c>
      <c r="AH90" s="15" t="str">
        <f t="shared" ca="1" si="40"/>
        <v/>
      </c>
      <c r="AI90" s="47" t="e">
        <f t="shared" ca="1" si="41"/>
        <v>#NAME?</v>
      </c>
      <c r="AJ90" s="371">
        <f t="shared" ca="1" si="42"/>
        <v>0</v>
      </c>
      <c r="AK90" s="372">
        <f t="shared" ca="1" si="43"/>
        <v>0</v>
      </c>
      <c r="AL90" s="373">
        <f t="shared" ca="1" si="44"/>
        <v>0</v>
      </c>
      <c r="AM90" s="374">
        <f t="shared" ca="1" si="45"/>
        <v>0</v>
      </c>
      <c r="AN90" s="375">
        <f t="shared" ca="1" si="46"/>
        <v>0</v>
      </c>
    </row>
    <row r="91" spans="1:40" x14ac:dyDescent="0.2">
      <c r="G91" s="13"/>
      <c r="H91" s="10" t="s">
        <v>869</v>
      </c>
      <c r="I91" s="25" t="e">
        <f ca="1">_xll.EVPRO($B$1,$H91,"STYLE")</f>
        <v>#NAME?</v>
      </c>
      <c r="J91" s="25" t="e">
        <f ca="1">_xll.EVPRO($B$1,$H91,"CALC")</f>
        <v>#NAME?</v>
      </c>
      <c r="K91" s="64" t="e">
        <f t="shared" ca="1" si="39"/>
        <v>#NAME?</v>
      </c>
      <c r="L91" s="24" t="e">
        <f ca="1">_xll.EVPRO($B$1,H91,"JDEID")</f>
        <v>#NAME?</v>
      </c>
      <c r="M91" s="24" t="e">
        <f ca="1">IF(AND(I91="N",J91="N"),_xll.EVPRO($B$1,H91,"PSFTID"),"")</f>
        <v>#NAME?</v>
      </c>
      <c r="N91" s="24" t="e">
        <f ca="1">IF(_xll.EVDES(H91,$B$1)="#NODATA","",_xll.EVDES(H91,$B$1))</f>
        <v>#NAME?</v>
      </c>
      <c r="O91" s="19"/>
      <c r="P91" s="19"/>
      <c r="Q91" s="19"/>
      <c r="R91" s="19"/>
      <c r="S91" s="19"/>
      <c r="T91" s="19"/>
      <c r="U91" s="19"/>
      <c r="V91" s="19"/>
      <c r="W91" s="19"/>
      <c r="X91" s="19"/>
      <c r="Y91" s="19"/>
      <c r="Z91" s="19"/>
      <c r="AA91" s="283" t="e">
        <f t="shared" ca="1" si="35"/>
        <v>#NAME?</v>
      </c>
      <c r="AB91" s="15" t="e">
        <f t="shared" ca="1" si="36"/>
        <v>#NAME?</v>
      </c>
      <c r="AD91" s="19"/>
      <c r="AE91" s="15" t="str">
        <f t="shared" si="37"/>
        <v/>
      </c>
      <c r="AF91" s="47" t="e">
        <f t="shared" ca="1" si="38"/>
        <v>#NAME?</v>
      </c>
      <c r="AG91" s="19">
        <v>205</v>
      </c>
      <c r="AH91" s="15" t="str">
        <f t="shared" ca="1" si="40"/>
        <v/>
      </c>
      <c r="AI91" s="47" t="e">
        <f t="shared" ca="1" si="41"/>
        <v>#NAME?</v>
      </c>
      <c r="AJ91" s="371">
        <f t="shared" ca="1" si="42"/>
        <v>0</v>
      </c>
      <c r="AK91" s="372">
        <f t="shared" ca="1" si="43"/>
        <v>0</v>
      </c>
      <c r="AL91" s="373">
        <f t="shared" ca="1" si="44"/>
        <v>0</v>
      </c>
      <c r="AM91" s="374">
        <f t="shared" ca="1" si="45"/>
        <v>0</v>
      </c>
      <c r="AN91" s="375">
        <f t="shared" ca="1" si="46"/>
        <v>0</v>
      </c>
    </row>
    <row r="92" spans="1:40" x14ac:dyDescent="0.2">
      <c r="A92" s="3" t="s">
        <v>9</v>
      </c>
      <c r="B92" s="5" t="s">
        <v>10</v>
      </c>
      <c r="H92" s="10" t="s">
        <v>871</v>
      </c>
      <c r="I92" s="25" t="e">
        <f ca="1">_xll.EVPRO($B$1,$H92,"STYLE")</f>
        <v>#NAME?</v>
      </c>
      <c r="J92" s="25" t="e">
        <f ca="1">_xll.EVPRO($B$1,$H92,"CALC")</f>
        <v>#NAME?</v>
      </c>
      <c r="K92" s="64" t="e">
        <f t="shared" ca="1" si="39"/>
        <v>#NAME?</v>
      </c>
      <c r="L92" s="24" t="e">
        <f ca="1">_xll.EVPRO($B$1,H92,"JDEID")</f>
        <v>#NAME?</v>
      </c>
      <c r="M92" s="24" t="e">
        <f ca="1">IF(AND(I92="N",J92="N"),_xll.EVPRO($B$1,H92,"PSFTID"),"")</f>
        <v>#NAME?</v>
      </c>
      <c r="N92" s="24" t="e">
        <f ca="1">IF(_xll.EVDES(H92,$B$1)="#NODATA","",_xll.EVDES(H92,$B$1))</f>
        <v>#NAME?</v>
      </c>
      <c r="O92" s="19"/>
      <c r="P92" s="19"/>
      <c r="Q92" s="19"/>
      <c r="R92" s="19"/>
      <c r="S92" s="19"/>
      <c r="T92" s="19"/>
      <c r="U92" s="19"/>
      <c r="V92" s="19"/>
      <c r="W92" s="19"/>
      <c r="X92" s="19"/>
      <c r="Y92" s="19"/>
      <c r="Z92" s="19"/>
      <c r="AA92" s="283" t="e">
        <f t="shared" ca="1" si="35"/>
        <v>#NAME?</v>
      </c>
      <c r="AB92" s="15" t="e">
        <f t="shared" ca="1" si="36"/>
        <v>#NAME?</v>
      </c>
      <c r="AD92" s="19"/>
      <c r="AE92" s="15" t="str">
        <f t="shared" si="37"/>
        <v/>
      </c>
      <c r="AF92" s="47" t="e">
        <f t="shared" ca="1" si="38"/>
        <v>#NAME?</v>
      </c>
      <c r="AG92" s="19">
        <v>2063</v>
      </c>
      <c r="AH92" s="15" t="str">
        <f t="shared" ca="1" si="40"/>
        <v/>
      </c>
      <c r="AI92" s="47" t="e">
        <f t="shared" ca="1" si="41"/>
        <v>#NAME?</v>
      </c>
      <c r="AJ92" s="371">
        <f t="shared" ca="1" si="42"/>
        <v>0</v>
      </c>
      <c r="AK92" s="372">
        <f t="shared" ca="1" si="43"/>
        <v>0</v>
      </c>
      <c r="AL92" s="373">
        <f t="shared" ca="1" si="44"/>
        <v>0</v>
      </c>
      <c r="AM92" s="374">
        <f t="shared" ca="1" si="45"/>
        <v>0</v>
      </c>
      <c r="AN92" s="375">
        <f t="shared" ca="1" si="46"/>
        <v>0</v>
      </c>
    </row>
    <row r="93" spans="1:40" x14ac:dyDescent="0.2">
      <c r="A93" s="6" t="s">
        <v>11</v>
      </c>
      <c r="B93" s="7" t="s">
        <v>21</v>
      </c>
      <c r="H93" s="10" t="s">
        <v>859</v>
      </c>
      <c r="I93" s="25" t="e">
        <f ca="1">_xll.EVPRO($B$1,$H93,"STYLE")</f>
        <v>#NAME?</v>
      </c>
      <c r="J93" s="25" t="e">
        <f ca="1">_xll.EVPRO($B$1,$H93,"CALC")</f>
        <v>#NAME?</v>
      </c>
      <c r="K93" s="64" t="e">
        <f t="shared" ca="1" si="39"/>
        <v>#NAME?</v>
      </c>
      <c r="L93" s="24" t="e">
        <f ca="1">_xll.EVPRO($B$1,H93,"JDEID")</f>
        <v>#NAME?</v>
      </c>
      <c r="M93" s="24" t="e">
        <f ca="1">IF(AND(I93="N",J93="N"),_xll.EVPRO($B$1,H93,"PSFTID"),"")</f>
        <v>#NAME?</v>
      </c>
      <c r="N93" s="24" t="e">
        <f ca="1">IF(_xll.EVDES(H93,$B$1)="#NODATA","",_xll.EVDES(H93,$B$1))</f>
        <v>#NAME?</v>
      </c>
      <c r="O93" s="19"/>
      <c r="P93" s="19"/>
      <c r="Q93" s="19"/>
      <c r="R93" s="19"/>
      <c r="S93" s="19"/>
      <c r="T93" s="19"/>
      <c r="U93" s="19"/>
      <c r="V93" s="19"/>
      <c r="W93" s="19"/>
      <c r="X93" s="19"/>
      <c r="Y93" s="19"/>
      <c r="Z93" s="19"/>
      <c r="AA93" s="283" t="e">
        <f t="shared" ca="1" si="35"/>
        <v>#NAME?</v>
      </c>
      <c r="AB93" s="15" t="e">
        <f t="shared" ca="1" si="36"/>
        <v>#NAME?</v>
      </c>
      <c r="AD93" s="19"/>
      <c r="AE93" s="15" t="str">
        <f t="shared" si="37"/>
        <v/>
      </c>
      <c r="AF93" s="47" t="e">
        <f t="shared" ca="1" si="38"/>
        <v>#NAME?</v>
      </c>
      <c r="AG93" s="19">
        <v>38.58</v>
      </c>
      <c r="AH93" s="15" t="str">
        <f t="shared" ca="1" si="40"/>
        <v/>
      </c>
      <c r="AI93" s="47" t="e">
        <f t="shared" ca="1" si="41"/>
        <v>#NAME?</v>
      </c>
      <c r="AJ93" s="371">
        <f t="shared" ca="1" si="42"/>
        <v>0</v>
      </c>
      <c r="AK93" s="372">
        <f t="shared" ca="1" si="43"/>
        <v>0</v>
      </c>
      <c r="AL93" s="373">
        <f t="shared" ca="1" si="44"/>
        <v>0</v>
      </c>
      <c r="AM93" s="374">
        <f t="shared" ca="1" si="45"/>
        <v>0</v>
      </c>
      <c r="AN93" s="375">
        <f t="shared" ca="1" si="46"/>
        <v>0</v>
      </c>
    </row>
    <row r="94" spans="1:40" x14ac:dyDescent="0.2">
      <c r="A94" s="6" t="s">
        <v>12</v>
      </c>
      <c r="B94" s="7" t="s">
        <v>22</v>
      </c>
      <c r="H94" s="10" t="s">
        <v>833</v>
      </c>
      <c r="I94" s="25" t="e">
        <f ca="1">_xll.EVPRO($B$1,$H94,"STYLE")</f>
        <v>#NAME?</v>
      </c>
      <c r="J94" s="25" t="e">
        <f ca="1">_xll.EVPRO($B$1,$H94,"CALC")</f>
        <v>#NAME?</v>
      </c>
      <c r="K94" s="64" t="e">
        <f t="shared" ca="1" si="39"/>
        <v>#NAME?</v>
      </c>
      <c r="L94" s="24" t="e">
        <f ca="1">_xll.EVPRO($B$1,H94,"JDEID")</f>
        <v>#NAME?</v>
      </c>
      <c r="M94" s="24" t="e">
        <f ca="1">IF(AND(I94="N",J94="N"),_xll.EVPRO($B$1,H94,"PSFTID"),"")</f>
        <v>#NAME?</v>
      </c>
      <c r="N94" s="24" t="e">
        <f ca="1">IF(_xll.EVDES(H94,$B$1)="#NODATA","",_xll.EVDES(H94,$B$1))</f>
        <v>#NAME?</v>
      </c>
      <c r="O94" s="19"/>
      <c r="P94" s="19"/>
      <c r="Q94" s="19"/>
      <c r="R94" s="19"/>
      <c r="S94" s="19"/>
      <c r="T94" s="19"/>
      <c r="U94" s="19"/>
      <c r="V94" s="19"/>
      <c r="W94" s="19"/>
      <c r="X94" s="19"/>
      <c r="Y94" s="19"/>
      <c r="Z94" s="19"/>
      <c r="AA94" s="283" t="e">
        <f t="shared" ca="1" si="35"/>
        <v>#NAME?</v>
      </c>
      <c r="AB94" s="15" t="e">
        <f t="shared" ca="1" si="36"/>
        <v>#NAME?</v>
      </c>
      <c r="AD94" s="19"/>
      <c r="AE94" s="15" t="str">
        <f t="shared" si="37"/>
        <v/>
      </c>
      <c r="AF94" s="47" t="e">
        <f t="shared" ca="1" si="38"/>
        <v>#NAME?</v>
      </c>
      <c r="AG94" s="19">
        <v>900</v>
      </c>
      <c r="AH94" s="15" t="str">
        <f t="shared" ca="1" si="40"/>
        <v/>
      </c>
      <c r="AI94" s="47" t="e">
        <f t="shared" ca="1" si="41"/>
        <v>#NAME?</v>
      </c>
      <c r="AJ94" s="371">
        <f t="shared" ca="1" si="42"/>
        <v>0</v>
      </c>
      <c r="AK94" s="372">
        <f t="shared" ca="1" si="43"/>
        <v>0</v>
      </c>
      <c r="AL94" s="373">
        <f t="shared" ca="1" si="44"/>
        <v>0</v>
      </c>
      <c r="AM94" s="374">
        <f t="shared" ca="1" si="45"/>
        <v>0</v>
      </c>
      <c r="AN94" s="375">
        <f t="shared" ca="1" si="46"/>
        <v>0</v>
      </c>
    </row>
    <row r="95" spans="1:40" x14ac:dyDescent="0.2">
      <c r="A95" s="6" t="s">
        <v>13</v>
      </c>
      <c r="B95" s="7" t="s">
        <v>737</v>
      </c>
      <c r="H95" s="10" t="s">
        <v>875</v>
      </c>
      <c r="I95" s="25" t="e">
        <f ca="1">_xll.EVPRO($B$1,$H95,"STYLE")</f>
        <v>#NAME?</v>
      </c>
      <c r="J95" s="25" t="e">
        <f ca="1">_xll.EVPRO($B$1,$H95,"CALC")</f>
        <v>#NAME?</v>
      </c>
      <c r="K95" s="64" t="e">
        <f t="shared" ca="1" si="39"/>
        <v>#NAME?</v>
      </c>
      <c r="L95" s="24" t="e">
        <f ca="1">_xll.EVPRO($B$1,H95,"JDEID")</f>
        <v>#NAME?</v>
      </c>
      <c r="M95" s="24" t="e">
        <f ca="1">IF(AND(I95="N",J95="N"),_xll.EVPRO($B$1,H95,"PSFTID"),"")</f>
        <v>#NAME?</v>
      </c>
      <c r="N95" s="24" t="e">
        <f ca="1">IF(_xll.EVDES(H95,$B$1)="#NODATA","",_xll.EVDES(H95,$B$1))</f>
        <v>#NAME?</v>
      </c>
      <c r="O95" s="19"/>
      <c r="P95" s="19"/>
      <c r="Q95" s="19"/>
      <c r="R95" s="19"/>
      <c r="S95" s="19"/>
      <c r="T95" s="19"/>
      <c r="U95" s="19"/>
      <c r="V95" s="19"/>
      <c r="W95" s="19"/>
      <c r="X95" s="19"/>
      <c r="Y95" s="19"/>
      <c r="Z95" s="19"/>
      <c r="AA95" s="283" t="e">
        <f t="shared" ca="1" si="35"/>
        <v>#NAME?</v>
      </c>
      <c r="AB95" s="15" t="e">
        <f t="shared" ca="1" si="36"/>
        <v>#NAME?</v>
      </c>
      <c r="AD95" s="19"/>
      <c r="AE95" s="15" t="str">
        <f t="shared" si="37"/>
        <v/>
      </c>
      <c r="AF95" s="47" t="e">
        <f t="shared" ca="1" si="38"/>
        <v>#NAME?</v>
      </c>
      <c r="AG95" s="19">
        <v>267.16000000000003</v>
      </c>
      <c r="AH95" s="15" t="str">
        <f t="shared" ca="1" si="40"/>
        <v/>
      </c>
      <c r="AI95" s="47" t="e">
        <f t="shared" ca="1" si="41"/>
        <v>#NAME?</v>
      </c>
      <c r="AJ95" s="371">
        <f t="shared" ca="1" si="42"/>
        <v>0</v>
      </c>
      <c r="AK95" s="372">
        <f t="shared" ca="1" si="43"/>
        <v>0</v>
      </c>
      <c r="AL95" s="373">
        <f t="shared" ca="1" si="44"/>
        <v>0</v>
      </c>
      <c r="AM95" s="374">
        <f t="shared" ca="1" si="45"/>
        <v>0</v>
      </c>
      <c r="AN95" s="375">
        <f t="shared" ca="1" si="46"/>
        <v>0</v>
      </c>
    </row>
    <row r="96" spans="1:40" x14ac:dyDescent="0.2">
      <c r="A96" s="6" t="s">
        <v>14</v>
      </c>
      <c r="B96" s="7"/>
      <c r="H96" s="10" t="s">
        <v>842</v>
      </c>
      <c r="I96" s="25" t="e">
        <f ca="1">_xll.EVPRO($B$1,$H96,"STYLE")</f>
        <v>#NAME?</v>
      </c>
      <c r="J96" s="25" t="e">
        <f ca="1">_xll.EVPRO($B$1,$H96,"CALC")</f>
        <v>#NAME?</v>
      </c>
      <c r="K96" s="64" t="e">
        <f t="shared" ca="1" si="39"/>
        <v>#NAME?</v>
      </c>
      <c r="L96" s="24" t="e">
        <f ca="1">_xll.EVPRO($B$1,H96,"JDEID")</f>
        <v>#NAME?</v>
      </c>
      <c r="M96" s="24" t="e">
        <f ca="1">IF(AND(I96="N",J96="N"),_xll.EVPRO($B$1,H96,"PSFTID"),"")</f>
        <v>#NAME?</v>
      </c>
      <c r="N96" s="24" t="e">
        <f ca="1">IF(_xll.EVDES(H96,$B$1)="#NODATA","",_xll.EVDES(H96,$B$1))</f>
        <v>#NAME?</v>
      </c>
      <c r="O96" s="19"/>
      <c r="P96" s="19"/>
      <c r="Q96" s="19"/>
      <c r="R96" s="19"/>
      <c r="S96" s="19"/>
      <c r="T96" s="19"/>
      <c r="U96" s="19"/>
      <c r="V96" s="19"/>
      <c r="W96" s="19"/>
      <c r="X96" s="19"/>
      <c r="Y96" s="19"/>
      <c r="Z96" s="19"/>
      <c r="AA96" s="283" t="e">
        <f t="shared" ca="1" si="35"/>
        <v>#NAME?</v>
      </c>
      <c r="AB96" s="15" t="e">
        <f t="shared" ca="1" si="36"/>
        <v>#NAME?</v>
      </c>
      <c r="AD96" s="19"/>
      <c r="AE96" s="15" t="str">
        <f t="shared" si="37"/>
        <v/>
      </c>
      <c r="AF96" s="47" t="e">
        <f t="shared" ca="1" si="38"/>
        <v>#NAME?</v>
      </c>
      <c r="AG96" s="19">
        <v>323</v>
      </c>
      <c r="AH96" s="15" t="str">
        <f t="shared" ca="1" si="40"/>
        <v/>
      </c>
      <c r="AI96" s="47" t="e">
        <f t="shared" ca="1" si="41"/>
        <v>#NAME?</v>
      </c>
      <c r="AJ96" s="371">
        <f t="shared" ca="1" si="42"/>
        <v>0</v>
      </c>
      <c r="AK96" s="372">
        <f t="shared" ca="1" si="43"/>
        <v>0</v>
      </c>
      <c r="AL96" s="373">
        <f t="shared" ca="1" si="44"/>
        <v>0</v>
      </c>
      <c r="AM96" s="374">
        <f t="shared" ca="1" si="45"/>
        <v>0</v>
      </c>
      <c r="AN96" s="375">
        <f t="shared" ca="1" si="46"/>
        <v>0</v>
      </c>
    </row>
    <row r="97" spans="1:40" x14ac:dyDescent="0.2">
      <c r="A97" s="6" t="s">
        <v>15</v>
      </c>
      <c r="B97" s="7"/>
      <c r="H97" s="10" t="s">
        <v>79</v>
      </c>
      <c r="I97" s="25" t="e">
        <f ca="1">_xll.EVPRO($B$1,$H97,"STYLE")</f>
        <v>#NAME?</v>
      </c>
      <c r="J97" s="25" t="e">
        <f ca="1">_xll.EVPRO($B$1,$H97,"CALC")</f>
        <v>#NAME?</v>
      </c>
      <c r="K97" s="24"/>
      <c r="L97" s="24"/>
      <c r="M97" s="24"/>
      <c r="N97" s="23" t="e">
        <f ca="1">IF(_xll.EVDES(H97,$B$1)="#NODATA","",_xll.EVDES(H97,$B$1))</f>
        <v>#NAME?</v>
      </c>
      <c r="O97" s="30"/>
      <c r="P97" s="30"/>
      <c r="Q97" s="30"/>
      <c r="R97" s="30"/>
      <c r="S97" s="30"/>
      <c r="T97" s="30"/>
      <c r="U97" s="30"/>
      <c r="V97" s="30"/>
      <c r="W97" s="30"/>
      <c r="X97" s="30"/>
      <c r="Y97" s="30"/>
      <c r="Z97" s="30"/>
      <c r="AA97" s="30" t="e">
        <f t="shared" ca="1" si="35"/>
        <v>#NAME?</v>
      </c>
      <c r="AB97" s="31" t="e">
        <f t="shared" ca="1" si="36"/>
        <v>#NAME?</v>
      </c>
      <c r="AD97" s="30"/>
      <c r="AE97" s="31" t="str">
        <f t="shared" si="37"/>
        <v/>
      </c>
      <c r="AF97" s="49" t="e">
        <f t="shared" ca="1" si="38"/>
        <v>#NAME?</v>
      </c>
      <c r="AG97" s="30">
        <v>12094.61</v>
      </c>
      <c r="AH97" s="31" t="str">
        <f ca="1">IF(AG97=0,"",IFERROR(AG97/AG$19,""))</f>
        <v/>
      </c>
      <c r="AI97" s="49" t="e">
        <f ca="1">IF(AND($AA97="",AG97=""),"",$AA97-AG97)</f>
        <v>#NAME?</v>
      </c>
      <c r="AJ97" s="387">
        <f ca="1">IFERROR(AA97/AA$20,0)</f>
        <v>0</v>
      </c>
      <c r="AK97" s="388">
        <f ca="1">IFERROR(AD97/AD$20,0)</f>
        <v>0</v>
      </c>
      <c r="AL97" s="389">
        <f ca="1">IFERROR(AG97/AG$20,0)</f>
        <v>0</v>
      </c>
      <c r="AM97" s="390">
        <f ca="1">+IFERROR(ROUND(($AB97-AE97)*100,2)&amp;" pts.",0)</f>
        <v>0</v>
      </c>
      <c r="AN97" s="408">
        <f ca="1">+IFERROR(ROUND(($AB97-AH97)*100,2)&amp;" pts.",0)</f>
        <v>0</v>
      </c>
    </row>
    <row r="98" spans="1:40" x14ac:dyDescent="0.2">
      <c r="A98" s="6" t="s">
        <v>16</v>
      </c>
      <c r="B98" s="7" t="s">
        <v>78</v>
      </c>
    </row>
    <row r="99" spans="1:40" x14ac:dyDescent="0.2">
      <c r="A99" s="6" t="s">
        <v>17</v>
      </c>
      <c r="B99" s="7"/>
      <c r="H99" s="10" t="s">
        <v>80</v>
      </c>
      <c r="I99" s="25" t="e">
        <f ca="1">_xll.EVPRO($B$1,$H99,"STYLE")</f>
        <v>#NAME?</v>
      </c>
      <c r="J99" s="25" t="e">
        <f ca="1">_xll.EVPRO($B$1,$H99,"CALC")</f>
        <v>#NAME?</v>
      </c>
      <c r="K99" s="23"/>
      <c r="L99" s="23"/>
      <c r="M99" s="23"/>
      <c r="N99" s="23" t="e">
        <f ca="1">IF(_xll.EVDES(H99,$B$1)="#NODATA","",_xll.EVDES(H99,$B$1))</f>
        <v>#NAME?</v>
      </c>
      <c r="O99" s="33">
        <v>2076.9899999999998</v>
      </c>
      <c r="P99" s="33"/>
      <c r="Q99" s="33"/>
      <c r="R99" s="33"/>
      <c r="S99" s="33"/>
      <c r="T99" s="33"/>
      <c r="U99" s="33"/>
      <c r="V99" s="33"/>
      <c r="W99" s="33"/>
      <c r="X99" s="33"/>
      <c r="Y99" s="33"/>
      <c r="Z99" s="33"/>
      <c r="AA99" s="33" t="e">
        <f ca="1">IF($I99="B1","",SUM(O99:Z99))</f>
        <v>#NAME?</v>
      </c>
      <c r="AB99" s="34" t="e">
        <f ca="1">IF(AA99=0,"",IFERROR(AA99/AA$19,""))</f>
        <v>#NAME?</v>
      </c>
      <c r="AD99" s="33"/>
      <c r="AE99" s="34" t="str">
        <f>IF(AD99=0,"",IFERROR(AD99/AD$19,""))</f>
        <v/>
      </c>
      <c r="AF99" s="55" t="e">
        <f ca="1">IF(AND($AA99="",AD99=""),"",$AA99-AD99)</f>
        <v>#NAME?</v>
      </c>
      <c r="AG99" s="56">
        <v>132175.76</v>
      </c>
      <c r="AH99" s="57" t="str">
        <f ca="1">IF(AG99=0,"",IFERROR(AG99/AG$19,""))</f>
        <v/>
      </c>
      <c r="AI99" s="55" t="e">
        <f ca="1">IF(AND($AA99="",AG99=""),"",$AA99-AG99)</f>
        <v>#NAME?</v>
      </c>
      <c r="AJ99" s="364">
        <f ca="1">IFERROR(AA99/AA$20,0)</f>
        <v>0</v>
      </c>
      <c r="AK99" s="365">
        <f ca="1">IFERROR(AD99/AD$20,0)</f>
        <v>0</v>
      </c>
      <c r="AL99" s="366">
        <f ca="1">IFERROR(AG99/AG$20,0)</f>
        <v>0</v>
      </c>
      <c r="AM99" s="367">
        <f ca="1">+IFERROR(ROUND(($AB99-AE99)*100,2)&amp;" pts.",0)</f>
        <v>0</v>
      </c>
      <c r="AN99" s="409">
        <f ca="1">+IFERROR(ROUND(($AB99-AH99)*100,2)&amp;" pts.",0)</f>
        <v>0</v>
      </c>
    </row>
    <row r="100" spans="1:40" ht="16" thickBot="1" x14ac:dyDescent="0.25">
      <c r="H100" s="10" t="s">
        <v>81</v>
      </c>
      <c r="I100" s="25" t="e">
        <f ca="1">_xll.EVPRO($B$1,$H100,"STYLE")</f>
        <v>#NAME?</v>
      </c>
      <c r="J100" s="25" t="e">
        <f ca="1">_xll.EVPRO($B$1,$H100,"CALC")</f>
        <v>#NAME?</v>
      </c>
      <c r="K100" s="23"/>
      <c r="L100" s="23"/>
      <c r="M100" s="23"/>
      <c r="N100" s="23" t="e">
        <f ca="1">IF(_xll.EVDES(H100,$B$1)="#NODATA","",_xll.EVDES(H100,$B$1))</f>
        <v>#NAME?</v>
      </c>
      <c r="O100" s="58">
        <v>4743.58</v>
      </c>
      <c r="P100" s="58">
        <v>41.3</v>
      </c>
      <c r="Q100" s="58">
        <v>61.95</v>
      </c>
      <c r="R100" s="58"/>
      <c r="S100" s="58"/>
      <c r="T100" s="58"/>
      <c r="U100" s="58"/>
      <c r="V100" s="58"/>
      <c r="W100" s="58"/>
      <c r="X100" s="58"/>
      <c r="Y100" s="58"/>
      <c r="Z100" s="58"/>
      <c r="AA100" s="58" t="e">
        <f ca="1">IF($I100="B1","",SUM(O100:Z100))</f>
        <v>#NAME?</v>
      </c>
      <c r="AB100" s="59" t="e">
        <f ca="1">IF(AA100=0,"",IFERROR(AA100/AA$19,""))</f>
        <v>#NAME?</v>
      </c>
      <c r="AD100" s="58"/>
      <c r="AE100" s="59" t="str">
        <f>IF(AD100=0,"",IFERROR(AD100/AD$19,""))</f>
        <v/>
      </c>
      <c r="AF100" s="60" t="e">
        <f ca="1">IF(AND($AA100="",AD100=""),"",$AA100-AD100)</f>
        <v>#NAME?</v>
      </c>
      <c r="AG100" s="58">
        <v>281210.15000000002</v>
      </c>
      <c r="AH100" s="59" t="str">
        <f ca="1">IF(AG100=0,"",IFERROR(AG100/AG$19,""))</f>
        <v/>
      </c>
      <c r="AI100" s="60" t="e">
        <f ca="1">IF(AND($AA100="",AG100=""),"",$AA100-AG100)</f>
        <v>#NAME?</v>
      </c>
      <c r="AJ100" s="402">
        <f ca="1">IFERROR(AA100/AA$20,0)</f>
        <v>0</v>
      </c>
      <c r="AK100" s="403">
        <f ca="1">IFERROR(AD100/AD$20,0)</f>
        <v>0</v>
      </c>
      <c r="AL100" s="404">
        <f ca="1">IFERROR(AG100/AG$20,0)</f>
        <v>0</v>
      </c>
      <c r="AM100" s="405">
        <f ca="1">+IFERROR(ROUND(($AB100-AE100)*100,2)&amp;" pts.",0)</f>
        <v>0</v>
      </c>
      <c r="AN100" s="410">
        <f ca="1">+IFERROR(ROUND(($AB100-AH100)*100,2)&amp;" pts.",0)</f>
        <v>0</v>
      </c>
    </row>
    <row r="101" spans="1:40" ht="16" thickTop="1" x14ac:dyDescent="0.2">
      <c r="A101" s="20" t="s">
        <v>92</v>
      </c>
      <c r="B101" s="21" t="s">
        <v>93</v>
      </c>
      <c r="C101" s="21" t="s">
        <v>94</v>
      </c>
      <c r="D101" s="21" t="s">
        <v>95</v>
      </c>
      <c r="E101" s="21" t="s">
        <v>96</v>
      </c>
      <c r="F101" s="22" t="s">
        <v>97</v>
      </c>
    </row>
    <row r="102" spans="1:40" x14ac:dyDescent="0.2">
      <c r="N102" s="24" t="e">
        <f ca="1">N99&amp;" - Check"</f>
        <v>#NAME?</v>
      </c>
      <c r="O102" s="124">
        <f t="shared" ref="O102:AA102" si="47">SUMIF($H$35:$H$100,"600000",O$35:O$100)+SUMIF($H$35:$H$100,"700000",O$35:O$100)-SUMIF($H$35:$H$100,"TOTDEPTEXP",O$35:O$100)</f>
        <v>0</v>
      </c>
      <c r="P102" s="124">
        <f t="shared" si="47"/>
        <v>0</v>
      </c>
      <c r="Q102" s="124">
        <f t="shared" si="47"/>
        <v>0</v>
      </c>
      <c r="R102" s="124">
        <f t="shared" si="47"/>
        <v>0</v>
      </c>
      <c r="S102" s="124">
        <f t="shared" si="47"/>
        <v>0</v>
      </c>
      <c r="T102" s="124">
        <f t="shared" si="47"/>
        <v>0</v>
      </c>
      <c r="U102" s="124">
        <f t="shared" si="47"/>
        <v>0</v>
      </c>
      <c r="V102" s="124">
        <f t="shared" si="47"/>
        <v>0</v>
      </c>
      <c r="W102" s="124">
        <f t="shared" si="47"/>
        <v>0</v>
      </c>
      <c r="X102" s="124">
        <f t="shared" si="47"/>
        <v>0</v>
      </c>
      <c r="Y102" s="124">
        <f t="shared" si="47"/>
        <v>0</v>
      </c>
      <c r="Z102" s="124">
        <f t="shared" si="47"/>
        <v>0</v>
      </c>
      <c r="AA102" s="124" t="e">
        <f t="shared" ca="1" si="47"/>
        <v>#NAME?</v>
      </c>
      <c r="AB102" s="15"/>
      <c r="AD102" s="124">
        <f>SUMIF($H$35:$H$100,"600000",AD$35:AD$100)+SUMIF($H$35:$H$100,"700000",AD$35:AD$100)-SUMIF($H$35:$H$100,"TOTDEPTEXP",AD$35:AD$100)</f>
        <v>0</v>
      </c>
      <c r="AE102" s="15"/>
      <c r="AF102" s="19"/>
      <c r="AG102" s="124">
        <f>SUMIF($H$35:$H$100,"600000",AG$35:AG$100)+SUMIF($H$35:$H$100,"700000",AG$35:AG$100)-SUMIF($H$35:$H$100,"TOTDEPTEXP",AG$35:AG$100)</f>
        <v>0</v>
      </c>
      <c r="AH102" s="15"/>
      <c r="AI102" s="19"/>
    </row>
    <row r="103" spans="1:40" x14ac:dyDescent="0.2">
      <c r="A103" s="1" t="s">
        <v>108</v>
      </c>
      <c r="C103" s="24" t="s">
        <v>101</v>
      </c>
      <c r="D103" s="1" t="s">
        <v>106</v>
      </c>
      <c r="F103" s="1" t="s">
        <v>98</v>
      </c>
      <c r="N103" s="24" t="e">
        <f ca="1">N100&amp;" - Check"</f>
        <v>#NAME?</v>
      </c>
      <c r="O103" s="124">
        <f t="shared" ref="O103:AA103" si="48">SUMIF($H$35:$H$100,"KPI_GP",O$35:O$100)-SUMIF($H$35:$H$100,"TOTDEPTEXP",O$35:O$100)-SUMIF($H$35:$H$100,"TOTDEPTPL",O$35:O$100)</f>
        <v>0</v>
      </c>
      <c r="P103" s="124">
        <f t="shared" si="48"/>
        <v>0</v>
      </c>
      <c r="Q103" s="124">
        <f t="shared" si="48"/>
        <v>0</v>
      </c>
      <c r="R103" s="124">
        <f t="shared" si="48"/>
        <v>0</v>
      </c>
      <c r="S103" s="124">
        <f t="shared" si="48"/>
        <v>0</v>
      </c>
      <c r="T103" s="124">
        <f t="shared" si="48"/>
        <v>0</v>
      </c>
      <c r="U103" s="124">
        <f t="shared" si="48"/>
        <v>0</v>
      </c>
      <c r="V103" s="124">
        <f t="shared" si="48"/>
        <v>0</v>
      </c>
      <c r="W103" s="124">
        <f t="shared" si="48"/>
        <v>0</v>
      </c>
      <c r="X103" s="124">
        <f t="shared" si="48"/>
        <v>0</v>
      </c>
      <c r="Y103" s="124">
        <f t="shared" si="48"/>
        <v>0</v>
      </c>
      <c r="Z103" s="124">
        <f t="shared" si="48"/>
        <v>0</v>
      </c>
      <c r="AA103" s="124" t="e">
        <f t="shared" ca="1" si="48"/>
        <v>#NAME?</v>
      </c>
      <c r="AB103" s="15"/>
      <c r="AD103" s="124">
        <f>SUMIF($H$35:$H$100,"KPI_GP",AD$35:AD$100)-SUMIF($H$35:$H$100,"TOTDEPTEXP",AD$35:AD$100)-SUMIF($H$35:$H$100,"TOTDEPTPL",AD$35:AD$100)</f>
        <v>0</v>
      </c>
      <c r="AE103" s="15"/>
      <c r="AF103" s="19"/>
      <c r="AG103" s="124">
        <f>SUMIF($H$35:$H$100,"KPI_GP",AG$35:AG$100)-SUMIF($H$35:$H$100,"TOTDEPTEXP",AG$35:AG$100)-SUMIF($H$35:$H$100,"TOTDEPTPL",AG$35:AG$100)</f>
        <v>0</v>
      </c>
      <c r="AH103" s="15"/>
      <c r="AI103" s="19"/>
    </row>
    <row r="104" spans="1:40" x14ac:dyDescent="0.2">
      <c r="A104" s="1" t="s">
        <v>100</v>
      </c>
      <c r="C104" s="8" t="s">
        <v>101</v>
      </c>
      <c r="D104" s="1" t="s">
        <v>106</v>
      </c>
      <c r="F104" s="1" t="s">
        <v>98</v>
      </c>
    </row>
    <row r="105" spans="1:40" x14ac:dyDescent="0.2">
      <c r="A105" s="1" t="s">
        <v>109</v>
      </c>
      <c r="C105" s="23" t="s">
        <v>101</v>
      </c>
      <c r="D105" s="1" t="s">
        <v>106</v>
      </c>
      <c r="F105" s="1" t="s">
        <v>98</v>
      </c>
      <c r="G105" s="13"/>
      <c r="O105" s="147"/>
      <c r="P105" s="147"/>
      <c r="Q105" s="147"/>
      <c r="R105" s="147"/>
      <c r="S105" s="147"/>
      <c r="T105" s="147"/>
      <c r="U105" s="147"/>
      <c r="V105" s="147"/>
      <c r="W105" s="147"/>
      <c r="X105" s="147"/>
      <c r="Y105" s="147"/>
      <c r="Z105" s="147"/>
      <c r="AA105" s="147"/>
      <c r="AD105" s="147"/>
      <c r="AG105" s="147"/>
    </row>
    <row r="106" spans="1:40" x14ac:dyDescent="0.2">
      <c r="A106" s="1" t="s">
        <v>109</v>
      </c>
      <c r="C106" s="135" t="s">
        <v>101</v>
      </c>
      <c r="D106" s="1" t="s">
        <v>107</v>
      </c>
      <c r="F106" s="1" t="s">
        <v>99</v>
      </c>
    </row>
    <row r="107" spans="1:40" x14ac:dyDescent="0.2">
      <c r="A107" s="1" t="s">
        <v>110</v>
      </c>
      <c r="C107" s="23" t="s">
        <v>101</v>
      </c>
      <c r="D107" s="1" t="s">
        <v>106</v>
      </c>
      <c r="F107" s="1" t="s">
        <v>98</v>
      </c>
      <c r="O107" s="147"/>
      <c r="P107" s="147"/>
      <c r="Q107" s="147"/>
      <c r="R107" s="147"/>
      <c r="S107" s="147"/>
      <c r="T107" s="147"/>
      <c r="U107" s="147"/>
      <c r="V107" s="147"/>
      <c r="W107" s="147"/>
      <c r="X107" s="147"/>
      <c r="Y107" s="147"/>
      <c r="Z107" s="147"/>
      <c r="AA107" s="147"/>
      <c r="AD107" s="147"/>
      <c r="AG107" s="147"/>
    </row>
    <row r="108" spans="1:40" x14ac:dyDescent="0.2">
      <c r="A108" s="1" t="s">
        <v>110</v>
      </c>
      <c r="C108" s="27" t="s">
        <v>101</v>
      </c>
      <c r="D108" s="1" t="s">
        <v>107</v>
      </c>
      <c r="F108" s="1" t="s">
        <v>99</v>
      </c>
    </row>
    <row r="109" spans="1:40" x14ac:dyDescent="0.2">
      <c r="C109" s="23"/>
    </row>
    <row r="110" spans="1:40" x14ac:dyDescent="0.2">
      <c r="H110" s="11"/>
      <c r="J110" s="1"/>
    </row>
    <row r="111" spans="1:40" x14ac:dyDescent="0.2">
      <c r="A111" s="4" t="e">
        <f ca="1">_xll.EVDRE($B$1,A114:B121)</f>
        <v>#NAME?</v>
      </c>
      <c r="B111" s="1" t="s">
        <v>736</v>
      </c>
      <c r="G111" s="13"/>
      <c r="H111" s="11"/>
      <c r="J111" s="1"/>
    </row>
    <row r="112" spans="1:40" x14ac:dyDescent="0.2">
      <c r="H112" s="11"/>
      <c r="J112" s="1"/>
    </row>
    <row r="113" spans="1:10" x14ac:dyDescent="0.2">
      <c r="A113" s="3" t="s">
        <v>0</v>
      </c>
      <c r="B113" s="5" t="s">
        <v>1</v>
      </c>
      <c r="H113" s="11"/>
      <c r="J113" s="1"/>
    </row>
    <row r="114" spans="1:10" x14ac:dyDescent="0.2">
      <c r="A114" s="6" t="s">
        <v>2</v>
      </c>
      <c r="B114" s="7" t="e">
        <f ca="1">_xll.EVRNG($B$2:$B$10)</f>
        <v>#NAME?</v>
      </c>
      <c r="H114" s="11"/>
      <c r="J114" s="1"/>
    </row>
    <row r="115" spans="1:10" x14ac:dyDescent="0.2">
      <c r="A115" s="6" t="s">
        <v>3</v>
      </c>
      <c r="B115" s="7" t="e">
        <f ca="1">_xll.EVRNG($O$16:$AN$18)</f>
        <v>#NAME?</v>
      </c>
      <c r="H115" s="11"/>
      <c r="J115" s="1"/>
    </row>
    <row r="116" spans="1:10" x14ac:dyDescent="0.2">
      <c r="A116" s="6" t="s">
        <v>4</v>
      </c>
      <c r="B116" s="7" t="e">
        <f ca="1">_xll.EVRNG(H97:H100)</f>
        <v>#NAME?</v>
      </c>
      <c r="H116" s="11"/>
      <c r="J116" s="1"/>
    </row>
    <row r="117" spans="1:10" x14ac:dyDescent="0.2">
      <c r="A117" s="6" t="s">
        <v>5</v>
      </c>
      <c r="B117" s="7"/>
      <c r="H117" s="11"/>
      <c r="J117" s="1"/>
    </row>
    <row r="118" spans="1:10" x14ac:dyDescent="0.2">
      <c r="A118" s="6" t="s">
        <v>6</v>
      </c>
      <c r="B118" s="7"/>
      <c r="H118" s="11"/>
      <c r="J118" s="1"/>
    </row>
    <row r="119" spans="1:10" x14ac:dyDescent="0.2">
      <c r="A119" s="6" t="s">
        <v>7</v>
      </c>
      <c r="B119" s="7"/>
      <c r="H119" s="11"/>
      <c r="J119" s="1"/>
    </row>
    <row r="120" spans="1:10" x14ac:dyDescent="0.2">
      <c r="A120" s="6" t="s">
        <v>47</v>
      </c>
      <c r="B120" s="7" t="e">
        <f ca="1">_xll.EVRNG($A$125:$B$146)</f>
        <v>#NAME?</v>
      </c>
      <c r="H120" s="11"/>
      <c r="J120" s="1"/>
    </row>
    <row r="121" spans="1:10" x14ac:dyDescent="0.2">
      <c r="A121" s="6" t="s">
        <v>8</v>
      </c>
      <c r="B121" s="7"/>
      <c r="H121" s="11"/>
      <c r="J121" s="1"/>
    </row>
    <row r="122" spans="1:10" x14ac:dyDescent="0.2">
      <c r="H122" s="11"/>
      <c r="J122" s="1"/>
    </row>
    <row r="123" spans="1:10" x14ac:dyDescent="0.2">
      <c r="H123" s="11"/>
      <c r="J123" s="1"/>
    </row>
    <row r="124" spans="1:10" x14ac:dyDescent="0.2">
      <c r="A124" s="3" t="s">
        <v>23</v>
      </c>
      <c r="B124" s="5" t="s">
        <v>24</v>
      </c>
      <c r="H124" s="11"/>
      <c r="J124" s="1"/>
    </row>
    <row r="125" spans="1:10" x14ac:dyDescent="0.2">
      <c r="A125" s="6" t="s">
        <v>25</v>
      </c>
      <c r="B125" s="7"/>
      <c r="H125" s="11"/>
      <c r="J125" s="1"/>
    </row>
    <row r="126" spans="1:10" x14ac:dyDescent="0.2">
      <c r="A126" s="6" t="s">
        <v>26</v>
      </c>
      <c r="B126" s="7"/>
      <c r="H126" s="11"/>
      <c r="J126" s="1"/>
    </row>
    <row r="127" spans="1:10" x14ac:dyDescent="0.2">
      <c r="A127" s="6" t="s">
        <v>27</v>
      </c>
      <c r="B127" s="7"/>
      <c r="H127" s="11"/>
      <c r="J127" s="1"/>
    </row>
    <row r="128" spans="1:10" x14ac:dyDescent="0.2">
      <c r="A128" s="6" t="s">
        <v>28</v>
      </c>
      <c r="B128" s="7"/>
      <c r="H128" s="11"/>
      <c r="J128" s="1"/>
    </row>
    <row r="129" spans="1:10" x14ac:dyDescent="0.2">
      <c r="A129" s="6" t="s">
        <v>29</v>
      </c>
      <c r="B129" s="7"/>
      <c r="H129" s="11"/>
      <c r="J129" s="1"/>
    </row>
    <row r="130" spans="1:10" x14ac:dyDescent="0.2">
      <c r="A130" s="6" t="s">
        <v>30</v>
      </c>
      <c r="B130" s="7" t="s">
        <v>78</v>
      </c>
      <c r="H130" s="11"/>
      <c r="J130" s="1"/>
    </row>
    <row r="131" spans="1:10" x14ac:dyDescent="0.2">
      <c r="A131" s="6" t="s">
        <v>31</v>
      </c>
      <c r="B131" s="7" t="s">
        <v>78</v>
      </c>
      <c r="H131" s="11"/>
      <c r="J131" s="1"/>
    </row>
    <row r="132" spans="1:10" x14ac:dyDescent="0.2">
      <c r="A132" s="6" t="s">
        <v>32</v>
      </c>
      <c r="B132" s="7"/>
      <c r="H132" s="11"/>
      <c r="J132" s="1"/>
    </row>
    <row r="133" spans="1:10" x14ac:dyDescent="0.2">
      <c r="A133" s="6" t="s">
        <v>33</v>
      </c>
      <c r="B133" s="7"/>
    </row>
    <row r="134" spans="1:10" x14ac:dyDescent="0.2">
      <c r="A134" s="6" t="s">
        <v>34</v>
      </c>
      <c r="B134" s="7"/>
    </row>
    <row r="135" spans="1:10" x14ac:dyDescent="0.2">
      <c r="A135" s="6" t="s">
        <v>35</v>
      </c>
      <c r="B135" s="7"/>
    </row>
    <row r="136" spans="1:10" x14ac:dyDescent="0.2">
      <c r="A136" s="6" t="s">
        <v>36</v>
      </c>
      <c r="B136" s="7"/>
    </row>
    <row r="137" spans="1:10" x14ac:dyDescent="0.2">
      <c r="A137" s="6" t="s">
        <v>37</v>
      </c>
      <c r="B137" s="7"/>
    </row>
    <row r="138" spans="1:10" x14ac:dyDescent="0.2">
      <c r="A138" s="6" t="s">
        <v>38</v>
      </c>
      <c r="B138" s="7"/>
    </row>
    <row r="139" spans="1:10" x14ac:dyDescent="0.2">
      <c r="A139" s="6" t="s">
        <v>39</v>
      </c>
      <c r="B139" s="7"/>
    </row>
    <row r="140" spans="1:10" x14ac:dyDescent="0.2">
      <c r="A140" s="6" t="s">
        <v>40</v>
      </c>
      <c r="B140" s="7"/>
    </row>
    <row r="141" spans="1:10" x14ac:dyDescent="0.2">
      <c r="A141" s="6" t="s">
        <v>41</v>
      </c>
      <c r="B141" s="7"/>
    </row>
    <row r="142" spans="1:10" x14ac:dyDescent="0.2">
      <c r="A142" s="6" t="s">
        <v>42</v>
      </c>
      <c r="B142" s="7"/>
    </row>
    <row r="143" spans="1:10" x14ac:dyDescent="0.2">
      <c r="A143" s="6" t="s">
        <v>43</v>
      </c>
      <c r="B143" s="7"/>
    </row>
    <row r="144" spans="1:10" x14ac:dyDescent="0.2">
      <c r="A144" s="6" t="s">
        <v>44</v>
      </c>
      <c r="B144" s="7"/>
    </row>
    <row r="145" spans="1:2" x14ac:dyDescent="0.2">
      <c r="A145" s="6" t="s">
        <v>45</v>
      </c>
      <c r="B145" s="7"/>
    </row>
    <row r="146" spans="1:2" x14ac:dyDescent="0.2">
      <c r="A146" s="6" t="s">
        <v>46</v>
      </c>
      <c r="B146" s="7"/>
    </row>
    <row r="163" spans="5:34" x14ac:dyDescent="0.2">
      <c r="E163" s="72"/>
    </row>
    <row r="167" spans="5:34" x14ac:dyDescent="0.2">
      <c r="E167" s="72"/>
    </row>
    <row r="173" spans="5:34" x14ac:dyDescent="0.2">
      <c r="I173" s="72"/>
      <c r="J173" s="1"/>
      <c r="K173" s="72"/>
      <c r="L173" s="72"/>
      <c r="M173" s="72"/>
      <c r="O173" s="72"/>
      <c r="P173" s="72"/>
      <c r="Q173" s="72"/>
      <c r="R173" s="72"/>
      <c r="S173" s="72"/>
      <c r="T173" s="72"/>
      <c r="U173" s="72"/>
      <c r="V173" s="72"/>
      <c r="W173" s="72"/>
      <c r="X173" s="72"/>
      <c r="Y173" s="72"/>
      <c r="Z173" s="72"/>
      <c r="AA173" s="72"/>
      <c r="AD173" s="72"/>
      <c r="AF173" s="72"/>
      <c r="AH173" s="72"/>
    </row>
    <row r="177" spans="7:34" x14ac:dyDescent="0.2">
      <c r="I177" s="72"/>
      <c r="J177" s="1"/>
      <c r="K177" s="72"/>
      <c r="L177" s="72"/>
      <c r="M177" s="72"/>
      <c r="O177" s="72"/>
      <c r="P177" s="72"/>
      <c r="Q177" s="72"/>
      <c r="R177" s="72"/>
      <c r="S177" s="72"/>
      <c r="T177" s="72"/>
      <c r="U177" s="72"/>
      <c r="V177" s="72"/>
      <c r="W177" s="72"/>
      <c r="X177" s="72"/>
      <c r="Y177" s="72"/>
      <c r="Z177" s="72"/>
      <c r="AA177" s="72"/>
      <c r="AD177" s="72"/>
      <c r="AF177" s="72"/>
      <c r="AH177" s="72"/>
    </row>
    <row r="190" spans="7:34" x14ac:dyDescent="0.2">
      <c r="G190" s="72"/>
    </row>
    <row r="194" spans="7:7" x14ac:dyDescent="0.2">
      <c r="G194" s="72"/>
    </row>
  </sheetData>
  <mergeCells count="2">
    <mergeCell ref="AD31:AE31"/>
    <mergeCell ref="AG31:AH31"/>
  </mergeCells>
  <dataValidations disablePrompts="1" count="2">
    <dataValidation type="list" allowBlank="1" sqref="B29 B62 B95" xr:uid="{00000000-0002-0000-2600-000000000000}">
      <formula1>"SELF,ALL,BAS,DEP,BASMEMBERS,MEMBERS,NOEXPAND,GDEP"</formula1>
    </dataValidation>
    <dataValidation type="list" allowBlank="1" sqref="B28 B61 B94" xr:uid="{00000000-0002-0000-26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9">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8"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16384" width="9.1640625" style="1"/>
  </cols>
  <sheetData>
    <row r="1" spans="1:35" hidden="1" outlineLevel="1" x14ac:dyDescent="0.2">
      <c r="A1" s="8" t="s">
        <v>48</v>
      </c>
      <c r="B1" s="2" t="s">
        <v>49</v>
      </c>
      <c r="C1" s="8" t="e">
        <f ca="1">_xll.EVAPD($B$1)</f>
        <v>#NAME?</v>
      </c>
      <c r="I1" s="1"/>
      <c r="J1" s="1"/>
      <c r="N1" s="16" t="e">
        <f ca="1">'DghisZAX30yMVMeLB6kHyw=='!N1</f>
        <v>#NAME?</v>
      </c>
      <c r="O1" s="1" t="s">
        <v>731</v>
      </c>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734</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35"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35" hidden="1" outlineLevel="1" x14ac:dyDescent="0.2">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2" t="e">
        <f ca="1">AA11</f>
        <v>#NAME?</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35" hidden="1" outlineLevel="1" x14ac:dyDescent="0.2">
      <c r="A19" s="6" t="s">
        <v>4</v>
      </c>
      <c r="B19" s="7" t="e">
        <f ca="1">_xll.EVRNG(H35:H146)</f>
        <v>#NAME?</v>
      </c>
      <c r="G19" s="16" t="str">
        <f>$B$6</f>
        <v>D2146</v>
      </c>
      <c r="H19" s="16" t="s">
        <v>273</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35" hidden="1" outlineLevel="1" x14ac:dyDescent="0.2">
      <c r="A20" s="6" t="s">
        <v>5</v>
      </c>
      <c r="B20" s="7"/>
      <c r="G20" s="16" t="str">
        <f>$B$6</f>
        <v>D2146</v>
      </c>
      <c r="H20" s="16">
        <v>946000</v>
      </c>
      <c r="I20" s="17"/>
      <c r="J20" s="17"/>
      <c r="K20" s="16"/>
      <c r="L20" s="16"/>
      <c r="M20" s="16"/>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35" hidden="1" outlineLevel="1" x14ac:dyDescent="0.2">
      <c r="A21" s="6" t="s">
        <v>6</v>
      </c>
      <c r="B21" s="7"/>
      <c r="I21" s="1"/>
      <c r="J21" s="1"/>
    </row>
    <row r="22" spans="1:35" hidden="1" outlineLevel="1" x14ac:dyDescent="0.2">
      <c r="A22" s="6" t="s">
        <v>7</v>
      </c>
      <c r="B22" s="7"/>
      <c r="I22" s="1"/>
      <c r="J22" s="1"/>
    </row>
    <row r="23" spans="1:35" hidden="1" outlineLevel="1" x14ac:dyDescent="0.2">
      <c r="A23" s="6" t="s">
        <v>47</v>
      </c>
      <c r="B23" s="7" t="e">
        <f ca="1">_xll.EVRNG($A$37:$B$58)</f>
        <v>#NAME?</v>
      </c>
      <c r="K23" s="53"/>
      <c r="L23" s="53"/>
      <c r="M23" s="53"/>
      <c r="AD23" s="136"/>
    </row>
    <row r="24" spans="1:35" hidden="1" outlineLevel="1" x14ac:dyDescent="0.2">
      <c r="A24" s="6" t="s">
        <v>8</v>
      </c>
      <c r="B24" s="7"/>
    </row>
    <row r="25" spans="1:35" collapsed="1" x14ac:dyDescent="0.2"/>
    <row r="26" spans="1:35" ht="23" x14ac:dyDescent="0.25">
      <c r="A26" s="3" t="s">
        <v>9</v>
      </c>
      <c r="B26" s="5" t="s">
        <v>10</v>
      </c>
      <c r="N26" s="61" t="e">
        <f ca="1">IF(_xll.EVDES(B3,$B$1)="#NODATA","",_xll.EVDES(B3,$B$1))</f>
        <v>#NAME?</v>
      </c>
    </row>
    <row r="27" spans="1:35" ht="18" x14ac:dyDescent="0.2">
      <c r="A27" s="6" t="s">
        <v>11</v>
      </c>
      <c r="B27" s="7" t="s">
        <v>21</v>
      </c>
      <c r="N27" s="66" t="e">
        <f ca="1">IF($N$1="",IF(_xll.EVDES(B6,$B$1)="#NODATA","",_xll.EVDES(B6,$B$1)&amp;" Department"),$N$1)</f>
        <v>#NAME?</v>
      </c>
    </row>
    <row r="28" spans="1:35" ht="16" x14ac:dyDescent="0.2">
      <c r="A28" s="6" t="s">
        <v>12</v>
      </c>
      <c r="B28" s="7" t="s">
        <v>22</v>
      </c>
      <c r="N28" s="67" t="e">
        <f ca="1">"For the Period ended"&amp;" "&amp;IF(_xll.EVDES($B$10,$B$1)="#NODATA","",_xll.EVDES($B$10,$B$1))</f>
        <v>#NAME?</v>
      </c>
    </row>
    <row r="29" spans="1:35" ht="15" customHeight="1" x14ac:dyDescent="0.2">
      <c r="A29" s="6" t="s">
        <v>13</v>
      </c>
      <c r="B29" s="7" t="s">
        <v>293</v>
      </c>
      <c r="N29" s="67" t="e">
        <f ca="1">_xll.EVDES(B9,B1)</f>
        <v>#NAME?</v>
      </c>
      <c r="O29" s="62" t="s">
        <v>344</v>
      </c>
      <c r="P29" s="62"/>
      <c r="Q29" s="62"/>
      <c r="R29" s="62"/>
      <c r="S29" s="62"/>
      <c r="T29" s="62"/>
      <c r="U29" s="62"/>
      <c r="V29" s="62"/>
      <c r="W29" s="62"/>
      <c r="X29" s="62"/>
      <c r="Y29" s="62"/>
      <c r="Z29" s="62"/>
      <c r="AA29" s="62"/>
    </row>
    <row r="30" spans="1:35"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row>
    <row r="31" spans="1:35" x14ac:dyDescent="0.2">
      <c r="A31" s="6" t="s">
        <v>15</v>
      </c>
      <c r="B31" s="7"/>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row>
    <row r="32" spans="1:35" s="232" customFormat="1" ht="30" customHeight="1" x14ac:dyDescent="0.2">
      <c r="A32" s="230" t="s">
        <v>16</v>
      </c>
      <c r="B32" s="231"/>
      <c r="E32" s="1"/>
      <c r="H32" s="233"/>
      <c r="I32" s="234"/>
      <c r="J32" s="234"/>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row>
    <row r="33" spans="1:35" ht="16" x14ac:dyDescent="0.2">
      <c r="A33" s="6" t="s">
        <v>17</v>
      </c>
      <c r="B33" s="7"/>
      <c r="N33" s="155" t="s">
        <v>330</v>
      </c>
      <c r="O33" s="38"/>
      <c r="P33" s="42"/>
      <c r="Q33" s="42"/>
      <c r="R33" s="42"/>
      <c r="S33" s="42"/>
      <c r="T33" s="42"/>
      <c r="U33" s="42"/>
      <c r="V33" s="42"/>
      <c r="W33" s="42"/>
      <c r="X33" s="42"/>
      <c r="Y33" s="42"/>
      <c r="Z33" s="42"/>
      <c r="AA33" s="42"/>
      <c r="AB33" s="39"/>
      <c r="AD33" s="38"/>
      <c r="AE33" s="42"/>
      <c r="AF33" s="39"/>
      <c r="AG33" s="38"/>
      <c r="AH33" s="42"/>
      <c r="AI33" s="39"/>
    </row>
    <row r="34" spans="1:35" x14ac:dyDescent="0.2">
      <c r="L34" s="175" t="s">
        <v>364</v>
      </c>
      <c r="M34" s="175" t="s">
        <v>782</v>
      </c>
      <c r="N34" s="8" t="s">
        <v>312</v>
      </c>
      <c r="O34" s="50"/>
      <c r="AB34" s="51"/>
      <c r="AD34" s="50"/>
      <c r="AF34" s="51"/>
      <c r="AG34" s="50"/>
      <c r="AI34" s="51"/>
    </row>
    <row r="35" spans="1:35" x14ac:dyDescent="0.2">
      <c r="H35" s="10" t="s">
        <v>260</v>
      </c>
      <c r="I35" s="25" t="e">
        <f ca="1">_xll.EVPRO($B$1,$H35,"STYLE")</f>
        <v>#NAME?</v>
      </c>
      <c r="J35" s="25" t="e">
        <f ca="1">_xll.EVPRO($B$1,$H35,"CALC")</f>
        <v>#NAME?</v>
      </c>
      <c r="K35" s="24"/>
      <c r="L35" s="24" t="e">
        <f ca="1">_xll.EVPRO($B$1,H35,"JDEID")</f>
        <v>#NAME?</v>
      </c>
      <c r="M35" s="24" t="e">
        <f ca="1">IF(AND(I35="N",J35="N"),_xll.EVPRO($B$1,H35,"PSFTID"),"")</f>
        <v>#NAME?</v>
      </c>
      <c r="N35" s="24" t="e">
        <f ca="1">IF(_xll.EVDES(H35,$B$1)="#NODATA","",_xll.EVDES(H35,$B$1))</f>
        <v>#NAME?</v>
      </c>
      <c r="O35" s="19"/>
      <c r="P35" s="19"/>
      <c r="Q35" s="19"/>
      <c r="R35" s="19"/>
      <c r="S35" s="19"/>
      <c r="T35" s="19"/>
      <c r="U35" s="19"/>
      <c r="V35" s="19"/>
      <c r="W35" s="19"/>
      <c r="X35" s="19"/>
      <c r="Y35" s="19"/>
      <c r="Z35" s="19"/>
      <c r="AA35" s="19">
        <f t="shared" ref="AA35:AA41" si="0">SUM(O35:Z35)</f>
        <v>0</v>
      </c>
      <c r="AB35" s="15" t="str">
        <f>IF(AA35=0,"",IFERROR(AA35/AA$19,""))</f>
        <v/>
      </c>
      <c r="AD35" s="19"/>
      <c r="AE35" s="15" t="str">
        <f>IF(AD35=0,"",IFERROR(AD35/AD$19,""))</f>
        <v/>
      </c>
      <c r="AF35" s="47">
        <f t="shared" ref="AF35:AF42" si="1">IF(AND($AA35="",AD35=""),"",$AA35-AD35)</f>
        <v>0</v>
      </c>
      <c r="AG35" s="19">
        <v>617.95000000000005</v>
      </c>
      <c r="AH35" s="15" t="str">
        <f ca="1">IF(AG35=0,"",IFERROR(AG35/AG$19,""))</f>
        <v/>
      </c>
      <c r="AI35" s="47">
        <f t="shared" ref="AI35:AI42" si="2">IF(AND($AA35="",AG35=""),"",$AA35-AG35)</f>
        <v>-617.95000000000005</v>
      </c>
    </row>
    <row r="36" spans="1:35" x14ac:dyDescent="0.2">
      <c r="A36" s="3" t="s">
        <v>23</v>
      </c>
      <c r="B36" s="5" t="s">
        <v>24</v>
      </c>
      <c r="H36" s="10" t="s">
        <v>294</v>
      </c>
      <c r="I36" s="25" t="e">
        <f ca="1">_xll.EVPRO($B$1,$H36,"STYLE")</f>
        <v>#NAME?</v>
      </c>
      <c r="J36" s="25" t="e">
        <f ca="1">_xll.EVPRO($B$1,$H36,"CALC")</f>
        <v>#NAME?</v>
      </c>
      <c r="K36" s="24"/>
      <c r="L36" s="24" t="e">
        <f ca="1">_xll.EVPRO($B$1,H36,"JDEID")</f>
        <v>#NAME?</v>
      </c>
      <c r="M36" s="24" t="e">
        <f ca="1">IF(AND(I36="N",J36="N"),_xll.EVPRO($B$1,H36,"PSFTID"),"")</f>
        <v>#NAME?</v>
      </c>
      <c r="N36" s="24" t="e">
        <f ca="1">IF(_xll.EVDES(H36,$B$1)="#NODATA","",_xll.EVDES(H36,$B$1))</f>
        <v>#NAME?</v>
      </c>
      <c r="O36" s="19"/>
      <c r="P36" s="19"/>
      <c r="Q36" s="19"/>
      <c r="R36" s="19"/>
      <c r="S36" s="19"/>
      <c r="T36" s="19"/>
      <c r="U36" s="19"/>
      <c r="V36" s="19"/>
      <c r="W36" s="19"/>
      <c r="X36" s="19"/>
      <c r="Y36" s="19"/>
      <c r="Z36" s="19"/>
      <c r="AA36" s="19">
        <f t="shared" si="0"/>
        <v>0</v>
      </c>
      <c r="AB36" s="15" t="str">
        <f>IF(AA36=0,"",IFERROR(AA36/AA$19,""))</f>
        <v/>
      </c>
      <c r="AD36" s="19"/>
      <c r="AE36" s="15" t="str">
        <f>IF(AD36=0,"",IFERROR(AD36/AD$19,""))</f>
        <v/>
      </c>
      <c r="AF36" s="47">
        <f t="shared" si="1"/>
        <v>0</v>
      </c>
      <c r="AG36" s="19"/>
      <c r="AH36" s="15" t="str">
        <f t="shared" ref="AH36:AH79" si="3">IF(AG36=0,"",IFERROR(AG36/AG$19,""))</f>
        <v/>
      </c>
      <c r="AI36" s="47">
        <f t="shared" si="2"/>
        <v>0</v>
      </c>
    </row>
    <row r="37" spans="1:35" x14ac:dyDescent="0.2">
      <c r="A37" s="6" t="s">
        <v>25</v>
      </c>
      <c r="B37" s="7"/>
      <c r="H37" s="10" t="s">
        <v>295</v>
      </c>
      <c r="I37" s="25" t="e">
        <f ca="1">_xll.EVPRO($B$1,$H37,"STYLE")</f>
        <v>#NAME?</v>
      </c>
      <c r="J37" s="25" t="e">
        <f ca="1">_xll.EVPRO($B$1,$H37,"CALC")</f>
        <v>#NAME?</v>
      </c>
      <c r="K37" s="24"/>
      <c r="L37" s="24" t="e">
        <f ca="1">_xll.EVPRO($B$1,H37,"JDEID")</f>
        <v>#NAME?</v>
      </c>
      <c r="M37" s="24" t="e">
        <f ca="1">IF(AND(I37="N",J37="N"),_xll.EVPRO($B$1,H37,"PSFTID"),"")</f>
        <v>#NAME?</v>
      </c>
      <c r="N37" s="24" t="e">
        <f ca="1">IF(_xll.EVDES(H37,$B$1)="#NODATA","",_xll.EVDES(H37,$B$1))</f>
        <v>#NAME?</v>
      </c>
      <c r="O37" s="19"/>
      <c r="P37" s="19"/>
      <c r="Q37" s="19"/>
      <c r="R37" s="19"/>
      <c r="S37" s="19"/>
      <c r="T37" s="19"/>
      <c r="U37" s="19"/>
      <c r="V37" s="19"/>
      <c r="W37" s="19"/>
      <c r="X37" s="19"/>
      <c r="Y37" s="19"/>
      <c r="Z37" s="19"/>
      <c r="AA37" s="19">
        <f t="shared" si="0"/>
        <v>0</v>
      </c>
      <c r="AB37" s="15" t="str">
        <f>IF(AA37=0,"",IFERROR(AA37/AA$19,""))</f>
        <v/>
      </c>
      <c r="AD37" s="19"/>
      <c r="AE37" s="15" t="str">
        <f>IF(AD37=0,"",IFERROR(AD37/AD$19,""))</f>
        <v/>
      </c>
      <c r="AF37" s="47">
        <f t="shared" si="1"/>
        <v>0</v>
      </c>
      <c r="AG37" s="19"/>
      <c r="AH37" s="15" t="str">
        <f t="shared" si="3"/>
        <v/>
      </c>
      <c r="AI37" s="47">
        <f t="shared" si="2"/>
        <v>0</v>
      </c>
    </row>
    <row r="38" spans="1:35" x14ac:dyDescent="0.2">
      <c r="A38" s="6" t="s">
        <v>26</v>
      </c>
      <c r="B38" s="7"/>
      <c r="H38" s="10" t="s">
        <v>296</v>
      </c>
      <c r="I38" s="25" t="e">
        <f ca="1">_xll.EVPRO($B$1,$H38,"STYLE")</f>
        <v>#NAME?</v>
      </c>
      <c r="J38" s="25" t="e">
        <f ca="1">_xll.EVPRO($B$1,$H38,"CALC")</f>
        <v>#NAME?</v>
      </c>
      <c r="K38" s="24"/>
      <c r="L38" s="24" t="e">
        <f ca="1">_xll.EVPRO($B$1,H38,"JDEID")</f>
        <v>#NAME?</v>
      </c>
      <c r="M38" s="24" t="e">
        <f ca="1">IF(AND(I38="N",J38="N"),_xll.EVPRO($B$1,H38,"PSFTID"),"")</f>
        <v>#NAME?</v>
      </c>
      <c r="N38" s="24" t="e">
        <f ca="1">IF(_xll.EVDES(H38,$B$1)="#NODATA","",_xll.EVDES(H38,$B$1))</f>
        <v>#NAME?</v>
      </c>
      <c r="O38" s="28"/>
      <c r="P38" s="28"/>
      <c r="Q38" s="28"/>
      <c r="R38" s="28"/>
      <c r="S38" s="28"/>
      <c r="T38" s="28"/>
      <c r="U38" s="28"/>
      <c r="V38" s="28"/>
      <c r="W38" s="28"/>
      <c r="X38" s="28"/>
      <c r="Y38" s="28"/>
      <c r="Z38" s="28"/>
      <c r="AA38" s="28">
        <f t="shared" si="0"/>
        <v>0</v>
      </c>
      <c r="AB38" s="29" t="str">
        <f>IF(AA38=0,"",IFERROR(AA38/AA$19,""))</f>
        <v/>
      </c>
      <c r="AD38" s="28"/>
      <c r="AE38" s="29" t="str">
        <f>IF(AD38=0,"",IFERROR(AD38/AD$19,""))</f>
        <v/>
      </c>
      <c r="AF38" s="48">
        <f t="shared" si="1"/>
        <v>0</v>
      </c>
      <c r="AG38" s="28"/>
      <c r="AH38" s="29" t="str">
        <f t="shared" si="3"/>
        <v/>
      </c>
      <c r="AI38" s="48">
        <f t="shared" si="2"/>
        <v>0</v>
      </c>
    </row>
    <row r="39" spans="1:35" x14ac:dyDescent="0.2">
      <c r="A39" s="6" t="s">
        <v>27</v>
      </c>
      <c r="B39" s="7"/>
      <c r="H39" s="10" t="s">
        <v>318</v>
      </c>
      <c r="I39" s="25" t="e">
        <f ca="1">_xll.EVPRO($B$1,$H39,"STYLE")</f>
        <v>#NAME?</v>
      </c>
      <c r="J39" s="25" t="e">
        <f ca="1">_xll.EVPRO($B$1,$H39,"CALC")</f>
        <v>#NAME?</v>
      </c>
      <c r="K39" s="24"/>
      <c r="L39" s="24" t="e">
        <f ca="1">_xll.EVPRO($B$1,H39,"JDEID")</f>
        <v>#NAME?</v>
      </c>
      <c r="M39" s="24" t="e">
        <f ca="1">IF(AND(I39="N",J39="N"),_xll.EVPRO($B$1,H39,"PSFTID"),"")</f>
        <v>#NAME?</v>
      </c>
      <c r="N39" s="23" t="e">
        <f ca="1">IF(_xll.EVDES(H39,$B$1)="#NODATA","",_xll.EVDES(H39,$B$1))</f>
        <v>#NAME?</v>
      </c>
      <c r="O39" s="145"/>
      <c r="P39" s="145"/>
      <c r="Q39" s="145"/>
      <c r="R39" s="145"/>
      <c r="S39" s="145"/>
      <c r="T39" s="145"/>
      <c r="U39" s="145"/>
      <c r="V39" s="145"/>
      <c r="W39" s="145"/>
      <c r="X39" s="145"/>
      <c r="Y39" s="145"/>
      <c r="Z39" s="145"/>
      <c r="AA39" s="145">
        <f t="shared" si="0"/>
        <v>0</v>
      </c>
      <c r="AB39" s="156" t="str">
        <f>IF(AA39=0,"",IFERROR(AA39/AA$19,""))</f>
        <v/>
      </c>
      <c r="AD39" s="145"/>
      <c r="AE39" s="156" t="str">
        <f>IF(AD39=0,"",IFERROR(AD39/AD$19,""))</f>
        <v/>
      </c>
      <c r="AF39" s="146">
        <f t="shared" si="1"/>
        <v>0</v>
      </c>
      <c r="AG39" s="145">
        <v>617.95000000000005</v>
      </c>
      <c r="AH39" s="156" t="str">
        <f t="shared" ca="1" si="3"/>
        <v/>
      </c>
      <c r="AI39" s="146">
        <f t="shared" si="2"/>
        <v>-617.95000000000005</v>
      </c>
    </row>
    <row r="40" spans="1:35" x14ac:dyDescent="0.2">
      <c r="A40" s="6" t="s">
        <v>28</v>
      </c>
      <c r="B40" s="7"/>
      <c r="H40" s="10" t="s">
        <v>763</v>
      </c>
      <c r="I40" s="25" t="e">
        <f ca="1">_xll.EVPRO($B$1,$H40,"STYLE")</f>
        <v>#NAME?</v>
      </c>
      <c r="J40" s="25" t="e">
        <f ca="1">_xll.EVPRO($B$1,$H40,"CALC")</f>
        <v>#NAME?</v>
      </c>
      <c r="K40" s="24"/>
      <c r="L40" s="24" t="e">
        <f ca="1">_xll.EVPRO($B$1,H40,"JDEID")</f>
        <v>#NAME?</v>
      </c>
      <c r="M40" s="24" t="e">
        <f ca="1">IF(AND(I40="N",J40="N"),_xll.EVPRO($B$1,H40,"PSFTID"),"")</f>
        <v>#NAME?</v>
      </c>
      <c r="N40" s="24" t="e">
        <f ca="1">IF(_xll.EVDES(H40,$B$1)="#NODATA","",_xll.EVDES(H40,$B$1))</f>
        <v>#NAME?</v>
      </c>
      <c r="O40" s="35"/>
      <c r="P40" s="35"/>
      <c r="Q40" s="35"/>
      <c r="R40" s="35"/>
      <c r="S40" s="35"/>
      <c r="T40" s="35"/>
      <c r="U40" s="35"/>
      <c r="V40" s="35"/>
      <c r="W40" s="35"/>
      <c r="X40" s="35"/>
      <c r="Y40" s="35"/>
      <c r="Z40" s="35"/>
      <c r="AA40" s="35">
        <f t="shared" si="0"/>
        <v>0</v>
      </c>
      <c r="AB40" s="36"/>
      <c r="AD40" s="35"/>
      <c r="AE40" s="36"/>
      <c r="AF40" s="118">
        <f t="shared" si="1"/>
        <v>0</v>
      </c>
      <c r="AG40" s="35"/>
      <c r="AH40" s="36"/>
      <c r="AI40" s="118">
        <f t="shared" si="2"/>
        <v>0</v>
      </c>
    </row>
    <row r="41" spans="1:35" x14ac:dyDescent="0.2">
      <c r="A41" s="6" t="s">
        <v>29</v>
      </c>
      <c r="B41" s="7"/>
      <c r="H41" s="10" t="s">
        <v>297</v>
      </c>
      <c r="I41" s="25" t="e">
        <f ca="1">_xll.EVPRO($B$1,$H41,"STYLE")</f>
        <v>#NAME?</v>
      </c>
      <c r="J41" s="25" t="e">
        <f ca="1">_xll.EVPRO($B$1,$H41,"CALC")</f>
        <v>#NAME?</v>
      </c>
      <c r="K41" s="24"/>
      <c r="L41" s="24" t="e">
        <f ca="1">_xll.EVPRO($B$1,H41,"JDEID")</f>
        <v>#NAME?</v>
      </c>
      <c r="M41" s="24" t="e">
        <f ca="1">IF(AND(I41="N",J41="N"),_xll.EVPRO($B$1,H41,"PSFTID"),"")</f>
        <v>#NAME?</v>
      </c>
      <c r="N41" s="24" t="e">
        <f ca="1">IF(_xll.EVDES(H41,$B$1)="#NODATA","",_xll.EVDES(H41,$B$1))</f>
        <v>#NAME?</v>
      </c>
      <c r="O41" s="35"/>
      <c r="P41" s="35"/>
      <c r="Q41" s="35"/>
      <c r="R41" s="35"/>
      <c r="S41" s="35"/>
      <c r="T41" s="35"/>
      <c r="U41" s="35"/>
      <c r="V41" s="35"/>
      <c r="W41" s="35"/>
      <c r="X41" s="35"/>
      <c r="Y41" s="35"/>
      <c r="Z41" s="35"/>
      <c r="AA41" s="35">
        <f t="shared" si="0"/>
        <v>0</v>
      </c>
      <c r="AB41" s="36" t="str">
        <f>IF(AA41=0,"",IFERROR(AA41/AA$87,""))</f>
        <v/>
      </c>
      <c r="AD41" s="35"/>
      <c r="AE41" s="36" t="str">
        <f>IF(AD41=0,"",IFERROR(AD41/AD$87,""))</f>
        <v/>
      </c>
      <c r="AF41" s="118">
        <f t="shared" si="1"/>
        <v>0</v>
      </c>
      <c r="AG41" s="35"/>
      <c r="AH41" s="36" t="str">
        <f>IF(AG41=0,"",IFERROR(AG41/AG$87,""))</f>
        <v/>
      </c>
      <c r="AI41" s="118">
        <f t="shared" si="2"/>
        <v>0</v>
      </c>
    </row>
    <row r="42" spans="1:35" x14ac:dyDescent="0.2">
      <c r="A42" s="6" t="s">
        <v>30</v>
      </c>
      <c r="B42" s="7" t="s">
        <v>78</v>
      </c>
      <c r="H42" s="10" t="s">
        <v>313</v>
      </c>
      <c r="I42" s="25" t="e">
        <f ca="1">_xll.EVPRO($B$1,$H42,"STYLE")</f>
        <v>#NAME?</v>
      </c>
      <c r="J42" s="25" t="e">
        <f ca="1">_xll.EVPRO($B$1,$H42,"CALC")</f>
        <v>#NAME?</v>
      </c>
      <c r="K42" s="24"/>
      <c r="L42" s="24" t="e">
        <f ca="1">_xll.EVPRO($B$1,H42,"JDEID")</f>
        <v>#NAME?</v>
      </c>
      <c r="M42" s="24" t="e">
        <f ca="1">IF(AND(I42="N",J42="N"),_xll.EVPRO($B$1,H42,"PSFTID"),"")</f>
        <v>#NAME?</v>
      </c>
      <c r="N42" s="151" t="e">
        <f ca="1">IF(_xll.EVDES(H42,$B$1)="#NODATA","",_xll.EVDES(H42,$B$1))</f>
        <v>#NAME?</v>
      </c>
      <c r="O42" s="157"/>
      <c r="P42" s="157"/>
      <c r="Q42" s="157"/>
      <c r="R42" s="157"/>
      <c r="S42" s="157"/>
      <c r="T42" s="157"/>
      <c r="U42" s="157"/>
      <c r="V42" s="157"/>
      <c r="W42" s="157"/>
      <c r="X42" s="157"/>
      <c r="Y42" s="157"/>
      <c r="Z42" s="157"/>
      <c r="AA42" s="157" t="str">
        <f>IFERROR(AA39/AA41,"")</f>
        <v/>
      </c>
      <c r="AB42" s="157"/>
      <c r="AD42" s="157"/>
      <c r="AE42" s="157"/>
      <c r="AF42" s="158" t="str">
        <f t="shared" si="1"/>
        <v/>
      </c>
      <c r="AG42" s="157"/>
      <c r="AH42" s="157"/>
      <c r="AI42" s="158" t="str">
        <f t="shared" si="2"/>
        <v/>
      </c>
    </row>
    <row r="43" spans="1:35" x14ac:dyDescent="0.2">
      <c r="A43" s="6" t="s">
        <v>31</v>
      </c>
      <c r="B43" s="7" t="s">
        <v>78</v>
      </c>
      <c r="G43" s="162">
        <f>COUNTIF(O44:AI44,FALSE)</f>
        <v>0</v>
      </c>
      <c r="H43" s="10"/>
      <c r="I43" s="25"/>
      <c r="J43" s="25"/>
      <c r="K43" s="24"/>
      <c r="L43" s="24"/>
      <c r="M43" s="24"/>
      <c r="N43" s="163" t="s">
        <v>345</v>
      </c>
      <c r="O43" s="160">
        <f t="shared" ref="O43:AA43" si="4">ROUND(IFERROR(O39/O41,0),2)</f>
        <v>0</v>
      </c>
      <c r="P43" s="165">
        <f t="shared" si="4"/>
        <v>0</v>
      </c>
      <c r="Q43" s="165">
        <f t="shared" si="4"/>
        <v>0</v>
      </c>
      <c r="R43" s="165">
        <f t="shared" si="4"/>
        <v>0</v>
      </c>
      <c r="S43" s="165">
        <f t="shared" si="4"/>
        <v>0</v>
      </c>
      <c r="T43" s="165">
        <f t="shared" si="4"/>
        <v>0</v>
      </c>
      <c r="U43" s="165">
        <f t="shared" si="4"/>
        <v>0</v>
      </c>
      <c r="V43" s="165">
        <f t="shared" si="4"/>
        <v>0</v>
      </c>
      <c r="W43" s="165">
        <f t="shared" si="4"/>
        <v>0</v>
      </c>
      <c r="X43" s="165">
        <f t="shared" si="4"/>
        <v>0</v>
      </c>
      <c r="Y43" s="165">
        <f t="shared" si="4"/>
        <v>0</v>
      </c>
      <c r="Z43" s="165">
        <f t="shared" si="4"/>
        <v>0</v>
      </c>
      <c r="AA43" s="165">
        <f t="shared" si="4"/>
        <v>0</v>
      </c>
      <c r="AB43" s="164"/>
      <c r="AD43" s="160">
        <f>ROUND(IFERROR(AD39/AD41,0),2)</f>
        <v>0</v>
      </c>
      <c r="AE43" s="165"/>
      <c r="AF43" s="161"/>
      <c r="AG43" s="160">
        <f>ROUND(IFERROR(AG39/AG41,0),2)</f>
        <v>0</v>
      </c>
      <c r="AH43" s="165"/>
      <c r="AI43" s="161"/>
    </row>
    <row r="44" spans="1:35" x14ac:dyDescent="0.2">
      <c r="A44" s="6" t="s">
        <v>32</v>
      </c>
      <c r="B44" s="7"/>
      <c r="H44" s="10"/>
      <c r="I44" s="25"/>
      <c r="J44" s="25"/>
      <c r="K44" s="24"/>
      <c r="L44" s="24"/>
      <c r="M44" s="24"/>
      <c r="N44" s="8" t="s">
        <v>314</v>
      </c>
      <c r="O44" s="292" t="b">
        <f t="shared" ref="O44:AA44" si="5">ROUND(O42,2)=ROUND(O43,2)</f>
        <v>1</v>
      </c>
      <c r="P44" s="293" t="b">
        <f t="shared" si="5"/>
        <v>1</v>
      </c>
      <c r="Q44" s="293" t="b">
        <f t="shared" si="5"/>
        <v>1</v>
      </c>
      <c r="R44" s="293" t="b">
        <f t="shared" si="5"/>
        <v>1</v>
      </c>
      <c r="S44" s="293" t="b">
        <f t="shared" si="5"/>
        <v>1</v>
      </c>
      <c r="T44" s="293" t="b">
        <f t="shared" si="5"/>
        <v>1</v>
      </c>
      <c r="U44" s="293" t="b">
        <f t="shared" si="5"/>
        <v>1</v>
      </c>
      <c r="V44" s="293" t="b">
        <f t="shared" si="5"/>
        <v>1</v>
      </c>
      <c r="W44" s="293" t="b">
        <f t="shared" si="5"/>
        <v>1</v>
      </c>
      <c r="X44" s="293" t="b">
        <f t="shared" si="5"/>
        <v>1</v>
      </c>
      <c r="Y44" s="293" t="b">
        <f t="shared" si="5"/>
        <v>1</v>
      </c>
      <c r="Z44" s="293" t="b">
        <f t="shared" si="5"/>
        <v>1</v>
      </c>
      <c r="AA44" s="293" t="e">
        <f t="shared" si="5"/>
        <v>#VALUE!</v>
      </c>
      <c r="AB44" s="294"/>
      <c r="AC44" s="206"/>
      <c r="AD44" s="292"/>
      <c r="AE44" s="293" t="b">
        <f>ROUND(AD42,2)=ROUND(AD43,2)</f>
        <v>1</v>
      </c>
      <c r="AF44" s="294"/>
      <c r="AG44" s="292"/>
      <c r="AH44" s="293" t="b">
        <f>ROUND(AG42,2)=ROUND(AG43,2)</f>
        <v>1</v>
      </c>
      <c r="AI44" s="294"/>
    </row>
    <row r="45" spans="1:35" x14ac:dyDescent="0.2">
      <c r="A45" s="6" t="s">
        <v>33</v>
      </c>
      <c r="B45" s="7"/>
      <c r="H45" s="10" t="s">
        <v>261</v>
      </c>
      <c r="I45" s="25" t="e">
        <f ca="1">_xll.EVPRO($B$1,$H45,"STYLE")</f>
        <v>#NAME?</v>
      </c>
      <c r="J45" s="25" t="e">
        <f ca="1">_xll.EVPRO($B$1,$H45,"CALC")</f>
        <v>#NAME?</v>
      </c>
      <c r="K45" s="24"/>
      <c r="L45" s="24" t="e">
        <f ca="1">_xll.EVPRO($B$1,H45,"JDEID")</f>
        <v>#NAME?</v>
      </c>
      <c r="M45" s="24" t="e">
        <f ca="1">IF(AND(I45="N",J45="N"),_xll.EVPRO($B$1,H45,"PSFTID"),"")</f>
        <v>#NAME?</v>
      </c>
      <c r="N45" s="24" t="e">
        <f ca="1">IF(_xll.EVDES(H45,$B$1)="#NODATA","",_xll.EVDES(H45,$B$1))</f>
        <v>#NAME?</v>
      </c>
      <c r="O45" s="19"/>
      <c r="P45" s="19"/>
      <c r="Q45" s="19"/>
      <c r="R45" s="19"/>
      <c r="S45" s="19"/>
      <c r="T45" s="19"/>
      <c r="U45" s="19"/>
      <c r="V45" s="19"/>
      <c r="W45" s="19"/>
      <c r="X45" s="19"/>
      <c r="Y45" s="19"/>
      <c r="Z45" s="19"/>
      <c r="AA45" s="19">
        <f t="shared" ref="AA45:AA51" si="6">SUM(O45:Z45)</f>
        <v>0</v>
      </c>
      <c r="AB45" s="15" t="str">
        <f>IF(AA45=0,"",IFERROR(AA45/AA$19,""))</f>
        <v/>
      </c>
      <c r="AD45" s="19"/>
      <c r="AE45" s="15" t="str">
        <f>IF(AD45=0,"",IFERROR(AD45/AD$19,""))</f>
        <v/>
      </c>
      <c r="AF45" s="47">
        <f t="shared" ref="AF45:AF52" si="7">IF(AND($AA45="",AD45=""),"",$AA45-AD45)</f>
        <v>0</v>
      </c>
      <c r="AG45" s="19"/>
      <c r="AH45" s="15" t="str">
        <f t="shared" si="3"/>
        <v/>
      </c>
      <c r="AI45" s="47">
        <f t="shared" ref="AI45:AI52" si="8">IF(AND($AA45="",AG45=""),"",$AA45-AG45)</f>
        <v>0</v>
      </c>
    </row>
    <row r="46" spans="1:35" x14ac:dyDescent="0.2">
      <c r="A46" s="6" t="s">
        <v>34</v>
      </c>
      <c r="B46" s="7"/>
      <c r="H46" s="133" t="s">
        <v>301</v>
      </c>
      <c r="I46" s="25" t="e">
        <f ca="1">_xll.EVPRO($B$1,$H46,"STYLE")</f>
        <v>#NAME?</v>
      </c>
      <c r="J46" s="25" t="e">
        <f ca="1">_xll.EVPRO($B$1,$H46,"CALC")</f>
        <v>#NAME?</v>
      </c>
      <c r="K46" s="24"/>
      <c r="L46" s="24" t="e">
        <f ca="1">_xll.EVPRO($B$1,H46,"JDEID")</f>
        <v>#NAME?</v>
      </c>
      <c r="M46" s="24" t="e">
        <f ca="1">IF(AND(I46="N",J46="N"),_xll.EVPRO($B$1,H46,"PSFTID"),"")</f>
        <v>#NAME?</v>
      </c>
      <c r="N46" s="24" t="e">
        <f ca="1">IF(_xll.EVDES(H46,$B$1)="#NODATA","",_xll.EVDES(H46,$B$1))</f>
        <v>#NAME?</v>
      </c>
      <c r="O46" s="19"/>
      <c r="P46" s="19"/>
      <c r="Q46" s="19"/>
      <c r="R46" s="19"/>
      <c r="S46" s="19"/>
      <c r="T46" s="19"/>
      <c r="U46" s="19"/>
      <c r="V46" s="19"/>
      <c r="W46" s="19"/>
      <c r="X46" s="19"/>
      <c r="Y46" s="19"/>
      <c r="Z46" s="19"/>
      <c r="AA46" s="19">
        <f t="shared" si="6"/>
        <v>0</v>
      </c>
      <c r="AB46" s="15" t="str">
        <f>IF(AA46=0,"",IFERROR(AA46/AA$19,""))</f>
        <v/>
      </c>
      <c r="AD46" s="19"/>
      <c r="AE46" s="15" t="str">
        <f>IF(AD46=0,"",IFERROR(AD46/AD$19,""))</f>
        <v/>
      </c>
      <c r="AF46" s="47">
        <f t="shared" si="7"/>
        <v>0</v>
      </c>
      <c r="AG46" s="19"/>
      <c r="AH46" s="15" t="str">
        <f t="shared" si="3"/>
        <v/>
      </c>
      <c r="AI46" s="47">
        <f t="shared" si="8"/>
        <v>0</v>
      </c>
    </row>
    <row r="47" spans="1:35" x14ac:dyDescent="0.2">
      <c r="A47" s="6" t="s">
        <v>35</v>
      </c>
      <c r="B47" s="7"/>
      <c r="H47" s="133" t="s">
        <v>305</v>
      </c>
      <c r="I47" s="25" t="e">
        <f ca="1">_xll.EVPRO($B$1,$H47,"STYLE")</f>
        <v>#NAME?</v>
      </c>
      <c r="J47" s="25" t="e">
        <f ca="1">_xll.EVPRO($B$1,$H47,"CALC")</f>
        <v>#NAME?</v>
      </c>
      <c r="K47" s="24"/>
      <c r="L47" s="24" t="e">
        <f ca="1">_xll.EVPRO($B$1,H47,"JDEID")</f>
        <v>#NAME?</v>
      </c>
      <c r="M47" s="24" t="e">
        <f ca="1">IF(AND(I47="N",J47="N"),_xll.EVPRO($B$1,H47,"PSFTID"),"")</f>
        <v>#NAME?</v>
      </c>
      <c r="N47" s="24" t="e">
        <f ca="1">IF(_xll.EVDES(H47,$B$1)="#NODATA","",_xll.EVDES(H47,$B$1))</f>
        <v>#NAME?</v>
      </c>
      <c r="O47" s="19"/>
      <c r="P47" s="19"/>
      <c r="Q47" s="19"/>
      <c r="R47" s="19"/>
      <c r="S47" s="19"/>
      <c r="T47" s="19"/>
      <c r="U47" s="19"/>
      <c r="V47" s="19"/>
      <c r="W47" s="19"/>
      <c r="X47" s="19"/>
      <c r="Y47" s="19"/>
      <c r="Z47" s="19"/>
      <c r="AA47" s="19">
        <f t="shared" si="6"/>
        <v>0</v>
      </c>
      <c r="AB47" s="15" t="str">
        <f>IF(AA47=0,"",IFERROR(AA47/AA$19,""))</f>
        <v/>
      </c>
      <c r="AD47" s="19"/>
      <c r="AE47" s="15" t="str">
        <f>IF(AD47=0,"",IFERROR(AD47/AD$19,""))</f>
        <v/>
      </c>
      <c r="AF47" s="47">
        <f t="shared" si="7"/>
        <v>0</v>
      </c>
      <c r="AG47" s="19">
        <v>24</v>
      </c>
      <c r="AH47" s="15" t="str">
        <f t="shared" ca="1" si="3"/>
        <v/>
      </c>
      <c r="AI47" s="47">
        <f t="shared" si="8"/>
        <v>-24</v>
      </c>
    </row>
    <row r="48" spans="1:35" x14ac:dyDescent="0.2">
      <c r="A48" s="6" t="s">
        <v>36</v>
      </c>
      <c r="B48" s="7"/>
      <c r="H48" s="133" t="s">
        <v>303</v>
      </c>
      <c r="I48" s="25" t="e">
        <f ca="1">_xll.EVPRO($B$1,$H48,"STYLE")</f>
        <v>#NAME?</v>
      </c>
      <c r="J48" s="25" t="e">
        <f ca="1">_xll.EVPRO($B$1,$H48,"CALC")</f>
        <v>#NAME?</v>
      </c>
      <c r="K48" s="24"/>
      <c r="L48" s="24" t="e">
        <f ca="1">_xll.EVPRO($B$1,H48,"JDEID")</f>
        <v>#NAME?</v>
      </c>
      <c r="M48" s="24" t="e">
        <f ca="1">IF(AND(I48="N",J48="N"),_xll.EVPRO($B$1,H48,"PSFTID"),"")</f>
        <v>#NAME?</v>
      </c>
      <c r="N48" s="24" t="e">
        <f ca="1">IF(_xll.EVDES(H48,$B$1)="#NODATA","",_xll.EVDES(H48,$B$1))</f>
        <v>#NAME?</v>
      </c>
      <c r="O48" s="28"/>
      <c r="P48" s="28"/>
      <c r="Q48" s="28"/>
      <c r="R48" s="28"/>
      <c r="S48" s="28"/>
      <c r="T48" s="28"/>
      <c r="U48" s="28"/>
      <c r="V48" s="28"/>
      <c r="W48" s="28"/>
      <c r="X48" s="28"/>
      <c r="Y48" s="28"/>
      <c r="Z48" s="28"/>
      <c r="AA48" s="28">
        <f t="shared" si="6"/>
        <v>0</v>
      </c>
      <c r="AB48" s="29" t="str">
        <f>IF(AA48=0,"",IFERROR(AA48/AA$19,""))</f>
        <v/>
      </c>
      <c r="AD48" s="28"/>
      <c r="AE48" s="29" t="str">
        <f>IF(AD48=0,"",IFERROR(AD48/AD$19,""))</f>
        <v/>
      </c>
      <c r="AF48" s="48">
        <f t="shared" si="7"/>
        <v>0</v>
      </c>
      <c r="AG48" s="28">
        <v>25</v>
      </c>
      <c r="AH48" s="29" t="str">
        <f t="shared" ca="1" si="3"/>
        <v/>
      </c>
      <c r="AI48" s="48">
        <f t="shared" si="8"/>
        <v>-25</v>
      </c>
    </row>
    <row r="49" spans="1:35" x14ac:dyDescent="0.2">
      <c r="A49" s="6" t="s">
        <v>37</v>
      </c>
      <c r="B49" s="7"/>
      <c r="H49" s="10" t="s">
        <v>319</v>
      </c>
      <c r="I49" s="25" t="e">
        <f ca="1">_xll.EVPRO($B$1,$H49,"STYLE")</f>
        <v>#NAME?</v>
      </c>
      <c r="J49" s="25" t="e">
        <f ca="1">_xll.EVPRO($B$1,$H49,"CALC")</f>
        <v>#NAME?</v>
      </c>
      <c r="K49" s="24"/>
      <c r="L49" s="24" t="e">
        <f ca="1">_xll.EVPRO($B$1,H49,"JDEID")</f>
        <v>#NAME?</v>
      </c>
      <c r="M49" s="24" t="e">
        <f ca="1">IF(AND(I49="N",J49="N"),_xll.EVPRO($B$1,H49,"PSFTID"),"")</f>
        <v>#NAME?</v>
      </c>
      <c r="N49" s="23" t="e">
        <f ca="1">IF(_xll.EVDES(H49,$B$1)="#NODATA","",_xll.EVDES(H49,$B$1))</f>
        <v>#NAME?</v>
      </c>
      <c r="O49" s="145"/>
      <c r="P49" s="145"/>
      <c r="Q49" s="145"/>
      <c r="R49" s="145"/>
      <c r="S49" s="145"/>
      <c r="T49" s="145"/>
      <c r="U49" s="145"/>
      <c r="V49" s="145"/>
      <c r="W49" s="145"/>
      <c r="X49" s="145"/>
      <c r="Y49" s="145"/>
      <c r="Z49" s="145"/>
      <c r="AA49" s="145">
        <f t="shared" si="6"/>
        <v>0</v>
      </c>
      <c r="AB49" s="156" t="str">
        <f>IF(AA49=0,"",IFERROR(AA49/AA$19,""))</f>
        <v/>
      </c>
      <c r="AD49" s="145"/>
      <c r="AE49" s="156" t="str">
        <f>IF(AD49=0,"",IFERROR(AD49/AD$19,""))</f>
        <v/>
      </c>
      <c r="AF49" s="146">
        <f t="shared" si="7"/>
        <v>0</v>
      </c>
      <c r="AG49" s="145">
        <v>49</v>
      </c>
      <c r="AH49" s="156" t="str">
        <f t="shared" ca="1" si="3"/>
        <v/>
      </c>
      <c r="AI49" s="146">
        <f t="shared" si="8"/>
        <v>-49</v>
      </c>
    </row>
    <row r="50" spans="1:35" x14ac:dyDescent="0.2">
      <c r="A50" s="6" t="s">
        <v>38</v>
      </c>
      <c r="B50" s="7"/>
      <c r="H50" s="10" t="s">
        <v>764</v>
      </c>
      <c r="I50" s="25" t="e">
        <f ca="1">_xll.EVPRO($B$1,$H50,"STYLE")</f>
        <v>#NAME?</v>
      </c>
      <c r="J50" s="25" t="e">
        <f ca="1">_xll.EVPRO($B$1,$H50,"CALC")</f>
        <v>#NAME?</v>
      </c>
      <c r="K50" s="24"/>
      <c r="L50" s="24" t="e">
        <f ca="1">_xll.EVPRO($B$1,H50,"JDEID")</f>
        <v>#NAME?</v>
      </c>
      <c r="M50" s="24" t="e">
        <f ca="1">IF(AND(I50="N",J50="N"),_xll.EVPRO($B$1,H50,"PSFTID"),"")</f>
        <v>#NAME?</v>
      </c>
      <c r="N50" s="24" t="e">
        <f ca="1">IF(_xll.EVDES(H50,$B$1)="#NODATA","",_xll.EVDES(H50,$B$1))</f>
        <v>#NAME?</v>
      </c>
      <c r="O50" s="35"/>
      <c r="P50" s="35"/>
      <c r="Q50" s="35"/>
      <c r="R50" s="35"/>
      <c r="S50" s="35"/>
      <c r="T50" s="35"/>
      <c r="U50" s="35"/>
      <c r="V50" s="35"/>
      <c r="W50" s="35"/>
      <c r="X50" s="35"/>
      <c r="Y50" s="35"/>
      <c r="Z50" s="35"/>
      <c r="AA50" s="35">
        <f t="shared" si="6"/>
        <v>0</v>
      </c>
      <c r="AB50" s="36"/>
      <c r="AD50" s="35"/>
      <c r="AE50" s="36"/>
      <c r="AF50" s="118">
        <f t="shared" si="7"/>
        <v>0</v>
      </c>
      <c r="AG50" s="35"/>
      <c r="AH50" s="36"/>
      <c r="AI50" s="118">
        <f t="shared" si="8"/>
        <v>0</v>
      </c>
    </row>
    <row r="51" spans="1:35" x14ac:dyDescent="0.2">
      <c r="A51" s="6" t="s">
        <v>39</v>
      </c>
      <c r="B51" s="7"/>
      <c r="H51" s="10" t="s">
        <v>298</v>
      </c>
      <c r="I51" s="25" t="e">
        <f ca="1">_xll.EVPRO($B$1,$H51,"STYLE")</f>
        <v>#NAME?</v>
      </c>
      <c r="J51" s="25" t="e">
        <f ca="1">_xll.EVPRO($B$1,$H51,"CALC")</f>
        <v>#NAME?</v>
      </c>
      <c r="K51" s="24"/>
      <c r="L51" s="24" t="e">
        <f ca="1">_xll.EVPRO($B$1,H51,"JDEID")</f>
        <v>#NAME?</v>
      </c>
      <c r="M51" s="24" t="e">
        <f ca="1">IF(AND(I51="N",J51="N"),_xll.EVPRO($B$1,H51,"PSFTID"),"")</f>
        <v>#NAME?</v>
      </c>
      <c r="N51" s="24" t="e">
        <f ca="1">IF(_xll.EVDES(H51,$B$1)="#NODATA","",_xll.EVDES(H51,$B$1))</f>
        <v>#NAME?</v>
      </c>
      <c r="O51" s="35"/>
      <c r="P51" s="35"/>
      <c r="Q51" s="35"/>
      <c r="R51" s="35"/>
      <c r="S51" s="35"/>
      <c r="T51" s="35"/>
      <c r="U51" s="35"/>
      <c r="V51" s="35"/>
      <c r="W51" s="35"/>
      <c r="X51" s="35"/>
      <c r="Y51" s="35"/>
      <c r="Z51" s="35"/>
      <c r="AA51" s="35">
        <f t="shared" si="6"/>
        <v>0</v>
      </c>
      <c r="AB51" s="36" t="str">
        <f>IF(AA51=0,"",IFERROR(AA51/AA$87,""))</f>
        <v/>
      </c>
      <c r="AD51" s="35"/>
      <c r="AE51" s="36" t="str">
        <f>IF(AD51=0,"",IFERROR(AD51/AD$87,""))</f>
        <v/>
      </c>
      <c r="AF51" s="118">
        <f t="shared" si="7"/>
        <v>0</v>
      </c>
      <c r="AG51" s="35"/>
      <c r="AH51" s="36" t="str">
        <f>IF(AG51=0,"",IFERROR(AG51/AG$87,""))</f>
        <v/>
      </c>
      <c r="AI51" s="118">
        <f t="shared" si="8"/>
        <v>0</v>
      </c>
    </row>
    <row r="52" spans="1:35" x14ac:dyDescent="0.2">
      <c r="A52" s="6" t="s">
        <v>40</v>
      </c>
      <c r="B52" s="7"/>
      <c r="H52" s="10" t="s">
        <v>315</v>
      </c>
      <c r="I52" s="25" t="e">
        <f ca="1">_xll.EVPRO($B$1,$H52,"STYLE")</f>
        <v>#NAME?</v>
      </c>
      <c r="J52" s="25" t="e">
        <f ca="1">_xll.EVPRO($B$1,$H52,"CALC")</f>
        <v>#NAME?</v>
      </c>
      <c r="K52" s="24"/>
      <c r="L52" s="24" t="e">
        <f ca="1">_xll.EVPRO($B$1,H52,"JDEID")</f>
        <v>#NAME?</v>
      </c>
      <c r="M52" s="24" t="e">
        <f ca="1">IF(AND(I52="N",J52="N"),_xll.EVPRO($B$1,H52,"PSFTID"),"")</f>
        <v>#NAME?</v>
      </c>
      <c r="N52" s="151" t="e">
        <f ca="1">IF(_xll.EVDES(H52,$B$1)="#NODATA","",_xll.EVDES(H52,$B$1))</f>
        <v>#NAME?</v>
      </c>
      <c r="O52" s="157"/>
      <c r="P52" s="157"/>
      <c r="Q52" s="157"/>
      <c r="R52" s="157"/>
      <c r="S52" s="157"/>
      <c r="T52" s="157"/>
      <c r="U52" s="157"/>
      <c r="V52" s="157"/>
      <c r="W52" s="157"/>
      <c r="X52" s="157"/>
      <c r="Y52" s="157"/>
      <c r="Z52" s="157"/>
      <c r="AA52" s="157" t="str">
        <f>IFERROR(AA49/AA51,"")</f>
        <v/>
      </c>
      <c r="AB52" s="157"/>
      <c r="AD52" s="157"/>
      <c r="AE52" s="157"/>
      <c r="AF52" s="158" t="str">
        <f t="shared" si="7"/>
        <v/>
      </c>
      <c r="AG52" s="157"/>
      <c r="AH52" s="157"/>
      <c r="AI52" s="158" t="str">
        <f t="shared" si="8"/>
        <v/>
      </c>
    </row>
    <row r="53" spans="1:35" x14ac:dyDescent="0.2">
      <c r="A53" s="6" t="s">
        <v>41</v>
      </c>
      <c r="B53" s="7"/>
      <c r="G53" s="162">
        <f>COUNTIF(O54:AI54,FALSE)</f>
        <v>0</v>
      </c>
      <c r="H53" s="10"/>
      <c r="I53" s="25"/>
      <c r="J53" s="25"/>
      <c r="K53" s="24"/>
      <c r="L53" s="24"/>
      <c r="M53" s="24"/>
      <c r="N53" s="163" t="s">
        <v>345</v>
      </c>
      <c r="O53" s="160">
        <f t="shared" ref="O53:AA53" si="9">ROUND(IFERROR(O49/O51,0),2)</f>
        <v>0</v>
      </c>
      <c r="P53" s="165">
        <f t="shared" si="9"/>
        <v>0</v>
      </c>
      <c r="Q53" s="165">
        <f t="shared" si="9"/>
        <v>0</v>
      </c>
      <c r="R53" s="165">
        <f t="shared" si="9"/>
        <v>0</v>
      </c>
      <c r="S53" s="165">
        <f t="shared" si="9"/>
        <v>0</v>
      </c>
      <c r="T53" s="165">
        <f t="shared" si="9"/>
        <v>0</v>
      </c>
      <c r="U53" s="165">
        <f t="shared" si="9"/>
        <v>0</v>
      </c>
      <c r="V53" s="165">
        <f t="shared" si="9"/>
        <v>0</v>
      </c>
      <c r="W53" s="165">
        <f t="shared" si="9"/>
        <v>0</v>
      </c>
      <c r="X53" s="165">
        <f t="shared" si="9"/>
        <v>0</v>
      </c>
      <c r="Y53" s="165">
        <f t="shared" si="9"/>
        <v>0</v>
      </c>
      <c r="Z53" s="165">
        <f t="shared" si="9"/>
        <v>0</v>
      </c>
      <c r="AA53" s="165">
        <f t="shared" si="9"/>
        <v>0</v>
      </c>
      <c r="AB53" s="164"/>
      <c r="AD53" s="160">
        <f>ROUND(IFERROR(AD49/AD51,0),2)</f>
        <v>0</v>
      </c>
      <c r="AE53" s="165"/>
      <c r="AF53" s="161"/>
      <c r="AG53" s="160">
        <f>ROUND(IFERROR(AG49/AG51,0),2)</f>
        <v>0</v>
      </c>
      <c r="AH53" s="165"/>
      <c r="AI53" s="161"/>
    </row>
    <row r="54" spans="1:35" x14ac:dyDescent="0.2">
      <c r="A54" s="6" t="s">
        <v>42</v>
      </c>
      <c r="B54" s="7"/>
      <c r="H54" s="10"/>
      <c r="I54" s="25"/>
      <c r="J54" s="25"/>
      <c r="K54" s="24"/>
      <c r="L54" s="24"/>
      <c r="M54" s="24"/>
      <c r="N54" s="8" t="s">
        <v>316</v>
      </c>
      <c r="O54" s="292" t="b">
        <f t="shared" ref="O54:AA54" si="10">ROUND(O52,2)=ROUND(O53,2)</f>
        <v>1</v>
      </c>
      <c r="P54" s="293" t="b">
        <f t="shared" si="10"/>
        <v>1</v>
      </c>
      <c r="Q54" s="293" t="b">
        <f t="shared" si="10"/>
        <v>1</v>
      </c>
      <c r="R54" s="293" t="b">
        <f t="shared" si="10"/>
        <v>1</v>
      </c>
      <c r="S54" s="293" t="b">
        <f t="shared" si="10"/>
        <v>1</v>
      </c>
      <c r="T54" s="293" t="b">
        <f t="shared" si="10"/>
        <v>1</v>
      </c>
      <c r="U54" s="293" t="b">
        <f t="shared" si="10"/>
        <v>1</v>
      </c>
      <c r="V54" s="293" t="b">
        <f t="shared" si="10"/>
        <v>1</v>
      </c>
      <c r="W54" s="293" t="b">
        <f t="shared" si="10"/>
        <v>1</v>
      </c>
      <c r="X54" s="293" t="b">
        <f t="shared" si="10"/>
        <v>1</v>
      </c>
      <c r="Y54" s="293" t="b">
        <f t="shared" si="10"/>
        <v>1</v>
      </c>
      <c r="Z54" s="293" t="b">
        <f t="shared" si="10"/>
        <v>1</v>
      </c>
      <c r="AA54" s="293" t="e">
        <f t="shared" si="10"/>
        <v>#VALUE!</v>
      </c>
      <c r="AB54" s="294"/>
      <c r="AC54" s="206"/>
      <c r="AD54" s="292"/>
      <c r="AE54" s="293" t="b">
        <f>ROUND(AD52,2)=ROUND(AD53,2)</f>
        <v>1</v>
      </c>
      <c r="AF54" s="294"/>
      <c r="AG54" s="292"/>
      <c r="AH54" s="293" t="b">
        <f>ROUND(AG52,2)=ROUND(AG53,2)</f>
        <v>1</v>
      </c>
      <c r="AI54" s="294"/>
    </row>
    <row r="55" spans="1:35" x14ac:dyDescent="0.2">
      <c r="A55" s="6" t="s">
        <v>43</v>
      </c>
      <c r="B55" s="7"/>
      <c r="H55" s="10" t="s">
        <v>262</v>
      </c>
      <c r="I55" s="25" t="e">
        <f ca="1">_xll.EVPRO($B$1,$H55,"STYLE")</f>
        <v>#NAME?</v>
      </c>
      <c r="J55" s="25" t="e">
        <f ca="1">_xll.EVPRO($B$1,$H55,"CALC")</f>
        <v>#NAME?</v>
      </c>
      <c r="K55" s="24"/>
      <c r="L55" s="24" t="e">
        <f ca="1">_xll.EVPRO($B$1,H55,"JDEID")</f>
        <v>#NAME?</v>
      </c>
      <c r="M55" s="24" t="e">
        <f ca="1">IF(AND(I55="N",J55="N"),_xll.EVPRO($B$1,H55,"PSFTID"),"")</f>
        <v>#NAME?</v>
      </c>
      <c r="N55" s="24" t="e">
        <f ca="1">IF(_xll.EVDES(H55,$B$1)="#NODATA","",_xll.EVDES(H55,$B$1))</f>
        <v>#NAME?</v>
      </c>
      <c r="O55" s="19"/>
      <c r="P55" s="19"/>
      <c r="Q55" s="19"/>
      <c r="R55" s="19"/>
      <c r="S55" s="19"/>
      <c r="T55" s="19"/>
      <c r="U55" s="19"/>
      <c r="V55" s="19"/>
      <c r="W55" s="19"/>
      <c r="X55" s="19"/>
      <c r="Y55" s="19"/>
      <c r="Z55" s="19"/>
      <c r="AA55" s="19">
        <f t="shared" ref="AA55:AA61" si="11">SUM(O55:Z55)</f>
        <v>0</v>
      </c>
      <c r="AB55" s="15" t="str">
        <f>IF(AA55=0,"",IFERROR(AA55/AA$19,""))</f>
        <v/>
      </c>
      <c r="AD55" s="19"/>
      <c r="AE55" s="15" t="str">
        <f>IF(AD55=0,"",IFERROR(AD55/AD$19,""))</f>
        <v/>
      </c>
      <c r="AF55" s="47">
        <f t="shared" ref="AF55:AF62" si="12">IF(AND($AA55="",AD55=""),"",$AA55-AD55)</f>
        <v>0</v>
      </c>
      <c r="AG55" s="19"/>
      <c r="AH55" s="15" t="str">
        <f t="shared" si="3"/>
        <v/>
      </c>
      <c r="AI55" s="47">
        <f t="shared" ref="AI55:AI62" si="13">IF(AND($AA55="",AG55=""),"",$AA55-AG55)</f>
        <v>0</v>
      </c>
    </row>
    <row r="56" spans="1:35" x14ac:dyDescent="0.2">
      <c r="A56" s="6" t="s">
        <v>44</v>
      </c>
      <c r="B56" s="7"/>
      <c r="H56" s="10" t="s">
        <v>302</v>
      </c>
      <c r="I56" s="25" t="e">
        <f ca="1">_xll.EVPRO($B$1,$H56,"STYLE")</f>
        <v>#NAME?</v>
      </c>
      <c r="J56" s="25" t="e">
        <f ca="1">_xll.EVPRO($B$1,$H56,"CALC")</f>
        <v>#NAME?</v>
      </c>
      <c r="K56" s="24"/>
      <c r="L56" s="24" t="e">
        <f ca="1">_xll.EVPRO($B$1,H56,"JDEID")</f>
        <v>#NAME?</v>
      </c>
      <c r="M56" s="24" t="e">
        <f ca="1">IF(AND(I56="N",J56="N"),_xll.EVPRO($B$1,H56,"PSFTID"),"")</f>
        <v>#NAME?</v>
      </c>
      <c r="N56" s="24" t="e">
        <f ca="1">IF(_xll.EVDES(H56,$B$1)="#NODATA","",_xll.EVDES(H56,$B$1))</f>
        <v>#NAME?</v>
      </c>
      <c r="O56" s="19"/>
      <c r="P56" s="19"/>
      <c r="Q56" s="19"/>
      <c r="R56" s="19"/>
      <c r="S56" s="19"/>
      <c r="T56" s="19"/>
      <c r="U56" s="19"/>
      <c r="V56" s="19"/>
      <c r="W56" s="19"/>
      <c r="X56" s="19"/>
      <c r="Y56" s="19"/>
      <c r="Z56" s="19"/>
      <c r="AA56" s="19">
        <f t="shared" si="11"/>
        <v>0</v>
      </c>
      <c r="AB56" s="15" t="str">
        <f>IF(AA56=0,"",IFERROR(AA56/AA$19,""))</f>
        <v/>
      </c>
      <c r="AD56" s="19"/>
      <c r="AE56" s="15" t="str">
        <f>IF(AD56=0,"",IFERROR(AD56/AD$19,""))</f>
        <v/>
      </c>
      <c r="AF56" s="47">
        <f t="shared" si="12"/>
        <v>0</v>
      </c>
      <c r="AG56" s="19"/>
      <c r="AH56" s="15" t="str">
        <f t="shared" si="3"/>
        <v/>
      </c>
      <c r="AI56" s="47">
        <f t="shared" si="13"/>
        <v>0</v>
      </c>
    </row>
    <row r="57" spans="1:35" x14ac:dyDescent="0.2">
      <c r="A57" s="6" t="s">
        <v>45</v>
      </c>
      <c r="B57" s="7"/>
      <c r="H57" s="10" t="s">
        <v>306</v>
      </c>
      <c r="I57" s="25" t="e">
        <f ca="1">_xll.EVPRO($B$1,$H57,"STYLE")</f>
        <v>#NAME?</v>
      </c>
      <c r="J57" s="25" t="e">
        <f ca="1">_xll.EVPRO($B$1,$H57,"CALC")</f>
        <v>#NAME?</v>
      </c>
      <c r="K57" s="24"/>
      <c r="L57" s="24" t="e">
        <f ca="1">_xll.EVPRO($B$1,H57,"JDEID")</f>
        <v>#NAME?</v>
      </c>
      <c r="M57" s="24" t="e">
        <f ca="1">IF(AND(I57="N",J57="N"),_xll.EVPRO($B$1,H57,"PSFTID"),"")</f>
        <v>#NAME?</v>
      </c>
      <c r="N57" s="24" t="e">
        <f ca="1">IF(_xll.EVDES(H57,$B$1)="#NODATA","",_xll.EVDES(H57,$B$1))</f>
        <v>#NAME?</v>
      </c>
      <c r="O57" s="19"/>
      <c r="P57" s="19"/>
      <c r="Q57" s="19"/>
      <c r="R57" s="19"/>
      <c r="S57" s="19"/>
      <c r="T57" s="19"/>
      <c r="U57" s="19"/>
      <c r="V57" s="19"/>
      <c r="W57" s="19"/>
      <c r="X57" s="19"/>
      <c r="Y57" s="19"/>
      <c r="Z57" s="19"/>
      <c r="AA57" s="19">
        <f t="shared" si="11"/>
        <v>0</v>
      </c>
      <c r="AB57" s="15" t="str">
        <f>IF(AA57=0,"",IFERROR(AA57/AA$19,""))</f>
        <v/>
      </c>
      <c r="AD57" s="19"/>
      <c r="AE57" s="15" t="str">
        <f>IF(AD57=0,"",IFERROR(AD57/AD$19,""))</f>
        <v/>
      </c>
      <c r="AF57" s="47">
        <f t="shared" si="12"/>
        <v>0</v>
      </c>
      <c r="AG57" s="19"/>
      <c r="AH57" s="15" t="str">
        <f t="shared" si="3"/>
        <v/>
      </c>
      <c r="AI57" s="47">
        <f t="shared" si="13"/>
        <v>0</v>
      </c>
    </row>
    <row r="58" spans="1:35" x14ac:dyDescent="0.2">
      <c r="A58" s="6" t="s">
        <v>46</v>
      </c>
      <c r="B58" s="7"/>
      <c r="H58" s="10" t="s">
        <v>304</v>
      </c>
      <c r="I58" s="25" t="e">
        <f ca="1">_xll.EVPRO($B$1,$H58,"STYLE")</f>
        <v>#NAME?</v>
      </c>
      <c r="J58" s="25" t="e">
        <f ca="1">_xll.EVPRO($B$1,$H58,"CALC")</f>
        <v>#NAME?</v>
      </c>
      <c r="K58" s="24"/>
      <c r="L58" s="24" t="e">
        <f ca="1">_xll.EVPRO($B$1,H58,"JDEID")</f>
        <v>#NAME?</v>
      </c>
      <c r="M58" s="24" t="e">
        <f ca="1">IF(AND(I58="N",J58="N"),_xll.EVPRO($B$1,H58,"PSFTID"),"")</f>
        <v>#NAME?</v>
      </c>
      <c r="N58" s="24" t="e">
        <f ca="1">IF(_xll.EVDES(H58,$B$1)="#NODATA","",_xll.EVDES(H58,$B$1))</f>
        <v>#NAME?</v>
      </c>
      <c r="O58" s="28"/>
      <c r="P58" s="28"/>
      <c r="Q58" s="28"/>
      <c r="R58" s="28"/>
      <c r="S58" s="28"/>
      <c r="T58" s="28"/>
      <c r="U58" s="28"/>
      <c r="V58" s="28"/>
      <c r="W58" s="28"/>
      <c r="X58" s="28"/>
      <c r="Y58" s="28"/>
      <c r="Z58" s="28"/>
      <c r="AA58" s="28">
        <f t="shared" si="11"/>
        <v>0</v>
      </c>
      <c r="AB58" s="29" t="str">
        <f>IF(AA58=0,"",IFERROR(AA58/AA$19,""))</f>
        <v/>
      </c>
      <c r="AD58" s="28"/>
      <c r="AE58" s="29" t="str">
        <f>IF(AD58=0,"",IFERROR(AD58/AD$19,""))</f>
        <v/>
      </c>
      <c r="AF58" s="48">
        <f t="shared" si="12"/>
        <v>0</v>
      </c>
      <c r="AG58" s="28"/>
      <c r="AH58" s="29" t="str">
        <f t="shared" si="3"/>
        <v/>
      </c>
      <c r="AI58" s="48">
        <f t="shared" si="13"/>
        <v>0</v>
      </c>
    </row>
    <row r="59" spans="1:35" x14ac:dyDescent="0.2">
      <c r="H59" s="10" t="s">
        <v>320</v>
      </c>
      <c r="I59" s="25" t="e">
        <f ca="1">_xll.EVPRO($B$1,$H59,"STYLE")</f>
        <v>#NAME?</v>
      </c>
      <c r="J59" s="25" t="e">
        <f ca="1">_xll.EVPRO($B$1,$H59,"CALC")</f>
        <v>#NAME?</v>
      </c>
      <c r="K59" s="24"/>
      <c r="L59" s="24" t="e">
        <f ca="1">_xll.EVPRO($B$1,H59,"JDEID")</f>
        <v>#NAME?</v>
      </c>
      <c r="M59" s="24" t="e">
        <f ca="1">IF(AND(I59="N",J59="N"),_xll.EVPRO($B$1,H59,"PSFTID"),"")</f>
        <v>#NAME?</v>
      </c>
      <c r="N59" s="23" t="e">
        <f ca="1">IF(_xll.EVDES(H59,$B$1)="#NODATA","",_xll.EVDES(H59,$B$1))</f>
        <v>#NAME?</v>
      </c>
      <c r="O59" s="145"/>
      <c r="P59" s="145"/>
      <c r="Q59" s="145"/>
      <c r="R59" s="145"/>
      <c r="S59" s="145"/>
      <c r="T59" s="145"/>
      <c r="U59" s="145"/>
      <c r="V59" s="145"/>
      <c r="W59" s="145"/>
      <c r="X59" s="145"/>
      <c r="Y59" s="145"/>
      <c r="Z59" s="145"/>
      <c r="AA59" s="145">
        <f t="shared" si="11"/>
        <v>0</v>
      </c>
      <c r="AB59" s="156" t="str">
        <f>IF(AA59=0,"",IFERROR(AA59/AA$19,""))</f>
        <v/>
      </c>
      <c r="AD59" s="145"/>
      <c r="AE59" s="156" t="str">
        <f>IF(AD59=0,"",IFERROR(AD59/AD$19,""))</f>
        <v/>
      </c>
      <c r="AF59" s="146">
        <f t="shared" si="12"/>
        <v>0</v>
      </c>
      <c r="AG59" s="145"/>
      <c r="AH59" s="156" t="str">
        <f t="shared" si="3"/>
        <v/>
      </c>
      <c r="AI59" s="146">
        <f t="shared" si="13"/>
        <v>0</v>
      </c>
    </row>
    <row r="60" spans="1:35" x14ac:dyDescent="0.2">
      <c r="H60" s="10" t="s">
        <v>765</v>
      </c>
      <c r="I60" s="25" t="e">
        <f ca="1">_xll.EVPRO($B$1,$H60,"STYLE")</f>
        <v>#NAME?</v>
      </c>
      <c r="J60" s="25" t="e">
        <f ca="1">_xll.EVPRO($B$1,$H60,"CALC")</f>
        <v>#NAME?</v>
      </c>
      <c r="K60" s="24"/>
      <c r="L60" s="24" t="e">
        <f ca="1">_xll.EVPRO($B$1,H60,"JDEID")</f>
        <v>#NAME?</v>
      </c>
      <c r="M60" s="24" t="e">
        <f ca="1">IF(AND(I60="N",J60="N"),_xll.EVPRO($B$1,H60,"PSFTID"),"")</f>
        <v>#NAME?</v>
      </c>
      <c r="N60" s="24" t="e">
        <f ca="1">IF(_xll.EVDES(H60,$B$1)="#NODATA","",_xll.EVDES(H60,$B$1))</f>
        <v>#NAME?</v>
      </c>
      <c r="O60" s="35"/>
      <c r="P60" s="35"/>
      <c r="Q60" s="35"/>
      <c r="R60" s="35"/>
      <c r="S60" s="35"/>
      <c r="T60" s="35"/>
      <c r="U60" s="35"/>
      <c r="V60" s="35"/>
      <c r="W60" s="35"/>
      <c r="X60" s="35"/>
      <c r="Y60" s="35"/>
      <c r="Z60" s="35"/>
      <c r="AA60" s="35">
        <f t="shared" si="11"/>
        <v>0</v>
      </c>
      <c r="AB60" s="36"/>
      <c r="AD60" s="35"/>
      <c r="AE60" s="36"/>
      <c r="AF60" s="118">
        <f t="shared" si="12"/>
        <v>0</v>
      </c>
      <c r="AG60" s="35"/>
      <c r="AH60" s="36"/>
      <c r="AI60" s="118">
        <f t="shared" si="13"/>
        <v>0</v>
      </c>
    </row>
    <row r="61" spans="1:35" x14ac:dyDescent="0.2">
      <c r="H61" s="10" t="s">
        <v>299</v>
      </c>
      <c r="I61" s="25" t="e">
        <f ca="1">_xll.EVPRO($B$1,$H61,"STYLE")</f>
        <v>#NAME?</v>
      </c>
      <c r="J61" s="25" t="e">
        <f ca="1">_xll.EVPRO($B$1,$H61,"CALC")</f>
        <v>#NAME?</v>
      </c>
      <c r="K61" s="24"/>
      <c r="L61" s="24" t="e">
        <f ca="1">_xll.EVPRO($B$1,H61,"JDEID")</f>
        <v>#NAME?</v>
      </c>
      <c r="M61" s="24" t="e">
        <f ca="1">IF(AND(I61="N",J61="N"),_xll.EVPRO($B$1,H61,"PSFTID"),"")</f>
        <v>#NAME?</v>
      </c>
      <c r="N61" s="24" t="e">
        <f ca="1">IF(_xll.EVDES(H61,$B$1)="#NODATA","",_xll.EVDES(H61,$B$1))</f>
        <v>#NAME?</v>
      </c>
      <c r="O61" s="35"/>
      <c r="P61" s="35"/>
      <c r="Q61" s="35"/>
      <c r="R61" s="35"/>
      <c r="S61" s="35"/>
      <c r="T61" s="35"/>
      <c r="U61" s="35"/>
      <c r="V61" s="35"/>
      <c r="W61" s="35"/>
      <c r="X61" s="35"/>
      <c r="Y61" s="35"/>
      <c r="Z61" s="35"/>
      <c r="AA61" s="35">
        <f t="shared" si="11"/>
        <v>0</v>
      </c>
      <c r="AB61" s="36" t="str">
        <f>IF(AA61=0,"",IFERROR(AA61/AA$87,""))</f>
        <v/>
      </c>
      <c r="AD61" s="35"/>
      <c r="AE61" s="36" t="str">
        <f>IF(AD61=0,"",IFERROR(AD61/AD$87,""))</f>
        <v/>
      </c>
      <c r="AF61" s="118">
        <f t="shared" si="12"/>
        <v>0</v>
      </c>
      <c r="AG61" s="35"/>
      <c r="AH61" s="36" t="str">
        <f>IF(AG61=0,"",IFERROR(AG61/AG$87,""))</f>
        <v/>
      </c>
      <c r="AI61" s="118">
        <f t="shared" si="13"/>
        <v>0</v>
      </c>
    </row>
    <row r="62" spans="1:35" x14ac:dyDescent="0.2">
      <c r="H62" s="133" t="s">
        <v>317</v>
      </c>
      <c r="I62" s="25" t="e">
        <f ca="1">_xll.EVPRO($B$1,$H62,"STYLE")</f>
        <v>#NAME?</v>
      </c>
      <c r="J62" s="25" t="e">
        <f ca="1">_xll.EVPRO($B$1,$H62,"CALC")</f>
        <v>#NAME?</v>
      </c>
      <c r="K62" s="24"/>
      <c r="L62" s="24" t="e">
        <f ca="1">_xll.EVPRO($B$1,H62,"JDEID")</f>
        <v>#NAME?</v>
      </c>
      <c r="M62" s="24" t="e">
        <f ca="1">IF(AND(I62="N",J62="N"),_xll.EVPRO($B$1,H62,"PSFTID"),"")</f>
        <v>#NAME?</v>
      </c>
      <c r="N62" s="151" t="e">
        <f ca="1">IF(_xll.EVDES(H62,$B$1)="#NODATA","",_xll.EVDES(H62,$B$1))</f>
        <v>#NAME?</v>
      </c>
      <c r="O62" s="157"/>
      <c r="P62" s="157"/>
      <c r="Q62" s="157"/>
      <c r="R62" s="157"/>
      <c r="S62" s="157"/>
      <c r="T62" s="157"/>
      <c r="U62" s="157"/>
      <c r="V62" s="157"/>
      <c r="W62" s="157"/>
      <c r="X62" s="157"/>
      <c r="Y62" s="157"/>
      <c r="Z62" s="157"/>
      <c r="AA62" s="157" t="str">
        <f>IFERROR(AA59/AA61,"")</f>
        <v/>
      </c>
      <c r="AB62" s="157"/>
      <c r="AD62" s="157"/>
      <c r="AE62" s="157"/>
      <c r="AF62" s="158" t="str">
        <f t="shared" si="12"/>
        <v/>
      </c>
      <c r="AG62" s="157"/>
      <c r="AH62" s="157"/>
      <c r="AI62" s="158" t="str">
        <f t="shared" si="13"/>
        <v/>
      </c>
    </row>
    <row r="63" spans="1:35" x14ac:dyDescent="0.2">
      <c r="G63" s="162">
        <f>COUNTIF(O64:AI64,FALSE)</f>
        <v>0</v>
      </c>
      <c r="H63" s="10"/>
      <c r="I63" s="25"/>
      <c r="J63" s="25"/>
      <c r="K63" s="24"/>
      <c r="L63" s="24"/>
      <c r="M63" s="24"/>
      <c r="N63" s="163" t="s">
        <v>345</v>
      </c>
      <c r="O63" s="160">
        <f t="shared" ref="O63:AA63" si="14">ROUND(IFERROR(O59/O61,0),2)</f>
        <v>0</v>
      </c>
      <c r="P63" s="165">
        <f t="shared" si="14"/>
        <v>0</v>
      </c>
      <c r="Q63" s="165">
        <f t="shared" si="14"/>
        <v>0</v>
      </c>
      <c r="R63" s="165">
        <f t="shared" si="14"/>
        <v>0</v>
      </c>
      <c r="S63" s="165">
        <f t="shared" si="14"/>
        <v>0</v>
      </c>
      <c r="T63" s="165">
        <f t="shared" si="14"/>
        <v>0</v>
      </c>
      <c r="U63" s="165">
        <f t="shared" si="14"/>
        <v>0</v>
      </c>
      <c r="V63" s="165">
        <f t="shared" si="14"/>
        <v>0</v>
      </c>
      <c r="W63" s="165">
        <f t="shared" si="14"/>
        <v>0</v>
      </c>
      <c r="X63" s="165">
        <f t="shared" si="14"/>
        <v>0</v>
      </c>
      <c r="Y63" s="165">
        <f t="shared" si="14"/>
        <v>0</v>
      </c>
      <c r="Z63" s="165">
        <f t="shared" si="14"/>
        <v>0</v>
      </c>
      <c r="AA63" s="165">
        <f t="shared" si="14"/>
        <v>0</v>
      </c>
      <c r="AB63" s="164"/>
      <c r="AD63" s="160">
        <f>ROUND(IFERROR(AD59/AD61,0),2)</f>
        <v>0</v>
      </c>
      <c r="AE63" s="165"/>
      <c r="AF63" s="161"/>
      <c r="AG63" s="160">
        <f>ROUND(IFERROR(AG59/AG61,0),2)</f>
        <v>0</v>
      </c>
      <c r="AH63" s="165"/>
      <c r="AI63" s="161"/>
    </row>
    <row r="64" spans="1:35" x14ac:dyDescent="0.2">
      <c r="H64" s="133"/>
      <c r="I64" s="25"/>
      <c r="J64" s="25"/>
      <c r="K64" s="24"/>
      <c r="L64" s="24"/>
      <c r="M64" s="24"/>
      <c r="N64" s="8" t="s">
        <v>307</v>
      </c>
      <c r="O64" s="292" t="b">
        <f t="shared" ref="O64:AA64" si="15">ROUND(O62,2)=ROUND(O63,2)</f>
        <v>1</v>
      </c>
      <c r="P64" s="293" t="b">
        <f t="shared" si="15"/>
        <v>1</v>
      </c>
      <c r="Q64" s="293" t="b">
        <f t="shared" si="15"/>
        <v>1</v>
      </c>
      <c r="R64" s="293" t="b">
        <f t="shared" si="15"/>
        <v>1</v>
      </c>
      <c r="S64" s="293" t="b">
        <f t="shared" si="15"/>
        <v>1</v>
      </c>
      <c r="T64" s="293" t="b">
        <f t="shared" si="15"/>
        <v>1</v>
      </c>
      <c r="U64" s="293" t="b">
        <f t="shared" si="15"/>
        <v>1</v>
      </c>
      <c r="V64" s="293" t="b">
        <f t="shared" si="15"/>
        <v>1</v>
      </c>
      <c r="W64" s="293" t="b">
        <f t="shared" si="15"/>
        <v>1</v>
      </c>
      <c r="X64" s="293" t="b">
        <f t="shared" si="15"/>
        <v>1</v>
      </c>
      <c r="Y64" s="293" t="b">
        <f t="shared" si="15"/>
        <v>1</v>
      </c>
      <c r="Z64" s="293" t="b">
        <f t="shared" si="15"/>
        <v>1</v>
      </c>
      <c r="AA64" s="293" t="e">
        <f t="shared" si="15"/>
        <v>#VALUE!</v>
      </c>
      <c r="AB64" s="294"/>
      <c r="AC64" s="206"/>
      <c r="AD64" s="292"/>
      <c r="AE64" s="293" t="b">
        <f>ROUND(AD62,2)=ROUND(AD63,2)</f>
        <v>1</v>
      </c>
      <c r="AF64" s="294"/>
      <c r="AG64" s="292"/>
      <c r="AH64" s="293" t="b">
        <f>ROUND(AG62,2)=ROUND(AG63,2)</f>
        <v>1</v>
      </c>
      <c r="AI64" s="294"/>
    </row>
    <row r="65" spans="3:35" x14ac:dyDescent="0.2">
      <c r="H65" s="133" t="s">
        <v>263</v>
      </c>
      <c r="I65" s="25" t="e">
        <f ca="1">_xll.EVPRO($B$1,$H65,"STYLE")</f>
        <v>#NAME?</v>
      </c>
      <c r="J65" s="25" t="e">
        <f ca="1">_xll.EVPRO($B$1,$H65,"CALC")</f>
        <v>#NAME?</v>
      </c>
      <c r="K65" s="24"/>
      <c r="L65" s="24" t="e">
        <f ca="1">_xll.EVPRO($B$1,H65,"JDEID")</f>
        <v>#NAME?</v>
      </c>
      <c r="M65" s="24" t="e">
        <f ca="1">IF(AND(I65="N",J65="N"),_xll.EVPRO($B$1,H65,"PSFTID"),"")</f>
        <v>#NAME?</v>
      </c>
      <c r="N65" s="24" t="e">
        <f ca="1">IF(_xll.EVDES(H65,$B$1)="#NODATA","",_xll.EVDES(H65,$B$1))</f>
        <v>#NAME?</v>
      </c>
      <c r="O65" s="19">
        <v>1575</v>
      </c>
      <c r="P65" s="19"/>
      <c r="Q65" s="19"/>
      <c r="R65" s="19"/>
      <c r="S65" s="19"/>
      <c r="T65" s="19"/>
      <c r="U65" s="19"/>
      <c r="V65" s="19"/>
      <c r="W65" s="19"/>
      <c r="X65" s="19"/>
      <c r="Y65" s="19"/>
      <c r="Z65" s="19"/>
      <c r="AA65" s="19">
        <f t="shared" ref="AA65:AA71" si="16">SUM(O65:Z65)</f>
        <v>1575</v>
      </c>
      <c r="AB65" s="15" t="str">
        <f ca="1">IF(AA65=0,"",IFERROR(AA65/AA$19,""))</f>
        <v/>
      </c>
      <c r="AD65" s="19"/>
      <c r="AE65" s="15" t="str">
        <f>IF(AD65=0,"",IFERROR(AD65/AD$19,""))</f>
        <v/>
      </c>
      <c r="AF65" s="47">
        <f t="shared" ref="AF65:AF72" si="17">IF(AND($AA65="",AD65=""),"",$AA65-AD65)</f>
        <v>1575</v>
      </c>
      <c r="AG65" s="19">
        <v>142656.99</v>
      </c>
      <c r="AH65" s="15" t="str">
        <f t="shared" ca="1" si="3"/>
        <v/>
      </c>
      <c r="AI65" s="47">
        <f t="shared" ref="AI65:AI72" si="18">IF(AND($AA65="",AG65=""),"",$AA65-AG65)</f>
        <v>-141081.99</v>
      </c>
    </row>
    <row r="66" spans="3:35" x14ac:dyDescent="0.2">
      <c r="H66" s="133" t="s">
        <v>308</v>
      </c>
      <c r="I66" s="25" t="e">
        <f ca="1">_xll.EVPRO($B$1,$H66,"STYLE")</f>
        <v>#NAME?</v>
      </c>
      <c r="J66" s="25" t="e">
        <f ca="1">_xll.EVPRO($B$1,$H66,"CALC")</f>
        <v>#NAME?</v>
      </c>
      <c r="K66" s="24"/>
      <c r="L66" s="24" t="e">
        <f ca="1">_xll.EVPRO($B$1,H66,"JDEID")</f>
        <v>#NAME?</v>
      </c>
      <c r="M66" s="24" t="e">
        <f ca="1">IF(AND(I66="N",J66="N"),_xll.EVPRO($B$1,H66,"PSFTID"),"")</f>
        <v>#NAME?</v>
      </c>
      <c r="N66" s="24" t="e">
        <f ca="1">IF(_xll.EVDES(H66,$B$1)="#NODATA","",_xll.EVDES(H66,$B$1))</f>
        <v>#NAME?</v>
      </c>
      <c r="O66" s="19">
        <v>3457</v>
      </c>
      <c r="P66" s="19"/>
      <c r="Q66" s="19"/>
      <c r="R66" s="19"/>
      <c r="S66" s="19"/>
      <c r="T66" s="19"/>
      <c r="U66" s="19"/>
      <c r="V66" s="19"/>
      <c r="W66" s="19"/>
      <c r="X66" s="19"/>
      <c r="Y66" s="19"/>
      <c r="Z66" s="19"/>
      <c r="AA66" s="19">
        <f t="shared" si="16"/>
        <v>3457</v>
      </c>
      <c r="AB66" s="15" t="str">
        <f ca="1">IF(AA66=0,"",IFERROR(AA66/AA$19,""))</f>
        <v/>
      </c>
      <c r="AD66" s="19"/>
      <c r="AE66" s="15" t="str">
        <f>IF(AD66=0,"",IFERROR(AD66/AD$19,""))</f>
        <v/>
      </c>
      <c r="AF66" s="47">
        <f t="shared" si="17"/>
        <v>3457</v>
      </c>
      <c r="AG66" s="19">
        <v>206365.51</v>
      </c>
      <c r="AH66" s="15" t="str">
        <f t="shared" ca="1" si="3"/>
        <v/>
      </c>
      <c r="AI66" s="47">
        <f t="shared" si="18"/>
        <v>-202908.51</v>
      </c>
    </row>
    <row r="67" spans="3:35" x14ac:dyDescent="0.2">
      <c r="H67" s="133" t="s">
        <v>310</v>
      </c>
      <c r="I67" s="25" t="e">
        <f ca="1">_xll.EVPRO($B$1,$H67,"STYLE")</f>
        <v>#NAME?</v>
      </c>
      <c r="J67" s="25" t="e">
        <f ca="1">_xll.EVPRO($B$1,$H67,"CALC")</f>
        <v>#NAME?</v>
      </c>
      <c r="K67" s="24"/>
      <c r="L67" s="24" t="e">
        <f ca="1">_xll.EVPRO($B$1,H67,"JDEID")</f>
        <v>#NAME?</v>
      </c>
      <c r="M67" s="24" t="e">
        <f ca="1">IF(AND(I67="N",J67="N"),_xll.EVPRO($B$1,H67,"PSFTID"),"")</f>
        <v>#NAME?</v>
      </c>
      <c r="N67" s="24" t="e">
        <f ca="1">IF(_xll.EVDES(H67,$B$1)="#NODATA","",_xll.EVDES(H67,$B$1))</f>
        <v>#NAME?</v>
      </c>
      <c r="O67" s="19">
        <v>772</v>
      </c>
      <c r="P67" s="19"/>
      <c r="Q67" s="19"/>
      <c r="R67" s="19"/>
      <c r="S67" s="19"/>
      <c r="T67" s="19"/>
      <c r="U67" s="19"/>
      <c r="V67" s="19"/>
      <c r="W67" s="19"/>
      <c r="X67" s="19"/>
      <c r="Y67" s="19"/>
      <c r="Z67" s="19"/>
      <c r="AA67" s="19">
        <f t="shared" si="16"/>
        <v>772</v>
      </c>
      <c r="AB67" s="15" t="str">
        <f ca="1">IF(AA67=0,"",IFERROR(AA67/AA$19,""))</f>
        <v/>
      </c>
      <c r="AD67" s="19"/>
      <c r="AE67" s="15" t="str">
        <f>IF(AD67=0,"",IFERROR(AD67/AD$19,""))</f>
        <v/>
      </c>
      <c r="AF67" s="47">
        <f t="shared" si="17"/>
        <v>772</v>
      </c>
      <c r="AG67" s="19">
        <v>34482.199999999997</v>
      </c>
      <c r="AH67" s="15" t="str">
        <f t="shared" ca="1" si="3"/>
        <v/>
      </c>
      <c r="AI67" s="47">
        <f t="shared" si="18"/>
        <v>-33710.199999999997</v>
      </c>
    </row>
    <row r="68" spans="3:35" x14ac:dyDescent="0.2">
      <c r="H68" s="133" t="s">
        <v>309</v>
      </c>
      <c r="I68" s="25" t="e">
        <f ca="1">_xll.EVPRO($B$1,$H68,"STYLE")</f>
        <v>#NAME?</v>
      </c>
      <c r="J68" s="25" t="e">
        <f ca="1">_xll.EVPRO($B$1,$H68,"CALC")</f>
        <v>#NAME?</v>
      </c>
      <c r="K68" s="24"/>
      <c r="L68" s="24" t="e">
        <f ca="1">_xll.EVPRO($B$1,H68,"JDEID")</f>
        <v>#NAME?</v>
      </c>
      <c r="M68" s="24" t="e">
        <f ca="1">IF(AND(I68="N",J68="N"),_xll.EVPRO($B$1,H68,"PSFTID"),"")</f>
        <v>#NAME?</v>
      </c>
      <c r="N68" s="24" t="e">
        <f ca="1">IF(_xll.EVDES(H68,$B$1)="#NODATA","",_xll.EVDES(H68,$B$1))</f>
        <v>#NAME?</v>
      </c>
      <c r="O68" s="28">
        <v>1114</v>
      </c>
      <c r="P68" s="28"/>
      <c r="Q68" s="28"/>
      <c r="R68" s="28"/>
      <c r="S68" s="28"/>
      <c r="T68" s="28"/>
      <c r="U68" s="28"/>
      <c r="V68" s="28"/>
      <c r="W68" s="28"/>
      <c r="X68" s="28"/>
      <c r="Y68" s="28"/>
      <c r="Z68" s="28"/>
      <c r="AA68" s="28">
        <f t="shared" si="16"/>
        <v>1114</v>
      </c>
      <c r="AB68" s="29" t="str">
        <f ca="1">IF(AA68=0,"",IFERROR(AA68/AA$19,""))</f>
        <v/>
      </c>
      <c r="AD68" s="28"/>
      <c r="AE68" s="29" t="str">
        <f>IF(AD68=0,"",IFERROR(AD68/AD$19,""))</f>
        <v/>
      </c>
      <c r="AF68" s="48">
        <f t="shared" si="17"/>
        <v>1114</v>
      </c>
      <c r="AG68" s="28">
        <v>43558.03</v>
      </c>
      <c r="AH68" s="29" t="str">
        <f t="shared" ca="1" si="3"/>
        <v/>
      </c>
      <c r="AI68" s="48">
        <f t="shared" si="18"/>
        <v>-42444.03</v>
      </c>
    </row>
    <row r="69" spans="3:35" x14ac:dyDescent="0.2">
      <c r="H69" s="133" t="s">
        <v>327</v>
      </c>
      <c r="I69" s="25" t="e">
        <f ca="1">_xll.EVPRO($B$1,$H69,"STYLE")</f>
        <v>#NAME?</v>
      </c>
      <c r="J69" s="25" t="e">
        <f ca="1">_xll.EVPRO($B$1,$H69,"CALC")</f>
        <v>#NAME?</v>
      </c>
      <c r="K69" s="24"/>
      <c r="L69" s="24" t="e">
        <f ca="1">_xll.EVPRO($B$1,H69,"JDEID")</f>
        <v>#NAME?</v>
      </c>
      <c r="M69" s="24" t="e">
        <f ca="1">IF(AND(I69="N",J69="N"),_xll.EVPRO($B$1,H69,"PSFTID"),"")</f>
        <v>#NAME?</v>
      </c>
      <c r="N69" s="23" t="e">
        <f ca="1">IF(_xll.EVDES(H69,$B$1)="#NODATA","",_xll.EVDES(H69,$B$1))</f>
        <v>#NAME?</v>
      </c>
      <c r="O69" s="145">
        <v>6918</v>
      </c>
      <c r="P69" s="145"/>
      <c r="Q69" s="145"/>
      <c r="R69" s="145"/>
      <c r="S69" s="145"/>
      <c r="T69" s="145"/>
      <c r="U69" s="145"/>
      <c r="V69" s="145"/>
      <c r="W69" s="145"/>
      <c r="X69" s="145"/>
      <c r="Y69" s="145"/>
      <c r="Z69" s="145"/>
      <c r="AA69" s="145">
        <f t="shared" si="16"/>
        <v>6918</v>
      </c>
      <c r="AB69" s="156" t="str">
        <f ca="1">IF(AA69=0,"",IFERROR(AA69/AA$19,""))</f>
        <v/>
      </c>
      <c r="AD69" s="145"/>
      <c r="AE69" s="156" t="str">
        <f>IF(AD69=0,"",IFERROR(AD69/AD$19,""))</f>
        <v/>
      </c>
      <c r="AF69" s="146">
        <f t="shared" si="17"/>
        <v>6918</v>
      </c>
      <c r="AG69" s="145">
        <v>427062.73</v>
      </c>
      <c r="AH69" s="156" t="str">
        <f t="shared" ca="1" si="3"/>
        <v/>
      </c>
      <c r="AI69" s="146">
        <f t="shared" si="18"/>
        <v>-420144.73</v>
      </c>
    </row>
    <row r="70" spans="3:35" x14ac:dyDescent="0.2">
      <c r="H70" s="133" t="s">
        <v>766</v>
      </c>
      <c r="I70" s="25" t="e">
        <f ca="1">_xll.EVPRO($B$1,$H70,"STYLE")</f>
        <v>#NAME?</v>
      </c>
      <c r="J70" s="25" t="e">
        <f ca="1">_xll.EVPRO($B$1,$H70,"CALC")</f>
        <v>#NAME?</v>
      </c>
      <c r="K70" s="24"/>
      <c r="L70" s="24" t="e">
        <f ca="1">_xll.EVPRO($B$1,H70,"JDEID")</f>
        <v>#NAME?</v>
      </c>
      <c r="M70" s="24" t="e">
        <f ca="1">IF(AND(I70="N",J70="N"),_xll.EVPRO($B$1,H70,"PSFTID"),"")</f>
        <v>#NAME?</v>
      </c>
      <c r="N70" s="24" t="e">
        <f ca="1">IF(_xll.EVDES(H70,$B$1)="#NODATA","",_xll.EVDES(H70,$B$1))</f>
        <v>#NAME?</v>
      </c>
      <c r="O70" s="35">
        <v>5</v>
      </c>
      <c r="P70" s="35"/>
      <c r="Q70" s="35"/>
      <c r="R70" s="35"/>
      <c r="S70" s="35"/>
      <c r="T70" s="35"/>
      <c r="U70" s="35"/>
      <c r="V70" s="35"/>
      <c r="W70" s="35"/>
      <c r="X70" s="35"/>
      <c r="Y70" s="35"/>
      <c r="Z70" s="35"/>
      <c r="AA70" s="35">
        <f t="shared" si="16"/>
        <v>5</v>
      </c>
      <c r="AB70" s="36"/>
      <c r="AD70" s="35"/>
      <c r="AE70" s="36"/>
      <c r="AF70" s="118">
        <f t="shared" si="17"/>
        <v>5</v>
      </c>
      <c r="AG70" s="35">
        <v>335</v>
      </c>
      <c r="AH70" s="36"/>
      <c r="AI70" s="118">
        <f t="shared" si="18"/>
        <v>-330</v>
      </c>
    </row>
    <row r="71" spans="3:35" x14ac:dyDescent="0.2">
      <c r="H71" s="133" t="s">
        <v>326</v>
      </c>
      <c r="I71" s="25" t="e">
        <f ca="1">_xll.EVPRO($B$1,$H71,"STYLE")</f>
        <v>#NAME?</v>
      </c>
      <c r="J71" s="25" t="e">
        <f ca="1">_xll.EVPRO($B$1,$H71,"CALC")</f>
        <v>#NAME?</v>
      </c>
      <c r="K71" s="24"/>
      <c r="L71" s="24" t="e">
        <f ca="1">_xll.EVPRO($B$1,H71,"JDEID")</f>
        <v>#NAME?</v>
      </c>
      <c r="M71" s="24" t="e">
        <f ca="1">IF(AND(I71="N",J71="N"),_xll.EVPRO($B$1,H71,"PSFTID"),"")</f>
        <v>#NAME?</v>
      </c>
      <c r="N71" s="24" t="e">
        <f ca="1">IF(_xll.EVDES(H71,$B$1)="#NODATA","",_xll.EVDES(H71,$B$1))</f>
        <v>#NAME?</v>
      </c>
      <c r="O71" s="35">
        <v>310</v>
      </c>
      <c r="P71" s="35"/>
      <c r="Q71" s="35"/>
      <c r="R71" s="35"/>
      <c r="S71" s="35"/>
      <c r="T71" s="35"/>
      <c r="U71" s="35"/>
      <c r="V71" s="35"/>
      <c r="W71" s="35"/>
      <c r="X71" s="35"/>
      <c r="Y71" s="35"/>
      <c r="Z71" s="35"/>
      <c r="AA71" s="35">
        <f t="shared" si="16"/>
        <v>310</v>
      </c>
      <c r="AB71" s="36">
        <f>IF(AA71=0,"",IFERROR(AA71/AA$87,""))</f>
        <v>1</v>
      </c>
      <c r="AD71" s="35"/>
      <c r="AE71" s="36" t="str">
        <f>IF(AD71=0,"",IFERROR(AD71/AD$87,""))</f>
        <v/>
      </c>
      <c r="AF71" s="118">
        <f t="shared" si="17"/>
        <v>310</v>
      </c>
      <c r="AG71" s="35">
        <v>15829</v>
      </c>
      <c r="AH71" s="36">
        <f>IF(AG71=0,"",IFERROR(AG71/AG$87,""))</f>
        <v>1</v>
      </c>
      <c r="AI71" s="118">
        <f t="shared" si="18"/>
        <v>-15519</v>
      </c>
    </row>
    <row r="72" spans="3:35" x14ac:dyDescent="0.2">
      <c r="H72" s="133" t="s">
        <v>328</v>
      </c>
      <c r="I72" s="25" t="e">
        <f ca="1">_xll.EVPRO($B$1,$H72,"STYLE")</f>
        <v>#NAME?</v>
      </c>
      <c r="J72" s="25" t="e">
        <f ca="1">_xll.EVPRO($B$1,$H72,"CALC")</f>
        <v>#NAME?</v>
      </c>
      <c r="K72" s="24"/>
      <c r="L72" s="24" t="e">
        <f ca="1">_xll.EVPRO($B$1,H72,"JDEID")</f>
        <v>#NAME?</v>
      </c>
      <c r="M72" s="24" t="e">
        <f ca="1">IF(AND(I72="N",J72="N"),_xll.EVPRO($B$1,H72,"PSFTID"),"")</f>
        <v>#NAME?</v>
      </c>
      <c r="N72" s="151" t="e">
        <f ca="1">IF(_xll.EVDES(H72,$B$1)="#NODATA","",_xll.EVDES(H72,$B$1))</f>
        <v>#NAME?</v>
      </c>
      <c r="O72" s="157">
        <v>22.3161290322581</v>
      </c>
      <c r="P72" s="157"/>
      <c r="Q72" s="157"/>
      <c r="R72" s="157"/>
      <c r="S72" s="157"/>
      <c r="T72" s="157"/>
      <c r="U72" s="157"/>
      <c r="V72" s="157"/>
      <c r="W72" s="157"/>
      <c r="X72" s="157"/>
      <c r="Y72" s="157"/>
      <c r="Z72" s="157"/>
      <c r="AA72" s="157">
        <f>IFERROR(AA69/AA71,"")</f>
        <v>22.316129032258065</v>
      </c>
      <c r="AB72" s="157"/>
      <c r="AD72" s="157"/>
      <c r="AE72" s="157"/>
      <c r="AF72" s="158">
        <f t="shared" si="17"/>
        <v>22.316129032258065</v>
      </c>
      <c r="AG72" s="157">
        <v>26.9797668835681</v>
      </c>
      <c r="AH72" s="157"/>
      <c r="AI72" s="158">
        <f t="shared" si="18"/>
        <v>-4.6636378513100354</v>
      </c>
    </row>
    <row r="73" spans="3:35" x14ac:dyDescent="0.2">
      <c r="G73" s="162">
        <f>COUNTIF(O74:AI74,FALSE)</f>
        <v>0</v>
      </c>
      <c r="H73" s="10"/>
      <c r="I73" s="25"/>
      <c r="J73" s="25"/>
      <c r="K73" s="24"/>
      <c r="L73" s="24"/>
      <c r="M73" s="24"/>
      <c r="N73" s="163" t="s">
        <v>345</v>
      </c>
      <c r="O73" s="160">
        <f t="shared" ref="O73:AA73" si="19">ROUND(IFERROR(O69/O71,0),2)</f>
        <v>22.32</v>
      </c>
      <c r="P73" s="165">
        <f t="shared" si="19"/>
        <v>0</v>
      </c>
      <c r="Q73" s="165">
        <f t="shared" si="19"/>
        <v>0</v>
      </c>
      <c r="R73" s="165">
        <f t="shared" si="19"/>
        <v>0</v>
      </c>
      <c r="S73" s="165">
        <f t="shared" si="19"/>
        <v>0</v>
      </c>
      <c r="T73" s="165">
        <f t="shared" si="19"/>
        <v>0</v>
      </c>
      <c r="U73" s="165">
        <f t="shared" si="19"/>
        <v>0</v>
      </c>
      <c r="V73" s="165">
        <f t="shared" si="19"/>
        <v>0</v>
      </c>
      <c r="W73" s="165">
        <f t="shared" si="19"/>
        <v>0</v>
      </c>
      <c r="X73" s="165">
        <f t="shared" si="19"/>
        <v>0</v>
      </c>
      <c r="Y73" s="165">
        <f t="shared" si="19"/>
        <v>0</v>
      </c>
      <c r="Z73" s="165">
        <f t="shared" si="19"/>
        <v>0</v>
      </c>
      <c r="AA73" s="165">
        <f t="shared" si="19"/>
        <v>22.32</v>
      </c>
      <c r="AB73" s="164"/>
      <c r="AD73" s="160">
        <f>ROUND(IFERROR(AD69/AD71,0),2)</f>
        <v>0</v>
      </c>
      <c r="AE73" s="165"/>
      <c r="AF73" s="161"/>
      <c r="AG73" s="160">
        <f>ROUND(IFERROR(AG69/AG71,0),2)</f>
        <v>26.98</v>
      </c>
      <c r="AH73" s="165"/>
      <c r="AI73" s="161"/>
    </row>
    <row r="74" spans="3:35" x14ac:dyDescent="0.2">
      <c r="H74" s="133"/>
      <c r="I74" s="25"/>
      <c r="J74" s="25"/>
      <c r="K74" s="24"/>
      <c r="L74" s="24"/>
      <c r="M74" s="24"/>
      <c r="N74" s="8" t="s">
        <v>324</v>
      </c>
      <c r="O74" s="292" t="b">
        <f t="shared" ref="O74:AA74" si="20">ROUND(O72,2)=ROUND(O73,2)</f>
        <v>1</v>
      </c>
      <c r="P74" s="293" t="b">
        <f t="shared" si="20"/>
        <v>1</v>
      </c>
      <c r="Q74" s="293" t="b">
        <f t="shared" si="20"/>
        <v>1</v>
      </c>
      <c r="R74" s="293" t="b">
        <f t="shared" si="20"/>
        <v>1</v>
      </c>
      <c r="S74" s="293" t="b">
        <f t="shared" si="20"/>
        <v>1</v>
      </c>
      <c r="T74" s="293" t="b">
        <f t="shared" si="20"/>
        <v>1</v>
      </c>
      <c r="U74" s="293" t="b">
        <f t="shared" si="20"/>
        <v>1</v>
      </c>
      <c r="V74" s="293" t="b">
        <f t="shared" si="20"/>
        <v>1</v>
      </c>
      <c r="W74" s="293" t="b">
        <f t="shared" si="20"/>
        <v>1</v>
      </c>
      <c r="X74" s="293" t="b">
        <f t="shared" si="20"/>
        <v>1</v>
      </c>
      <c r="Y74" s="293" t="b">
        <f t="shared" si="20"/>
        <v>1</v>
      </c>
      <c r="Z74" s="293" t="b">
        <f t="shared" si="20"/>
        <v>1</v>
      </c>
      <c r="AA74" s="293" t="b">
        <f t="shared" si="20"/>
        <v>1</v>
      </c>
      <c r="AB74" s="294"/>
      <c r="AC74" s="206"/>
      <c r="AD74" s="292"/>
      <c r="AE74" s="293" t="b">
        <f>ROUND(AD72,2)=ROUND(AD73,2)</f>
        <v>1</v>
      </c>
      <c r="AF74" s="294"/>
      <c r="AG74" s="292"/>
      <c r="AH74" s="293" t="b">
        <f>ROUND(AG72,2)=ROUND(AG73,2)</f>
        <v>1</v>
      </c>
      <c r="AI74" s="294"/>
    </row>
    <row r="75" spans="3:35" x14ac:dyDescent="0.2">
      <c r="H75" s="133" t="s">
        <v>264</v>
      </c>
      <c r="I75" s="25" t="e">
        <f ca="1">_xll.EVPRO($B$1,$H75,"STYLE")</f>
        <v>#NAME?</v>
      </c>
      <c r="J75" s="25" t="e">
        <f ca="1">_xll.EVPRO($B$1,$H75,"CALC")</f>
        <v>#NAME?</v>
      </c>
      <c r="K75" s="24"/>
      <c r="L75" s="24" t="e">
        <f ca="1">_xll.EVPRO($B$1,H75,"JDEID")</f>
        <v>#NAME?</v>
      </c>
      <c r="M75" s="24" t="e">
        <f ca="1">IF(AND(I75="N",J75="N"),_xll.EVPRO($B$1,H75,"PSFTID"),"")</f>
        <v>#NAME?</v>
      </c>
      <c r="N75" s="24" t="e">
        <f ca="1">IF(_xll.EVDES(H75,$B$1)="#NODATA","",_xll.EVDES(H75,$B$1))</f>
        <v>#NAME?</v>
      </c>
      <c r="O75" s="19"/>
      <c r="P75" s="19"/>
      <c r="Q75" s="19"/>
      <c r="R75" s="19"/>
      <c r="S75" s="19"/>
      <c r="T75" s="19"/>
      <c r="U75" s="19"/>
      <c r="V75" s="19"/>
      <c r="W75" s="19"/>
      <c r="X75" s="19"/>
      <c r="Y75" s="19"/>
      <c r="Z75" s="19"/>
      <c r="AA75" s="19">
        <f t="shared" ref="AA75:AA80" si="21">SUM(O75:Z75)</f>
        <v>0</v>
      </c>
      <c r="AB75" s="15" t="str">
        <f>IF(AA75=0,"",IFERROR(AA75/AA$19,""))</f>
        <v/>
      </c>
      <c r="AD75" s="19"/>
      <c r="AE75" s="15" t="str">
        <f>IF(AD75=0,"",IFERROR(AD75/AD$19,""))</f>
        <v/>
      </c>
      <c r="AF75" s="47">
        <f t="shared" ref="AF75:AF81" si="22">IF(AND($AA75="",AD75=""),"",$AA75-AD75)</f>
        <v>0</v>
      </c>
      <c r="AG75" s="19"/>
      <c r="AH75" s="15" t="str">
        <f t="shared" si="3"/>
        <v/>
      </c>
      <c r="AI75" s="47">
        <f t="shared" ref="AI75:AI81" si="23">IF(AND($AA75="",AG75=""),"",$AA75-AG75)</f>
        <v>0</v>
      </c>
    </row>
    <row r="76" spans="3:35" x14ac:dyDescent="0.2">
      <c r="H76" s="133" t="s">
        <v>321</v>
      </c>
      <c r="I76" s="25" t="e">
        <f ca="1">_xll.EVPRO($B$1,$H76,"STYLE")</f>
        <v>#NAME?</v>
      </c>
      <c r="J76" s="25" t="e">
        <f ca="1">_xll.EVPRO($B$1,$H76,"CALC")</f>
        <v>#NAME?</v>
      </c>
      <c r="K76" s="24"/>
      <c r="L76" s="24" t="e">
        <f ca="1">_xll.EVPRO($B$1,H76,"JDEID")</f>
        <v>#NAME?</v>
      </c>
      <c r="M76" s="24" t="e">
        <f ca="1">IF(AND(I76="N",J76="N"),_xll.EVPRO($B$1,H76,"PSFTID"),"")</f>
        <v>#NAME?</v>
      </c>
      <c r="N76" s="24" t="e">
        <f ca="1">IF(_xll.EVDES(H76,$B$1)="#NODATA","",_xll.EVDES(H76,$B$1))</f>
        <v>#NAME?</v>
      </c>
      <c r="O76" s="19"/>
      <c r="P76" s="19"/>
      <c r="Q76" s="19"/>
      <c r="R76" s="19"/>
      <c r="S76" s="19"/>
      <c r="T76" s="19"/>
      <c r="U76" s="19"/>
      <c r="V76" s="19"/>
      <c r="W76" s="19"/>
      <c r="X76" s="19"/>
      <c r="Y76" s="19"/>
      <c r="Z76" s="19"/>
      <c r="AA76" s="19">
        <f t="shared" si="21"/>
        <v>0</v>
      </c>
      <c r="AB76" s="15" t="str">
        <f>IF(AA76=0,"",IFERROR(AA76/AA$19,""))</f>
        <v/>
      </c>
      <c r="AD76" s="19"/>
      <c r="AE76" s="15" t="str">
        <f>IF(AD76=0,"",IFERROR(AD76/AD$19,""))</f>
        <v/>
      </c>
      <c r="AF76" s="47">
        <f t="shared" si="22"/>
        <v>0</v>
      </c>
      <c r="AG76" s="19"/>
      <c r="AH76" s="15" t="str">
        <f t="shared" si="3"/>
        <v/>
      </c>
      <c r="AI76" s="47">
        <f t="shared" si="23"/>
        <v>0</v>
      </c>
    </row>
    <row r="77" spans="3:35" x14ac:dyDescent="0.2">
      <c r="H77" s="133" t="s">
        <v>323</v>
      </c>
      <c r="I77" s="25" t="e">
        <f ca="1">_xll.EVPRO($B$1,$H77,"STYLE")</f>
        <v>#NAME?</v>
      </c>
      <c r="J77" s="25" t="e">
        <f ca="1">_xll.EVPRO($B$1,$H77,"CALC")</f>
        <v>#NAME?</v>
      </c>
      <c r="K77" s="24"/>
      <c r="L77" s="24" t="e">
        <f ca="1">_xll.EVPRO($B$1,H77,"JDEID")</f>
        <v>#NAME?</v>
      </c>
      <c r="M77" s="24" t="e">
        <f ca="1">IF(AND(I77="N",J77="N"),_xll.EVPRO($B$1,H77,"PSFTID"),"")</f>
        <v>#NAME?</v>
      </c>
      <c r="N77" s="24" t="e">
        <f ca="1">IF(_xll.EVDES(H77,$B$1)="#NODATA","",_xll.EVDES(H77,$B$1))</f>
        <v>#NAME?</v>
      </c>
      <c r="O77" s="19"/>
      <c r="P77" s="19"/>
      <c r="Q77" s="19"/>
      <c r="R77" s="19"/>
      <c r="S77" s="19"/>
      <c r="T77" s="19"/>
      <c r="U77" s="19"/>
      <c r="V77" s="19"/>
      <c r="W77" s="19"/>
      <c r="X77" s="19"/>
      <c r="Y77" s="19"/>
      <c r="Z77" s="19"/>
      <c r="AA77" s="19">
        <f t="shared" si="21"/>
        <v>0</v>
      </c>
      <c r="AB77" s="15" t="str">
        <f>IF(AA77=0,"",IFERROR(AA77/AA$19,""))</f>
        <v/>
      </c>
      <c r="AD77" s="19"/>
      <c r="AE77" s="15" t="str">
        <f>IF(AD77=0,"",IFERROR(AD77/AD$19,""))</f>
        <v/>
      </c>
      <c r="AF77" s="47">
        <f t="shared" si="22"/>
        <v>0</v>
      </c>
      <c r="AG77" s="19"/>
      <c r="AH77" s="15" t="str">
        <f t="shared" si="3"/>
        <v/>
      </c>
      <c r="AI77" s="47">
        <f t="shared" si="23"/>
        <v>0</v>
      </c>
    </row>
    <row r="78" spans="3:35" x14ac:dyDescent="0.2">
      <c r="C78" s="23"/>
      <c r="H78" s="133" t="s">
        <v>322</v>
      </c>
      <c r="I78" s="25" t="e">
        <f ca="1">_xll.EVPRO($B$1,$H78,"STYLE")</f>
        <v>#NAME?</v>
      </c>
      <c r="J78" s="25" t="e">
        <f ca="1">_xll.EVPRO($B$1,$H78,"CALC")</f>
        <v>#NAME?</v>
      </c>
      <c r="K78" s="24"/>
      <c r="L78" s="24" t="e">
        <f ca="1">_xll.EVPRO($B$1,H78,"JDEID")</f>
        <v>#NAME?</v>
      </c>
      <c r="M78" s="24" t="e">
        <f ca="1">IF(AND(I78="N",J78="N"),_xll.EVPRO($B$1,H78,"PSFTID"),"")</f>
        <v>#NAME?</v>
      </c>
      <c r="N78" s="24" t="e">
        <f ca="1">IF(_xll.EVDES(H78,$B$1)="#NODATA","",_xll.EVDES(H78,$B$1))</f>
        <v>#NAME?</v>
      </c>
      <c r="O78" s="28"/>
      <c r="P78" s="28"/>
      <c r="Q78" s="28"/>
      <c r="R78" s="28"/>
      <c r="S78" s="28"/>
      <c r="T78" s="28"/>
      <c r="U78" s="28"/>
      <c r="V78" s="28"/>
      <c r="W78" s="28"/>
      <c r="X78" s="28"/>
      <c r="Y78" s="28"/>
      <c r="Z78" s="28"/>
      <c r="AA78" s="28">
        <f t="shared" si="21"/>
        <v>0</v>
      </c>
      <c r="AB78" s="29" t="str">
        <f>IF(AA78=0,"",IFERROR(AA78/AA$19,""))</f>
        <v/>
      </c>
      <c r="AD78" s="28"/>
      <c r="AE78" s="29" t="str">
        <f>IF(AD78=0,"",IFERROR(AD78/AD$19,""))</f>
        <v/>
      </c>
      <c r="AF78" s="48">
        <f t="shared" si="22"/>
        <v>0</v>
      </c>
      <c r="AG78" s="28"/>
      <c r="AH78" s="29" t="str">
        <f t="shared" si="3"/>
        <v/>
      </c>
      <c r="AI78" s="48">
        <f t="shared" si="23"/>
        <v>0</v>
      </c>
    </row>
    <row r="79" spans="3:35" x14ac:dyDescent="0.2">
      <c r="C79" s="23"/>
      <c r="H79" s="133" t="s">
        <v>329</v>
      </c>
      <c r="I79" s="25" t="e">
        <f ca="1">_xll.EVPRO($B$1,$H79,"STYLE")</f>
        <v>#NAME?</v>
      </c>
      <c r="J79" s="25" t="e">
        <f ca="1">_xll.EVPRO($B$1,$H79,"CALC")</f>
        <v>#NAME?</v>
      </c>
      <c r="K79" s="24"/>
      <c r="L79" s="24" t="e">
        <f ca="1">_xll.EVPRO($B$1,H79,"JDEID")</f>
        <v>#NAME?</v>
      </c>
      <c r="M79" s="24" t="e">
        <f ca="1">IF(AND(I79="N",J79="N"),_xll.EVPRO($B$1,H79,"PSFTID"),"")</f>
        <v>#NAME?</v>
      </c>
      <c r="N79" s="23" t="e">
        <f ca="1">IF(_xll.EVDES(H79,$B$1)="#NODATA","",_xll.EVDES(H79,$B$1))</f>
        <v>#NAME?</v>
      </c>
      <c r="O79" s="145"/>
      <c r="P79" s="145"/>
      <c r="Q79" s="145"/>
      <c r="R79" s="145"/>
      <c r="S79" s="145"/>
      <c r="T79" s="145"/>
      <c r="U79" s="145"/>
      <c r="V79" s="145"/>
      <c r="W79" s="145"/>
      <c r="X79" s="145"/>
      <c r="Y79" s="145"/>
      <c r="Z79" s="145"/>
      <c r="AA79" s="145">
        <f t="shared" si="21"/>
        <v>0</v>
      </c>
      <c r="AB79" s="156" t="str">
        <f>IF(AA79=0,"",IFERROR(AA79/AA$19,""))</f>
        <v/>
      </c>
      <c r="AD79" s="145"/>
      <c r="AE79" s="156" t="str">
        <f>IF(AD79=0,"",IFERROR(AD79/AD$19,""))</f>
        <v/>
      </c>
      <c r="AF79" s="146">
        <f t="shared" si="22"/>
        <v>0</v>
      </c>
      <c r="AG79" s="145"/>
      <c r="AH79" s="156" t="str">
        <f t="shared" si="3"/>
        <v/>
      </c>
      <c r="AI79" s="146">
        <f t="shared" si="23"/>
        <v>0</v>
      </c>
    </row>
    <row r="80" spans="3:35" x14ac:dyDescent="0.2">
      <c r="C80" s="23"/>
      <c r="H80" s="133" t="s">
        <v>300</v>
      </c>
      <c r="I80" s="25" t="e">
        <f ca="1">_xll.EVPRO($B$1,$H80,"STYLE")</f>
        <v>#NAME?</v>
      </c>
      <c r="J80" s="25" t="e">
        <f ca="1">_xll.EVPRO($B$1,$H80,"CALC")</f>
        <v>#NAME?</v>
      </c>
      <c r="K80" s="24"/>
      <c r="L80" s="24" t="e">
        <f ca="1">_xll.EVPRO($B$1,H80,"JDEID")</f>
        <v>#NAME?</v>
      </c>
      <c r="M80" s="24" t="e">
        <f ca="1">IF(AND(I80="N",J80="N"),_xll.EVPRO($B$1,H80,"PSFTID"),"")</f>
        <v>#NAME?</v>
      </c>
      <c r="N80" s="24" t="e">
        <f ca="1">IF(_xll.EVDES(H80,$B$1)="#NODATA","",_xll.EVDES(H80,$B$1))</f>
        <v>#NAME?</v>
      </c>
      <c r="O80" s="35"/>
      <c r="P80" s="35"/>
      <c r="Q80" s="35"/>
      <c r="R80" s="35"/>
      <c r="S80" s="35"/>
      <c r="T80" s="35"/>
      <c r="U80" s="35"/>
      <c r="V80" s="35"/>
      <c r="W80" s="35"/>
      <c r="X80" s="35"/>
      <c r="Y80" s="35"/>
      <c r="Z80" s="35"/>
      <c r="AA80" s="35">
        <f t="shared" si="21"/>
        <v>0</v>
      </c>
      <c r="AB80" s="36" t="str">
        <f>IF(AA80=0,"",IFERROR(AA80/AA$87,""))</f>
        <v/>
      </c>
      <c r="AD80" s="35"/>
      <c r="AE80" s="36" t="str">
        <f>IF(AD80=0,"",IFERROR(AD80/AD$87,""))</f>
        <v/>
      </c>
      <c r="AF80" s="118">
        <f t="shared" si="22"/>
        <v>0</v>
      </c>
      <c r="AG80" s="35"/>
      <c r="AH80" s="36" t="str">
        <f>IF(AG80=0,"",IFERROR(AG80/AG$87,""))</f>
        <v/>
      </c>
      <c r="AI80" s="118">
        <f t="shared" si="23"/>
        <v>0</v>
      </c>
    </row>
    <row r="81" spans="3:35" x14ac:dyDescent="0.2">
      <c r="C81" s="23"/>
      <c r="H81" s="133" t="s">
        <v>325</v>
      </c>
      <c r="I81" s="25" t="e">
        <f ca="1">_xll.EVPRO($B$1,$H81,"STYLE")</f>
        <v>#NAME?</v>
      </c>
      <c r="J81" s="25" t="e">
        <f ca="1">_xll.EVPRO($B$1,$H81,"CALC")</f>
        <v>#NAME?</v>
      </c>
      <c r="K81" s="24"/>
      <c r="L81" s="24" t="e">
        <f ca="1">_xll.EVPRO($B$1,H81,"JDEID")</f>
        <v>#NAME?</v>
      </c>
      <c r="M81" s="24" t="e">
        <f ca="1">IF(AND(I81="N",J81="N"),_xll.EVPRO($B$1,H81,"PSFTID"),"")</f>
        <v>#NAME?</v>
      </c>
      <c r="N81" s="151" t="e">
        <f ca="1">IF(_xll.EVDES(H81,$B$1)="#NODATA","",_xll.EVDES(H81,$B$1))</f>
        <v>#NAME?</v>
      </c>
      <c r="O81" s="157"/>
      <c r="P81" s="157"/>
      <c r="Q81" s="157"/>
      <c r="R81" s="157"/>
      <c r="S81" s="157"/>
      <c r="T81" s="157"/>
      <c r="U81" s="157"/>
      <c r="V81" s="157"/>
      <c r="W81" s="157"/>
      <c r="X81" s="157"/>
      <c r="Y81" s="157"/>
      <c r="Z81" s="157"/>
      <c r="AA81" s="157" t="str">
        <f>IFERROR(AA79/AA80,"")</f>
        <v/>
      </c>
      <c r="AB81" s="157"/>
      <c r="AD81" s="157"/>
      <c r="AE81" s="157"/>
      <c r="AF81" s="158" t="str">
        <f t="shared" si="22"/>
        <v/>
      </c>
      <c r="AG81" s="157"/>
      <c r="AH81" s="157"/>
      <c r="AI81" s="158" t="str">
        <f t="shared" si="23"/>
        <v/>
      </c>
    </row>
    <row r="82" spans="3:35" x14ac:dyDescent="0.2">
      <c r="C82" s="23"/>
      <c r="G82" s="162">
        <f>COUNTIF(O84:AI84,FALSE)</f>
        <v>0</v>
      </c>
      <c r="H82" s="10"/>
      <c r="I82" s="25"/>
      <c r="J82" s="25"/>
      <c r="K82" s="24"/>
      <c r="L82" s="24"/>
      <c r="M82" s="24"/>
      <c r="N82" s="163" t="s">
        <v>345</v>
      </c>
      <c r="O82" s="160">
        <f t="shared" ref="O82:AA82" si="24">ROUND(IFERROR(O79/O80,0),2)</f>
        <v>0</v>
      </c>
      <c r="P82" s="165">
        <f t="shared" si="24"/>
        <v>0</v>
      </c>
      <c r="Q82" s="165">
        <f t="shared" si="24"/>
        <v>0</v>
      </c>
      <c r="R82" s="165">
        <f t="shared" si="24"/>
        <v>0</v>
      </c>
      <c r="S82" s="165">
        <f t="shared" si="24"/>
        <v>0</v>
      </c>
      <c r="T82" s="165">
        <f t="shared" si="24"/>
        <v>0</v>
      </c>
      <c r="U82" s="165">
        <f t="shared" si="24"/>
        <v>0</v>
      </c>
      <c r="V82" s="165">
        <f t="shared" si="24"/>
        <v>0</v>
      </c>
      <c r="W82" s="165">
        <f t="shared" si="24"/>
        <v>0</v>
      </c>
      <c r="X82" s="165">
        <f t="shared" si="24"/>
        <v>0</v>
      </c>
      <c r="Y82" s="165">
        <f t="shared" si="24"/>
        <v>0</v>
      </c>
      <c r="Z82" s="165">
        <f t="shared" si="24"/>
        <v>0</v>
      </c>
      <c r="AA82" s="165">
        <f t="shared" si="24"/>
        <v>0</v>
      </c>
      <c r="AB82" s="164"/>
      <c r="AD82" s="160">
        <f>ROUND(IFERROR(AD79/AD80,0),2)</f>
        <v>0</v>
      </c>
      <c r="AE82" s="165"/>
      <c r="AF82" s="161"/>
      <c r="AG82" s="160">
        <f>ROUND(IFERROR(AG79/AG80,0),2)</f>
        <v>0</v>
      </c>
      <c r="AH82" s="165"/>
      <c r="AI82" s="161"/>
    </row>
    <row r="83" spans="3:35" x14ac:dyDescent="0.2">
      <c r="C83" s="23"/>
      <c r="H83" s="10" t="s">
        <v>486</v>
      </c>
      <c r="I83" s="25" t="e">
        <f ca="1">_xll.EVPRO($B$1,$H83,"STYLE")</f>
        <v>#NAME?</v>
      </c>
      <c r="J83" s="25" t="e">
        <f ca="1">_xll.EVPRO($B$1,$H83,"CALC")</f>
        <v>#NAME?</v>
      </c>
      <c r="K83" s="24"/>
      <c r="L83" s="24" t="e">
        <f ca="1">_xll.EVPRO($B$1,H83,"JDEID")</f>
        <v>#NAME?</v>
      </c>
      <c r="M83" s="24" t="e">
        <f ca="1">IF(AND(I83="N",J83="N"),_xll.EVPRO($B$1,H83,"PSFTID"),"")</f>
        <v>#NAME?</v>
      </c>
      <c r="N83" s="24" t="e">
        <f ca="1">IF(_xll.EVDES(H83,$B$1)="#NODATA","",_xll.EVDES(H83,$B$1))</f>
        <v>#NAME?</v>
      </c>
      <c r="O83" s="19"/>
      <c r="P83" s="19"/>
      <c r="Q83" s="19"/>
      <c r="R83" s="19"/>
      <c r="S83" s="19"/>
      <c r="T83" s="19"/>
      <c r="U83" s="19"/>
      <c r="V83" s="19"/>
      <c r="W83" s="19"/>
      <c r="X83" s="19"/>
      <c r="Y83" s="19"/>
      <c r="Z83" s="19"/>
      <c r="AA83" s="19">
        <f>SUM(O83:Z83)</f>
        <v>0</v>
      </c>
      <c r="AB83" s="15" t="str">
        <f>IF(AA83=0,"",IFERROR(AA83/AA$19,""))</f>
        <v/>
      </c>
      <c r="AD83" s="19"/>
      <c r="AE83" s="15" t="str">
        <f>IF(AD83=0,"",IFERROR(AD83/AD$19,""))</f>
        <v/>
      </c>
      <c r="AF83" s="47">
        <f>IF(AND($AA83="",AD83=""),"",$AA83-AD83)</f>
        <v>0</v>
      </c>
      <c r="AG83" s="19">
        <v>-373.61</v>
      </c>
      <c r="AH83" s="15" t="str">
        <f ca="1">IF(AG83=0,"",IFERROR(AG83/AG$19,""))</f>
        <v/>
      </c>
      <c r="AI83" s="47">
        <f>IF(AND($AA83="",AG83=""),"",$AA83-AG83)</f>
        <v>373.61</v>
      </c>
    </row>
    <row r="84" spans="3:35" x14ac:dyDescent="0.2">
      <c r="C84" s="23"/>
      <c r="H84" s="10"/>
      <c r="I84" s="25"/>
      <c r="J84" s="25"/>
      <c r="K84" s="24"/>
      <c r="L84" s="24"/>
      <c r="M84" s="24"/>
      <c r="N84" s="8" t="s">
        <v>348</v>
      </c>
      <c r="O84" s="292" t="b">
        <f t="shared" ref="O84:AA84" si="25">ROUND(O81,2)=ROUND(O82,2)</f>
        <v>1</v>
      </c>
      <c r="P84" s="293" t="b">
        <f t="shared" si="25"/>
        <v>1</v>
      </c>
      <c r="Q84" s="293" t="b">
        <f t="shared" si="25"/>
        <v>1</v>
      </c>
      <c r="R84" s="293" t="b">
        <f t="shared" si="25"/>
        <v>1</v>
      </c>
      <c r="S84" s="293" t="b">
        <f t="shared" si="25"/>
        <v>1</v>
      </c>
      <c r="T84" s="293" t="b">
        <f t="shared" si="25"/>
        <v>1</v>
      </c>
      <c r="U84" s="293" t="b">
        <f t="shared" si="25"/>
        <v>1</v>
      </c>
      <c r="V84" s="293" t="b">
        <f t="shared" si="25"/>
        <v>1</v>
      </c>
      <c r="W84" s="293" t="b">
        <f t="shared" si="25"/>
        <v>1</v>
      </c>
      <c r="X84" s="293" t="b">
        <f t="shared" si="25"/>
        <v>1</v>
      </c>
      <c r="Y84" s="293" t="b">
        <f t="shared" si="25"/>
        <v>1</v>
      </c>
      <c r="Z84" s="293" t="b">
        <f t="shared" si="25"/>
        <v>1</v>
      </c>
      <c r="AA84" s="293" t="e">
        <f t="shared" si="25"/>
        <v>#VALUE!</v>
      </c>
      <c r="AB84" s="294"/>
      <c r="AC84" s="206"/>
      <c r="AD84" s="292"/>
      <c r="AE84" s="293" t="b">
        <f>ROUND(AD81,2)=ROUND(AD82,2)</f>
        <v>1</v>
      </c>
      <c r="AF84" s="294"/>
      <c r="AG84" s="292"/>
      <c r="AH84" s="293" t="b">
        <f>ROUND(AG81,2)=ROUND(AG82,2)</f>
        <v>1</v>
      </c>
      <c r="AI84" s="294"/>
    </row>
    <row r="85" spans="3:35" x14ac:dyDescent="0.2">
      <c r="C85" s="23"/>
      <c r="H85" s="133" t="s">
        <v>273</v>
      </c>
      <c r="I85" s="25" t="e">
        <f ca="1">_xll.EVPRO($B$1,$H85,"STYLE")</f>
        <v>#NAME?</v>
      </c>
      <c r="J85" s="25" t="e">
        <f ca="1">_xll.EVPRO($B$1,$H85,"CALC")</f>
        <v>#NAME?</v>
      </c>
      <c r="L85" s="24" t="e">
        <f ca="1">_xll.EVPRO($B$1,H85,"JDEID")</f>
        <v>#NAME?</v>
      </c>
      <c r="M85" s="24" t="e">
        <f ca="1">IF(AND(I85="N",J85="N"),_xll.EVPRO($B$1,H85,"PSFTID"),"")</f>
        <v>#NAME?</v>
      </c>
      <c r="N85" s="24" t="e">
        <f ca="1">IF(_xll.EVDES(H85,$B$1)="#NODATA","",_xll.EVDES(H85,$B$1))</f>
        <v>#NAME?</v>
      </c>
      <c r="O85" s="152">
        <v>6918</v>
      </c>
      <c r="P85" s="152"/>
      <c r="Q85" s="152"/>
      <c r="R85" s="152"/>
      <c r="S85" s="152"/>
      <c r="T85" s="152"/>
      <c r="U85" s="152"/>
      <c r="V85" s="152"/>
      <c r="W85" s="152"/>
      <c r="X85" s="152"/>
      <c r="Y85" s="152"/>
      <c r="Z85" s="152"/>
      <c r="AA85" s="152">
        <f>SUM(O85:Z85)</f>
        <v>6918</v>
      </c>
      <c r="AB85" s="153" t="str">
        <f ca="1">IF(AA85=0,"",IFERROR(AA85/AA$19,""))</f>
        <v/>
      </c>
      <c r="AD85" s="152"/>
      <c r="AE85" s="153" t="str">
        <f>IF(AD85=0,"",IFERROR(AD85/AD$19,""))</f>
        <v/>
      </c>
      <c r="AF85" s="154">
        <f>IF(AND($AA85="",AD85=""),"",$AA85-AD85)</f>
        <v>6918</v>
      </c>
      <c r="AG85" s="152">
        <v>427356.07</v>
      </c>
      <c r="AH85" s="153" t="str">
        <f ca="1">IF(AG85=0,"",IFERROR(AG85/AG$19,""))</f>
        <v/>
      </c>
      <c r="AI85" s="154">
        <f>IF(AND($AA85="",AG85=""),"",$AA85-AG85)</f>
        <v>-420438.07</v>
      </c>
    </row>
    <row r="86" spans="3:35" x14ac:dyDescent="0.2">
      <c r="C86" s="23"/>
      <c r="H86" s="133" t="s">
        <v>767</v>
      </c>
      <c r="I86" s="25" t="e">
        <f ca="1">_xll.EVPRO($B$1,$H86,"STYLE")</f>
        <v>#NAME?</v>
      </c>
      <c r="J86" s="25" t="e">
        <f ca="1">_xll.EVPRO($B$1,$H86,"CALC")</f>
        <v>#NAME?</v>
      </c>
      <c r="L86" s="24" t="e">
        <f ca="1">_xll.EVPRO($B$1,H86,"JDEID")</f>
        <v>#NAME?</v>
      </c>
      <c r="M86" s="24" t="e">
        <f ca="1">IF(AND(I86="N",J86="N"),_xll.EVPRO($B$1,H86,"PSFTID"),"")</f>
        <v>#NAME?</v>
      </c>
      <c r="N86" s="24" t="e">
        <f ca="1">IF(_xll.EVDES(H86,$B$1)="#NODATA","",_xll.EVDES(H86,$B$1))</f>
        <v>#NAME?</v>
      </c>
      <c r="O86" s="152">
        <v>55</v>
      </c>
      <c r="P86" s="152"/>
      <c r="Q86" s="152"/>
      <c r="R86" s="152"/>
      <c r="S86" s="152"/>
      <c r="T86" s="152"/>
      <c r="U86" s="152"/>
      <c r="V86" s="152"/>
      <c r="W86" s="152"/>
      <c r="X86" s="152"/>
      <c r="Y86" s="152"/>
      <c r="Z86" s="152"/>
      <c r="AA86" s="152">
        <f>SUM(O86:Z86)</f>
        <v>55</v>
      </c>
      <c r="AB86" s="153"/>
      <c r="AD86" s="152"/>
      <c r="AE86" s="153"/>
      <c r="AF86" s="154">
        <f>IF(AND($AA86="",AD86=""),"",$AA86-AD86)</f>
        <v>55</v>
      </c>
      <c r="AG86" s="152">
        <v>605</v>
      </c>
      <c r="AH86" s="153"/>
      <c r="AI86" s="154">
        <f>IF(AND($AA86="",AG86=""),"",$AA86-AG86)</f>
        <v>-550</v>
      </c>
    </row>
    <row r="87" spans="3:35" x14ac:dyDescent="0.2">
      <c r="C87" s="23"/>
      <c r="H87" s="133" t="s">
        <v>331</v>
      </c>
      <c r="I87" s="25" t="e">
        <f ca="1">_xll.EVPRO($B$1,$H87,"STYLE")</f>
        <v>#NAME?</v>
      </c>
      <c r="J87" s="25" t="e">
        <f ca="1">_xll.EVPRO($B$1,$H87,"CALC")</f>
        <v>#NAME?</v>
      </c>
      <c r="L87" s="24" t="e">
        <f ca="1">_xll.EVPRO($B$1,H87,"JDEID")</f>
        <v>#NAME?</v>
      </c>
      <c r="M87" s="24" t="e">
        <f ca="1">IF(AND(I87="N",J87="N"),_xll.EVPRO($B$1,H87,"PSFTID"),"")</f>
        <v>#NAME?</v>
      </c>
      <c r="N87" s="24" t="e">
        <f ca="1">IF(_xll.EVDES(H87,$B$1)="#NODATA","",_xll.EVDES(H87,$B$1))</f>
        <v>#NAME?</v>
      </c>
      <c r="O87" s="152">
        <v>310</v>
      </c>
      <c r="P87" s="152"/>
      <c r="Q87" s="152"/>
      <c r="R87" s="152"/>
      <c r="S87" s="152"/>
      <c r="T87" s="152"/>
      <c r="U87" s="152"/>
      <c r="V87" s="152"/>
      <c r="W87" s="152"/>
      <c r="X87" s="152"/>
      <c r="Y87" s="152"/>
      <c r="Z87" s="152"/>
      <c r="AA87" s="152">
        <f>SUM(O87:Z87)</f>
        <v>310</v>
      </c>
      <c r="AB87" s="153" t="str">
        <f ca="1">IF(AA87=0,"",IFERROR(AA87/AA$20,""))</f>
        <v/>
      </c>
      <c r="AD87" s="152"/>
      <c r="AE87" s="153" t="str">
        <f>IF(AD87=0,"",IFERROR(AD87/AD$20,""))</f>
        <v/>
      </c>
      <c r="AF87" s="154">
        <f>IF(AND($AA87="",AD87=""),"",$AA87-AD87)</f>
        <v>310</v>
      </c>
      <c r="AG87" s="152">
        <v>15829</v>
      </c>
      <c r="AH87" s="153" t="str">
        <f ca="1">IF(AG87=0,"",IFERROR(AG87/AG$20,""))</f>
        <v/>
      </c>
      <c r="AI87" s="154">
        <f>IF(AND($AA87="",AG87=""),"",$AA87-AG87)</f>
        <v>-15519</v>
      </c>
    </row>
    <row r="88" spans="3:35" x14ac:dyDescent="0.2">
      <c r="C88" s="23"/>
      <c r="H88" s="133" t="s">
        <v>311</v>
      </c>
      <c r="I88" s="25" t="e">
        <f ca="1">_xll.EVPRO($B$1,$H88,"STYLE")</f>
        <v>#NAME?</v>
      </c>
      <c r="J88" s="25" t="e">
        <f ca="1">_xll.EVPRO($B$1,$H88,"CALC")</f>
        <v>#NAME?</v>
      </c>
      <c r="L88" s="24"/>
      <c r="M88" s="24"/>
      <c r="N88" s="24" t="e">
        <f ca="1">IF(_xll.EVDES(H88,$B$1)="#NODATA","",_xll.EVDES(H88,$B$1))</f>
        <v>#NAME?</v>
      </c>
      <c r="O88" s="157">
        <v>22.3161290322581</v>
      </c>
      <c r="P88" s="157"/>
      <c r="Q88" s="157"/>
      <c r="R88" s="157"/>
      <c r="S88" s="157"/>
      <c r="T88" s="157"/>
      <c r="U88" s="157"/>
      <c r="V88" s="157"/>
      <c r="W88" s="157"/>
      <c r="X88" s="157"/>
      <c r="Y88" s="157"/>
      <c r="Z88" s="157"/>
      <c r="AA88" s="157">
        <f>IFERROR(AA85/AA87,"")</f>
        <v>22.316129032258065</v>
      </c>
      <c r="AB88" s="157"/>
      <c r="AD88" s="157"/>
      <c r="AE88" s="157"/>
      <c r="AF88" s="158">
        <f>IF(AND($AA88="",AD88=""),"",$AA88-AD88)</f>
        <v>22.316129032258065</v>
      </c>
      <c r="AG88" s="157">
        <v>26.9982986922737</v>
      </c>
      <c r="AH88" s="157"/>
      <c r="AI88" s="158">
        <f>IF(AND($AA88="",AG88=""),"",$AA88-AG88)</f>
        <v>-4.6821696600156351</v>
      </c>
    </row>
    <row r="89" spans="3:35" x14ac:dyDescent="0.2">
      <c r="C89" s="23"/>
      <c r="H89" s="133"/>
      <c r="I89" s="25"/>
      <c r="J89" s="25"/>
      <c r="L89" s="24"/>
      <c r="M89" s="24"/>
      <c r="N89" s="24"/>
      <c r="O89" s="38"/>
      <c r="P89" s="42"/>
      <c r="Q89" s="42"/>
      <c r="R89" s="42"/>
      <c r="S89" s="42"/>
      <c r="T89" s="42"/>
      <c r="U89" s="42"/>
      <c r="V89" s="42"/>
      <c r="W89" s="42"/>
      <c r="X89" s="42"/>
      <c r="Y89" s="42"/>
      <c r="Z89" s="42"/>
      <c r="AA89" s="42"/>
      <c r="AB89" s="39"/>
      <c r="AD89" s="38"/>
      <c r="AE89" s="42"/>
      <c r="AF89" s="39"/>
      <c r="AG89" s="38"/>
      <c r="AH89" s="42"/>
      <c r="AI89" s="39"/>
    </row>
    <row r="90" spans="3:35" x14ac:dyDescent="0.2">
      <c r="C90" s="23"/>
      <c r="H90" s="133"/>
      <c r="I90" s="25"/>
      <c r="J90" s="25"/>
      <c r="L90" s="24"/>
      <c r="M90" s="24"/>
      <c r="N90" s="8" t="s">
        <v>334</v>
      </c>
      <c r="O90" s="40"/>
      <c r="P90" s="43"/>
      <c r="Q90" s="43"/>
      <c r="R90" s="43"/>
      <c r="S90" s="43"/>
      <c r="T90" s="43"/>
      <c r="U90" s="43"/>
      <c r="V90" s="43"/>
      <c r="W90" s="43"/>
      <c r="X90" s="43"/>
      <c r="Y90" s="43"/>
      <c r="Z90" s="43"/>
      <c r="AA90" s="43"/>
      <c r="AB90" s="41"/>
      <c r="AD90" s="40"/>
      <c r="AE90" s="43"/>
      <c r="AF90" s="41"/>
      <c r="AG90" s="40"/>
      <c r="AH90" s="43"/>
      <c r="AI90" s="41"/>
    </row>
    <row r="91" spans="3:35" hidden="1" outlineLevel="1" x14ac:dyDescent="0.2">
      <c r="C91" s="23"/>
      <c r="H91" s="133" t="s">
        <v>332</v>
      </c>
      <c r="I91" s="25" t="e">
        <f ca="1">_xll.EVPRO($B$1,$H91,"STYLE")</f>
        <v>#NAME?</v>
      </c>
      <c r="J91" s="25" t="e">
        <f ca="1">_xll.EVPRO($B$1,$H91,"CALC")</f>
        <v>#NAME?</v>
      </c>
      <c r="L91" s="24"/>
      <c r="M91" s="24"/>
      <c r="N91" s="24" t="e">
        <f ca="1">IF(_xll.EVDES(H91,$B$1)="#NODATA","",_xll.EVDES(H91,$B$1))</f>
        <v>#NAME?</v>
      </c>
      <c r="O91" s="19"/>
      <c r="P91" s="19"/>
      <c r="Q91" s="19"/>
      <c r="R91" s="19"/>
      <c r="S91" s="19"/>
      <c r="T91" s="19"/>
      <c r="U91" s="19"/>
      <c r="V91" s="19"/>
      <c r="W91" s="19"/>
      <c r="X91" s="19"/>
      <c r="Y91" s="19"/>
      <c r="Z91" s="19"/>
      <c r="AA91" s="19">
        <f>SUM(O91:Z91)</f>
        <v>0</v>
      </c>
      <c r="AB91" s="15"/>
      <c r="AD91" s="19"/>
      <c r="AE91" s="15"/>
      <c r="AF91" s="47">
        <f>IF(AND($AA91="",AD91=""),"",$AA91-AD91)</f>
        <v>0</v>
      </c>
      <c r="AG91" s="19"/>
      <c r="AH91" s="15"/>
      <c r="AI91" s="47">
        <f>IF(AND($AA91="",AG91=""),"",$AA91-AG91)</f>
        <v>0</v>
      </c>
    </row>
    <row r="92" spans="3:35" hidden="1" outlineLevel="1" x14ac:dyDescent="0.2">
      <c r="C92" s="23"/>
      <c r="H92" s="133" t="s">
        <v>333</v>
      </c>
      <c r="I92" s="25" t="e">
        <f ca="1">_xll.EVPRO($B$1,$H92,"STYLE")</f>
        <v>#NAME?</v>
      </c>
      <c r="J92" s="25" t="e">
        <f ca="1">_xll.EVPRO($B$1,$H92,"CALC")</f>
        <v>#NAME?</v>
      </c>
      <c r="L92" s="24"/>
      <c r="M92" s="24"/>
      <c r="N92" s="24" t="e">
        <f ca="1">IF(_xll.EVDES(H92,$B$1)="#NODATA","",_xll.EVDES(H92,$B$1))</f>
        <v>#NAME?</v>
      </c>
      <c r="O92" s="19"/>
      <c r="P92" s="19"/>
      <c r="Q92" s="19"/>
      <c r="R92" s="19"/>
      <c r="S92" s="19"/>
      <c r="T92" s="19"/>
      <c r="U92" s="19"/>
      <c r="V92" s="19"/>
      <c r="W92" s="19"/>
      <c r="X92" s="19"/>
      <c r="Y92" s="19"/>
      <c r="Z92" s="19"/>
      <c r="AA92" s="19">
        <f>SUM(O92:Z92)</f>
        <v>0</v>
      </c>
      <c r="AB92" s="15"/>
      <c r="AD92" s="19"/>
      <c r="AE92" s="15"/>
      <c r="AF92" s="47">
        <f>IF(AND($AA92="",AD92=""),"",$AA92-AD92)</f>
        <v>0</v>
      </c>
      <c r="AG92" s="19"/>
      <c r="AH92" s="15"/>
      <c r="AI92" s="47">
        <f>IF(AND($AA92="",AG92=""),"",$AA92-AG92)</f>
        <v>0</v>
      </c>
    </row>
    <row r="93" spans="3:35" collapsed="1" x14ac:dyDescent="0.2">
      <c r="C93" s="23"/>
      <c r="H93" s="133"/>
      <c r="I93" s="25"/>
      <c r="J93" s="25"/>
      <c r="L93" s="24"/>
      <c r="M93" s="24"/>
      <c r="N93" s="24" t="s">
        <v>335</v>
      </c>
      <c r="O93" s="159" t="str">
        <f t="shared" ref="O93:AA93" si="26">IFERROR(O$87/O91,"")</f>
        <v/>
      </c>
      <c r="P93" s="159" t="str">
        <f t="shared" si="26"/>
        <v/>
      </c>
      <c r="Q93" s="159" t="str">
        <f t="shared" si="26"/>
        <v/>
      </c>
      <c r="R93" s="159" t="str">
        <f t="shared" si="26"/>
        <v/>
      </c>
      <c r="S93" s="159" t="str">
        <f t="shared" si="26"/>
        <v/>
      </c>
      <c r="T93" s="159" t="str">
        <f t="shared" si="26"/>
        <v/>
      </c>
      <c r="U93" s="159" t="str">
        <f t="shared" si="26"/>
        <v/>
      </c>
      <c r="V93" s="159" t="str">
        <f t="shared" si="26"/>
        <v/>
      </c>
      <c r="W93" s="159" t="str">
        <f t="shared" si="26"/>
        <v/>
      </c>
      <c r="X93" s="159" t="str">
        <f t="shared" si="26"/>
        <v/>
      </c>
      <c r="Y93" s="159" t="str">
        <f t="shared" si="26"/>
        <v/>
      </c>
      <c r="Z93" s="159" t="str">
        <f t="shared" si="26"/>
        <v/>
      </c>
      <c r="AA93" s="159" t="str">
        <f t="shared" si="26"/>
        <v/>
      </c>
      <c r="AB93" s="124"/>
      <c r="AD93" s="159" t="str">
        <f>IFERROR(AD$87/AD91,"")</f>
        <v/>
      </c>
      <c r="AE93" s="124"/>
      <c r="AF93" s="125" t="str">
        <f>IF(AND($AA93="",AD93=""),"",$AA93-AD93)</f>
        <v/>
      </c>
      <c r="AG93" s="159" t="str">
        <f>IFERROR(AG$87/AG91,"")</f>
        <v/>
      </c>
      <c r="AH93" s="124"/>
      <c r="AI93" s="125" t="str">
        <f>IF(AND($AA93="",AG93=""),"",$AA93-AG93)</f>
        <v/>
      </c>
    </row>
    <row r="94" spans="3:35" x14ac:dyDescent="0.2">
      <c r="C94" s="23"/>
      <c r="H94" s="133"/>
      <c r="I94" s="25"/>
      <c r="J94" s="25"/>
      <c r="L94" s="24"/>
      <c r="M94" s="24"/>
      <c r="N94" s="24" t="s">
        <v>336</v>
      </c>
      <c r="O94" s="159" t="str">
        <f t="shared" ref="O94:AA94" si="27">IFERROR(O$87/O92,"")</f>
        <v/>
      </c>
      <c r="P94" s="159" t="str">
        <f t="shared" si="27"/>
        <v/>
      </c>
      <c r="Q94" s="159" t="str">
        <f t="shared" si="27"/>
        <v/>
      </c>
      <c r="R94" s="159" t="str">
        <f t="shared" si="27"/>
        <v/>
      </c>
      <c r="S94" s="159" t="str">
        <f t="shared" si="27"/>
        <v/>
      </c>
      <c r="T94" s="159" t="str">
        <f t="shared" si="27"/>
        <v/>
      </c>
      <c r="U94" s="159" t="str">
        <f t="shared" si="27"/>
        <v/>
      </c>
      <c r="V94" s="159" t="str">
        <f t="shared" si="27"/>
        <v/>
      </c>
      <c r="W94" s="159" t="str">
        <f t="shared" si="27"/>
        <v/>
      </c>
      <c r="X94" s="159" t="str">
        <f t="shared" si="27"/>
        <v/>
      </c>
      <c r="Y94" s="159" t="str">
        <f t="shared" si="27"/>
        <v/>
      </c>
      <c r="Z94" s="159" t="str">
        <f t="shared" si="27"/>
        <v/>
      </c>
      <c r="AA94" s="159" t="str">
        <f t="shared" si="27"/>
        <v/>
      </c>
      <c r="AB94" s="124"/>
      <c r="AD94" s="159" t="str">
        <f>IFERROR(AD$87/AD92,"")</f>
        <v/>
      </c>
      <c r="AE94" s="124"/>
      <c r="AF94" s="125" t="str">
        <f>IF(AND($AA94="",AD94=""),"",$AA94-AD94)</f>
        <v/>
      </c>
      <c r="AG94" s="159" t="str">
        <f>IFERROR(AG$87/AG92,"")</f>
        <v/>
      </c>
      <c r="AH94" s="124"/>
      <c r="AI94" s="125" t="str">
        <f>IF(AND($AA94="",AG94=""),"",$AA94-AG94)</f>
        <v/>
      </c>
    </row>
    <row r="95" spans="3:35" x14ac:dyDescent="0.2">
      <c r="C95" s="23"/>
      <c r="H95" s="133"/>
      <c r="I95" s="25"/>
      <c r="J95" s="25"/>
      <c r="L95" s="24"/>
      <c r="M95" s="24"/>
      <c r="N95" s="24"/>
      <c r="O95" s="144"/>
      <c r="P95" s="147"/>
      <c r="Q95" s="147"/>
      <c r="R95" s="147"/>
      <c r="S95" s="147"/>
      <c r="T95" s="147"/>
      <c r="U95" s="147"/>
      <c r="V95" s="147"/>
      <c r="W95" s="147"/>
      <c r="X95" s="147"/>
      <c r="Y95" s="147"/>
      <c r="Z95" s="147"/>
      <c r="AA95" s="147"/>
      <c r="AB95" s="51"/>
      <c r="AD95" s="50"/>
      <c r="AF95" s="51"/>
      <c r="AI95" s="51"/>
    </row>
    <row r="96" spans="3:35" x14ac:dyDescent="0.2">
      <c r="C96" s="23"/>
      <c r="H96" s="133"/>
      <c r="I96" s="25"/>
      <c r="J96" s="25"/>
      <c r="L96" s="24"/>
      <c r="M96" s="24"/>
      <c r="N96" s="8" t="s">
        <v>343</v>
      </c>
      <c r="O96" s="50"/>
      <c r="AB96" s="149"/>
      <c r="AD96" s="148"/>
      <c r="AE96" s="150"/>
      <c r="AF96" s="51"/>
      <c r="AH96" s="150"/>
      <c r="AI96" s="51"/>
    </row>
    <row r="97" spans="3:35" x14ac:dyDescent="0.2">
      <c r="C97" s="23"/>
      <c r="H97" s="133"/>
      <c r="I97" s="25"/>
      <c r="J97" s="25"/>
      <c r="L97" s="24"/>
      <c r="M97" s="24"/>
      <c r="N97" s="8" t="s">
        <v>337</v>
      </c>
      <c r="O97" s="40"/>
      <c r="P97" s="43"/>
      <c r="Q97" s="43"/>
      <c r="R97" s="43"/>
      <c r="S97" s="43"/>
      <c r="T97" s="43"/>
      <c r="U97" s="43"/>
      <c r="V97" s="43"/>
      <c r="W97" s="43"/>
      <c r="X97" s="43"/>
      <c r="Y97" s="43"/>
      <c r="Z97" s="43"/>
      <c r="AA97" s="43"/>
      <c r="AB97" s="41"/>
      <c r="AD97" s="40"/>
      <c r="AE97" s="43"/>
      <c r="AF97" s="41"/>
      <c r="AG97" s="43"/>
      <c r="AH97" s="43"/>
      <c r="AI97" s="41"/>
    </row>
    <row r="98" spans="3:35" x14ac:dyDescent="0.2">
      <c r="C98" s="23"/>
      <c r="H98" s="133" t="s">
        <v>294</v>
      </c>
      <c r="I98" s="25"/>
      <c r="J98" s="25"/>
      <c r="L98" s="24" t="e">
        <f ca="1">_xll.EVPRO($B$1,H98,"JDEID")</f>
        <v>#NAME?</v>
      </c>
      <c r="M98" s="24" t="str">
        <f>IF(AND(I98="N",J98="N"),_xll.EVPRO($B$1,H98,"PSFTID"),"")</f>
        <v/>
      </c>
      <c r="N98" s="24" t="e">
        <f ca="1">IF(_xll.EVDES(H98,$B$1)="#NODATA","",_xll.EVDES(H98,$B$1))</f>
        <v>#NAME?</v>
      </c>
      <c r="O98" s="19"/>
      <c r="P98" s="19"/>
      <c r="Q98" s="19"/>
      <c r="R98" s="19"/>
      <c r="S98" s="19"/>
      <c r="T98" s="19"/>
      <c r="U98" s="19"/>
      <c r="V98" s="19"/>
      <c r="W98" s="19"/>
      <c r="X98" s="19"/>
      <c r="Y98" s="19"/>
      <c r="Z98" s="19"/>
      <c r="AA98" s="19">
        <f t="shared" ref="AA98:AA103" si="28">SUM(O98:Z98)</f>
        <v>0</v>
      </c>
      <c r="AB98" s="15" t="str">
        <f t="shared" ref="AB98:AB103" si="29">IF(AA98=0,"",IFERROR(AA98/AA$19,""))</f>
        <v/>
      </c>
      <c r="AD98" s="19"/>
      <c r="AE98" s="15" t="str">
        <f t="shared" ref="AE98:AE103" si="30">IF(AD98=0,"",IFERROR(AD98/AD$19,""))</f>
        <v/>
      </c>
      <c r="AF98" s="47">
        <f t="shared" ref="AF98:AF103" si="31">IF(AND($AA98="",AD98=""),"",$AA98-AD98)</f>
        <v>0</v>
      </c>
      <c r="AG98" s="19"/>
      <c r="AH98" s="15" t="str">
        <f t="shared" ref="AH98:AH103" si="32">IF(AG98=0,"",IFERROR(AG98/AG$19,""))</f>
        <v/>
      </c>
      <c r="AI98" s="47">
        <f t="shared" ref="AI98:AI103" si="33">IF(AND($AA98="",AG98=""),"",$AA98-AG98)</f>
        <v>0</v>
      </c>
    </row>
    <row r="99" spans="3:35" x14ac:dyDescent="0.2">
      <c r="C99" s="23"/>
      <c r="H99" s="133" t="s">
        <v>301</v>
      </c>
      <c r="I99" s="25"/>
      <c r="J99" s="25"/>
      <c r="L99" s="24" t="e">
        <f ca="1">_xll.EVPRO($B$1,H99,"JDEID")</f>
        <v>#NAME?</v>
      </c>
      <c r="M99" s="24" t="str">
        <f>IF(AND(I99="N",J99="N"),_xll.EVPRO($B$1,H99,"PSFTID"),"")</f>
        <v/>
      </c>
      <c r="N99" s="24" t="e">
        <f ca="1">IF(_xll.EVDES(H99,$B$1)="#NODATA","",_xll.EVDES(H99,$B$1))</f>
        <v>#NAME?</v>
      </c>
      <c r="O99" s="19"/>
      <c r="P99" s="19"/>
      <c r="Q99" s="19"/>
      <c r="R99" s="19"/>
      <c r="S99" s="19"/>
      <c r="T99" s="19"/>
      <c r="U99" s="19"/>
      <c r="V99" s="19"/>
      <c r="W99" s="19"/>
      <c r="X99" s="19"/>
      <c r="Y99" s="19"/>
      <c r="Z99" s="19"/>
      <c r="AA99" s="19">
        <f t="shared" si="28"/>
        <v>0</v>
      </c>
      <c r="AB99" s="15" t="str">
        <f t="shared" si="29"/>
        <v/>
      </c>
      <c r="AD99" s="19"/>
      <c r="AE99" s="15" t="str">
        <f t="shared" si="30"/>
        <v/>
      </c>
      <c r="AF99" s="47">
        <f t="shared" si="31"/>
        <v>0</v>
      </c>
      <c r="AG99" s="19"/>
      <c r="AH99" s="15" t="str">
        <f t="shared" si="32"/>
        <v/>
      </c>
      <c r="AI99" s="47">
        <f t="shared" si="33"/>
        <v>0</v>
      </c>
    </row>
    <row r="100" spans="3:35" x14ac:dyDescent="0.2">
      <c r="C100" s="23"/>
      <c r="H100" s="133" t="s">
        <v>302</v>
      </c>
      <c r="I100" s="25"/>
      <c r="J100" s="25"/>
      <c r="L100" s="24" t="e">
        <f ca="1">_xll.EVPRO($B$1,H100,"JDEID")</f>
        <v>#NAME?</v>
      </c>
      <c r="M100" s="24" t="str">
        <f>IF(AND(I100="N",J100="N"),_xll.EVPRO($B$1,H100,"PSFTID"),"")</f>
        <v/>
      </c>
      <c r="N100" s="24" t="e">
        <f ca="1">IF(_xll.EVDES(H100,$B$1)="#NODATA","",_xll.EVDES(H100,$B$1))</f>
        <v>#NAME?</v>
      </c>
      <c r="O100" s="19"/>
      <c r="P100" s="19"/>
      <c r="Q100" s="19"/>
      <c r="R100" s="19"/>
      <c r="S100" s="19"/>
      <c r="T100" s="19"/>
      <c r="U100" s="19"/>
      <c r="V100" s="19"/>
      <c r="W100" s="19"/>
      <c r="X100" s="19"/>
      <c r="Y100" s="19"/>
      <c r="Z100" s="19"/>
      <c r="AA100" s="19">
        <f t="shared" si="28"/>
        <v>0</v>
      </c>
      <c r="AB100" s="15" t="str">
        <f t="shared" si="29"/>
        <v/>
      </c>
      <c r="AD100" s="19"/>
      <c r="AE100" s="15" t="str">
        <f t="shared" si="30"/>
        <v/>
      </c>
      <c r="AF100" s="47">
        <f t="shared" si="31"/>
        <v>0</v>
      </c>
      <c r="AG100" s="19"/>
      <c r="AH100" s="15" t="str">
        <f t="shared" si="32"/>
        <v/>
      </c>
      <c r="AI100" s="47">
        <f t="shared" si="33"/>
        <v>0</v>
      </c>
    </row>
    <row r="101" spans="3:35" x14ac:dyDescent="0.2">
      <c r="C101" s="23"/>
      <c r="H101" s="133" t="s">
        <v>308</v>
      </c>
      <c r="I101" s="25"/>
      <c r="J101" s="25"/>
      <c r="L101" s="24" t="e">
        <f ca="1">_xll.EVPRO($B$1,H101,"JDEID")</f>
        <v>#NAME?</v>
      </c>
      <c r="M101" s="24" t="str">
        <f>IF(AND(I101="N",J101="N"),_xll.EVPRO($B$1,H101,"PSFTID"),"")</f>
        <v/>
      </c>
      <c r="N101" s="24" t="e">
        <f ca="1">IF(_xll.EVDES(H101,$B$1)="#NODATA","",_xll.EVDES(H101,$B$1))</f>
        <v>#NAME?</v>
      </c>
      <c r="O101" s="19">
        <v>3457</v>
      </c>
      <c r="P101" s="19"/>
      <c r="Q101" s="19"/>
      <c r="R101" s="19"/>
      <c r="S101" s="19"/>
      <c r="T101" s="19"/>
      <c r="U101" s="19"/>
      <c r="V101" s="19"/>
      <c r="W101" s="19"/>
      <c r="X101" s="19"/>
      <c r="Y101" s="19"/>
      <c r="Z101" s="19"/>
      <c r="AA101" s="19">
        <f t="shared" si="28"/>
        <v>3457</v>
      </c>
      <c r="AB101" s="15" t="str">
        <f t="shared" ca="1" si="29"/>
        <v/>
      </c>
      <c r="AD101" s="19"/>
      <c r="AE101" s="15" t="str">
        <f t="shared" si="30"/>
        <v/>
      </c>
      <c r="AF101" s="47">
        <f t="shared" si="31"/>
        <v>3457</v>
      </c>
      <c r="AG101" s="19">
        <v>206365.51</v>
      </c>
      <c r="AH101" s="15" t="str">
        <f t="shared" ca="1" si="32"/>
        <v/>
      </c>
      <c r="AI101" s="47">
        <f t="shared" si="33"/>
        <v>-202908.51</v>
      </c>
    </row>
    <row r="102" spans="3:35" x14ac:dyDescent="0.2">
      <c r="C102" s="23"/>
      <c r="H102" s="133" t="s">
        <v>321</v>
      </c>
      <c r="I102" s="25"/>
      <c r="J102" s="25"/>
      <c r="L102" s="24" t="e">
        <f ca="1">_xll.EVPRO($B$1,H102,"JDEID")</f>
        <v>#NAME?</v>
      </c>
      <c r="M102" s="24" t="str">
        <f>IF(AND(I102="N",J102="N"),_xll.EVPRO($B$1,H102,"PSFTID"),"")</f>
        <v/>
      </c>
      <c r="N102" s="24" t="e">
        <f ca="1">IF(_xll.EVDES(H102,$B$1)="#NODATA","",_xll.EVDES(H102,$B$1))</f>
        <v>#NAME?</v>
      </c>
      <c r="O102" s="19"/>
      <c r="P102" s="19"/>
      <c r="Q102" s="19"/>
      <c r="R102" s="19"/>
      <c r="S102" s="19"/>
      <c r="T102" s="19"/>
      <c r="U102" s="19"/>
      <c r="V102" s="19"/>
      <c r="W102" s="19"/>
      <c r="X102" s="19"/>
      <c r="Y102" s="19"/>
      <c r="Z102" s="19"/>
      <c r="AA102" s="19">
        <f t="shared" si="28"/>
        <v>0</v>
      </c>
      <c r="AB102" s="15" t="str">
        <f t="shared" si="29"/>
        <v/>
      </c>
      <c r="AD102" s="19"/>
      <c r="AE102" s="15" t="str">
        <f t="shared" si="30"/>
        <v/>
      </c>
      <c r="AF102" s="47">
        <f t="shared" si="31"/>
        <v>0</v>
      </c>
      <c r="AG102" s="19"/>
      <c r="AH102" s="15" t="str">
        <f t="shared" si="32"/>
        <v/>
      </c>
      <c r="AI102" s="47">
        <f t="shared" si="33"/>
        <v>0</v>
      </c>
    </row>
    <row r="103" spans="3:35" x14ac:dyDescent="0.2">
      <c r="C103" s="23"/>
      <c r="H103" s="133" t="s">
        <v>340</v>
      </c>
      <c r="I103" s="25"/>
      <c r="J103" s="25"/>
      <c r="L103" s="24" t="e">
        <f ca="1">_xll.EVPRO($B$1,H103,"JDEID")</f>
        <v>#NAME?</v>
      </c>
      <c r="M103" s="24" t="str">
        <f>IF(AND(I103="N",J103="N"),_xll.EVPRO($B$1,H103,"PSFTID"),"")</f>
        <v/>
      </c>
      <c r="N103" s="23" t="e">
        <f ca="1">IF(_xll.EVDES(H103,$B$1)="#NODATA","",_xll.EVDES(H103,$B$1))</f>
        <v>#NAME?</v>
      </c>
      <c r="O103" s="145">
        <v>3457</v>
      </c>
      <c r="P103" s="145"/>
      <c r="Q103" s="145"/>
      <c r="R103" s="145"/>
      <c r="S103" s="145"/>
      <c r="T103" s="145"/>
      <c r="U103" s="145"/>
      <c r="V103" s="145"/>
      <c r="W103" s="145"/>
      <c r="X103" s="145"/>
      <c r="Y103" s="145"/>
      <c r="Z103" s="145"/>
      <c r="AA103" s="145">
        <f t="shared" si="28"/>
        <v>3457</v>
      </c>
      <c r="AB103" s="156" t="str">
        <f t="shared" ca="1" si="29"/>
        <v/>
      </c>
      <c r="AD103" s="145"/>
      <c r="AE103" s="156" t="str">
        <f t="shared" si="30"/>
        <v/>
      </c>
      <c r="AF103" s="146">
        <f t="shared" si="31"/>
        <v>3457</v>
      </c>
      <c r="AG103" s="145">
        <v>206365.51</v>
      </c>
      <c r="AH103" s="156" t="str">
        <f t="shared" ca="1" si="32"/>
        <v/>
      </c>
      <c r="AI103" s="146">
        <f t="shared" si="33"/>
        <v>-202908.51</v>
      </c>
    </row>
    <row r="104" spans="3:35" x14ac:dyDescent="0.2">
      <c r="C104" s="23"/>
      <c r="H104" s="133"/>
      <c r="I104" s="25"/>
      <c r="J104" s="25"/>
      <c r="L104" s="24"/>
      <c r="M104" s="24"/>
      <c r="N104" s="8"/>
      <c r="O104" s="38"/>
      <c r="P104" s="42"/>
      <c r="Q104" s="42"/>
      <c r="R104" s="42"/>
      <c r="S104" s="42"/>
      <c r="T104" s="42"/>
      <c r="U104" s="42"/>
      <c r="V104" s="42"/>
      <c r="W104" s="42"/>
      <c r="X104" s="42"/>
      <c r="Y104" s="42"/>
      <c r="Z104" s="42"/>
      <c r="AA104" s="42"/>
      <c r="AB104" s="39"/>
      <c r="AD104" s="38"/>
      <c r="AE104" s="42"/>
      <c r="AF104" s="39"/>
      <c r="AG104" s="38"/>
      <c r="AH104" s="42"/>
      <c r="AI104" s="39"/>
    </row>
    <row r="105" spans="3:35" x14ac:dyDescent="0.2">
      <c r="C105" s="23"/>
      <c r="H105" s="133"/>
      <c r="I105" s="25"/>
      <c r="J105" s="25"/>
      <c r="L105" s="24"/>
      <c r="M105" s="24"/>
      <c r="N105" s="8" t="s">
        <v>339</v>
      </c>
      <c r="O105" s="40"/>
      <c r="P105" s="43"/>
      <c r="Q105" s="43"/>
      <c r="R105" s="43"/>
      <c r="S105" s="43"/>
      <c r="T105" s="43"/>
      <c r="U105" s="43"/>
      <c r="V105" s="43"/>
      <c r="W105" s="43"/>
      <c r="X105" s="43"/>
      <c r="Y105" s="43"/>
      <c r="Z105" s="43"/>
      <c r="AA105" s="43"/>
      <c r="AB105" s="41"/>
      <c r="AD105" s="40"/>
      <c r="AE105" s="43"/>
      <c r="AF105" s="41"/>
      <c r="AG105" s="40"/>
      <c r="AH105" s="43"/>
      <c r="AI105" s="41"/>
    </row>
    <row r="106" spans="3:35" x14ac:dyDescent="0.2">
      <c r="C106" s="23"/>
      <c r="H106" s="133" t="s">
        <v>295</v>
      </c>
      <c r="I106" s="25"/>
      <c r="J106" s="25"/>
      <c r="L106" s="24" t="e">
        <f ca="1">_xll.EVPRO($B$1,H106,"JDEID")</f>
        <v>#NAME?</v>
      </c>
      <c r="M106" s="24" t="str">
        <f>IF(AND(I106="N",J106="N"),_xll.EVPRO($B$1,H106,"PSFTID"),"")</f>
        <v/>
      </c>
      <c r="N106" s="24" t="e">
        <f ca="1">IF(_xll.EVDES(H106,$B$1)="#NODATA","",_xll.EVDES(H106,$B$1))</f>
        <v>#NAME?</v>
      </c>
      <c r="O106" s="19"/>
      <c r="P106" s="19"/>
      <c r="Q106" s="19"/>
      <c r="R106" s="19"/>
      <c r="S106" s="19"/>
      <c r="T106" s="19"/>
      <c r="U106" s="19"/>
      <c r="V106" s="19"/>
      <c r="W106" s="19"/>
      <c r="X106" s="19"/>
      <c r="Y106" s="19"/>
      <c r="Z106" s="19"/>
      <c r="AA106" s="19">
        <f t="shared" ref="AA106:AA111" si="34">SUM(O106:Z106)</f>
        <v>0</v>
      </c>
      <c r="AB106" s="15" t="str">
        <f t="shared" ref="AB106:AB111" si="35">IF(AA106=0,"",IFERROR(AA106/AA$19,""))</f>
        <v/>
      </c>
      <c r="AD106" s="19"/>
      <c r="AE106" s="15" t="str">
        <f t="shared" ref="AE106:AE111" si="36">IF(AD106=0,"",IFERROR(AD106/AD$19,""))</f>
        <v/>
      </c>
      <c r="AF106" s="47">
        <f t="shared" ref="AF106:AF111" si="37">IF(AND($AA106="",AD106=""),"",$AA106-AD106)</f>
        <v>0</v>
      </c>
      <c r="AG106" s="19"/>
      <c r="AH106" s="15" t="str">
        <f t="shared" ref="AH106:AH111" si="38">IF(AG106=0,"",IFERROR(AG106/AG$19,""))</f>
        <v/>
      </c>
      <c r="AI106" s="47">
        <f t="shared" ref="AI106:AI111" si="39">IF(AND($AA106="",AG106=""),"",$AA106-AG106)</f>
        <v>0</v>
      </c>
    </row>
    <row r="107" spans="3:35" x14ac:dyDescent="0.2">
      <c r="C107" s="23"/>
      <c r="H107" s="133" t="s">
        <v>305</v>
      </c>
      <c r="I107" s="25"/>
      <c r="J107" s="25"/>
      <c r="L107" s="24" t="e">
        <f ca="1">_xll.EVPRO($B$1,H107,"JDEID")</f>
        <v>#NAME?</v>
      </c>
      <c r="M107" s="24" t="str">
        <f>IF(AND(I107="N",J107="N"),_xll.EVPRO($B$1,H107,"PSFTID"),"")</f>
        <v/>
      </c>
      <c r="N107" s="24" t="e">
        <f ca="1">IF(_xll.EVDES(H107,$B$1)="#NODATA","",_xll.EVDES(H107,$B$1))</f>
        <v>#NAME?</v>
      </c>
      <c r="O107" s="19"/>
      <c r="P107" s="19"/>
      <c r="Q107" s="19"/>
      <c r="R107" s="19"/>
      <c r="S107" s="19"/>
      <c r="T107" s="19"/>
      <c r="U107" s="19"/>
      <c r="V107" s="19"/>
      <c r="W107" s="19"/>
      <c r="X107" s="19"/>
      <c r="Y107" s="19"/>
      <c r="Z107" s="19"/>
      <c r="AA107" s="19">
        <f t="shared" si="34"/>
        <v>0</v>
      </c>
      <c r="AB107" s="15" t="str">
        <f t="shared" si="35"/>
        <v/>
      </c>
      <c r="AD107" s="19"/>
      <c r="AE107" s="15" t="str">
        <f t="shared" si="36"/>
        <v/>
      </c>
      <c r="AF107" s="47">
        <f t="shared" si="37"/>
        <v>0</v>
      </c>
      <c r="AG107" s="19">
        <v>24</v>
      </c>
      <c r="AH107" s="15" t="str">
        <f t="shared" ca="1" si="38"/>
        <v/>
      </c>
      <c r="AI107" s="47">
        <f t="shared" si="39"/>
        <v>-24</v>
      </c>
    </row>
    <row r="108" spans="3:35" x14ac:dyDescent="0.2">
      <c r="C108" s="23"/>
      <c r="H108" s="133" t="s">
        <v>306</v>
      </c>
      <c r="I108" s="25"/>
      <c r="J108" s="25"/>
      <c r="L108" s="24" t="e">
        <f ca="1">_xll.EVPRO($B$1,H108,"JDEID")</f>
        <v>#NAME?</v>
      </c>
      <c r="M108" s="24" t="str">
        <f>IF(AND(I108="N",J108="N"),_xll.EVPRO($B$1,H108,"PSFTID"),"")</f>
        <v/>
      </c>
      <c r="N108" s="24" t="e">
        <f ca="1">IF(_xll.EVDES(H108,$B$1)="#NODATA","",_xll.EVDES(H108,$B$1))</f>
        <v>#NAME?</v>
      </c>
      <c r="O108" s="19"/>
      <c r="P108" s="19"/>
      <c r="Q108" s="19"/>
      <c r="R108" s="19"/>
      <c r="S108" s="19"/>
      <c r="T108" s="19"/>
      <c r="U108" s="19"/>
      <c r="V108" s="19"/>
      <c r="W108" s="19"/>
      <c r="X108" s="19"/>
      <c r="Y108" s="19"/>
      <c r="Z108" s="19"/>
      <c r="AA108" s="19">
        <f t="shared" si="34"/>
        <v>0</v>
      </c>
      <c r="AB108" s="15" t="str">
        <f t="shared" si="35"/>
        <v/>
      </c>
      <c r="AD108" s="19"/>
      <c r="AE108" s="15" t="str">
        <f t="shared" si="36"/>
        <v/>
      </c>
      <c r="AF108" s="47">
        <f t="shared" si="37"/>
        <v>0</v>
      </c>
      <c r="AG108" s="19"/>
      <c r="AH108" s="15" t="str">
        <f t="shared" si="38"/>
        <v/>
      </c>
      <c r="AI108" s="47">
        <f t="shared" si="39"/>
        <v>0</v>
      </c>
    </row>
    <row r="109" spans="3:35" x14ac:dyDescent="0.2">
      <c r="C109" s="23"/>
      <c r="H109" s="133" t="s">
        <v>310</v>
      </c>
      <c r="I109" s="25"/>
      <c r="J109" s="25"/>
      <c r="L109" s="24" t="e">
        <f ca="1">_xll.EVPRO($B$1,H109,"JDEID")</f>
        <v>#NAME?</v>
      </c>
      <c r="M109" s="24" t="str">
        <f>IF(AND(I109="N",J109="N"),_xll.EVPRO($B$1,H109,"PSFTID"),"")</f>
        <v/>
      </c>
      <c r="N109" s="24" t="e">
        <f ca="1">IF(_xll.EVDES(H109,$B$1)="#NODATA","",_xll.EVDES(H109,$B$1))</f>
        <v>#NAME?</v>
      </c>
      <c r="O109" s="19">
        <v>772</v>
      </c>
      <c r="P109" s="19"/>
      <c r="Q109" s="19"/>
      <c r="R109" s="19"/>
      <c r="S109" s="19"/>
      <c r="T109" s="19"/>
      <c r="U109" s="19"/>
      <c r="V109" s="19"/>
      <c r="W109" s="19"/>
      <c r="X109" s="19"/>
      <c r="Y109" s="19"/>
      <c r="Z109" s="19"/>
      <c r="AA109" s="19">
        <f t="shared" si="34"/>
        <v>772</v>
      </c>
      <c r="AB109" s="15" t="str">
        <f t="shared" ca="1" si="35"/>
        <v/>
      </c>
      <c r="AD109" s="19"/>
      <c r="AE109" s="15" t="str">
        <f t="shared" si="36"/>
        <v/>
      </c>
      <c r="AF109" s="47">
        <f t="shared" si="37"/>
        <v>772</v>
      </c>
      <c r="AG109" s="19">
        <v>34482.199999999997</v>
      </c>
      <c r="AH109" s="15" t="str">
        <f t="shared" ca="1" si="38"/>
        <v/>
      </c>
      <c r="AI109" s="47">
        <f t="shared" si="39"/>
        <v>-33710.199999999997</v>
      </c>
    </row>
    <row r="110" spans="3:35" x14ac:dyDescent="0.2">
      <c r="C110" s="23"/>
      <c r="H110" s="133" t="s">
        <v>323</v>
      </c>
      <c r="I110" s="25"/>
      <c r="J110" s="25"/>
      <c r="L110" s="24" t="e">
        <f ca="1">_xll.EVPRO($B$1,H110,"JDEID")</f>
        <v>#NAME?</v>
      </c>
      <c r="M110" s="24" t="str">
        <f>IF(AND(I110="N",J110="N"),_xll.EVPRO($B$1,H110,"PSFTID"),"")</f>
        <v/>
      </c>
      <c r="N110" s="24" t="e">
        <f ca="1">IF(_xll.EVDES(H110,$B$1)="#NODATA","",_xll.EVDES(H110,$B$1))</f>
        <v>#NAME?</v>
      </c>
      <c r="O110" s="19"/>
      <c r="P110" s="19"/>
      <c r="Q110" s="19"/>
      <c r="R110" s="19"/>
      <c r="S110" s="19"/>
      <c r="T110" s="19"/>
      <c r="U110" s="19"/>
      <c r="V110" s="19"/>
      <c r="W110" s="19"/>
      <c r="X110" s="19"/>
      <c r="Y110" s="19"/>
      <c r="Z110" s="19"/>
      <c r="AA110" s="19">
        <f t="shared" si="34"/>
        <v>0</v>
      </c>
      <c r="AB110" s="15" t="str">
        <f t="shared" si="35"/>
        <v/>
      </c>
      <c r="AD110" s="19"/>
      <c r="AE110" s="15" t="str">
        <f t="shared" si="36"/>
        <v/>
      </c>
      <c r="AF110" s="47">
        <f t="shared" si="37"/>
        <v>0</v>
      </c>
      <c r="AG110" s="19"/>
      <c r="AH110" s="15" t="str">
        <f t="shared" si="38"/>
        <v/>
      </c>
      <c r="AI110" s="47">
        <f t="shared" si="39"/>
        <v>0</v>
      </c>
    </row>
    <row r="111" spans="3:35" x14ac:dyDescent="0.2">
      <c r="C111" s="23"/>
      <c r="H111" s="133" t="s">
        <v>342</v>
      </c>
      <c r="I111" s="25"/>
      <c r="J111" s="25"/>
      <c r="L111" s="24" t="e">
        <f ca="1">_xll.EVPRO($B$1,H111,"JDEID")</f>
        <v>#NAME?</v>
      </c>
      <c r="M111" s="24" t="str">
        <f>IF(AND(I111="N",J111="N"),_xll.EVPRO($B$1,H111,"PSFTID"),"")</f>
        <v/>
      </c>
      <c r="N111" s="23" t="e">
        <f ca="1">IF(_xll.EVDES(H111,$B$1)="#NODATA","",_xll.EVDES(H111,$B$1))</f>
        <v>#NAME?</v>
      </c>
      <c r="O111" s="145">
        <v>772</v>
      </c>
      <c r="P111" s="145"/>
      <c r="Q111" s="145"/>
      <c r="R111" s="145"/>
      <c r="S111" s="145"/>
      <c r="T111" s="145"/>
      <c r="U111" s="145"/>
      <c r="V111" s="145"/>
      <c r="W111" s="145"/>
      <c r="X111" s="145"/>
      <c r="Y111" s="145"/>
      <c r="Z111" s="145"/>
      <c r="AA111" s="145">
        <f t="shared" si="34"/>
        <v>772</v>
      </c>
      <c r="AB111" s="156" t="str">
        <f t="shared" ca="1" si="35"/>
        <v/>
      </c>
      <c r="AD111" s="145"/>
      <c r="AE111" s="156" t="str">
        <f t="shared" si="36"/>
        <v/>
      </c>
      <c r="AF111" s="146">
        <f t="shared" si="37"/>
        <v>772</v>
      </c>
      <c r="AG111" s="145">
        <v>34506.199999999997</v>
      </c>
      <c r="AH111" s="156" t="str">
        <f t="shared" ca="1" si="38"/>
        <v/>
      </c>
      <c r="AI111" s="146">
        <f t="shared" si="39"/>
        <v>-33734.199999999997</v>
      </c>
    </row>
    <row r="112" spans="3:35" x14ac:dyDescent="0.2">
      <c r="C112" s="23"/>
      <c r="H112" s="133"/>
      <c r="I112" s="25"/>
      <c r="J112" s="25"/>
      <c r="L112" s="24"/>
      <c r="M112" s="24"/>
      <c r="N112" s="8"/>
      <c r="O112" s="38"/>
      <c r="P112" s="42"/>
      <c r="Q112" s="42"/>
      <c r="R112" s="42"/>
      <c r="S112" s="42"/>
      <c r="T112" s="42"/>
      <c r="U112" s="42"/>
      <c r="V112" s="42"/>
      <c r="W112" s="42"/>
      <c r="X112" s="42"/>
      <c r="Y112" s="42"/>
      <c r="Z112" s="42"/>
      <c r="AA112" s="42"/>
      <c r="AB112" s="39"/>
      <c r="AD112" s="38"/>
      <c r="AE112" s="42"/>
      <c r="AF112" s="39"/>
      <c r="AG112" s="38"/>
      <c r="AH112" s="42"/>
      <c r="AI112" s="39"/>
    </row>
    <row r="113" spans="3:35" x14ac:dyDescent="0.2">
      <c r="C113" s="23"/>
      <c r="H113" s="133"/>
      <c r="I113" s="25"/>
      <c r="J113" s="25"/>
      <c r="L113" s="24"/>
      <c r="M113" s="24"/>
      <c r="N113" s="8" t="s">
        <v>338</v>
      </c>
      <c r="O113" s="40"/>
      <c r="P113" s="43"/>
      <c r="Q113" s="43"/>
      <c r="R113" s="43"/>
      <c r="S113" s="43"/>
      <c r="T113" s="43"/>
      <c r="U113" s="43"/>
      <c r="V113" s="43"/>
      <c r="W113" s="43"/>
      <c r="X113" s="43"/>
      <c r="Y113" s="43"/>
      <c r="Z113" s="43"/>
      <c r="AA113" s="43"/>
      <c r="AB113" s="41"/>
      <c r="AD113" s="40"/>
      <c r="AE113" s="43"/>
      <c r="AF113" s="41"/>
      <c r="AG113" s="40"/>
      <c r="AH113" s="43"/>
      <c r="AI113" s="41"/>
    </row>
    <row r="114" spans="3:35" x14ac:dyDescent="0.2">
      <c r="C114" s="23"/>
      <c r="H114" s="133" t="s">
        <v>296</v>
      </c>
      <c r="I114" s="25"/>
      <c r="J114" s="25"/>
      <c r="L114" s="24" t="e">
        <f ca="1">_xll.EVPRO($B$1,H114,"JDEID")</f>
        <v>#NAME?</v>
      </c>
      <c r="M114" s="24" t="str">
        <f>IF(AND(I114="N",J114="N"),_xll.EVPRO($B$1,H114,"PSFTID"),"")</f>
        <v/>
      </c>
      <c r="N114" s="24" t="e">
        <f ca="1">IF(_xll.EVDES(H114,$B$1)="#NODATA","",_xll.EVDES(H114,$B$1))</f>
        <v>#NAME?</v>
      </c>
      <c r="O114" s="19"/>
      <c r="P114" s="19"/>
      <c r="Q114" s="19"/>
      <c r="R114" s="19"/>
      <c r="S114" s="19"/>
      <c r="T114" s="19"/>
      <c r="U114" s="19"/>
      <c r="V114" s="19"/>
      <c r="W114" s="19"/>
      <c r="X114" s="19"/>
      <c r="Y114" s="19"/>
      <c r="Z114" s="19"/>
      <c r="AA114" s="19">
        <f t="shared" ref="AA114:AA119" si="40">SUM(O114:Z114)</f>
        <v>0</v>
      </c>
      <c r="AB114" s="15" t="str">
        <f t="shared" ref="AB114:AB119" si="41">IF(AA114=0,"",IFERROR(AA114/AA$19,""))</f>
        <v/>
      </c>
      <c r="AD114" s="19"/>
      <c r="AE114" s="15" t="str">
        <f t="shared" ref="AE114:AE119" si="42">IF(AD114=0,"",IFERROR(AD114/AD$19,""))</f>
        <v/>
      </c>
      <c r="AF114" s="47">
        <f t="shared" ref="AF114:AF119" si="43">IF(AND($AA114="",AD114=""),"",$AA114-AD114)</f>
        <v>0</v>
      </c>
      <c r="AG114" s="19"/>
      <c r="AH114" s="15" t="str">
        <f t="shared" ref="AH114:AH119" si="44">IF(AG114=0,"",IFERROR(AG114/AG$19,""))</f>
        <v/>
      </c>
      <c r="AI114" s="47">
        <f t="shared" ref="AI114:AI119" si="45">IF(AND($AA114="",AG114=""),"",$AA114-AG114)</f>
        <v>0</v>
      </c>
    </row>
    <row r="115" spans="3:35" x14ac:dyDescent="0.2">
      <c r="C115" s="23"/>
      <c r="H115" s="133" t="s">
        <v>303</v>
      </c>
      <c r="I115" s="25"/>
      <c r="J115" s="25"/>
      <c r="L115" s="24" t="e">
        <f ca="1">_xll.EVPRO($B$1,H115,"JDEID")</f>
        <v>#NAME?</v>
      </c>
      <c r="M115" s="24" t="str">
        <f>IF(AND(I115="N",J115="N"),_xll.EVPRO($B$1,H115,"PSFTID"),"")</f>
        <v/>
      </c>
      <c r="N115" s="24" t="e">
        <f ca="1">IF(_xll.EVDES(H115,$B$1)="#NODATA","",_xll.EVDES(H115,$B$1))</f>
        <v>#NAME?</v>
      </c>
      <c r="O115" s="19"/>
      <c r="P115" s="19"/>
      <c r="Q115" s="19"/>
      <c r="R115" s="19"/>
      <c r="S115" s="19"/>
      <c r="T115" s="19"/>
      <c r="U115" s="19"/>
      <c r="V115" s="19"/>
      <c r="W115" s="19"/>
      <c r="X115" s="19"/>
      <c r="Y115" s="19"/>
      <c r="Z115" s="19"/>
      <c r="AA115" s="19">
        <f t="shared" si="40"/>
        <v>0</v>
      </c>
      <c r="AB115" s="15" t="str">
        <f t="shared" si="41"/>
        <v/>
      </c>
      <c r="AD115" s="19"/>
      <c r="AE115" s="15" t="str">
        <f t="shared" si="42"/>
        <v/>
      </c>
      <c r="AF115" s="47">
        <f t="shared" si="43"/>
        <v>0</v>
      </c>
      <c r="AG115" s="19">
        <v>25</v>
      </c>
      <c r="AH115" s="15" t="str">
        <f t="shared" ca="1" si="44"/>
        <v/>
      </c>
      <c r="AI115" s="47">
        <f t="shared" si="45"/>
        <v>-25</v>
      </c>
    </row>
    <row r="116" spans="3:35" x14ac:dyDescent="0.2">
      <c r="C116" s="23"/>
      <c r="H116" s="133" t="s">
        <v>304</v>
      </c>
      <c r="I116" s="25"/>
      <c r="J116" s="25"/>
      <c r="L116" s="24" t="e">
        <f ca="1">_xll.EVPRO($B$1,H116,"JDEID")</f>
        <v>#NAME?</v>
      </c>
      <c r="M116" s="24" t="str">
        <f>IF(AND(I116="N",J116="N"),_xll.EVPRO($B$1,H116,"PSFTID"),"")</f>
        <v/>
      </c>
      <c r="N116" s="24" t="e">
        <f ca="1">IF(_xll.EVDES(H116,$B$1)="#NODATA","",_xll.EVDES(H116,$B$1))</f>
        <v>#NAME?</v>
      </c>
      <c r="O116" s="19"/>
      <c r="P116" s="19"/>
      <c r="Q116" s="19"/>
      <c r="R116" s="19"/>
      <c r="S116" s="19"/>
      <c r="T116" s="19"/>
      <c r="U116" s="19"/>
      <c r="V116" s="19"/>
      <c r="W116" s="19"/>
      <c r="X116" s="19"/>
      <c r="Y116" s="19"/>
      <c r="Z116" s="19"/>
      <c r="AA116" s="19">
        <f t="shared" si="40"/>
        <v>0</v>
      </c>
      <c r="AB116" s="15" t="str">
        <f t="shared" si="41"/>
        <v/>
      </c>
      <c r="AD116" s="19"/>
      <c r="AE116" s="15" t="str">
        <f t="shared" si="42"/>
        <v/>
      </c>
      <c r="AF116" s="47">
        <f t="shared" si="43"/>
        <v>0</v>
      </c>
      <c r="AG116" s="19"/>
      <c r="AH116" s="15" t="str">
        <f t="shared" si="44"/>
        <v/>
      </c>
      <c r="AI116" s="47">
        <f t="shared" si="45"/>
        <v>0</v>
      </c>
    </row>
    <row r="117" spans="3:35" x14ac:dyDescent="0.2">
      <c r="C117" s="23"/>
      <c r="H117" s="133" t="s">
        <v>309</v>
      </c>
      <c r="I117" s="25"/>
      <c r="J117" s="25"/>
      <c r="L117" s="24" t="e">
        <f ca="1">_xll.EVPRO($B$1,H117,"JDEID")</f>
        <v>#NAME?</v>
      </c>
      <c r="M117" s="24" t="str">
        <f>IF(AND(I117="N",J117="N"),_xll.EVPRO($B$1,H117,"PSFTID"),"")</f>
        <v/>
      </c>
      <c r="N117" s="24" t="e">
        <f ca="1">IF(_xll.EVDES(H117,$B$1)="#NODATA","",_xll.EVDES(H117,$B$1))</f>
        <v>#NAME?</v>
      </c>
      <c r="O117" s="19">
        <v>1114</v>
      </c>
      <c r="P117" s="19"/>
      <c r="Q117" s="19"/>
      <c r="R117" s="19"/>
      <c r="S117" s="19"/>
      <c r="T117" s="19"/>
      <c r="U117" s="19"/>
      <c r="V117" s="19"/>
      <c r="W117" s="19"/>
      <c r="X117" s="19"/>
      <c r="Y117" s="19"/>
      <c r="Z117" s="19"/>
      <c r="AA117" s="19">
        <f t="shared" si="40"/>
        <v>1114</v>
      </c>
      <c r="AB117" s="15" t="str">
        <f t="shared" ca="1" si="41"/>
        <v/>
      </c>
      <c r="AD117" s="19"/>
      <c r="AE117" s="15" t="str">
        <f t="shared" si="42"/>
        <v/>
      </c>
      <c r="AF117" s="47">
        <f t="shared" si="43"/>
        <v>1114</v>
      </c>
      <c r="AG117" s="19">
        <v>43558.03</v>
      </c>
      <c r="AH117" s="15" t="str">
        <f t="shared" ca="1" si="44"/>
        <v/>
      </c>
      <c r="AI117" s="47">
        <f t="shared" si="45"/>
        <v>-42444.03</v>
      </c>
    </row>
    <row r="118" spans="3:35" x14ac:dyDescent="0.2">
      <c r="C118" s="23"/>
      <c r="H118" s="133" t="s">
        <v>322</v>
      </c>
      <c r="I118" s="25"/>
      <c r="J118" s="25"/>
      <c r="L118" s="24" t="e">
        <f ca="1">_xll.EVPRO($B$1,H118,"JDEID")</f>
        <v>#NAME?</v>
      </c>
      <c r="M118" s="24" t="str">
        <f>IF(AND(I118="N",J118="N"),_xll.EVPRO($B$1,H118,"PSFTID"),"")</f>
        <v/>
      </c>
      <c r="N118" s="24" t="e">
        <f ca="1">IF(_xll.EVDES(H118,$B$1)="#NODATA","",_xll.EVDES(H118,$B$1))</f>
        <v>#NAME?</v>
      </c>
      <c r="O118" s="19"/>
      <c r="P118" s="19"/>
      <c r="Q118" s="19"/>
      <c r="R118" s="19"/>
      <c r="S118" s="19"/>
      <c r="T118" s="19"/>
      <c r="U118" s="19"/>
      <c r="V118" s="19"/>
      <c r="W118" s="19"/>
      <c r="X118" s="19"/>
      <c r="Y118" s="19"/>
      <c r="Z118" s="19"/>
      <c r="AA118" s="19">
        <f t="shared" si="40"/>
        <v>0</v>
      </c>
      <c r="AB118" s="15" t="str">
        <f t="shared" si="41"/>
        <v/>
      </c>
      <c r="AD118" s="19"/>
      <c r="AE118" s="15" t="str">
        <f t="shared" si="42"/>
        <v/>
      </c>
      <c r="AF118" s="47">
        <f t="shared" si="43"/>
        <v>0</v>
      </c>
      <c r="AG118" s="19"/>
      <c r="AH118" s="15" t="str">
        <f t="shared" si="44"/>
        <v/>
      </c>
      <c r="AI118" s="47">
        <f t="shared" si="45"/>
        <v>0</v>
      </c>
    </row>
    <row r="119" spans="3:35" x14ac:dyDescent="0.2">
      <c r="C119" s="23"/>
      <c r="H119" s="133" t="s">
        <v>341</v>
      </c>
      <c r="I119" s="25"/>
      <c r="J119" s="25"/>
      <c r="L119" s="24" t="e">
        <f ca="1">_xll.EVPRO($B$1,H119,"JDEID")</f>
        <v>#NAME?</v>
      </c>
      <c r="M119" s="24" t="str">
        <f>IF(AND(I119="N",J119="N"),_xll.EVPRO($B$1,H119,"PSFTID"),"")</f>
        <v/>
      </c>
      <c r="N119" s="23" t="e">
        <f ca="1">IF(_xll.EVDES(H119,$B$1)="#NODATA","",_xll.EVDES(H119,$B$1))</f>
        <v>#NAME?</v>
      </c>
      <c r="O119" s="145">
        <v>1114</v>
      </c>
      <c r="P119" s="145"/>
      <c r="Q119" s="145"/>
      <c r="R119" s="145"/>
      <c r="S119" s="145"/>
      <c r="T119" s="145"/>
      <c r="U119" s="145"/>
      <c r="V119" s="145"/>
      <c r="W119" s="145"/>
      <c r="X119" s="145"/>
      <c r="Y119" s="145"/>
      <c r="Z119" s="145"/>
      <c r="AA119" s="145">
        <f t="shared" si="40"/>
        <v>1114</v>
      </c>
      <c r="AB119" s="156" t="str">
        <f t="shared" ca="1" si="41"/>
        <v/>
      </c>
      <c r="AD119" s="145"/>
      <c r="AE119" s="156" t="str">
        <f t="shared" si="42"/>
        <v/>
      </c>
      <c r="AF119" s="146">
        <f t="shared" si="43"/>
        <v>1114</v>
      </c>
      <c r="AG119" s="145">
        <v>43583.03</v>
      </c>
      <c r="AH119" s="156" t="str">
        <f t="shared" ca="1" si="44"/>
        <v/>
      </c>
      <c r="AI119" s="146">
        <f t="shared" si="45"/>
        <v>-42469.03</v>
      </c>
    </row>
    <row r="120" spans="3:35" x14ac:dyDescent="0.2">
      <c r="C120" s="23"/>
      <c r="H120" s="133"/>
      <c r="I120" s="25"/>
      <c r="J120" s="25"/>
      <c r="L120" s="24"/>
      <c r="M120" s="24"/>
      <c r="O120" s="38"/>
      <c r="P120" s="42"/>
      <c r="Q120" s="42"/>
      <c r="R120" s="42"/>
      <c r="S120" s="42"/>
      <c r="T120" s="42"/>
      <c r="U120" s="42"/>
      <c r="V120" s="42"/>
      <c r="W120" s="42"/>
      <c r="X120" s="42"/>
      <c r="Y120" s="42"/>
      <c r="Z120" s="42"/>
      <c r="AA120" s="42"/>
      <c r="AB120" s="39"/>
      <c r="AD120" s="38"/>
      <c r="AE120" s="42"/>
      <c r="AF120" s="39"/>
      <c r="AG120" s="38"/>
      <c r="AH120" s="42"/>
      <c r="AI120" s="39"/>
    </row>
    <row r="121" spans="3:35" x14ac:dyDescent="0.2">
      <c r="C121" s="23"/>
      <c r="H121" s="10" t="s">
        <v>267</v>
      </c>
      <c r="I121" s="25"/>
      <c r="J121" s="25"/>
      <c r="L121" s="24" t="e">
        <f ca="1">_xll.EVPRO($B$1,H121,"JDEID")</f>
        <v>#NAME?</v>
      </c>
      <c r="M121" s="24" t="str">
        <f>IF(AND(I121="N",J121="N"),_xll.EVPRO($B$1,H121,"PSFTID"),"")</f>
        <v/>
      </c>
      <c r="N121" s="24" t="e">
        <f ca="1">IF(_xll.EVDES(H121,$B$1)="#NODATA","",_xll.EVDES(H121,$B$1))</f>
        <v>#NAME?</v>
      </c>
      <c r="O121" s="19">
        <f t="shared" ref="O121:Z121" si="46">O98+O106+O114</f>
        <v>0</v>
      </c>
      <c r="P121" s="19">
        <f t="shared" si="46"/>
        <v>0</v>
      </c>
      <c r="Q121" s="19">
        <f t="shared" si="46"/>
        <v>0</v>
      </c>
      <c r="R121" s="19">
        <f t="shared" si="46"/>
        <v>0</v>
      </c>
      <c r="S121" s="19">
        <f t="shared" si="46"/>
        <v>0</v>
      </c>
      <c r="T121" s="19">
        <f t="shared" si="46"/>
        <v>0</v>
      </c>
      <c r="U121" s="19">
        <f t="shared" si="46"/>
        <v>0</v>
      </c>
      <c r="V121" s="19">
        <f t="shared" si="46"/>
        <v>0</v>
      </c>
      <c r="W121" s="19">
        <f t="shared" si="46"/>
        <v>0</v>
      </c>
      <c r="X121" s="19">
        <f t="shared" si="46"/>
        <v>0</v>
      </c>
      <c r="Y121" s="19">
        <f t="shared" si="46"/>
        <v>0</v>
      </c>
      <c r="Z121" s="19">
        <f t="shared" si="46"/>
        <v>0</v>
      </c>
      <c r="AA121" s="19">
        <f t="shared" ref="AA121:AA126" si="47">SUM(O121:Z121)</f>
        <v>0</v>
      </c>
      <c r="AB121" s="15" t="str">
        <f t="shared" ref="AB121:AB126" si="48">IF(AA121=0,"",IFERROR(AA121/AA$19,""))</f>
        <v/>
      </c>
      <c r="AD121" s="19">
        <f>AD98+AD106+AD114</f>
        <v>0</v>
      </c>
      <c r="AE121" s="15" t="str">
        <f t="shared" ref="AE121:AE126" si="49">IF(AD121=0,"",IFERROR(AD121/AD$19,""))</f>
        <v/>
      </c>
      <c r="AF121" s="47">
        <f t="shared" ref="AF121:AF126" si="50">IF(AND($AA121="",AD121=""),"",$AA121-AD121)</f>
        <v>0</v>
      </c>
      <c r="AG121" s="19">
        <f>AG98+AG106+AG114</f>
        <v>0</v>
      </c>
      <c r="AH121" s="15" t="str">
        <f t="shared" ref="AH121:AH126" si="51">IF(AG121=0,"",IFERROR(AG121/AG$19,""))</f>
        <v/>
      </c>
      <c r="AI121" s="47">
        <f t="shared" ref="AI121:AI126" si="52">IF(AND($AA121="",AG121=""),"",$AA121-AG121)</f>
        <v>0</v>
      </c>
    </row>
    <row r="122" spans="3:35" x14ac:dyDescent="0.2">
      <c r="C122" s="23"/>
      <c r="H122" s="10" t="s">
        <v>268</v>
      </c>
      <c r="I122" s="25"/>
      <c r="J122" s="25"/>
      <c r="L122" s="24" t="e">
        <f ca="1">_xll.EVPRO($B$1,H122,"JDEID")</f>
        <v>#NAME?</v>
      </c>
      <c r="M122" s="24" t="str">
        <f>IF(AND(I122="N",J122="N"),_xll.EVPRO($B$1,H122,"PSFTID"),"")</f>
        <v/>
      </c>
      <c r="N122" s="24" t="e">
        <f ca="1">IF(_xll.EVDES(H122,$B$1)="#NODATA","",_xll.EVDES(H122,$B$1))</f>
        <v>#NAME?</v>
      </c>
      <c r="O122" s="19">
        <f t="shared" ref="O122:Z122" si="53">O99+O107+O115</f>
        <v>0</v>
      </c>
      <c r="P122" s="19">
        <f t="shared" si="53"/>
        <v>0</v>
      </c>
      <c r="Q122" s="19">
        <f t="shared" si="53"/>
        <v>0</v>
      </c>
      <c r="R122" s="19">
        <f t="shared" si="53"/>
        <v>0</v>
      </c>
      <c r="S122" s="19">
        <f t="shared" si="53"/>
        <v>0</v>
      </c>
      <c r="T122" s="19">
        <f t="shared" si="53"/>
        <v>0</v>
      </c>
      <c r="U122" s="19">
        <f t="shared" si="53"/>
        <v>0</v>
      </c>
      <c r="V122" s="19">
        <f t="shared" si="53"/>
        <v>0</v>
      </c>
      <c r="W122" s="19">
        <f t="shared" si="53"/>
        <v>0</v>
      </c>
      <c r="X122" s="19">
        <f t="shared" si="53"/>
        <v>0</v>
      </c>
      <c r="Y122" s="19">
        <f t="shared" si="53"/>
        <v>0</v>
      </c>
      <c r="Z122" s="19">
        <f t="shared" si="53"/>
        <v>0</v>
      </c>
      <c r="AA122" s="19">
        <f t="shared" si="47"/>
        <v>0</v>
      </c>
      <c r="AB122" s="15" t="str">
        <f t="shared" si="48"/>
        <v/>
      </c>
      <c r="AD122" s="19">
        <f>AD99+AD107+AD115</f>
        <v>0</v>
      </c>
      <c r="AE122" s="15" t="str">
        <f t="shared" si="49"/>
        <v/>
      </c>
      <c r="AF122" s="47">
        <f t="shared" si="50"/>
        <v>0</v>
      </c>
      <c r="AG122" s="19">
        <f>AG99+AG107+AG115</f>
        <v>49</v>
      </c>
      <c r="AH122" s="15" t="str">
        <f t="shared" ca="1" si="51"/>
        <v/>
      </c>
      <c r="AI122" s="47">
        <f t="shared" si="52"/>
        <v>-49</v>
      </c>
    </row>
    <row r="123" spans="3:35" x14ac:dyDescent="0.2">
      <c r="C123" s="23"/>
      <c r="H123" s="133" t="s">
        <v>269</v>
      </c>
      <c r="I123" s="25"/>
      <c r="J123" s="25"/>
      <c r="L123" s="24" t="e">
        <f ca="1">_xll.EVPRO($B$1,H123,"JDEID")</f>
        <v>#NAME?</v>
      </c>
      <c r="M123" s="24" t="str">
        <f>IF(AND(I123="N",J123="N"),_xll.EVPRO($B$1,H123,"PSFTID"),"")</f>
        <v/>
      </c>
      <c r="N123" s="24" t="e">
        <f ca="1">IF(_xll.EVDES(H123,$B$1)="#NODATA","",_xll.EVDES(H123,$B$1))</f>
        <v>#NAME?</v>
      </c>
      <c r="O123" s="19">
        <f t="shared" ref="O123:Z123" si="54">O100+O108+O116</f>
        <v>0</v>
      </c>
      <c r="P123" s="19">
        <f t="shared" si="54"/>
        <v>0</v>
      </c>
      <c r="Q123" s="19">
        <f t="shared" si="54"/>
        <v>0</v>
      </c>
      <c r="R123" s="19">
        <f t="shared" si="54"/>
        <v>0</v>
      </c>
      <c r="S123" s="19">
        <f t="shared" si="54"/>
        <v>0</v>
      </c>
      <c r="T123" s="19">
        <f t="shared" si="54"/>
        <v>0</v>
      </c>
      <c r="U123" s="19">
        <f t="shared" si="54"/>
        <v>0</v>
      </c>
      <c r="V123" s="19">
        <f t="shared" si="54"/>
        <v>0</v>
      </c>
      <c r="W123" s="19">
        <f t="shared" si="54"/>
        <v>0</v>
      </c>
      <c r="X123" s="19">
        <f t="shared" si="54"/>
        <v>0</v>
      </c>
      <c r="Y123" s="19">
        <f t="shared" si="54"/>
        <v>0</v>
      </c>
      <c r="Z123" s="19">
        <f t="shared" si="54"/>
        <v>0</v>
      </c>
      <c r="AA123" s="19">
        <f t="shared" si="47"/>
        <v>0</v>
      </c>
      <c r="AB123" s="15" t="str">
        <f t="shared" si="48"/>
        <v/>
      </c>
      <c r="AD123" s="19">
        <f>AD100+AD108+AD116</f>
        <v>0</v>
      </c>
      <c r="AE123" s="15" t="str">
        <f t="shared" si="49"/>
        <v/>
      </c>
      <c r="AF123" s="47">
        <f t="shared" si="50"/>
        <v>0</v>
      </c>
      <c r="AG123" s="19">
        <f>AG100+AG108+AG116</f>
        <v>0</v>
      </c>
      <c r="AH123" s="15" t="str">
        <f t="shared" si="51"/>
        <v/>
      </c>
      <c r="AI123" s="47">
        <f t="shared" si="52"/>
        <v>0</v>
      </c>
    </row>
    <row r="124" spans="3:35" x14ac:dyDescent="0.2">
      <c r="C124" s="23"/>
      <c r="H124" s="133" t="s">
        <v>270</v>
      </c>
      <c r="I124" s="25"/>
      <c r="J124" s="25"/>
      <c r="L124" s="24" t="e">
        <f ca="1">_xll.EVPRO($B$1,H124,"JDEID")</f>
        <v>#NAME?</v>
      </c>
      <c r="M124" s="24" t="str">
        <f>IF(AND(I124="N",J124="N"),_xll.EVPRO($B$1,H124,"PSFTID"),"")</f>
        <v/>
      </c>
      <c r="N124" s="24" t="e">
        <f ca="1">IF(_xll.EVDES(H124,$B$1)="#NODATA","",_xll.EVDES(H124,$B$1))</f>
        <v>#NAME?</v>
      </c>
      <c r="O124" s="19">
        <f t="shared" ref="O124:Z124" si="55">O101+O109+O117</f>
        <v>5343</v>
      </c>
      <c r="P124" s="19">
        <f t="shared" si="55"/>
        <v>0</v>
      </c>
      <c r="Q124" s="19">
        <f t="shared" si="55"/>
        <v>0</v>
      </c>
      <c r="R124" s="19">
        <f t="shared" si="55"/>
        <v>0</v>
      </c>
      <c r="S124" s="19">
        <f t="shared" si="55"/>
        <v>0</v>
      </c>
      <c r="T124" s="19">
        <f t="shared" si="55"/>
        <v>0</v>
      </c>
      <c r="U124" s="19">
        <f t="shared" si="55"/>
        <v>0</v>
      </c>
      <c r="V124" s="19">
        <f t="shared" si="55"/>
        <v>0</v>
      </c>
      <c r="W124" s="19">
        <f t="shared" si="55"/>
        <v>0</v>
      </c>
      <c r="X124" s="19">
        <f t="shared" si="55"/>
        <v>0</v>
      </c>
      <c r="Y124" s="19">
        <f t="shared" si="55"/>
        <v>0</v>
      </c>
      <c r="Z124" s="19">
        <f t="shared" si="55"/>
        <v>0</v>
      </c>
      <c r="AA124" s="19">
        <f t="shared" si="47"/>
        <v>5343</v>
      </c>
      <c r="AB124" s="15" t="str">
        <f t="shared" ca="1" si="48"/>
        <v/>
      </c>
      <c r="AD124" s="19">
        <f>AD101+AD109+AD117</f>
        <v>0</v>
      </c>
      <c r="AE124" s="15" t="str">
        <f t="shared" si="49"/>
        <v/>
      </c>
      <c r="AF124" s="47">
        <f t="shared" si="50"/>
        <v>5343</v>
      </c>
      <c r="AG124" s="19">
        <f>AG101+AG109+AG117</f>
        <v>284405.74</v>
      </c>
      <c r="AH124" s="15" t="str">
        <f t="shared" ca="1" si="51"/>
        <v/>
      </c>
      <c r="AI124" s="47">
        <f t="shared" si="52"/>
        <v>-279062.74</v>
      </c>
    </row>
    <row r="125" spans="3:35" x14ac:dyDescent="0.2">
      <c r="C125" s="23"/>
      <c r="H125" s="133" t="s">
        <v>271</v>
      </c>
      <c r="I125" s="25"/>
      <c r="J125" s="25"/>
      <c r="L125" s="24" t="e">
        <f ca="1">_xll.EVPRO($B$1,H125,"JDEID")</f>
        <v>#NAME?</v>
      </c>
      <c r="M125" s="24" t="str">
        <f>IF(AND(I125="N",J125="N"),_xll.EVPRO($B$1,H125,"PSFTID"),"")</f>
        <v/>
      </c>
      <c r="N125" s="24" t="e">
        <f ca="1">IF(_xll.EVDES(H125,$B$1)="#NODATA","",_xll.EVDES(H125,$B$1))</f>
        <v>#NAME?</v>
      </c>
      <c r="O125" s="19">
        <f t="shared" ref="O125:Z125" si="56">O102+O110+O118</f>
        <v>0</v>
      </c>
      <c r="P125" s="19">
        <f t="shared" si="56"/>
        <v>0</v>
      </c>
      <c r="Q125" s="19">
        <f t="shared" si="56"/>
        <v>0</v>
      </c>
      <c r="R125" s="19">
        <f t="shared" si="56"/>
        <v>0</v>
      </c>
      <c r="S125" s="19">
        <f t="shared" si="56"/>
        <v>0</v>
      </c>
      <c r="T125" s="19">
        <f t="shared" si="56"/>
        <v>0</v>
      </c>
      <c r="U125" s="19">
        <f t="shared" si="56"/>
        <v>0</v>
      </c>
      <c r="V125" s="19">
        <f t="shared" si="56"/>
        <v>0</v>
      </c>
      <c r="W125" s="19">
        <f t="shared" si="56"/>
        <v>0</v>
      </c>
      <c r="X125" s="19">
        <f t="shared" si="56"/>
        <v>0</v>
      </c>
      <c r="Y125" s="19">
        <f t="shared" si="56"/>
        <v>0</v>
      </c>
      <c r="Z125" s="19">
        <f t="shared" si="56"/>
        <v>0</v>
      </c>
      <c r="AA125" s="19">
        <f t="shared" si="47"/>
        <v>0</v>
      </c>
      <c r="AB125" s="15" t="str">
        <f t="shared" si="48"/>
        <v/>
      </c>
      <c r="AD125" s="19">
        <f>AD102+AD110+AD118</f>
        <v>0</v>
      </c>
      <c r="AE125" s="15" t="str">
        <f t="shared" si="49"/>
        <v/>
      </c>
      <c r="AF125" s="47">
        <f t="shared" si="50"/>
        <v>0</v>
      </c>
      <c r="AG125" s="19">
        <f>AG102+AG110+AG118</f>
        <v>0</v>
      </c>
      <c r="AH125" s="15" t="str">
        <f t="shared" si="51"/>
        <v/>
      </c>
      <c r="AI125" s="47">
        <f t="shared" si="52"/>
        <v>0</v>
      </c>
    </row>
    <row r="126" spans="3:35" x14ac:dyDescent="0.2">
      <c r="C126" s="23"/>
      <c r="H126" s="10" t="s">
        <v>272</v>
      </c>
      <c r="I126" s="25"/>
      <c r="J126" s="25"/>
      <c r="L126" s="24" t="e">
        <f ca="1">_xll.EVPRO($B$1,H126,"JDEID")</f>
        <v>#NAME?</v>
      </c>
      <c r="M126" s="24" t="str">
        <f>IF(AND(I126="N",J126="N"),_xll.EVPRO($B$1,H126,"PSFTID"),"")</f>
        <v/>
      </c>
      <c r="N126" s="23" t="e">
        <f ca="1">IF(_xll.EVDES(H126,$B$1)="#NODATA","",_xll.EVDES(H126,$B$1))</f>
        <v>#NAME?</v>
      </c>
      <c r="O126" s="145">
        <f t="shared" ref="O126:Z126" si="57">SUM(O121:O125)</f>
        <v>5343</v>
      </c>
      <c r="P126" s="145">
        <f t="shared" si="57"/>
        <v>0</v>
      </c>
      <c r="Q126" s="145">
        <f t="shared" si="57"/>
        <v>0</v>
      </c>
      <c r="R126" s="145">
        <f t="shared" si="57"/>
        <v>0</v>
      </c>
      <c r="S126" s="145">
        <f t="shared" si="57"/>
        <v>0</v>
      </c>
      <c r="T126" s="145">
        <f t="shared" si="57"/>
        <v>0</v>
      </c>
      <c r="U126" s="145">
        <f t="shared" si="57"/>
        <v>0</v>
      </c>
      <c r="V126" s="145">
        <f t="shared" si="57"/>
        <v>0</v>
      </c>
      <c r="W126" s="145">
        <f t="shared" si="57"/>
        <v>0</v>
      </c>
      <c r="X126" s="145">
        <f t="shared" si="57"/>
        <v>0</v>
      </c>
      <c r="Y126" s="145">
        <f t="shared" si="57"/>
        <v>0</v>
      </c>
      <c r="Z126" s="145">
        <f t="shared" si="57"/>
        <v>0</v>
      </c>
      <c r="AA126" s="145">
        <f t="shared" si="47"/>
        <v>5343</v>
      </c>
      <c r="AB126" s="156" t="str">
        <f t="shared" ca="1" si="48"/>
        <v/>
      </c>
      <c r="AD126" s="145">
        <f>SUM(AD121:AD125)</f>
        <v>0</v>
      </c>
      <c r="AE126" s="156" t="str">
        <f t="shared" si="49"/>
        <v/>
      </c>
      <c r="AF126" s="146">
        <f t="shared" si="50"/>
        <v>5343</v>
      </c>
      <c r="AG126" s="145">
        <f>SUM(AG121:AG125)</f>
        <v>284454.74</v>
      </c>
      <c r="AH126" s="156" t="str">
        <f t="shared" ca="1" si="51"/>
        <v/>
      </c>
      <c r="AI126" s="146">
        <f t="shared" si="52"/>
        <v>-279111.74</v>
      </c>
    </row>
    <row r="127" spans="3:35" x14ac:dyDescent="0.2">
      <c r="C127" s="23"/>
      <c r="H127" s="133"/>
      <c r="I127" s="25"/>
      <c r="J127" s="25"/>
      <c r="O127" s="124">
        <f t="shared" ref="O127:AA127" si="58">O103+O111+O119-O126</f>
        <v>0</v>
      </c>
      <c r="P127" s="124">
        <f t="shared" si="58"/>
        <v>0</v>
      </c>
      <c r="Q127" s="124">
        <f t="shared" si="58"/>
        <v>0</v>
      </c>
      <c r="R127" s="124">
        <f t="shared" si="58"/>
        <v>0</v>
      </c>
      <c r="S127" s="124">
        <f t="shared" si="58"/>
        <v>0</v>
      </c>
      <c r="T127" s="124">
        <f t="shared" si="58"/>
        <v>0</v>
      </c>
      <c r="U127" s="124">
        <f t="shared" si="58"/>
        <v>0</v>
      </c>
      <c r="V127" s="124">
        <f t="shared" si="58"/>
        <v>0</v>
      </c>
      <c r="W127" s="124">
        <f t="shared" si="58"/>
        <v>0</v>
      </c>
      <c r="X127" s="124">
        <f t="shared" si="58"/>
        <v>0</v>
      </c>
      <c r="Y127" s="124">
        <f t="shared" si="58"/>
        <v>0</v>
      </c>
      <c r="Z127" s="124">
        <f t="shared" si="58"/>
        <v>0</v>
      </c>
      <c r="AA127" s="124">
        <f t="shared" si="58"/>
        <v>0</v>
      </c>
      <c r="AB127" s="15"/>
      <c r="AD127" s="124">
        <f>AD103+AD111+AD119-AD126</f>
        <v>0</v>
      </c>
      <c r="AE127" s="15"/>
      <c r="AF127" s="19"/>
      <c r="AG127" s="124">
        <f>AG103+AG111+AG119-AG126</f>
        <v>0</v>
      </c>
      <c r="AH127" s="15"/>
      <c r="AI127" s="19"/>
    </row>
    <row r="128" spans="3:35" x14ac:dyDescent="0.2">
      <c r="C128" s="23"/>
      <c r="H128" s="133"/>
      <c r="I128" s="25"/>
      <c r="J128" s="25"/>
      <c r="O128" s="38"/>
      <c r="P128" s="42"/>
      <c r="Q128" s="42"/>
      <c r="R128" s="42"/>
      <c r="S128" s="42"/>
      <c r="T128" s="42"/>
      <c r="U128" s="42"/>
      <c r="V128" s="42"/>
      <c r="W128" s="42"/>
      <c r="X128" s="42"/>
      <c r="Y128" s="42"/>
      <c r="Z128" s="42"/>
      <c r="AA128" s="42"/>
      <c r="AB128" s="39"/>
      <c r="AD128" s="38"/>
      <c r="AE128" s="42"/>
      <c r="AF128" s="39"/>
      <c r="AG128" s="38"/>
      <c r="AH128" s="42"/>
      <c r="AI128" s="39"/>
    </row>
    <row r="129" spans="3:35" ht="16" x14ac:dyDescent="0.2">
      <c r="C129" s="23"/>
      <c r="H129" s="133" t="s">
        <v>281</v>
      </c>
      <c r="I129" s="25"/>
      <c r="J129" s="25"/>
      <c r="N129" s="155" t="e">
        <f ca="1">IF(_xll.EVDES(H129,$B$1)="#NODATA","",_xll.EVDES(H129,$B$1))</f>
        <v>#NAME?</v>
      </c>
      <c r="O129" s="436"/>
      <c r="P129" s="438"/>
      <c r="Q129" s="438"/>
      <c r="R129" s="438"/>
      <c r="S129" s="438"/>
      <c r="T129" s="438"/>
      <c r="U129" s="438"/>
      <c r="V129" s="438"/>
      <c r="W129" s="438"/>
      <c r="X129" s="438"/>
      <c r="Y129" s="438"/>
      <c r="Z129" s="438"/>
      <c r="AA129" s="438"/>
      <c r="AB129" s="437"/>
      <c r="AD129" s="436"/>
      <c r="AE129" s="438"/>
      <c r="AF129" s="438"/>
      <c r="AG129" s="438"/>
      <c r="AH129" s="438"/>
      <c r="AI129" s="437"/>
    </row>
    <row r="130" spans="3:35" x14ac:dyDescent="0.2">
      <c r="C130" s="23"/>
      <c r="H130" s="133">
        <v>561100</v>
      </c>
      <c r="I130" s="25"/>
      <c r="J130" s="25"/>
      <c r="L130" s="24" t="e">
        <f ca="1">_xll.EVPRO($B$1,H130,"JDEID")</f>
        <v>#NAME?</v>
      </c>
      <c r="M130" s="24" t="str">
        <f>IF(AND(I130="N",J130="N"),_xll.EVPRO($B$1,H130,"PSFTID"),"")</f>
        <v/>
      </c>
      <c r="N130" s="24" t="e">
        <f ca="1">IF(_xll.EVDES(H130,$B$1)="#NODATA","",_xll.EVDES(H130,$B$1))</f>
        <v>#NAME?</v>
      </c>
      <c r="O130" s="19">
        <v>349.5</v>
      </c>
      <c r="P130" s="19">
        <v>-41.3</v>
      </c>
      <c r="Q130" s="19">
        <v>-61.95</v>
      </c>
      <c r="R130" s="19"/>
      <c r="S130" s="19"/>
      <c r="T130" s="19"/>
      <c r="U130" s="19"/>
      <c r="V130" s="19"/>
      <c r="W130" s="19"/>
      <c r="X130" s="19"/>
      <c r="Y130" s="19"/>
      <c r="Z130" s="19"/>
      <c r="AA130" s="19">
        <f>SUM(O130:Z130)</f>
        <v>246.25</v>
      </c>
      <c r="AB130" s="284" t="str">
        <f ca="1">IF(AA130=0,"",IFERROR(AA130/_xll.EVGTS($B$1,1,_xll.EVPRO($B$1,$H130,"COSBASIS"),$B$3,$B$5,$B$6,$B$7,$B$9,AA$16,AA$17,AA$11),""))</f>
        <v/>
      </c>
      <c r="AD130" s="19"/>
      <c r="AE130" s="284" t="str">
        <f>IF(AD130=0,"",IFERROR(AD130/_xll.EVGTS($B$1,1,_xll.EVPRO($B$1,$H130,"COSBASIS"),$B$3,$B$5,$B$6,$B$7,$B$9,AD$16,AD$17,AD$18),""))</f>
        <v/>
      </c>
      <c r="AF130" s="47">
        <f t="shared" ref="AF130:AF140" si="59">IF(AND($AA130="",AD130=""),"",$AA130-AD130)</f>
        <v>246.25</v>
      </c>
      <c r="AG130" s="19">
        <v>34587.86</v>
      </c>
      <c r="AH130" s="284" t="str">
        <f ca="1">IF(AG130=0,"",IFERROR(AG130/_xll.EVGTS($B$1,1,_xll.EVPRO($B$1,$H130,"COSBASIS"),$B$3,$B$5,$B$6,$B$7,$B$9,AG$16,AG$17,AG$18),""))</f>
        <v/>
      </c>
      <c r="AI130" s="47">
        <f t="shared" ref="AI130:AI141" si="60">IF(AND($AA130="",AG130=""),"",$AA130-AG130)</f>
        <v>-34341.61</v>
      </c>
    </row>
    <row r="131" spans="3:35" x14ac:dyDescent="0.2">
      <c r="C131" s="23"/>
      <c r="H131" s="133" t="s">
        <v>756</v>
      </c>
      <c r="I131" s="25"/>
      <c r="J131" s="25"/>
      <c r="L131" s="24" t="e">
        <f ca="1">_xll.EVPRO($B$1,H131,"JDEID")</f>
        <v>#NAME?</v>
      </c>
      <c r="M131" s="24" t="str">
        <f>IF(AND(I131="N",J131="N"),_xll.EVPRO($B$1,H131,"PSFTID"),"")</f>
        <v/>
      </c>
      <c r="N131" s="439" t="e">
        <f ca="1">IF(_xll.EVDES(H131,$B$1)="#NODATA","",_xll.EVDES(H131,$B$1))</f>
        <v>#NAME?</v>
      </c>
      <c r="O131" s="153">
        <v>0.22190476190476199</v>
      </c>
      <c r="P131" s="153"/>
      <c r="Q131" s="153"/>
      <c r="R131" s="153"/>
      <c r="S131" s="153"/>
      <c r="T131" s="153"/>
      <c r="U131" s="153"/>
      <c r="V131" s="153"/>
      <c r="W131" s="153"/>
      <c r="X131" s="153"/>
      <c r="Y131" s="153"/>
      <c r="Z131" s="153"/>
      <c r="AA131" s="153">
        <v>0.15634920634920599</v>
      </c>
      <c r="AB131" s="284"/>
      <c r="AD131" s="153"/>
      <c r="AE131" s="284"/>
      <c r="AF131" s="440">
        <f t="shared" si="59"/>
        <v>0.15634920634920599</v>
      </c>
      <c r="AG131" s="153">
        <v>0.241409000066585</v>
      </c>
      <c r="AH131" s="284"/>
      <c r="AI131" s="440">
        <f t="shared" si="60"/>
        <v>-8.5059793717379012E-2</v>
      </c>
    </row>
    <row r="132" spans="3:35" x14ac:dyDescent="0.2">
      <c r="C132" s="23"/>
      <c r="H132" s="133" t="s">
        <v>636</v>
      </c>
      <c r="I132" s="25"/>
      <c r="J132" s="25"/>
      <c r="L132" s="24" t="e">
        <f ca="1">_xll.EVPRO($B$1,H132,"JDEID")</f>
        <v>#NAME?</v>
      </c>
      <c r="M132" s="24" t="str">
        <f>IF(AND(I132="N",J132="N"),_xll.EVPRO($B$1,H132,"PSFTID"),"")</f>
        <v/>
      </c>
      <c r="N132" s="24" t="e">
        <f ca="1">IF(_xll.EVDES(H132,$B$1)="#NODATA","",_xll.EVDES(H132,$B$1))</f>
        <v>#NAME?</v>
      </c>
      <c r="O132" s="19">
        <v>1037.05</v>
      </c>
      <c r="P132" s="19"/>
      <c r="Q132" s="19"/>
      <c r="R132" s="19"/>
      <c r="S132" s="19"/>
      <c r="T132" s="19"/>
      <c r="U132" s="19"/>
      <c r="V132" s="19"/>
      <c r="W132" s="19"/>
      <c r="X132" s="19"/>
      <c r="Y132" s="19"/>
      <c r="Z132" s="19"/>
      <c r="AA132" s="19">
        <f>SUM(O132:Z132)</f>
        <v>1037.05</v>
      </c>
      <c r="AB132" s="284" t="str">
        <f ca="1">IF(AA132=0,"",IFERROR(AA132/_xll.EVGTS($B$1,1,_xll.EVPRO($B$1,$H132,"COSBASIS"),$B$3,$B$5,$B$6,$B$7,$B$9,AA$16,AA$17,AA$11),""))</f>
        <v/>
      </c>
      <c r="AD132" s="19"/>
      <c r="AE132" s="284" t="str">
        <f>IF(AD132=0,"",IFERROR(AD132/_xll.EVGTS($B$1,1,_xll.EVPRO($B$1,$H132,"COSBASIS"),$B$3,$B$5,$B$6,$B$7,$B$9,AD$16,AD$17,AD$18),""))</f>
        <v/>
      </c>
      <c r="AF132" s="47">
        <f t="shared" si="59"/>
        <v>1037.05</v>
      </c>
      <c r="AG132" s="19">
        <v>57855.37</v>
      </c>
      <c r="AH132" s="284" t="str">
        <f ca="1">IF(AG132=0,"",IFERROR(AG132/_xll.EVGTS($B$1,1,_xll.EVPRO($B$1,$H132,"COSBASIS"),$B$3,$B$5,$B$6,$B$7,$B$9,AG$16,AG$17,AG$18),""))</f>
        <v/>
      </c>
      <c r="AI132" s="47">
        <f t="shared" si="60"/>
        <v>-56818.32</v>
      </c>
    </row>
    <row r="133" spans="3:35" x14ac:dyDescent="0.2">
      <c r="C133" s="23"/>
      <c r="H133" s="133" t="s">
        <v>757</v>
      </c>
      <c r="I133" s="25"/>
      <c r="J133" s="25"/>
      <c r="L133" s="24" t="e">
        <f ca="1">_xll.EVPRO($B$1,H133,"JDEID")</f>
        <v>#NAME?</v>
      </c>
      <c r="M133" s="24" t="str">
        <f>IF(AND(I133="N",J133="N"),_xll.EVPRO($B$1,H133,"PSFTID"),"")</f>
        <v/>
      </c>
      <c r="N133" s="439" t="e">
        <f ca="1">IF(_xll.EVDES(H133,$B$1)="#NODATA","",_xll.EVDES(H133,$B$1))</f>
        <v>#NAME?</v>
      </c>
      <c r="O133" s="153">
        <v>0.19409507767171999</v>
      </c>
      <c r="P133" s="153"/>
      <c r="Q133" s="153"/>
      <c r="R133" s="153"/>
      <c r="S133" s="153"/>
      <c r="T133" s="153"/>
      <c r="U133" s="153"/>
      <c r="V133" s="153"/>
      <c r="W133" s="153"/>
      <c r="X133" s="153"/>
      <c r="Y133" s="153"/>
      <c r="Z133" s="153"/>
      <c r="AA133" s="153">
        <v>0.19409507767171999</v>
      </c>
      <c r="AB133" s="284"/>
      <c r="AD133" s="153"/>
      <c r="AE133" s="284"/>
      <c r="AF133" s="440">
        <f t="shared" si="59"/>
        <v>0.19409507767171999</v>
      </c>
      <c r="AG133" s="153">
        <v>0.20339042337631599</v>
      </c>
      <c r="AH133" s="284"/>
      <c r="AI133" s="440">
        <f t="shared" si="60"/>
        <v>-9.2953457045960031E-3</v>
      </c>
    </row>
    <row r="134" spans="3:35" x14ac:dyDescent="0.2">
      <c r="C134" s="23"/>
      <c r="H134" s="133" t="s">
        <v>755</v>
      </c>
      <c r="I134" s="25"/>
      <c r="J134" s="25"/>
      <c r="L134" s="24" t="e">
        <f ca="1">_xll.EVPRO($B$1,H134,"JDEID")</f>
        <v>#NAME?</v>
      </c>
      <c r="M134" s="24" t="str">
        <f>IF(AND(I134="N",J134="N"),_xll.EVPRO($B$1,H134,"PSFTID"),"")</f>
        <v/>
      </c>
      <c r="N134" s="24" t="e">
        <f ca="1">IF(_xll.EVDES(H134,$B$1)="#NODATA","",_xll.EVDES(H134,$B$1))</f>
        <v>#NAME?</v>
      </c>
      <c r="O134" s="19">
        <v>681.03</v>
      </c>
      <c r="P134" s="19"/>
      <c r="Q134" s="19"/>
      <c r="R134" s="19"/>
      <c r="S134" s="19"/>
      <c r="T134" s="19"/>
      <c r="U134" s="19"/>
      <c r="V134" s="19"/>
      <c r="W134" s="19"/>
      <c r="X134" s="19"/>
      <c r="Y134" s="19"/>
      <c r="Z134" s="19"/>
      <c r="AA134" s="19">
        <f>SUM(O134:Z134)</f>
        <v>681.03</v>
      </c>
      <c r="AB134" s="284" t="str">
        <f ca="1">IF(AA134=0,"",IFERROR(AA134/_xll.EVGTS($B$1,1,_xll.EVPRO($B$1,$H134,"COSBASIS"),$B$3,$B$5,$B$6,$B$7,$B$9,AA$16,AA$17,AA$11),""))</f>
        <v/>
      </c>
      <c r="AD134" s="19"/>
      <c r="AE134" s="284" t="str">
        <f>IF(AD134=0,"",IFERROR(AD134/_xll.EVGTS($B$1,1,_xll.EVPRO($B$1,$H134,"COSBASIS"),$B$3,$B$5,$B$6,$B$7,$B$9,AD$16,AD$17,AD$18),""))</f>
        <v/>
      </c>
      <c r="AF134" s="47">
        <f t="shared" si="59"/>
        <v>681.03</v>
      </c>
      <c r="AG134" s="19">
        <v>42690.58</v>
      </c>
      <c r="AH134" s="284" t="str">
        <f ca="1">IF(AG134=0,"",IFERROR(AG134/_xll.EVGTS($B$1,1,_xll.EVPRO($B$1,$H134,"COSBASIS"),$B$3,$B$5,$B$6,$B$7,$B$9,AG$16,AG$17,AG$18),""))</f>
        <v/>
      </c>
      <c r="AI134" s="47">
        <f t="shared" si="60"/>
        <v>-42009.55</v>
      </c>
    </row>
    <row r="135" spans="3:35" x14ac:dyDescent="0.2">
      <c r="C135" s="23"/>
      <c r="H135" s="133" t="s">
        <v>758</v>
      </c>
      <c r="I135" s="25"/>
      <c r="J135" s="25"/>
      <c r="L135" s="24" t="e">
        <f ca="1">_xll.EVPRO($B$1,H135,"JDEID")</f>
        <v>#NAME?</v>
      </c>
      <c r="M135" s="24" t="str">
        <f>IF(AND(I135="N",J135="N"),_xll.EVPRO($B$1,H135,"PSFTID"),"")</f>
        <v/>
      </c>
      <c r="N135" s="439" t="e">
        <f ca="1">IF(_xll.EVDES(H135,$B$1)="#NODATA","",_xll.EVDES(H135,$B$1))</f>
        <v>#NAME?</v>
      </c>
      <c r="O135" s="153">
        <v>0.197000289268152</v>
      </c>
      <c r="P135" s="153"/>
      <c r="Q135" s="153"/>
      <c r="R135" s="153"/>
      <c r="S135" s="153"/>
      <c r="T135" s="153"/>
      <c r="U135" s="153"/>
      <c r="V135" s="153"/>
      <c r="W135" s="153"/>
      <c r="X135" s="153"/>
      <c r="Y135" s="153"/>
      <c r="Z135" s="153"/>
      <c r="AA135" s="153">
        <v>0.197000289268152</v>
      </c>
      <c r="AB135" s="284"/>
      <c r="AD135" s="153"/>
      <c r="AE135" s="284"/>
      <c r="AF135" s="440">
        <f t="shared" si="59"/>
        <v>0.197000289268152</v>
      </c>
      <c r="AG135" s="153">
        <v>0.20686877375972401</v>
      </c>
      <c r="AH135" s="284"/>
      <c r="AI135" s="440">
        <f t="shared" si="60"/>
        <v>-9.868484491572016E-3</v>
      </c>
    </row>
    <row r="136" spans="3:35" x14ac:dyDescent="0.2">
      <c r="C136" s="23"/>
      <c r="H136" s="133">
        <v>561400</v>
      </c>
      <c r="I136" s="25"/>
      <c r="J136" s="25"/>
      <c r="L136" s="24" t="e">
        <f ca="1">_xll.EVPRO($B$1,H136,"JDEID")</f>
        <v>#NAME?</v>
      </c>
      <c r="M136" s="24" t="str">
        <f>IF(AND(I136="N",J136="N"),_xll.EVPRO($B$1,H136,"PSFTID"),"")</f>
        <v/>
      </c>
      <c r="N136" s="24" t="e">
        <f ca="1">IF(_xll.EVDES(H136,$B$1)="#NODATA","",_xll.EVDES(H136,$B$1))</f>
        <v>#NAME?</v>
      </c>
      <c r="O136" s="19">
        <v>144.36000000000001</v>
      </c>
      <c r="P136" s="19"/>
      <c r="Q136" s="19"/>
      <c r="R136" s="19"/>
      <c r="S136" s="19"/>
      <c r="T136" s="19"/>
      <c r="U136" s="19"/>
      <c r="V136" s="19"/>
      <c r="W136" s="19"/>
      <c r="X136" s="19"/>
      <c r="Y136" s="19"/>
      <c r="Z136" s="19"/>
      <c r="AA136" s="19">
        <f>SUM(O136:Z136)</f>
        <v>144.36000000000001</v>
      </c>
      <c r="AB136" s="284" t="str">
        <f ca="1">IF(AA136=0,"",IFERROR(AA136/_xll.EVGTS($B$1,1,_xll.EVPRO($B$1,$H136,"COSBASIS"),$B$3,$B$5,$B$6,$B$7,$B$9,AA$16,AA$17,AA$11),""))</f>
        <v/>
      </c>
      <c r="AD136" s="19"/>
      <c r="AE136" s="284" t="str">
        <f>IF(AD136=0,"",IFERROR(AD136/_xll.EVGTS($B$1,1,_xll.EVPRO($B$1,$H136,"COSBASIS"),$B$3,$B$5,$B$6,$B$7,$B$9,AD$16,AD$17,AD$18),""))</f>
        <v/>
      </c>
      <c r="AF136" s="47">
        <f t="shared" si="59"/>
        <v>144.36000000000001</v>
      </c>
      <c r="AG136" s="19">
        <v>6448.33</v>
      </c>
      <c r="AH136" s="284" t="str">
        <f ca="1">IF(AG136=0,"",IFERROR(AG136/_xll.EVGTS($B$1,1,_xll.EVPRO($B$1,$H136,"COSBASIS"),$B$3,$B$5,$B$6,$B$7,$B$9,AG$16,AG$17,AG$18),""))</f>
        <v/>
      </c>
      <c r="AI136" s="47">
        <f t="shared" si="60"/>
        <v>-6303.97</v>
      </c>
    </row>
    <row r="137" spans="3:35" x14ac:dyDescent="0.2">
      <c r="C137" s="23"/>
      <c r="H137" s="133" t="s">
        <v>759</v>
      </c>
      <c r="I137" s="25"/>
      <c r="J137" s="25"/>
      <c r="L137" s="24" t="e">
        <f ca="1">_xll.EVPRO($B$1,H137,"JDEID")</f>
        <v>#NAME?</v>
      </c>
      <c r="M137" s="24" t="str">
        <f>IF(AND(I137="N",J137="N"),_xll.EVPRO($B$1,H137,"PSFTID"),"")</f>
        <v/>
      </c>
      <c r="N137" s="439" t="e">
        <f ca="1">IF(_xll.EVDES(H137,$B$1)="#NODATA","",_xll.EVDES(H137,$B$1))</f>
        <v>#NAME?</v>
      </c>
      <c r="O137" s="153">
        <v>0.18699481865285</v>
      </c>
      <c r="P137" s="153"/>
      <c r="Q137" s="153"/>
      <c r="R137" s="153"/>
      <c r="S137" s="153"/>
      <c r="T137" s="153"/>
      <c r="U137" s="153"/>
      <c r="V137" s="153"/>
      <c r="W137" s="153"/>
      <c r="X137" s="153"/>
      <c r="Y137" s="153"/>
      <c r="Z137" s="153"/>
      <c r="AA137" s="153">
        <v>0.18699481865285</v>
      </c>
      <c r="AB137" s="284"/>
      <c r="AD137" s="153"/>
      <c r="AE137" s="284"/>
      <c r="AF137" s="440">
        <f t="shared" si="59"/>
        <v>0.18699481865285</v>
      </c>
      <c r="AG137" s="153">
        <v>0.18687453269267601</v>
      </c>
      <c r="AH137" s="284"/>
      <c r="AI137" s="440">
        <f t="shared" si="60"/>
        <v>1.2028596017399362E-4</v>
      </c>
    </row>
    <row r="138" spans="3:35" x14ac:dyDescent="0.2">
      <c r="H138" s="133">
        <v>561500</v>
      </c>
      <c r="I138" s="25"/>
      <c r="J138" s="25"/>
      <c r="L138" s="24" t="e">
        <f ca="1">_xll.EVPRO($B$1,H138,"JDEID")</f>
        <v>#NAME?</v>
      </c>
      <c r="M138" s="24" t="str">
        <f>IF(AND(I138="N",J138="N"),_xll.EVPRO($B$1,H138,"PSFTID"),"")</f>
        <v/>
      </c>
      <c r="N138" s="24" t="e">
        <f ca="1">IF(_xll.EVDES(H138,$B$1)="#NODATA","",_xll.EVDES(H138,$B$1))</f>
        <v>#NAME?</v>
      </c>
      <c r="O138" s="19">
        <v>211.66</v>
      </c>
      <c r="P138" s="19"/>
      <c r="Q138" s="19"/>
      <c r="R138" s="19"/>
      <c r="S138" s="19"/>
      <c r="T138" s="19"/>
      <c r="U138" s="19"/>
      <c r="V138" s="19"/>
      <c r="W138" s="19"/>
      <c r="X138" s="19"/>
      <c r="Y138" s="19"/>
      <c r="Z138" s="19"/>
      <c r="AA138" s="19">
        <f>SUM(O138:Z138)</f>
        <v>211.66</v>
      </c>
      <c r="AB138" s="284" t="str">
        <f ca="1">IF(AA138=0,"",IFERROR(AA138/_xll.EVGTS($B$1,1,_xll.EVPRO($B$1,$H138,"COSBASIS"),$B$3,$B$5,$B$6,$B$7,$B$9,AA$16,AA$17,AA$11),""))</f>
        <v/>
      </c>
      <c r="AD138" s="19"/>
      <c r="AE138" s="284" t="str">
        <f>IF(AD138=0,"",IFERROR(AD138/_xll.EVGTS($B$1,1,_xll.EVPRO($B$1,$H138,"COSBASIS"),$B$3,$B$5,$B$6,$B$7,$B$9,AD$16,AD$17,AD$18),""))</f>
        <v/>
      </c>
      <c r="AF138" s="47">
        <f t="shared" si="59"/>
        <v>211.66</v>
      </c>
      <c r="AG138" s="19">
        <v>8716.4599999999991</v>
      </c>
      <c r="AH138" s="284" t="str">
        <f ca="1">IF(AG138=0,"",IFERROR(AG138/_xll.EVGTS($B$1,1,_xll.EVPRO($B$1,$H138,"COSBASIS"),$B$3,$B$5,$B$6,$B$7,$B$9,AG$16,AG$17,AG$18),""))</f>
        <v/>
      </c>
      <c r="AI138" s="47">
        <f t="shared" si="60"/>
        <v>-8504.7999999999993</v>
      </c>
    </row>
    <row r="139" spans="3:35" x14ac:dyDescent="0.2">
      <c r="C139" s="23"/>
      <c r="H139" s="133" t="s">
        <v>760</v>
      </c>
      <c r="I139" s="25"/>
      <c r="J139" s="25"/>
      <c r="L139" s="24" t="e">
        <f ca="1">_xll.EVPRO($B$1,H139,"JDEID")</f>
        <v>#NAME?</v>
      </c>
      <c r="M139" s="24" t="str">
        <f>IF(AND(I139="N",J139="N"),_xll.EVPRO($B$1,H139,"PSFTID"),"")</f>
        <v/>
      </c>
      <c r="N139" s="439" t="e">
        <f ca="1">IF(_xll.EVDES(H139,$B$1)="#NODATA","",_xll.EVDES(H139,$B$1))</f>
        <v>#NAME?</v>
      </c>
      <c r="O139" s="153">
        <v>0.19</v>
      </c>
      <c r="P139" s="153"/>
      <c r="Q139" s="153"/>
      <c r="R139" s="153"/>
      <c r="S139" s="153"/>
      <c r="T139" s="153"/>
      <c r="U139" s="153"/>
      <c r="V139" s="153"/>
      <c r="W139" s="153"/>
      <c r="X139" s="153"/>
      <c r="Y139" s="153"/>
      <c r="Z139" s="153"/>
      <c r="AA139" s="153">
        <v>0.19</v>
      </c>
      <c r="AB139" s="284"/>
      <c r="AD139" s="153"/>
      <c r="AE139" s="284"/>
      <c r="AF139" s="440">
        <f t="shared" si="59"/>
        <v>0.19</v>
      </c>
      <c r="AG139" s="153">
        <v>0.19999665007228701</v>
      </c>
      <c r="AH139" s="284"/>
      <c r="AI139" s="440">
        <f t="shared" si="60"/>
        <v>-9.9966500722870055E-3</v>
      </c>
    </row>
    <row r="140" spans="3:35" x14ac:dyDescent="0.2">
      <c r="C140" s="23"/>
      <c r="H140" s="133" t="s">
        <v>286</v>
      </c>
      <c r="I140" s="25"/>
      <c r="J140" s="25"/>
      <c r="L140" s="24" t="e">
        <f ca="1">_xll.EVPRO($B$1,H140,"JDEID")</f>
        <v>#NAME?</v>
      </c>
      <c r="M140" s="24" t="str">
        <f>IF(AND(I140="N",J140="N"),_xll.EVPRO($B$1,H140,"PSFTID"),"")</f>
        <v/>
      </c>
      <c r="N140" s="24" t="e">
        <f ca="1">IF(_xll.EVDES(H140,$B$1)="#NODATA","",_xll.EVDES(H140,$B$1))</f>
        <v>#NAME?</v>
      </c>
      <c r="O140" s="19">
        <v>1386.55</v>
      </c>
      <c r="P140" s="19">
        <v>-41.3</v>
      </c>
      <c r="Q140" s="19">
        <v>-61.95</v>
      </c>
      <c r="R140" s="19"/>
      <c r="S140" s="19"/>
      <c r="T140" s="19"/>
      <c r="U140" s="19"/>
      <c r="V140" s="19"/>
      <c r="W140" s="19"/>
      <c r="X140" s="19"/>
      <c r="Y140" s="19"/>
      <c r="Z140" s="19"/>
      <c r="AA140" s="19">
        <f>SUM(O140:Z140)</f>
        <v>1283.3</v>
      </c>
      <c r="AB140" s="284" t="str">
        <f ca="1">IF(AA140=0,"",IFERROR(AA140/_xll.EVGTS($B$1,1,_xll.EVPRO($B$1,$H140,"COSBASIS"),$B$3,$B$5,$B$6,$B$7,$B$9,AA$16,AA$17,AA$11),""))</f>
        <v/>
      </c>
      <c r="AD140" s="19"/>
      <c r="AE140" s="284" t="str">
        <f>IF(AD140=0,"",IFERROR(AD140/_xll.EVGTS($B$1,1,_xll.EVPRO($B$1,$H140,"COSBASIS"),$B$3,$B$5,$B$6,$B$7,$B$9,AD$16,AD$17,AD$18),""))</f>
        <v/>
      </c>
      <c r="AF140" s="47">
        <f t="shared" si="59"/>
        <v>1283.3</v>
      </c>
      <c r="AG140" s="19">
        <v>92443.23</v>
      </c>
      <c r="AH140" s="284" t="str">
        <f ca="1">IF(AG140=0,"",IFERROR(AG140/_xll.EVGTS($B$1,1,_xll.EVPRO($B$1,$H140,"COSBASIS"),$B$3,$B$5,$B$6,$B$7,$B$9,AG$16,AG$17,AG$18),""))</f>
        <v/>
      </c>
      <c r="AI140" s="47">
        <f t="shared" si="60"/>
        <v>-91159.93</v>
      </c>
    </row>
    <row r="141" spans="3:35" x14ac:dyDescent="0.2">
      <c r="C141" s="23"/>
      <c r="H141" s="133"/>
      <c r="I141" s="25"/>
      <c r="J141" s="25"/>
      <c r="L141" s="24"/>
      <c r="M141" s="24"/>
      <c r="N141" s="439" t="s">
        <v>762</v>
      </c>
      <c r="O141" s="153">
        <f>IFERROR(O140/O85,"")</f>
        <v>0.20042642382191383</v>
      </c>
      <c r="P141" s="153" t="str">
        <f t="shared" ref="P141:AA141" si="61">IFERROR(P140/P85,"")</f>
        <v/>
      </c>
      <c r="Q141" s="153" t="str">
        <f t="shared" si="61"/>
        <v/>
      </c>
      <c r="R141" s="153" t="str">
        <f t="shared" si="61"/>
        <v/>
      </c>
      <c r="S141" s="153" t="str">
        <f t="shared" si="61"/>
        <v/>
      </c>
      <c r="T141" s="153" t="str">
        <f t="shared" si="61"/>
        <v/>
      </c>
      <c r="U141" s="153" t="str">
        <f t="shared" si="61"/>
        <v/>
      </c>
      <c r="V141" s="153" t="str">
        <f t="shared" si="61"/>
        <v/>
      </c>
      <c r="W141" s="153" t="str">
        <f t="shared" si="61"/>
        <v/>
      </c>
      <c r="X141" s="153" t="str">
        <f t="shared" si="61"/>
        <v/>
      </c>
      <c r="Y141" s="153" t="str">
        <f t="shared" si="61"/>
        <v/>
      </c>
      <c r="Z141" s="153" t="str">
        <f t="shared" si="61"/>
        <v/>
      </c>
      <c r="AA141" s="153">
        <f t="shared" si="61"/>
        <v>0.18550159005492917</v>
      </c>
      <c r="AB141" s="284"/>
      <c r="AD141" s="153" t="str">
        <f>IFERROR(AD140/AD85,"")</f>
        <v/>
      </c>
      <c r="AE141" s="284"/>
      <c r="AF141" s="440" t="e">
        <f t="shared" ref="AF141" si="62">IF(AND($AA141="",AD141=""),"",$AA141-AD141)</f>
        <v>#VALUE!</v>
      </c>
      <c r="AG141" s="153">
        <f>IFERROR(AG140/AG85,"")</f>
        <v>0.21631430202921886</v>
      </c>
      <c r="AH141" s="284"/>
      <c r="AI141" s="440">
        <f t="shared" si="60"/>
        <v>-3.0812711974289697E-2</v>
      </c>
    </row>
    <row r="142" spans="3:35" x14ac:dyDescent="0.2">
      <c r="C142" s="23"/>
    </row>
    <row r="143" spans="3:35" x14ac:dyDescent="0.2">
      <c r="C143" s="23"/>
      <c r="H143" s="133"/>
      <c r="I143" s="25"/>
      <c r="J143" s="25"/>
      <c r="N143" s="24" t="e">
        <f ca="1">N85&amp;" - Check"</f>
        <v>#NAME?</v>
      </c>
      <c r="O143" s="124">
        <f t="shared" ref="O143:AA143" si="63">O39+O49+O59+O69+O79+O83-O85</f>
        <v>0</v>
      </c>
      <c r="P143" s="124">
        <f t="shared" si="63"/>
        <v>0</v>
      </c>
      <c r="Q143" s="124">
        <f t="shared" si="63"/>
        <v>0</v>
      </c>
      <c r="R143" s="124">
        <f t="shared" si="63"/>
        <v>0</v>
      </c>
      <c r="S143" s="124">
        <f t="shared" si="63"/>
        <v>0</v>
      </c>
      <c r="T143" s="124">
        <f t="shared" si="63"/>
        <v>0</v>
      </c>
      <c r="U143" s="124">
        <f t="shared" si="63"/>
        <v>0</v>
      </c>
      <c r="V143" s="124">
        <f t="shared" si="63"/>
        <v>0</v>
      </c>
      <c r="W143" s="124">
        <f t="shared" si="63"/>
        <v>0</v>
      </c>
      <c r="X143" s="124">
        <f t="shared" si="63"/>
        <v>0</v>
      </c>
      <c r="Y143" s="124">
        <f t="shared" si="63"/>
        <v>0</v>
      </c>
      <c r="Z143" s="124">
        <f t="shared" si="63"/>
        <v>0</v>
      </c>
      <c r="AA143" s="124">
        <f t="shared" si="63"/>
        <v>0</v>
      </c>
      <c r="AB143" s="15"/>
      <c r="AD143" s="124">
        <f>AD39+AD49+AD59+AD69+AD79+AD83-AD85</f>
        <v>0</v>
      </c>
      <c r="AE143" s="15"/>
      <c r="AF143" s="19"/>
      <c r="AG143" s="124">
        <f>AG39+AG49+AG59+AG69+AG79+AG83-AG85</f>
        <v>0</v>
      </c>
      <c r="AH143" s="15"/>
      <c r="AI143" s="19"/>
    </row>
    <row r="144" spans="3:35" x14ac:dyDescent="0.2">
      <c r="C144" s="23"/>
      <c r="H144" s="133"/>
      <c r="I144" s="25"/>
      <c r="J144" s="25"/>
      <c r="N144" s="24" t="e">
        <f ca="1">N87&amp;" - Check"</f>
        <v>#NAME?</v>
      </c>
      <c r="O144" s="124">
        <f t="shared" ref="O144:AA144" si="64">O41+O51+O61+O71+O80-O87</f>
        <v>0</v>
      </c>
      <c r="P144" s="124">
        <f t="shared" si="64"/>
        <v>0</v>
      </c>
      <c r="Q144" s="124">
        <f t="shared" si="64"/>
        <v>0</v>
      </c>
      <c r="R144" s="124">
        <f t="shared" si="64"/>
        <v>0</v>
      </c>
      <c r="S144" s="124">
        <f t="shared" si="64"/>
        <v>0</v>
      </c>
      <c r="T144" s="124">
        <f t="shared" si="64"/>
        <v>0</v>
      </c>
      <c r="U144" s="124">
        <f t="shared" si="64"/>
        <v>0</v>
      </c>
      <c r="V144" s="124">
        <f t="shared" si="64"/>
        <v>0</v>
      </c>
      <c r="W144" s="124">
        <f t="shared" si="64"/>
        <v>0</v>
      </c>
      <c r="X144" s="124">
        <f t="shared" si="64"/>
        <v>0</v>
      </c>
      <c r="Y144" s="124">
        <f t="shared" si="64"/>
        <v>0</v>
      </c>
      <c r="Z144" s="124">
        <f t="shared" si="64"/>
        <v>0</v>
      </c>
      <c r="AA144" s="124">
        <f t="shared" si="64"/>
        <v>0</v>
      </c>
      <c r="AB144" s="15"/>
      <c r="AD144" s="124">
        <f>AD41+AD51+AD61+AD71+AD80-AD87</f>
        <v>0</v>
      </c>
      <c r="AE144" s="15"/>
      <c r="AF144" s="19"/>
      <c r="AG144" s="124">
        <f>AG41+AG51+AG61+AG71+AG80-AG87</f>
        <v>0</v>
      </c>
      <c r="AH144" s="15"/>
      <c r="AI144" s="19"/>
    </row>
    <row r="145" spans="3:35" x14ac:dyDescent="0.2">
      <c r="C145" s="23"/>
      <c r="H145" s="133"/>
      <c r="I145" s="25"/>
      <c r="J145" s="25"/>
      <c r="N145" s="24" t="e">
        <f ca="1">N88&amp;" - Check"</f>
        <v>#NAME?</v>
      </c>
      <c r="O145" s="159">
        <f>IFERROR(O$85/O87,"")-O88</f>
        <v>-3.5527136788005009E-14</v>
      </c>
      <c r="P145" s="159" t="e">
        <f t="shared" ref="P145:Z145" si="65">IFERROR(P$85/P87,"")-P88</f>
        <v>#VALUE!</v>
      </c>
      <c r="Q145" s="159" t="e">
        <f t="shared" si="65"/>
        <v>#VALUE!</v>
      </c>
      <c r="R145" s="159" t="e">
        <f t="shared" si="65"/>
        <v>#VALUE!</v>
      </c>
      <c r="S145" s="159" t="e">
        <f t="shared" si="65"/>
        <v>#VALUE!</v>
      </c>
      <c r="T145" s="159" t="e">
        <f t="shared" si="65"/>
        <v>#VALUE!</v>
      </c>
      <c r="U145" s="159" t="e">
        <f t="shared" si="65"/>
        <v>#VALUE!</v>
      </c>
      <c r="V145" s="159" t="e">
        <f t="shared" si="65"/>
        <v>#VALUE!</v>
      </c>
      <c r="W145" s="159" t="e">
        <f t="shared" si="65"/>
        <v>#VALUE!</v>
      </c>
      <c r="X145" s="159" t="e">
        <f t="shared" si="65"/>
        <v>#VALUE!</v>
      </c>
      <c r="Y145" s="159" t="e">
        <f t="shared" si="65"/>
        <v>#VALUE!</v>
      </c>
      <c r="Z145" s="159" t="e">
        <f t="shared" si="65"/>
        <v>#VALUE!</v>
      </c>
      <c r="AA145" s="159">
        <f>IFERROR(AA$85/AA87,"")-AA88</f>
        <v>0</v>
      </c>
      <c r="AB145" s="15"/>
      <c r="AD145" s="159" t="e">
        <f>IFERROR(AD$85/AD87,"")-AD88</f>
        <v>#VALUE!</v>
      </c>
      <c r="AE145" s="15"/>
      <c r="AF145" s="19"/>
      <c r="AG145" s="159">
        <f>IFERROR(AG$85/AG87,"")-AG88</f>
        <v>0</v>
      </c>
      <c r="AH145" s="15"/>
      <c r="AI145" s="19"/>
    </row>
    <row r="146" spans="3:35" x14ac:dyDescent="0.2">
      <c r="C146" s="23"/>
      <c r="H146" s="133"/>
      <c r="I146" s="25"/>
      <c r="J146" s="25"/>
      <c r="N146" s="24" t="s">
        <v>768</v>
      </c>
      <c r="O146" s="124">
        <f>(O130+O132)-O140</f>
        <v>0</v>
      </c>
      <c r="P146" s="124">
        <f t="shared" ref="P146:AA146" si="66">(P130+P132)-P140</f>
        <v>0</v>
      </c>
      <c r="Q146" s="124">
        <f t="shared" si="66"/>
        <v>0</v>
      </c>
      <c r="R146" s="124">
        <f t="shared" si="66"/>
        <v>0</v>
      </c>
      <c r="S146" s="124">
        <f t="shared" si="66"/>
        <v>0</v>
      </c>
      <c r="T146" s="124">
        <f t="shared" si="66"/>
        <v>0</v>
      </c>
      <c r="U146" s="124">
        <f t="shared" si="66"/>
        <v>0</v>
      </c>
      <c r="V146" s="124">
        <f t="shared" si="66"/>
        <v>0</v>
      </c>
      <c r="W146" s="124">
        <f t="shared" si="66"/>
        <v>0</v>
      </c>
      <c r="X146" s="124">
        <f t="shared" si="66"/>
        <v>0</v>
      </c>
      <c r="Y146" s="124">
        <f t="shared" si="66"/>
        <v>0</v>
      </c>
      <c r="Z146" s="124">
        <f t="shared" si="66"/>
        <v>0</v>
      </c>
      <c r="AA146" s="124">
        <f t="shared" si="66"/>
        <v>0</v>
      </c>
      <c r="AB146" s="15"/>
      <c r="AD146" s="124">
        <f>(AD130+AD132)-AD140</f>
        <v>0</v>
      </c>
      <c r="AE146" s="15"/>
      <c r="AF146" s="19"/>
      <c r="AG146" s="124">
        <f>(AG130+AG132)-AG140</f>
        <v>0</v>
      </c>
      <c r="AH146" s="15"/>
      <c r="AI146" s="19"/>
    </row>
    <row r="147" spans="3:35" x14ac:dyDescent="0.2">
      <c r="C147" s="23"/>
    </row>
    <row r="148" spans="3:35" x14ac:dyDescent="0.2">
      <c r="C148" s="23"/>
    </row>
    <row r="149" spans="3:35" x14ac:dyDescent="0.2">
      <c r="C149" s="23"/>
    </row>
    <row r="150" spans="3:35" x14ac:dyDescent="0.2">
      <c r="C150" s="23"/>
    </row>
    <row r="151" spans="3:35" x14ac:dyDescent="0.2">
      <c r="C151" s="23"/>
    </row>
    <row r="152" spans="3:35" x14ac:dyDescent="0.2">
      <c r="C152" s="23"/>
    </row>
    <row r="153" spans="3:35" x14ac:dyDescent="0.2">
      <c r="C153" s="23"/>
    </row>
    <row r="169" spans="9:34" x14ac:dyDescent="0.2">
      <c r="I169" s="72"/>
      <c r="J169" s="1"/>
      <c r="K169" s="72"/>
      <c r="L169" s="72"/>
      <c r="M169" s="72"/>
      <c r="O169" s="72"/>
      <c r="P169" s="72"/>
      <c r="Q169" s="72"/>
      <c r="R169" s="72"/>
      <c r="S169" s="72"/>
      <c r="T169" s="72"/>
      <c r="U169" s="72"/>
      <c r="V169" s="72"/>
      <c r="W169" s="72"/>
      <c r="X169" s="72"/>
      <c r="Y169" s="72"/>
      <c r="Z169" s="72"/>
      <c r="AA169" s="72"/>
      <c r="AD169" s="72"/>
      <c r="AF169" s="72"/>
      <c r="AH169" s="72"/>
    </row>
    <row r="173" spans="9:34" x14ac:dyDescent="0.2">
      <c r="I173" s="72"/>
      <c r="J173" s="1"/>
      <c r="K173" s="72"/>
      <c r="L173" s="72"/>
      <c r="M173" s="72"/>
      <c r="O173" s="72"/>
      <c r="P173" s="72"/>
      <c r="Q173" s="72"/>
      <c r="R173" s="72"/>
      <c r="S173" s="72"/>
      <c r="T173" s="72"/>
      <c r="U173" s="72"/>
      <c r="V173" s="72"/>
      <c r="W173" s="72"/>
      <c r="X173" s="72"/>
      <c r="Y173" s="72"/>
      <c r="Z173" s="72"/>
      <c r="AA173" s="72"/>
      <c r="AD173" s="72"/>
      <c r="AF173" s="72"/>
      <c r="AH173" s="72"/>
    </row>
    <row r="207" spans="5:5" x14ac:dyDescent="0.2">
      <c r="E207" s="72"/>
    </row>
    <row r="211" spans="5:5" x14ac:dyDescent="0.2">
      <c r="E211" s="72"/>
    </row>
  </sheetData>
  <mergeCells count="2">
    <mergeCell ref="AD31:AE31"/>
    <mergeCell ref="AG31:AH31"/>
  </mergeCells>
  <conditionalFormatting sqref="N43">
    <cfRule type="expression" dxfId="65" priority="14">
      <formula>$G43&lt;&gt;0</formula>
    </cfRule>
  </conditionalFormatting>
  <conditionalFormatting sqref="N53">
    <cfRule type="expression" dxfId="64" priority="12">
      <formula>$G53&lt;&gt;0</formula>
    </cfRule>
  </conditionalFormatting>
  <conditionalFormatting sqref="N63">
    <cfRule type="expression" dxfId="63" priority="10">
      <formula>$G63&lt;&gt;0</formula>
    </cfRule>
  </conditionalFormatting>
  <conditionalFormatting sqref="N73">
    <cfRule type="expression" dxfId="62" priority="8">
      <formula>$G73&lt;&gt;0</formula>
    </cfRule>
  </conditionalFormatting>
  <conditionalFormatting sqref="N82">
    <cfRule type="expression" dxfId="61" priority="7">
      <formula>$G82&lt;&gt;0</formula>
    </cfRule>
  </conditionalFormatting>
  <conditionalFormatting sqref="O43:AA43 AD43 AF43:AG43">
    <cfRule type="expression" dxfId="60" priority="15">
      <formula>ROUND(O42,2)&lt;&gt;ROUND(O43,2)</formula>
    </cfRule>
  </conditionalFormatting>
  <conditionalFormatting sqref="O53:AA53 AD53 AF53:AG53">
    <cfRule type="expression" dxfId="59" priority="13">
      <formula>ROUND(O52,2)&lt;&gt;ROUND(O53,2)</formula>
    </cfRule>
  </conditionalFormatting>
  <conditionalFormatting sqref="O63:AA63 AD63 AF63:AG63">
    <cfRule type="expression" dxfId="58" priority="11">
      <formula>ROUND(O62,2)&lt;&gt;ROUND(O63,2)</formula>
    </cfRule>
  </conditionalFormatting>
  <conditionalFormatting sqref="O73:AA73 AD73 AF73:AG73">
    <cfRule type="expression" dxfId="57" priority="9">
      <formula>ROUND(O72,2)&lt;&gt;ROUND(O73,2)</formula>
    </cfRule>
  </conditionalFormatting>
  <conditionalFormatting sqref="O82:AA82 AD82 AF82:AG82">
    <cfRule type="expression" dxfId="56" priority="6">
      <formula>ROUND(O81,2)&lt;&gt;ROUND(O82,2)</formula>
    </cfRule>
  </conditionalFormatting>
  <conditionalFormatting sqref="AI43">
    <cfRule type="expression" dxfId="55" priority="5">
      <formula>ROUND(AI42,2)&lt;&gt;ROUND(AI43,2)</formula>
    </cfRule>
  </conditionalFormatting>
  <conditionalFormatting sqref="AI53">
    <cfRule type="expression" dxfId="54" priority="4">
      <formula>ROUND(AI52,2)&lt;&gt;ROUND(AI53,2)</formula>
    </cfRule>
  </conditionalFormatting>
  <conditionalFormatting sqref="AI63">
    <cfRule type="expression" dxfId="53" priority="3">
      <formula>ROUND(AI62,2)&lt;&gt;ROUND(AI63,2)</formula>
    </cfRule>
  </conditionalFormatting>
  <conditionalFormatting sqref="AI73">
    <cfRule type="expression" dxfId="52" priority="2">
      <formula>ROUND(AI72,2)&lt;&gt;ROUND(AI73,2)</formula>
    </cfRule>
  </conditionalFormatting>
  <conditionalFormatting sqref="AI82">
    <cfRule type="expression" dxfId="51" priority="1">
      <formula>ROUND(AI81,2)&lt;&gt;ROUND(AI82,2)</formula>
    </cfRule>
  </conditionalFormatting>
  <dataValidations disablePrompts="1" count="2">
    <dataValidation type="list" allowBlank="1" sqref="B29" xr:uid="{00000000-0002-0000-2800-000000000000}">
      <formula1>"SELF,ALL,BAS,DEP,BASMEMBERS,MEMBERS,NOEXPAND,GDEP"</formula1>
    </dataValidation>
    <dataValidation type="list" allowBlank="1" sqref="B28" xr:uid="{00000000-0002-0000-28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9">
    <tabColor theme="6" tint="0.39997558519241921"/>
    <pageSetUpPr fitToPage="1"/>
  </sheetPr>
  <dimension ref="A1:AO17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346</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_xll.EVRNG(H35:H51)</f>
        <v>#NAME?</v>
      </c>
      <c r="G19" s="16" t="str">
        <f>$B$6</f>
        <v>D_RS_CON</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tr">
        <f>$B$6</f>
        <v>D_RS_CON</v>
      </c>
      <c r="H20" s="16">
        <v>946000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I21" s="1"/>
      <c r="J21" s="1"/>
    </row>
    <row r="22" spans="1:40" hidden="1" outlineLevel="1" x14ac:dyDescent="0.2">
      <c r="A22" s="6" t="s">
        <v>7</v>
      </c>
      <c r="B22" s="7" t="e">
        <f ca="1">_xll.EVRNG(A36:F44)</f>
        <v>#NAME?</v>
      </c>
      <c r="I22" s="1"/>
      <c r="J22" s="1"/>
    </row>
    <row r="23" spans="1:40" hidden="1" outlineLevel="1" x14ac:dyDescent="0.2">
      <c r="A23" s="6" t="s">
        <v>47</v>
      </c>
      <c r="B23" s="7" t="e">
        <f ca="1">_xll.EVRNG($A$125:$B$146)</f>
        <v>#NAME?</v>
      </c>
      <c r="K23" s="53"/>
      <c r="L23" s="53"/>
      <c r="M23" s="53"/>
      <c r="AD23" s="136"/>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IF(_xll.EVDES(B6,$B$1)="#NODATA","",_xll.EVDES(B6,$B$1)&amp;" Department")</f>
        <v>#NAME?</v>
      </c>
    </row>
    <row r="28" spans="1:40" ht="16" x14ac:dyDescent="0.2">
      <c r="A28" s="6" t="s">
        <v>12</v>
      </c>
      <c r="B28" s="7" t="s">
        <v>22</v>
      </c>
      <c r="N28" s="67" t="e">
        <f ca="1">"For the Period ended"&amp;" "&amp;IF(_xll.EVDES($B$10,$B$1)="#NODATA","",_xll.EVDES($B$10,$B$1))</f>
        <v>#NAME?</v>
      </c>
    </row>
    <row r="29" spans="1:40" ht="15" customHeight="1" x14ac:dyDescent="0.2">
      <c r="A29" s="6" t="s">
        <v>13</v>
      </c>
      <c r="B29" s="7" t="e">
        <f ca="1">"DEP(REV_F) AND "&amp;$E$6&amp;"=Y,REV_F,BEV,DEP(REV_BEV) AND "&amp;$E$6&amp;"=Y,REV_BEV,ALLOW_FB,REV_FB,OTHR_REV,DEP(REV_OTHR) AND "&amp;$E$6&amp;"=Y,REV_OTHR,400000"</f>
        <v>#NAME?</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751</v>
      </c>
      <c r="AK30" s="209"/>
      <c r="AL30" s="210"/>
      <c r="AM30" s="209" t="s">
        <v>750</v>
      </c>
      <c r="AN30" s="209"/>
    </row>
    <row r="31" spans="1:40" x14ac:dyDescent="0.2">
      <c r="A31" s="6" t="s">
        <v>15</v>
      </c>
      <c r="B31" s="7"/>
      <c r="G31" s="13"/>
      <c r="K31" s="11"/>
      <c r="L31" s="11"/>
      <c r="M31" s="1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69</v>
      </c>
      <c r="I33" s="11" t="e">
        <f ca="1">_xll.EVPRO($B$1,$H33,"STYLE")</f>
        <v>#NAME?</v>
      </c>
      <c r="J33" s="11" t="e">
        <f ca="1">_xll.EVPRO($B$1,$H33,"CALC")</f>
        <v>#NAME?</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0" x14ac:dyDescent="0.2">
      <c r="H34" s="1" t="s">
        <v>259</v>
      </c>
      <c r="I34" s="11" t="e">
        <f ca="1">_xll.EVPRO($B$1,$H34,"STYLE")</f>
        <v>#NAME?</v>
      </c>
      <c r="J34" s="11" t="e">
        <f ca="1">_xll.EVPRO($B$1,$H34,"CALC")</f>
        <v>#NAME?</v>
      </c>
      <c r="L34" s="175" t="s">
        <v>364</v>
      </c>
      <c r="M34" s="175" t="s">
        <v>782</v>
      </c>
      <c r="N34" s="8" t="e">
        <f ca="1">IF(_xll.EVDES(H34,$B$1)="#NODATA","",_xll.EVDES(H34,$B$1))</f>
        <v>#NAME?</v>
      </c>
      <c r="O34" s="50"/>
      <c r="AB34" s="51"/>
      <c r="AD34" s="50"/>
      <c r="AF34" s="51"/>
      <c r="AG34" s="50"/>
      <c r="AI34" s="51"/>
    </row>
    <row r="35" spans="1:40" x14ac:dyDescent="0.2">
      <c r="A35" s="20" t="s">
        <v>92</v>
      </c>
      <c r="B35" s="21" t="s">
        <v>93</v>
      </c>
      <c r="C35" s="21" t="s">
        <v>94</v>
      </c>
      <c r="D35" s="21" t="s">
        <v>95</v>
      </c>
      <c r="E35" s="21" t="s">
        <v>96</v>
      </c>
      <c r="F35" s="22" t="s">
        <v>97</v>
      </c>
      <c r="H35" s="10" t="s">
        <v>260</v>
      </c>
      <c r="I35" s="25" t="e">
        <f ca="1">_xll.EVPRO($B$1,$H35,"STYLE")</f>
        <v>#NAME?</v>
      </c>
      <c r="J35" s="25" t="e">
        <f ca="1">_xll.EVPRO($B$1,$H35,"CALC")</f>
        <v>#NAME?</v>
      </c>
      <c r="K35" s="64" t="e">
        <f ca="1">IF(AND(I35&gt;="T5"),"&gt;","")</f>
        <v>#NAME?</v>
      </c>
      <c r="L35" s="24" t="e">
        <f ca="1">_xll.EVPRO($B$1,H35,"JDEID")</f>
        <v>#NAME?</v>
      </c>
      <c r="M35" s="24" t="e">
        <f ca="1">IF(AND(I35="N",J35="N"),_xll.EVPRO($B$1,H35,"PSFTID"),"")</f>
        <v>#NAME?</v>
      </c>
      <c r="N35" s="24" t="e">
        <f ca="1">IF(_xll.EVDES(H35,$B$1)="#NODATA","",_xll.EVDES(H35,$B$1))</f>
        <v>#NAME?</v>
      </c>
      <c r="O35" s="304"/>
      <c r="P35" s="305"/>
      <c r="Q35" s="305"/>
      <c r="R35" s="305"/>
      <c r="S35" s="305"/>
      <c r="T35" s="305"/>
      <c r="U35" s="305"/>
      <c r="V35" s="305"/>
      <c r="W35" s="305"/>
      <c r="X35" s="305"/>
      <c r="Y35" s="305"/>
      <c r="Z35" s="305"/>
      <c r="AA35" s="283" t="e">
        <f t="shared" ref="AA35:AA51" ca="1" si="0">IF($I35="B1","",SUM(O35:Z35))</f>
        <v>#NAME?</v>
      </c>
      <c r="AB35" s="306" t="e">
        <f t="shared" ref="AB35:AB51" ca="1" si="1">IF(AA35=0,"",IFERROR(AA35/AA$19,""))</f>
        <v>#NAME?</v>
      </c>
      <c r="AC35" s="263"/>
      <c r="AD35" s="305"/>
      <c r="AE35" s="306" t="str">
        <f t="shared" ref="AE35:AE51" si="2">IF(AD35=0,"",IFERROR(AD35/AD$19,""))</f>
        <v/>
      </c>
      <c r="AF35" s="307" t="e">
        <f t="shared" ref="AF35:AF51" ca="1" si="3">IF(AND($AA35="",AD35=""),"",$AA35-AD35)</f>
        <v>#NAME?</v>
      </c>
      <c r="AG35" s="305"/>
      <c r="AH35" s="306" t="str">
        <f>IF(AG35=0,"",IFERROR(AG35/AG$19,""))</f>
        <v/>
      </c>
      <c r="AI35" s="308" t="e">
        <f ca="1">IF(AND($AA35="",AG35=""),"",$AA35-AG35)</f>
        <v>#NAME?</v>
      </c>
      <c r="AJ35" s="371">
        <f ca="1">IFERROR(AA35/AA$20,0)</f>
        <v>0</v>
      </c>
      <c r="AK35" s="372">
        <f ca="1">IFERROR(AD35/AD$20,0)</f>
        <v>0</v>
      </c>
      <c r="AL35" s="373">
        <f ca="1">IFERROR(AG35/AG$20,0)</f>
        <v>0</v>
      </c>
      <c r="AM35" s="374">
        <f ca="1">+IFERROR(ROUND(($AB35-AE35)*100,2)&amp;" pts.",0)</f>
        <v>0</v>
      </c>
      <c r="AN35" s="375">
        <f ca="1">+IFERROR(ROUND(($AB35-AH35)*100,2)&amp;" pts.",0)</f>
        <v>0</v>
      </c>
    </row>
    <row r="36" spans="1:40" x14ac:dyDescent="0.2">
      <c r="H36" s="10" t="s">
        <v>261</v>
      </c>
      <c r="I36" s="25" t="e">
        <f ca="1">_xll.EVPRO($B$1,$H36,"STYLE")</f>
        <v>#NAME?</v>
      </c>
      <c r="J36" s="25" t="e">
        <f ca="1">_xll.EVPRO($B$1,$H36,"CALC")</f>
        <v>#NAME?</v>
      </c>
      <c r="K36" s="64" t="e">
        <f t="shared" ref="K36:K51" ca="1" si="4">IF(AND(I36&gt;="T5"),"&gt;","")</f>
        <v>#NAME?</v>
      </c>
      <c r="L36" s="24" t="e">
        <f ca="1">_xll.EVPRO($B$1,H36,"JDEID")</f>
        <v>#NAME?</v>
      </c>
      <c r="M36" s="24" t="e">
        <f ca="1">IF(AND(I36="N",J36="N"),_xll.EVPRO($B$1,H36,"PSFTID"),"")</f>
        <v>#NAME?</v>
      </c>
      <c r="N36" s="24" t="e">
        <f ca="1">IF(_xll.EVDES(H36,$B$1)="#NODATA","",_xll.EVDES(H36,$B$1))</f>
        <v>#NAME?</v>
      </c>
      <c r="O36" s="304"/>
      <c r="P36" s="305"/>
      <c r="Q36" s="305"/>
      <c r="R36" s="305"/>
      <c r="S36" s="305"/>
      <c r="T36" s="305"/>
      <c r="U36" s="305"/>
      <c r="V36" s="305"/>
      <c r="W36" s="305"/>
      <c r="X36" s="305"/>
      <c r="Y36" s="305"/>
      <c r="Z36" s="305"/>
      <c r="AA36" s="283" t="e">
        <f t="shared" ca="1" si="0"/>
        <v>#NAME?</v>
      </c>
      <c r="AB36" s="306" t="e">
        <f t="shared" ca="1" si="1"/>
        <v>#NAME?</v>
      </c>
      <c r="AC36" s="263"/>
      <c r="AD36" s="305"/>
      <c r="AE36" s="306" t="str">
        <f t="shared" si="2"/>
        <v/>
      </c>
      <c r="AF36" s="307" t="e">
        <f t="shared" ca="1" si="3"/>
        <v>#NAME?</v>
      </c>
      <c r="AG36" s="305"/>
      <c r="AH36" s="306" t="str">
        <f t="shared" ref="AH36:AH51" si="5">IF(AG36=0,"",IFERROR(AG36/AG$19,""))</f>
        <v/>
      </c>
      <c r="AI36" s="308" t="e">
        <f t="shared" ref="AI36:AI51" ca="1" si="6">IF(AND($AA36="",AG36=""),"",$AA36-AG36)</f>
        <v>#NAME?</v>
      </c>
      <c r="AJ36" s="371">
        <f t="shared" ref="AJ36:AJ51" ca="1" si="7">IFERROR(AA36/AA$20,0)</f>
        <v>0</v>
      </c>
      <c r="AK36" s="372">
        <f t="shared" ref="AK36:AK51" ca="1" si="8">IFERROR(AD36/AD$20,0)</f>
        <v>0</v>
      </c>
      <c r="AL36" s="373">
        <f t="shared" ref="AL36:AL51" ca="1" si="9">IFERROR(AG36/AG$20,0)</f>
        <v>0</v>
      </c>
      <c r="AM36" s="374">
        <f t="shared" ref="AM36:AM51" ca="1" si="10">+IFERROR(ROUND(($AB36-AE36)*100,2)&amp;" pts.",0)</f>
        <v>0</v>
      </c>
      <c r="AN36" s="375">
        <f t="shared" ref="AN36:AN51" ca="1" si="11">+IFERROR(ROUND(($AB36-AH36)*100,2)&amp;" pts.",0)</f>
        <v>0</v>
      </c>
    </row>
    <row r="37" spans="1:40" x14ac:dyDescent="0.2">
      <c r="A37" s="1" t="s">
        <v>209</v>
      </c>
      <c r="B37" s="1" t="s">
        <v>21</v>
      </c>
      <c r="C37" s="70"/>
      <c r="D37" s="1" t="s">
        <v>590</v>
      </c>
      <c r="F37" s="1" t="s">
        <v>99</v>
      </c>
      <c r="H37" s="10" t="s">
        <v>262</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295"/>
      <c r="P37" s="296"/>
      <c r="Q37" s="296"/>
      <c r="R37" s="296"/>
      <c r="S37" s="296"/>
      <c r="T37" s="296"/>
      <c r="U37" s="296"/>
      <c r="V37" s="296"/>
      <c r="W37" s="296"/>
      <c r="X37" s="296"/>
      <c r="Y37" s="296"/>
      <c r="Z37" s="296"/>
      <c r="AA37" s="296" t="e">
        <f t="shared" ca="1" si="0"/>
        <v>#NAME?</v>
      </c>
      <c r="AB37" s="297" t="e">
        <f t="shared" ca="1" si="1"/>
        <v>#NAME?</v>
      </c>
      <c r="AC37" s="263"/>
      <c r="AD37" s="296"/>
      <c r="AE37" s="297" t="str">
        <f t="shared" si="2"/>
        <v/>
      </c>
      <c r="AF37" s="298" t="e">
        <f t="shared" ca="1" si="3"/>
        <v>#NAME?</v>
      </c>
      <c r="AG37" s="296"/>
      <c r="AH37" s="297" t="str">
        <f t="shared" si="5"/>
        <v/>
      </c>
      <c r="AI37" s="299" t="e">
        <f t="shared" ca="1" si="6"/>
        <v>#NAME?</v>
      </c>
      <c r="AJ37" s="381">
        <f t="shared" ca="1" si="7"/>
        <v>0</v>
      </c>
      <c r="AK37" s="382">
        <f t="shared" ca="1" si="8"/>
        <v>0</v>
      </c>
      <c r="AL37" s="383">
        <f t="shared" ca="1" si="9"/>
        <v>0</v>
      </c>
      <c r="AM37" s="384">
        <f t="shared" ca="1" si="10"/>
        <v>0</v>
      </c>
      <c r="AN37" s="385">
        <f t="shared" ca="1" si="11"/>
        <v>0</v>
      </c>
    </row>
    <row r="38" spans="1:40" x14ac:dyDescent="0.2">
      <c r="A38" s="1" t="s">
        <v>105</v>
      </c>
      <c r="C38" s="24" t="s">
        <v>101</v>
      </c>
      <c r="D38" s="1" t="s">
        <v>106</v>
      </c>
      <c r="F38" s="1" t="s">
        <v>98</v>
      </c>
      <c r="H38" s="10" t="s">
        <v>265</v>
      </c>
      <c r="I38" s="447" t="e">
        <f ca="1">_xll.EVPRO($B$1,$H38,"STYLE")</f>
        <v>#NAME?</v>
      </c>
      <c r="J38" s="447" t="e">
        <f ca="1">_xll.EVPRO($B$1,$H38,"CALC")</f>
        <v>#NAME?</v>
      </c>
      <c r="K38" s="448" t="e">
        <f t="shared" ca="1" si="4"/>
        <v>#NAME?</v>
      </c>
      <c r="L38" s="151" t="e">
        <f ca="1">_xll.EVPRO($B$1,H38,"JDEID")</f>
        <v>#NAME?</v>
      </c>
      <c r="M38" s="151" t="e">
        <f ca="1">IF(AND(I38="N",J38="N"),_xll.EVPRO($B$1,H38,"PSFTID"),"")</f>
        <v>#NAME?</v>
      </c>
      <c r="N38" s="151" t="e">
        <f ca="1">IF(_xll.EVDES(H38,$B$1)="#NODATA","",_xll.EVDES(H38,$B$1))</f>
        <v>#NAME?</v>
      </c>
      <c r="O38" s="202"/>
      <c r="P38" s="120"/>
      <c r="Q38" s="120"/>
      <c r="R38" s="120"/>
      <c r="S38" s="120"/>
      <c r="T38" s="120"/>
      <c r="U38" s="120"/>
      <c r="V38" s="120"/>
      <c r="W38" s="120"/>
      <c r="X38" s="120"/>
      <c r="Y38" s="120"/>
      <c r="Z38" s="120"/>
      <c r="AA38" s="120" t="e">
        <f t="shared" ca="1" si="0"/>
        <v>#NAME?</v>
      </c>
      <c r="AB38" s="121" t="e">
        <f t="shared" ca="1" si="1"/>
        <v>#NAME?</v>
      </c>
      <c r="AC38" s="123"/>
      <c r="AD38" s="120"/>
      <c r="AE38" s="121" t="str">
        <f t="shared" si="2"/>
        <v/>
      </c>
      <c r="AF38" s="122" t="e">
        <f t="shared" ca="1" si="3"/>
        <v>#NAME?</v>
      </c>
      <c r="AG38" s="120"/>
      <c r="AH38" s="121" t="str">
        <f t="shared" si="5"/>
        <v/>
      </c>
      <c r="AI38" s="264" t="e">
        <f t="shared" ca="1" si="6"/>
        <v>#NAME?</v>
      </c>
      <c r="AJ38" s="332">
        <f t="shared" ca="1" si="7"/>
        <v>0</v>
      </c>
      <c r="AK38" s="333">
        <f t="shared" ca="1" si="8"/>
        <v>0</v>
      </c>
      <c r="AL38" s="335">
        <f t="shared" ca="1" si="9"/>
        <v>0</v>
      </c>
      <c r="AM38" s="377">
        <f t="shared" ca="1" si="10"/>
        <v>0</v>
      </c>
      <c r="AN38" s="378">
        <f t="shared" ca="1" si="11"/>
        <v>0</v>
      </c>
    </row>
    <row r="39" spans="1:40" x14ac:dyDescent="0.2">
      <c r="A39" s="1" t="s">
        <v>104</v>
      </c>
      <c r="C39" s="24" t="s">
        <v>101</v>
      </c>
      <c r="D39" s="1" t="s">
        <v>106</v>
      </c>
      <c r="F39" s="1" t="s">
        <v>98</v>
      </c>
      <c r="H39" s="10" t="s">
        <v>266</v>
      </c>
      <c r="I39" s="447" t="e">
        <f ca="1">_xll.EVPRO($B$1,$H39,"STYLE")</f>
        <v>#NAME?</v>
      </c>
      <c r="J39" s="447" t="e">
        <f ca="1">_xll.EVPRO($B$1,$H39,"CALC")</f>
        <v>#NAME?</v>
      </c>
      <c r="K39" s="448" t="e">
        <f t="shared" ca="1" si="4"/>
        <v>#NAME?</v>
      </c>
      <c r="L39" s="151" t="e">
        <f ca="1">_xll.EVPRO($B$1,H39,"JDEID")</f>
        <v>#NAME?</v>
      </c>
      <c r="M39" s="151" t="e">
        <f ca="1">IF(AND(I39="N",J39="N"),_xll.EVPRO($B$1,H39,"PSFTID"),"")</f>
        <v>#NAME?</v>
      </c>
      <c r="N39" s="151" t="e">
        <f ca="1">IF(_xll.EVDES(H39,$B$1)="#NODATA","",_xll.EVDES(H39,$B$1))</f>
        <v>#NAME?</v>
      </c>
      <c r="O39" s="309"/>
      <c r="P39" s="35"/>
      <c r="Q39" s="35"/>
      <c r="R39" s="35"/>
      <c r="S39" s="35"/>
      <c r="T39" s="35"/>
      <c r="U39" s="35"/>
      <c r="V39" s="35"/>
      <c r="W39" s="35"/>
      <c r="X39" s="35"/>
      <c r="Y39" s="35"/>
      <c r="Z39" s="35"/>
      <c r="AA39" s="288" t="e">
        <f t="shared" ca="1" si="0"/>
        <v>#NAME?</v>
      </c>
      <c r="AB39" s="36" t="e">
        <f t="shared" ca="1" si="1"/>
        <v>#NAME?</v>
      </c>
      <c r="AD39" s="35"/>
      <c r="AE39" s="36" t="str">
        <f t="shared" si="2"/>
        <v/>
      </c>
      <c r="AF39" s="118" t="e">
        <f t="shared" ca="1" si="3"/>
        <v>#NAME?</v>
      </c>
      <c r="AG39" s="35"/>
      <c r="AH39" s="36" t="str">
        <f t="shared" si="5"/>
        <v/>
      </c>
      <c r="AI39" s="310" t="e">
        <f t="shared" ca="1" si="6"/>
        <v>#NAME?</v>
      </c>
      <c r="AJ39" s="325">
        <f t="shared" ca="1" si="7"/>
        <v>0</v>
      </c>
      <c r="AK39" s="326">
        <f t="shared" ca="1" si="8"/>
        <v>0</v>
      </c>
      <c r="AL39" s="328">
        <f t="shared" ca="1" si="9"/>
        <v>0</v>
      </c>
      <c r="AM39" s="362">
        <f t="shared" ca="1" si="10"/>
        <v>0</v>
      </c>
      <c r="AN39" s="376">
        <f t="shared" ca="1" si="11"/>
        <v>0</v>
      </c>
    </row>
    <row r="40" spans="1:40" x14ac:dyDescent="0.2">
      <c r="A40" s="1" t="s">
        <v>100</v>
      </c>
      <c r="C40" s="8" t="s">
        <v>101</v>
      </c>
      <c r="D40" s="1" t="s">
        <v>106</v>
      </c>
      <c r="F40" s="1" t="s">
        <v>98</v>
      </c>
      <c r="H40" s="10" t="s">
        <v>267</v>
      </c>
      <c r="I40" s="25" t="e">
        <f ca="1">_xll.EVPRO($B$1,$H40,"STYLE")</f>
        <v>#NAME?</v>
      </c>
      <c r="J40" s="25" t="e">
        <f ca="1">_xll.EVPRO($B$1,$H40,"CALC")</f>
        <v>#NAME?</v>
      </c>
      <c r="K40" s="64" t="e">
        <f t="shared" ca="1" si="4"/>
        <v>#NAME?</v>
      </c>
      <c r="L40" s="24" t="e">
        <f ca="1">_xll.EVPRO($B$1,H40,"JDEID")</f>
        <v>#NAME?</v>
      </c>
      <c r="M40" s="24" t="e">
        <f ca="1">IF(AND(I40="N",J40="N"),_xll.EVPRO($B$1,H40,"PSFTID"),"")</f>
        <v>#NAME?</v>
      </c>
      <c r="N40" s="24" t="e">
        <f ca="1">IF(_xll.EVDES(H40,$B$1)="#NODATA","",_xll.EVDES(H40,$B$1))</f>
        <v>#NAME?</v>
      </c>
      <c r="O40" s="304"/>
      <c r="P40" s="305"/>
      <c r="Q40" s="305"/>
      <c r="R40" s="305"/>
      <c r="S40" s="305"/>
      <c r="T40" s="305"/>
      <c r="U40" s="305"/>
      <c r="V40" s="305"/>
      <c r="W40" s="305"/>
      <c r="X40" s="305"/>
      <c r="Y40" s="305"/>
      <c r="Z40" s="305"/>
      <c r="AA40" s="283" t="e">
        <f t="shared" ca="1" si="0"/>
        <v>#NAME?</v>
      </c>
      <c r="AB40" s="306" t="e">
        <f t="shared" ca="1" si="1"/>
        <v>#NAME?</v>
      </c>
      <c r="AC40" s="263"/>
      <c r="AD40" s="305"/>
      <c r="AE40" s="306" t="str">
        <f t="shared" si="2"/>
        <v/>
      </c>
      <c r="AF40" s="307" t="e">
        <f t="shared" ca="1" si="3"/>
        <v>#NAME?</v>
      </c>
      <c r="AG40" s="305"/>
      <c r="AH40" s="306" t="str">
        <f t="shared" si="5"/>
        <v/>
      </c>
      <c r="AI40" s="308" t="e">
        <f t="shared" ca="1" si="6"/>
        <v>#NAME?</v>
      </c>
      <c r="AJ40" s="371">
        <f t="shared" ca="1" si="7"/>
        <v>0</v>
      </c>
      <c r="AK40" s="372">
        <f t="shared" ca="1" si="8"/>
        <v>0</v>
      </c>
      <c r="AL40" s="373">
        <f t="shared" ca="1" si="9"/>
        <v>0</v>
      </c>
      <c r="AM40" s="374">
        <f t="shared" ca="1" si="10"/>
        <v>0</v>
      </c>
      <c r="AN40" s="375">
        <f t="shared" ca="1" si="11"/>
        <v>0</v>
      </c>
    </row>
    <row r="41" spans="1:40" x14ac:dyDescent="0.2">
      <c r="A41" s="1" t="s">
        <v>102</v>
      </c>
      <c r="C41" s="23" t="s">
        <v>101</v>
      </c>
      <c r="D41" s="1" t="s">
        <v>106</v>
      </c>
      <c r="F41" s="1" t="s">
        <v>98</v>
      </c>
      <c r="H41" s="10" t="s">
        <v>268</v>
      </c>
      <c r="I41" s="25" t="e">
        <f ca="1">_xll.EVPRO($B$1,$H41,"STYLE")</f>
        <v>#NAME?</v>
      </c>
      <c r="J41" s="25" t="e">
        <f ca="1">_xll.EVPRO($B$1,$H41,"CALC")</f>
        <v>#NAME?</v>
      </c>
      <c r="K41" s="64" t="e">
        <f t="shared" ca="1" si="4"/>
        <v>#NAME?</v>
      </c>
      <c r="L41" s="24" t="e">
        <f ca="1">_xll.EVPRO($B$1,H41,"JDEID")</f>
        <v>#NAME?</v>
      </c>
      <c r="M41" s="24" t="e">
        <f ca="1">IF(AND(I41="N",J41="N"),_xll.EVPRO($B$1,H41,"PSFTID"),"")</f>
        <v>#NAME?</v>
      </c>
      <c r="N41" s="24" t="e">
        <f ca="1">IF(_xll.EVDES(H41,$B$1)="#NODATA","",_xll.EVDES(H41,$B$1))</f>
        <v>#NAME?</v>
      </c>
      <c r="O41" s="304"/>
      <c r="P41" s="305"/>
      <c r="Q41" s="305"/>
      <c r="R41" s="305"/>
      <c r="S41" s="305"/>
      <c r="T41" s="305"/>
      <c r="U41" s="305"/>
      <c r="V41" s="305"/>
      <c r="W41" s="305"/>
      <c r="X41" s="305"/>
      <c r="Y41" s="305"/>
      <c r="Z41" s="305"/>
      <c r="AA41" s="283" t="e">
        <f t="shared" ca="1" si="0"/>
        <v>#NAME?</v>
      </c>
      <c r="AB41" s="306" t="e">
        <f t="shared" ca="1" si="1"/>
        <v>#NAME?</v>
      </c>
      <c r="AC41" s="263"/>
      <c r="AD41" s="305"/>
      <c r="AE41" s="306" t="str">
        <f t="shared" si="2"/>
        <v/>
      </c>
      <c r="AF41" s="307" t="e">
        <f t="shared" ca="1" si="3"/>
        <v>#NAME?</v>
      </c>
      <c r="AG41" s="305"/>
      <c r="AH41" s="306" t="str">
        <f t="shared" si="5"/>
        <v/>
      </c>
      <c r="AI41" s="308" t="e">
        <f t="shared" ca="1" si="6"/>
        <v>#NAME?</v>
      </c>
      <c r="AJ41" s="371">
        <f t="shared" ca="1" si="7"/>
        <v>0</v>
      </c>
      <c r="AK41" s="372">
        <f t="shared" ca="1" si="8"/>
        <v>0</v>
      </c>
      <c r="AL41" s="373">
        <f t="shared" ca="1" si="9"/>
        <v>0</v>
      </c>
      <c r="AM41" s="374">
        <f t="shared" ca="1" si="10"/>
        <v>0</v>
      </c>
      <c r="AN41" s="375">
        <f t="shared" ca="1" si="11"/>
        <v>0</v>
      </c>
    </row>
    <row r="42" spans="1:40" x14ac:dyDescent="0.2">
      <c r="A42" s="1" t="s">
        <v>102</v>
      </c>
      <c r="C42" s="135" t="s">
        <v>101</v>
      </c>
      <c r="D42" s="1" t="s">
        <v>107</v>
      </c>
      <c r="F42" s="1" t="s">
        <v>99</v>
      </c>
      <c r="H42" s="10" t="s">
        <v>269</v>
      </c>
      <c r="I42" s="25" t="e">
        <f ca="1">_xll.EVPRO($B$1,$H42,"STYLE")</f>
        <v>#NAME?</v>
      </c>
      <c r="J42" s="25" t="e">
        <f ca="1">_xll.EVPRO($B$1,$H42,"CALC")</f>
        <v>#NAME?</v>
      </c>
      <c r="K42" s="64" t="e">
        <f t="shared" ca="1" si="4"/>
        <v>#NAME?</v>
      </c>
      <c r="L42" s="24" t="e">
        <f ca="1">_xll.EVPRO($B$1,H42,"JDEID")</f>
        <v>#NAME?</v>
      </c>
      <c r="M42" s="24" t="e">
        <f ca="1">IF(AND(I42="N",J42="N"),_xll.EVPRO($B$1,H42,"PSFTID"),"")</f>
        <v>#NAME?</v>
      </c>
      <c r="N42" s="24" t="e">
        <f ca="1">IF(_xll.EVDES(H42,$B$1)="#NODATA","",_xll.EVDES(H42,$B$1))</f>
        <v>#NAME?</v>
      </c>
      <c r="O42" s="295"/>
      <c r="P42" s="296"/>
      <c r="Q42" s="296"/>
      <c r="R42" s="296"/>
      <c r="S42" s="296"/>
      <c r="T42" s="296"/>
      <c r="U42" s="296"/>
      <c r="V42" s="296"/>
      <c r="W42" s="296"/>
      <c r="X42" s="296"/>
      <c r="Y42" s="296"/>
      <c r="Z42" s="296"/>
      <c r="AA42" s="296" t="e">
        <f t="shared" ca="1" si="0"/>
        <v>#NAME?</v>
      </c>
      <c r="AB42" s="297" t="e">
        <f t="shared" ca="1" si="1"/>
        <v>#NAME?</v>
      </c>
      <c r="AC42" s="263"/>
      <c r="AD42" s="296"/>
      <c r="AE42" s="297" t="str">
        <f t="shared" si="2"/>
        <v/>
      </c>
      <c r="AF42" s="298" t="e">
        <f t="shared" ca="1" si="3"/>
        <v>#NAME?</v>
      </c>
      <c r="AG42" s="296"/>
      <c r="AH42" s="297" t="str">
        <f t="shared" si="5"/>
        <v/>
      </c>
      <c r="AI42" s="299" t="e">
        <f t="shared" ca="1" si="6"/>
        <v>#NAME?</v>
      </c>
      <c r="AJ42" s="381">
        <f t="shared" ca="1" si="7"/>
        <v>0</v>
      </c>
      <c r="AK42" s="382">
        <f t="shared" ca="1" si="8"/>
        <v>0</v>
      </c>
      <c r="AL42" s="383">
        <f t="shared" ca="1" si="9"/>
        <v>0</v>
      </c>
      <c r="AM42" s="384">
        <f t="shared" ca="1" si="10"/>
        <v>0</v>
      </c>
      <c r="AN42" s="385">
        <f t="shared" ca="1" si="11"/>
        <v>0</v>
      </c>
    </row>
    <row r="43" spans="1:40" x14ac:dyDescent="0.2">
      <c r="A43" s="1" t="s">
        <v>108</v>
      </c>
      <c r="C43" s="23" t="s">
        <v>101</v>
      </c>
      <c r="D43" s="1" t="s">
        <v>106</v>
      </c>
      <c r="F43" s="1" t="s">
        <v>98</v>
      </c>
      <c r="H43" s="10" t="s">
        <v>272</v>
      </c>
      <c r="I43" s="447" t="e">
        <f ca="1">_xll.EVPRO($B$1,$H43,"STYLE")</f>
        <v>#NAME?</v>
      </c>
      <c r="J43" s="447" t="e">
        <f ca="1">_xll.EVPRO($B$1,$H43,"CALC")</f>
        <v>#NAME?</v>
      </c>
      <c r="K43" s="448" t="e">
        <f t="shared" ca="1" si="4"/>
        <v>#NAME?</v>
      </c>
      <c r="L43" s="151" t="e">
        <f ca="1">_xll.EVPRO($B$1,H43,"JDEID")</f>
        <v>#NAME?</v>
      </c>
      <c r="M43" s="151" t="e">
        <f ca="1">IF(AND(I43="N",J43="N"),_xll.EVPRO($B$1,H43,"PSFTID"),"")</f>
        <v>#NAME?</v>
      </c>
      <c r="N43" s="151" t="e">
        <f ca="1">IF(_xll.EVDES(H43,$B$1)="#NODATA","",_xll.EVDES(H43,$B$1))</f>
        <v>#NAME?</v>
      </c>
      <c r="O43" s="202"/>
      <c r="P43" s="120"/>
      <c r="Q43" s="120"/>
      <c r="R43" s="120"/>
      <c r="S43" s="120"/>
      <c r="T43" s="120"/>
      <c r="U43" s="120"/>
      <c r="V43" s="120"/>
      <c r="W43" s="120"/>
      <c r="X43" s="120"/>
      <c r="Y43" s="120"/>
      <c r="Z43" s="120"/>
      <c r="AA43" s="120" t="e">
        <f t="shared" ca="1" si="0"/>
        <v>#NAME?</v>
      </c>
      <c r="AB43" s="121" t="e">
        <f t="shared" ca="1" si="1"/>
        <v>#NAME?</v>
      </c>
      <c r="AC43" s="123"/>
      <c r="AD43" s="120"/>
      <c r="AE43" s="121" t="str">
        <f t="shared" si="2"/>
        <v/>
      </c>
      <c r="AF43" s="122" t="e">
        <f t="shared" ca="1" si="3"/>
        <v>#NAME?</v>
      </c>
      <c r="AG43" s="120"/>
      <c r="AH43" s="121" t="str">
        <f t="shared" si="5"/>
        <v/>
      </c>
      <c r="AI43" s="264" t="e">
        <f t="shared" ca="1" si="6"/>
        <v>#NAME?</v>
      </c>
      <c r="AJ43" s="332">
        <f t="shared" ca="1" si="7"/>
        <v>0</v>
      </c>
      <c r="AK43" s="333">
        <f t="shared" ca="1" si="8"/>
        <v>0</v>
      </c>
      <c r="AL43" s="335">
        <f t="shared" ca="1" si="9"/>
        <v>0</v>
      </c>
      <c r="AM43" s="377">
        <f t="shared" ca="1" si="10"/>
        <v>0</v>
      </c>
      <c r="AN43" s="378">
        <f t="shared" ca="1" si="11"/>
        <v>0</v>
      </c>
    </row>
    <row r="44" spans="1:40" x14ac:dyDescent="0.2">
      <c r="A44" s="1" t="s">
        <v>108</v>
      </c>
      <c r="C44" s="135" t="s">
        <v>101</v>
      </c>
      <c r="D44" s="1" t="s">
        <v>107</v>
      </c>
      <c r="F44" s="1" t="s">
        <v>99</v>
      </c>
      <c r="H44" s="10" t="s">
        <v>486</v>
      </c>
      <c r="I44" s="25" t="e">
        <f ca="1">_xll.EVPRO($B$1,$H44,"STYLE")</f>
        <v>#NAME?</v>
      </c>
      <c r="J44" s="25" t="e">
        <f ca="1">_xll.EVPRO($B$1,$H44,"CALC")</f>
        <v>#NAME?</v>
      </c>
      <c r="K44" s="64" t="e">
        <f t="shared" ca="1" si="4"/>
        <v>#NAME?</v>
      </c>
      <c r="L44" s="24" t="e">
        <f ca="1">_xll.EVPRO($B$1,H44,"JDEID")</f>
        <v>#NAME?</v>
      </c>
      <c r="M44" s="24" t="e">
        <f ca="1">IF(AND(I44="N",J44="N"),_xll.EVPRO($B$1,H44,"PSFTID"),"")</f>
        <v>#NAME?</v>
      </c>
      <c r="N44" s="24" t="e">
        <f ca="1">IF(_xll.EVDES(H44,$B$1)="#NODATA","",_xll.EVDES(H44,$B$1))</f>
        <v>#NAME?</v>
      </c>
      <c r="O44" s="302"/>
      <c r="P44" s="44"/>
      <c r="Q44" s="44"/>
      <c r="R44" s="44"/>
      <c r="S44" s="44"/>
      <c r="T44" s="44"/>
      <c r="U44" s="44"/>
      <c r="V44" s="44"/>
      <c r="W44" s="44"/>
      <c r="X44" s="44"/>
      <c r="Y44" s="44"/>
      <c r="Z44" s="44"/>
      <c r="AA44" s="44" t="e">
        <f t="shared" ca="1" si="0"/>
        <v>#NAME?</v>
      </c>
      <c r="AB44" s="45" t="e">
        <f t="shared" ca="1" si="1"/>
        <v>#NAME?</v>
      </c>
      <c r="AD44" s="44"/>
      <c r="AE44" s="45" t="str">
        <f t="shared" si="2"/>
        <v/>
      </c>
      <c r="AF44" s="134" t="e">
        <f t="shared" ca="1" si="3"/>
        <v>#NAME?</v>
      </c>
      <c r="AG44" s="44"/>
      <c r="AH44" s="45" t="str">
        <f t="shared" si="5"/>
        <v/>
      </c>
      <c r="AI44" s="303" t="e">
        <f t="shared" ca="1" si="6"/>
        <v>#NAME?</v>
      </c>
      <c r="AJ44" s="392">
        <f t="shared" ca="1" si="7"/>
        <v>0</v>
      </c>
      <c r="AK44" s="393">
        <f t="shared" ca="1" si="8"/>
        <v>0</v>
      </c>
      <c r="AL44" s="394">
        <f t="shared" ca="1" si="9"/>
        <v>0</v>
      </c>
      <c r="AM44" s="395">
        <f t="shared" ca="1" si="10"/>
        <v>0</v>
      </c>
      <c r="AN44" s="396">
        <f t="shared" ca="1" si="11"/>
        <v>0</v>
      </c>
    </row>
    <row r="45" spans="1:40" x14ac:dyDescent="0.2">
      <c r="H45" s="10" t="s">
        <v>273</v>
      </c>
      <c r="I45" s="447" t="e">
        <f ca="1">_xll.EVPRO($B$1,$H45,"STYLE")</f>
        <v>#NAME?</v>
      </c>
      <c r="J45" s="447" t="e">
        <f ca="1">_xll.EVPRO($B$1,$H45,"CALC")</f>
        <v>#NAME?</v>
      </c>
      <c r="K45" s="448" t="e">
        <f t="shared" ca="1" si="4"/>
        <v>#NAME?</v>
      </c>
      <c r="L45" s="151" t="e">
        <f ca="1">_xll.EVPRO($B$1,H45,"JDEID")</f>
        <v>#NAME?</v>
      </c>
      <c r="M45" s="151" t="e">
        <f ca="1">IF(AND(I45="N",J45="N"),_xll.EVPRO($B$1,H45,"PSFTID"),"")</f>
        <v>#NAME?</v>
      </c>
      <c r="N45" s="151" t="e">
        <f ca="1">IF(_xll.EVDES(H45,$B$1)="#NODATA","",_xll.EVDES(H45,$B$1))</f>
        <v>#NAME?</v>
      </c>
      <c r="O45" s="202"/>
      <c r="P45" s="120"/>
      <c r="Q45" s="120"/>
      <c r="R45" s="120"/>
      <c r="S45" s="120"/>
      <c r="T45" s="120"/>
      <c r="U45" s="120"/>
      <c r="V45" s="120"/>
      <c r="W45" s="120"/>
      <c r="X45" s="120"/>
      <c r="Y45" s="120"/>
      <c r="Z45" s="120"/>
      <c r="AA45" s="120" t="e">
        <f t="shared" ca="1" si="0"/>
        <v>#NAME?</v>
      </c>
      <c r="AB45" s="121" t="e">
        <f t="shared" ca="1" si="1"/>
        <v>#NAME?</v>
      </c>
      <c r="AC45" s="123"/>
      <c r="AD45" s="120"/>
      <c r="AE45" s="121" t="str">
        <f t="shared" si="2"/>
        <v/>
      </c>
      <c r="AF45" s="122" t="e">
        <f t="shared" ca="1" si="3"/>
        <v>#NAME?</v>
      </c>
      <c r="AG45" s="120"/>
      <c r="AH45" s="121" t="str">
        <f t="shared" si="5"/>
        <v/>
      </c>
      <c r="AI45" s="264" t="e">
        <f t="shared" ca="1" si="6"/>
        <v>#NAME?</v>
      </c>
      <c r="AJ45" s="332">
        <f t="shared" ca="1" si="7"/>
        <v>0</v>
      </c>
      <c r="AK45" s="333">
        <f t="shared" ca="1" si="8"/>
        <v>0</v>
      </c>
      <c r="AL45" s="335">
        <f t="shared" ca="1" si="9"/>
        <v>0</v>
      </c>
      <c r="AM45" s="377">
        <f t="shared" ca="1" si="10"/>
        <v>0</v>
      </c>
      <c r="AN45" s="378">
        <f t="shared" ca="1" si="11"/>
        <v>0</v>
      </c>
    </row>
    <row r="46" spans="1:40" x14ac:dyDescent="0.2">
      <c r="H46" s="10" t="s">
        <v>279</v>
      </c>
      <c r="I46" s="447" t="e">
        <f ca="1">_xll.EVPRO($B$1,$H46,"STYLE")</f>
        <v>#NAME?</v>
      </c>
      <c r="J46" s="447" t="e">
        <f ca="1">_xll.EVPRO($B$1,$H46,"CALC")</f>
        <v>#NAME?</v>
      </c>
      <c r="K46" s="448" t="e">
        <f t="shared" ca="1" si="4"/>
        <v>#NAME?</v>
      </c>
      <c r="L46" s="151" t="e">
        <f ca="1">_xll.EVPRO($B$1,H46,"JDEID")</f>
        <v>#NAME?</v>
      </c>
      <c r="M46" s="151" t="e">
        <f ca="1">IF(AND(I46="N",J46="N"),_xll.EVPRO($B$1,H46,"PSFTID"),"")</f>
        <v>#NAME?</v>
      </c>
      <c r="N46" s="151" t="e">
        <f ca="1">IF(_xll.EVDES(H46,$B$1)="#NODATA","",_xll.EVDES(H46,$B$1))</f>
        <v>#NAME?</v>
      </c>
      <c r="O46" s="309"/>
      <c r="P46" s="35"/>
      <c r="Q46" s="35"/>
      <c r="R46" s="35"/>
      <c r="S46" s="35"/>
      <c r="T46" s="35"/>
      <c r="U46" s="35"/>
      <c r="V46" s="35"/>
      <c r="W46" s="35"/>
      <c r="X46" s="35"/>
      <c r="Y46" s="35"/>
      <c r="Z46" s="35"/>
      <c r="AA46" s="288" t="e">
        <f t="shared" ca="1" si="0"/>
        <v>#NAME?</v>
      </c>
      <c r="AB46" s="36" t="e">
        <f t="shared" ca="1" si="1"/>
        <v>#NAME?</v>
      </c>
      <c r="AD46" s="35"/>
      <c r="AE46" s="36" t="str">
        <f t="shared" si="2"/>
        <v/>
      </c>
      <c r="AF46" s="118" t="e">
        <f t="shared" ca="1" si="3"/>
        <v>#NAME?</v>
      </c>
      <c r="AG46" s="35"/>
      <c r="AH46" s="36" t="str">
        <f t="shared" si="5"/>
        <v/>
      </c>
      <c r="AI46" s="310" t="e">
        <f t="shared" ca="1" si="6"/>
        <v>#NAME?</v>
      </c>
      <c r="AJ46" s="325">
        <f t="shared" ca="1" si="7"/>
        <v>0</v>
      </c>
      <c r="AK46" s="326">
        <f t="shared" ca="1" si="8"/>
        <v>0</v>
      </c>
      <c r="AL46" s="328">
        <f t="shared" ca="1" si="9"/>
        <v>0</v>
      </c>
      <c r="AM46" s="362">
        <f t="shared" ca="1" si="10"/>
        <v>0</v>
      </c>
      <c r="AN46" s="376">
        <f t="shared" ca="1" si="11"/>
        <v>0</v>
      </c>
    </row>
    <row r="47" spans="1:40" x14ac:dyDescent="0.2">
      <c r="A47" s="4" t="e">
        <f ca="1">_xll.EVDRE($B$1,A50:B57,A60:B66)</f>
        <v>#NAME?</v>
      </c>
      <c r="H47" s="10" t="s">
        <v>282</v>
      </c>
      <c r="I47" s="25" t="e">
        <f ca="1">_xll.EVPRO($B$1,$H47,"STYLE")</f>
        <v>#NAME?</v>
      </c>
      <c r="J47" s="25" t="e">
        <f ca="1">_xll.EVPRO($B$1,$H47,"CALC")</f>
        <v>#NAME?</v>
      </c>
      <c r="K47" s="64" t="e">
        <f t="shared" ca="1" si="4"/>
        <v>#NAME?</v>
      </c>
      <c r="L47" s="24" t="e">
        <f ca="1">_xll.EVPRO($B$1,H47,"JDEID")</f>
        <v>#NAME?</v>
      </c>
      <c r="M47" s="24" t="e">
        <f ca="1">IF(AND(I47="N",J47="N"),_xll.EVPRO($B$1,H47,"PSFTID"),"")</f>
        <v>#NAME?</v>
      </c>
      <c r="N47" s="24" t="e">
        <f ca="1">IF(_xll.EVDES(H47,$B$1)="#NODATA","",_xll.EVDES(H47,$B$1))</f>
        <v>#NAME?</v>
      </c>
      <c r="O47" s="304"/>
      <c r="P47" s="305"/>
      <c r="Q47" s="305"/>
      <c r="R47" s="305"/>
      <c r="S47" s="305"/>
      <c r="T47" s="305"/>
      <c r="U47" s="305"/>
      <c r="V47" s="305"/>
      <c r="W47" s="305"/>
      <c r="X47" s="305"/>
      <c r="Y47" s="305"/>
      <c r="Z47" s="305"/>
      <c r="AA47" s="283" t="e">
        <f t="shared" ca="1" si="0"/>
        <v>#NAME?</v>
      </c>
      <c r="AB47" s="306" t="e">
        <f t="shared" ca="1" si="1"/>
        <v>#NAME?</v>
      </c>
      <c r="AC47" s="263"/>
      <c r="AD47" s="305"/>
      <c r="AE47" s="306" t="str">
        <f t="shared" si="2"/>
        <v/>
      </c>
      <c r="AF47" s="307" t="e">
        <f t="shared" ca="1" si="3"/>
        <v>#NAME?</v>
      </c>
      <c r="AG47" s="305"/>
      <c r="AH47" s="306" t="str">
        <f t="shared" si="5"/>
        <v/>
      </c>
      <c r="AI47" s="308" t="e">
        <f t="shared" ca="1" si="6"/>
        <v>#NAME?</v>
      </c>
      <c r="AJ47" s="371">
        <f t="shared" ca="1" si="7"/>
        <v>0</v>
      </c>
      <c r="AK47" s="372">
        <f t="shared" ca="1" si="8"/>
        <v>0</v>
      </c>
      <c r="AL47" s="373">
        <f t="shared" ca="1" si="9"/>
        <v>0</v>
      </c>
      <c r="AM47" s="374">
        <f t="shared" ca="1" si="10"/>
        <v>0</v>
      </c>
      <c r="AN47" s="375">
        <f t="shared" ca="1" si="11"/>
        <v>0</v>
      </c>
    </row>
    <row r="48" spans="1:40" x14ac:dyDescent="0.2">
      <c r="H48" s="10" t="s">
        <v>283</v>
      </c>
      <c r="I48" s="25" t="e">
        <f ca="1">_xll.EVPRO($B$1,$H48,"STYLE")</f>
        <v>#NAME?</v>
      </c>
      <c r="J48" s="25" t="e">
        <f ca="1">_xll.EVPRO($B$1,$H48,"CALC")</f>
        <v>#NAME?</v>
      </c>
      <c r="K48" s="64" t="e">
        <f t="shared" ca="1" si="4"/>
        <v>#NAME?</v>
      </c>
      <c r="L48" s="24" t="e">
        <f ca="1">_xll.EVPRO($B$1,H48,"JDEID")</f>
        <v>#NAME?</v>
      </c>
      <c r="M48" s="24" t="e">
        <f ca="1">IF(AND(I48="N",J48="N"),_xll.EVPRO($B$1,H48,"PSFTID"),"")</f>
        <v>#NAME?</v>
      </c>
      <c r="N48" s="24" t="e">
        <f ca="1">IF(_xll.EVDES(H48,$B$1)="#NODATA","",_xll.EVDES(H48,$B$1))</f>
        <v>#NAME?</v>
      </c>
      <c r="O48" s="304"/>
      <c r="P48" s="305"/>
      <c r="Q48" s="305"/>
      <c r="R48" s="305"/>
      <c r="S48" s="305"/>
      <c r="T48" s="305"/>
      <c r="U48" s="305"/>
      <c r="V48" s="305"/>
      <c r="W48" s="305"/>
      <c r="X48" s="305"/>
      <c r="Y48" s="305"/>
      <c r="Z48" s="305"/>
      <c r="AA48" s="283" t="e">
        <f t="shared" ca="1" si="0"/>
        <v>#NAME?</v>
      </c>
      <c r="AB48" s="306" t="e">
        <f t="shared" ca="1" si="1"/>
        <v>#NAME?</v>
      </c>
      <c r="AC48" s="263"/>
      <c r="AD48" s="305"/>
      <c r="AE48" s="306" t="str">
        <f t="shared" si="2"/>
        <v/>
      </c>
      <c r="AF48" s="307" t="e">
        <f t="shared" ca="1" si="3"/>
        <v>#NAME?</v>
      </c>
      <c r="AG48" s="305"/>
      <c r="AH48" s="306" t="str">
        <f t="shared" si="5"/>
        <v/>
      </c>
      <c r="AI48" s="308" t="e">
        <f t="shared" ca="1" si="6"/>
        <v>#NAME?</v>
      </c>
      <c r="AJ48" s="371">
        <f t="shared" ca="1" si="7"/>
        <v>0</v>
      </c>
      <c r="AK48" s="372">
        <f t="shared" ca="1" si="8"/>
        <v>0</v>
      </c>
      <c r="AL48" s="373">
        <f t="shared" ca="1" si="9"/>
        <v>0</v>
      </c>
      <c r="AM48" s="374">
        <f t="shared" ca="1" si="10"/>
        <v>0</v>
      </c>
      <c r="AN48" s="375">
        <f t="shared" ca="1" si="11"/>
        <v>0</v>
      </c>
    </row>
    <row r="49" spans="1:40" x14ac:dyDescent="0.2">
      <c r="A49" s="3" t="s">
        <v>0</v>
      </c>
      <c r="B49" s="5" t="s">
        <v>1</v>
      </c>
      <c r="H49" s="10" t="s">
        <v>473</v>
      </c>
      <c r="I49" s="25" t="e">
        <f ca="1">_xll.EVPRO($B$1,$H49,"STYLE")</f>
        <v>#NAME?</v>
      </c>
      <c r="J49" s="25" t="e">
        <f ca="1">_xll.EVPRO($B$1,$H49,"CALC")</f>
        <v>#NAME?</v>
      </c>
      <c r="K49" s="64" t="e">
        <f t="shared" ca="1" si="4"/>
        <v>#NAME?</v>
      </c>
      <c r="L49" s="24" t="e">
        <f ca="1">_xll.EVPRO($B$1,H49,"JDEID")</f>
        <v>#NAME?</v>
      </c>
      <c r="M49" s="24" t="e">
        <f ca="1">IF(AND(I49="N",J49="N"),_xll.EVPRO($B$1,H49,"PSFTID"),"")</f>
        <v>#NAME?</v>
      </c>
      <c r="N49" s="24" t="e">
        <f ca="1">IF(_xll.EVDES(H49,$B$1)="#NODATA","",_xll.EVDES(H49,$B$1))</f>
        <v>#NAME?</v>
      </c>
      <c r="O49" s="295"/>
      <c r="P49" s="296"/>
      <c r="Q49" s="296"/>
      <c r="R49" s="296"/>
      <c r="S49" s="296"/>
      <c r="T49" s="296"/>
      <c r="U49" s="296"/>
      <c r="V49" s="296"/>
      <c r="W49" s="296"/>
      <c r="X49" s="296"/>
      <c r="Y49" s="296"/>
      <c r="Z49" s="296"/>
      <c r="AA49" s="296" t="e">
        <f t="shared" ca="1" si="0"/>
        <v>#NAME?</v>
      </c>
      <c r="AB49" s="297" t="e">
        <f t="shared" ca="1" si="1"/>
        <v>#NAME?</v>
      </c>
      <c r="AC49" s="263"/>
      <c r="AD49" s="296"/>
      <c r="AE49" s="297" t="str">
        <f t="shared" si="2"/>
        <v/>
      </c>
      <c r="AF49" s="298" t="e">
        <f t="shared" ca="1" si="3"/>
        <v>#NAME?</v>
      </c>
      <c r="AG49" s="296"/>
      <c r="AH49" s="297" t="str">
        <f t="shared" si="5"/>
        <v/>
      </c>
      <c r="AI49" s="299" t="e">
        <f t="shared" ca="1" si="6"/>
        <v>#NAME?</v>
      </c>
      <c r="AJ49" s="381">
        <f t="shared" ca="1" si="7"/>
        <v>0</v>
      </c>
      <c r="AK49" s="382">
        <f t="shared" ca="1" si="8"/>
        <v>0</v>
      </c>
      <c r="AL49" s="383">
        <f t="shared" ca="1" si="9"/>
        <v>0</v>
      </c>
      <c r="AM49" s="384">
        <f t="shared" ca="1" si="10"/>
        <v>0</v>
      </c>
      <c r="AN49" s="385">
        <f t="shared" ca="1" si="11"/>
        <v>0</v>
      </c>
    </row>
    <row r="50" spans="1:40" x14ac:dyDescent="0.2">
      <c r="A50" s="6" t="s">
        <v>2</v>
      </c>
      <c r="B50" s="7" t="e">
        <f ca="1">_xll.EVRNG($B$2:$B$10)</f>
        <v>#NAME?</v>
      </c>
      <c r="H50" s="10" t="s">
        <v>277</v>
      </c>
      <c r="I50" s="447" t="e">
        <f ca="1">_xll.EVPRO($B$1,$H50,"STYLE")</f>
        <v>#NAME?</v>
      </c>
      <c r="J50" s="447" t="e">
        <f ca="1">_xll.EVPRO($B$1,$H50,"CALC")</f>
        <v>#NAME?</v>
      </c>
      <c r="K50" s="448" t="e">
        <f t="shared" ca="1" si="4"/>
        <v>#NAME?</v>
      </c>
      <c r="L50" s="151" t="e">
        <f ca="1">_xll.EVPRO($B$1,H50,"JDEID")</f>
        <v>#NAME?</v>
      </c>
      <c r="M50" s="151" t="e">
        <f ca="1">IF(AND(I50="N",J50="N"),_xll.EVPRO($B$1,H50,"PSFTID"),"")</f>
        <v>#NAME?</v>
      </c>
      <c r="N50" s="151" t="e">
        <f ca="1">IF(_xll.EVDES(H50,$B$1)="#NODATA","",_xll.EVDES(H50,$B$1))</f>
        <v>#NAME?</v>
      </c>
      <c r="O50" s="203"/>
      <c r="P50" s="33"/>
      <c r="Q50" s="33"/>
      <c r="R50" s="33"/>
      <c r="S50" s="33"/>
      <c r="T50" s="33"/>
      <c r="U50" s="33"/>
      <c r="V50" s="33"/>
      <c r="W50" s="33"/>
      <c r="X50" s="33"/>
      <c r="Y50" s="33"/>
      <c r="Z50" s="33"/>
      <c r="AA50" s="33" t="e">
        <f t="shared" ca="1" si="0"/>
        <v>#NAME?</v>
      </c>
      <c r="AB50" s="34" t="e">
        <f t="shared" ca="1" si="1"/>
        <v>#NAME?</v>
      </c>
      <c r="AC50" s="32"/>
      <c r="AD50" s="33"/>
      <c r="AE50" s="34" t="str">
        <f t="shared" si="2"/>
        <v/>
      </c>
      <c r="AF50" s="54" t="e">
        <f t="shared" ca="1" si="3"/>
        <v>#NAME?</v>
      </c>
      <c r="AG50" s="33"/>
      <c r="AH50" s="34" t="str">
        <f t="shared" si="5"/>
        <v/>
      </c>
      <c r="AI50" s="265" t="e">
        <f t="shared" ca="1" si="6"/>
        <v>#NAME?</v>
      </c>
      <c r="AJ50" s="344">
        <f t="shared" ca="1" si="7"/>
        <v>0</v>
      </c>
      <c r="AK50" s="345">
        <f t="shared" ca="1" si="8"/>
        <v>0</v>
      </c>
      <c r="AL50" s="347">
        <f t="shared" ca="1" si="9"/>
        <v>0</v>
      </c>
      <c r="AM50" s="379">
        <f t="shared" ca="1" si="10"/>
        <v>0</v>
      </c>
      <c r="AN50" s="380">
        <f t="shared" ca="1" si="11"/>
        <v>0</v>
      </c>
    </row>
    <row r="51" spans="1:40" x14ac:dyDescent="0.2">
      <c r="A51" s="6" t="s">
        <v>3</v>
      </c>
      <c r="B51" s="7" t="e">
        <f ca="1">_xll.EVRNG($O$16:$AN$18)</f>
        <v>#NAME?</v>
      </c>
      <c r="H51" s="10" t="s">
        <v>280</v>
      </c>
      <c r="I51" s="447" t="e">
        <f ca="1">_xll.EVPRO($B$1,$H51,"STYLE")</f>
        <v>#NAME?</v>
      </c>
      <c r="J51" s="447" t="e">
        <f ca="1">_xll.EVPRO($B$1,$H51,"CALC")</f>
        <v>#NAME?</v>
      </c>
      <c r="K51" s="448" t="e">
        <f t="shared" ca="1" si="4"/>
        <v>#NAME?</v>
      </c>
      <c r="L51" s="151" t="e">
        <f ca="1">_xll.EVPRO($B$1,H51,"JDEID")</f>
        <v>#NAME?</v>
      </c>
      <c r="M51" s="151" t="e">
        <f ca="1">IF(AND(I51="N",J51="N"),_xll.EVPRO($B$1,H51,"PSFTID"),"")</f>
        <v>#NAME?</v>
      </c>
      <c r="N51" s="151" t="e">
        <f ca="1">IF(_xll.EVDES(H51,$B$1)="#NODATA","",_xll.EVDES(H51,$B$1))</f>
        <v>#NAME?</v>
      </c>
      <c r="O51" s="202"/>
      <c r="P51" s="120"/>
      <c r="Q51" s="120"/>
      <c r="R51" s="120"/>
      <c r="S51" s="120"/>
      <c r="T51" s="120"/>
      <c r="U51" s="120"/>
      <c r="V51" s="120"/>
      <c r="W51" s="120"/>
      <c r="X51" s="120"/>
      <c r="Y51" s="120"/>
      <c r="Z51" s="120"/>
      <c r="AA51" s="120" t="e">
        <f t="shared" ca="1" si="0"/>
        <v>#NAME?</v>
      </c>
      <c r="AB51" s="121" t="e">
        <f t="shared" ca="1" si="1"/>
        <v>#NAME?</v>
      </c>
      <c r="AC51" s="123"/>
      <c r="AD51" s="120"/>
      <c r="AE51" s="121" t="str">
        <f t="shared" si="2"/>
        <v/>
      </c>
      <c r="AF51" s="122" t="e">
        <f t="shared" ca="1" si="3"/>
        <v>#NAME?</v>
      </c>
      <c r="AG51" s="120"/>
      <c r="AH51" s="121" t="str">
        <f t="shared" si="5"/>
        <v/>
      </c>
      <c r="AI51" s="264" t="e">
        <f t="shared" ca="1" si="6"/>
        <v>#NAME?</v>
      </c>
      <c r="AJ51" s="332">
        <f t="shared" ca="1" si="7"/>
        <v>0</v>
      </c>
      <c r="AK51" s="333">
        <f t="shared" ca="1" si="8"/>
        <v>0</v>
      </c>
      <c r="AL51" s="335">
        <f t="shared" ca="1" si="9"/>
        <v>0</v>
      </c>
      <c r="AM51" s="377">
        <f t="shared" ca="1" si="10"/>
        <v>0</v>
      </c>
      <c r="AN51" s="378">
        <f t="shared" ca="1" si="11"/>
        <v>0</v>
      </c>
    </row>
    <row r="52" spans="1:40" x14ac:dyDescent="0.2">
      <c r="A52" s="6" t="s">
        <v>4</v>
      </c>
      <c r="B52" s="7" t="e">
        <f ca="1">_xll.EVRNG(H55:H61)</f>
        <v>#NAME?</v>
      </c>
      <c r="O52" s="144"/>
      <c r="P52" s="147"/>
      <c r="Q52" s="147"/>
      <c r="R52" s="147"/>
      <c r="S52" s="147"/>
      <c r="T52" s="147"/>
      <c r="U52" s="147"/>
      <c r="V52" s="147"/>
      <c r="W52" s="147"/>
      <c r="X52" s="147"/>
      <c r="Y52" s="147"/>
      <c r="Z52" s="147"/>
      <c r="AA52" s="147"/>
      <c r="AB52" s="51"/>
      <c r="AD52" s="50"/>
      <c r="AF52" s="51"/>
      <c r="AI52" s="51"/>
    </row>
    <row r="53" spans="1:40" x14ac:dyDescent="0.2">
      <c r="A53" s="6" t="s">
        <v>5</v>
      </c>
      <c r="B53" s="7"/>
      <c r="F53" s="136"/>
      <c r="H53" s="1" t="s">
        <v>281</v>
      </c>
      <c r="I53" s="11" t="e">
        <f ca="1">_xll.EVPRO($B$1,$H53,"STYLE")</f>
        <v>#NAME?</v>
      </c>
      <c r="J53" s="11" t="e">
        <f ca="1">_xll.EVPRO($B$1,$H53,"CALC")</f>
        <v>#NAME?</v>
      </c>
      <c r="N53" s="37" t="e">
        <f ca="1">IF(_xll.EVDES(H53,$B$1)="#NODATA","",_xll.EVDES(H53,$B$1))</f>
        <v>#NAME?</v>
      </c>
      <c r="O53" s="50"/>
      <c r="AB53" s="149"/>
      <c r="AD53" s="148"/>
      <c r="AE53" s="150"/>
      <c r="AF53" s="51"/>
      <c r="AH53" s="150"/>
      <c r="AI53" s="51"/>
    </row>
    <row r="54" spans="1:40" x14ac:dyDescent="0.2">
      <c r="A54" s="6" t="s">
        <v>6</v>
      </c>
      <c r="B54" s="7"/>
      <c r="F54" s="136"/>
      <c r="H54" s="1" t="s">
        <v>284</v>
      </c>
      <c r="I54" s="11" t="e">
        <f ca="1">_xll.EVPRO($B$1,$H54,"STYLE")</f>
        <v>#NAME?</v>
      </c>
      <c r="J54" s="11" t="e">
        <f ca="1">_xll.EVPRO($B$1,$H54,"CALC")</f>
        <v>#NAME?</v>
      </c>
      <c r="N54" s="8" t="e">
        <f ca="1">IF(_xll.EVDES(H54,$B$1)="#NODATA","",_xll.EVDES(H54,$B$1))</f>
        <v>#NAME?</v>
      </c>
      <c r="O54" s="50"/>
      <c r="AB54" s="51"/>
      <c r="AD54" s="50"/>
      <c r="AF54" s="51"/>
      <c r="AI54" s="51"/>
    </row>
    <row r="55" spans="1:40" x14ac:dyDescent="0.2">
      <c r="A55" s="6" t="s">
        <v>7</v>
      </c>
      <c r="B55" s="7" t="e">
        <f ca="1">_xll.EVRNG(A69:F77)</f>
        <v>#NAME?</v>
      </c>
      <c r="F55" s="136"/>
      <c r="H55" s="10" t="s">
        <v>285</v>
      </c>
      <c r="I55" s="25" t="e">
        <f ca="1">_xll.EVPRO($B$1,$H55,"STYLE")</f>
        <v>#NAME?</v>
      </c>
      <c r="J55" s="25" t="e">
        <f ca="1">_xll.EVPRO($B$1,$H55,"CALC")</f>
        <v>#NAME?</v>
      </c>
      <c r="K55" s="64" t="e">
        <f ca="1">IF(AND(I55&gt;="T5"),"&gt;","")</f>
        <v>#NAME?</v>
      </c>
      <c r="L55" s="24" t="e">
        <f ca="1">_xll.EVPRO($B$1,H55,"JDEID")</f>
        <v>#NAME?</v>
      </c>
      <c r="M55" s="24" t="e">
        <f ca="1">IF(AND(I55="N",J55="N"),_xll.EVPRO($B$1,H55,"PSFTID"),"")</f>
        <v>#NAME?</v>
      </c>
      <c r="N55" s="24" t="e">
        <f ca="1">IF(_xll.EVDES(H55,$B$1)="#NODATA","",_xll.EVDES(H55,$B$1))</f>
        <v>#NAME?</v>
      </c>
      <c r="O55" s="304"/>
      <c r="P55" s="305"/>
      <c r="Q55" s="305"/>
      <c r="R55" s="305"/>
      <c r="S55" s="305"/>
      <c r="T55" s="305"/>
      <c r="U55" s="305"/>
      <c r="V55" s="305"/>
      <c r="W55" s="305"/>
      <c r="X55" s="305"/>
      <c r="Y55" s="305"/>
      <c r="Z55" s="305"/>
      <c r="AA55" s="283" t="e">
        <f t="shared" ref="AA55:AA61" ca="1" si="12">IF($I55="B1","",SUM(O55:Z55))</f>
        <v>#NAME?</v>
      </c>
      <c r="AB55" s="306" t="e">
        <f ca="1">IF(AA55=0,"",IFERROR(AA55/_xll.EVGTS($B$1,1,_xll.EVPRO($B$1,$H55,"COSBASIS"),$B$3,$B$5,$B$6,$B$7,$B$9,AA$16,AA$17,AA$11),""))</f>
        <v>#NAME?</v>
      </c>
      <c r="AC55" s="263"/>
      <c r="AD55" s="305"/>
      <c r="AE55" s="306" t="str">
        <f>IF(AD55=0,"",IFERROR(AD55/_xll.EVGTS($B$1,1,_xll.EVPRO($B$1,$H55,"COSBASIS"),$B$3,$B$5,$B$6,$B$7,$B$9,AD$16,AD$17,AD$18),""))</f>
        <v/>
      </c>
      <c r="AF55" s="307" t="e">
        <f t="shared" ref="AF55:AF61" ca="1" si="13">IF(AND($AA55="",AD55=""),"",$AA55-AD55)</f>
        <v>#NAME?</v>
      </c>
      <c r="AG55" s="305"/>
      <c r="AH55" s="306" t="str">
        <f>IF(AG55=0,"",IFERROR(AG55/_xll.EVGTS($B$1,1,_xll.EVPRO($B$1,$H55,"COSBASIS"),$B$3,$B$5,$B$6,$B$7,$B$9,AG$16,AG$17,AG$18),""))</f>
        <v/>
      </c>
      <c r="AI55" s="308" t="e">
        <f ca="1">IF(AND($AA55="",AG55=""),"",$AA55-AG55)</f>
        <v>#NAME?</v>
      </c>
      <c r="AJ55" s="371">
        <f ca="1">IFERROR(AA55/AA$20,0)</f>
        <v>0</v>
      </c>
      <c r="AK55" s="372">
        <f ca="1">IFERROR(AD55/AD$20,0)</f>
        <v>0</v>
      </c>
      <c r="AL55" s="373">
        <f ca="1">IFERROR(AG55/AG$20,0)</f>
        <v>0</v>
      </c>
      <c r="AM55" s="374">
        <f ca="1">+IFERROR(ROUND(($AB55-AE55)*100,2)&amp;" pts.",0)</f>
        <v>0</v>
      </c>
      <c r="AN55" s="375">
        <f ca="1">+IFERROR(ROUND(($AB55-AH55)*100,2)&amp;" pts.",0)</f>
        <v>0</v>
      </c>
    </row>
    <row r="56" spans="1:40" x14ac:dyDescent="0.2">
      <c r="A56" s="6" t="s">
        <v>47</v>
      </c>
      <c r="B56" s="7" t="e">
        <f ca="1">_xll.EVRNG($A$125:$B$146)</f>
        <v>#NAME?</v>
      </c>
      <c r="H56" s="10" t="s">
        <v>636</v>
      </c>
      <c r="I56" s="25" t="e">
        <f ca="1">_xll.EVPRO($B$1,$H56,"STYLE")</f>
        <v>#NAME?</v>
      </c>
      <c r="J56" s="25" t="e">
        <f ca="1">_xll.EVPRO($B$1,$H56,"CALC")</f>
        <v>#NAME?</v>
      </c>
      <c r="K56" s="64" t="e">
        <f t="shared" ref="K56:K61" ca="1" si="14">IF(AND(I56&gt;="T5"),"&gt;","")</f>
        <v>#NAME?</v>
      </c>
      <c r="L56" s="24" t="e">
        <f ca="1">_xll.EVPRO($B$1,H56,"JDEID")</f>
        <v>#NAME?</v>
      </c>
      <c r="M56" s="24" t="e">
        <f ca="1">IF(AND(I56="N",J56="N"),_xll.EVPRO($B$1,H56,"PSFTID"),"")</f>
        <v>#NAME?</v>
      </c>
      <c r="N56" s="24" t="e">
        <f ca="1">IF(_xll.EVDES(H56,$B$1)="#NODATA","",_xll.EVDES(H56,$B$1))</f>
        <v>#NAME?</v>
      </c>
      <c r="O56" s="295"/>
      <c r="P56" s="296"/>
      <c r="Q56" s="296"/>
      <c r="R56" s="296"/>
      <c r="S56" s="296"/>
      <c r="T56" s="296"/>
      <c r="U56" s="296"/>
      <c r="V56" s="296"/>
      <c r="W56" s="296"/>
      <c r="X56" s="296"/>
      <c r="Y56" s="296"/>
      <c r="Z56" s="296"/>
      <c r="AA56" s="296" t="e">
        <f t="shared" ca="1" si="12"/>
        <v>#NAME?</v>
      </c>
      <c r="AB56" s="297" t="e">
        <f ca="1">IF(AA56=0,"",IFERROR(AA56/_xll.EVGTS($B$1,1,_xll.EVPRO($B$1,$H56,"COSBASIS"),$B$3,$B$5,$B$6,$B$7,$B$9,AA$16,AA$17,AA$11),""))</f>
        <v>#NAME?</v>
      </c>
      <c r="AC56" s="263"/>
      <c r="AD56" s="296"/>
      <c r="AE56" s="297" t="str">
        <f>IF(AD56=0,"",IFERROR(AD56/_xll.EVGTS($B$1,1,_xll.EVPRO($B$1,$H56,"COSBASIS"),$B$3,$B$5,$B$6,$B$7,$B$9,AD$16,AD$17,AD$18),""))</f>
        <v/>
      </c>
      <c r="AF56" s="298" t="e">
        <f t="shared" ca="1" si="13"/>
        <v>#NAME?</v>
      </c>
      <c r="AG56" s="296"/>
      <c r="AH56" s="297" t="str">
        <f>IF(AG56=0,"",IFERROR(AG56/_xll.EVGTS($B$1,1,_xll.EVPRO($B$1,$H56,"COSBASIS"),$B$3,$B$5,$B$6,$B$7,$B$9,AG$16,AG$17,AG$18),""))</f>
        <v/>
      </c>
      <c r="AI56" s="299" t="e">
        <f t="shared" ref="AI56:AI61" ca="1" si="15">IF(AND($AA56="",AG56=""),"",$AA56-AG56)</f>
        <v>#NAME?</v>
      </c>
      <c r="AJ56" s="381">
        <f t="shared" ref="AJ56:AJ61" ca="1" si="16">IFERROR(AA56/AA$20,0)</f>
        <v>0</v>
      </c>
      <c r="AK56" s="382">
        <f t="shared" ref="AK56:AK61" ca="1" si="17">IFERROR(AD56/AD$20,0)</f>
        <v>0</v>
      </c>
      <c r="AL56" s="383">
        <f t="shared" ref="AL56:AL61" ca="1" si="18">IFERROR(AG56/AG$20,0)</f>
        <v>0</v>
      </c>
      <c r="AM56" s="384">
        <f t="shared" ref="AM56:AM61" ca="1" si="19">+IFERROR(ROUND(($AB56-AE56)*100,2)&amp;" pts.",0)</f>
        <v>0</v>
      </c>
      <c r="AN56" s="385">
        <f t="shared" ref="AN56:AN61" ca="1" si="20">+IFERROR(ROUND(($AB56-AH56)*100,2)&amp;" pts.",0)</f>
        <v>0</v>
      </c>
    </row>
    <row r="57" spans="1:40" x14ac:dyDescent="0.2">
      <c r="A57" s="6" t="s">
        <v>8</v>
      </c>
      <c r="B57" s="7"/>
      <c r="H57" s="10" t="s">
        <v>286</v>
      </c>
      <c r="I57" s="447" t="e">
        <f ca="1">_xll.EVPRO($B$1,$H57,"STYLE")</f>
        <v>#NAME?</v>
      </c>
      <c r="J57" s="447" t="e">
        <f ca="1">_xll.EVPRO($B$1,$H57,"CALC")</f>
        <v>#NAME?</v>
      </c>
      <c r="K57" s="448" t="e">
        <f t="shared" ca="1" si="14"/>
        <v>#NAME?</v>
      </c>
      <c r="L57" s="151" t="e">
        <f ca="1">_xll.EVPRO($B$1,H57,"JDEID")</f>
        <v>#NAME?</v>
      </c>
      <c r="M57" s="151" t="e">
        <f ca="1">IF(AND(I57="N",J57="N"),_xll.EVPRO($B$1,H57,"PSFTID"),"")</f>
        <v>#NAME?</v>
      </c>
      <c r="N57" s="151" t="e">
        <f ca="1">IF(_xll.EVDES(H57,$B$1)="#NODATA","",_xll.EVDES(H57,$B$1))</f>
        <v>#NAME?</v>
      </c>
      <c r="O57" s="202"/>
      <c r="P57" s="120"/>
      <c r="Q57" s="120"/>
      <c r="R57" s="120"/>
      <c r="S57" s="120"/>
      <c r="T57" s="120"/>
      <c r="U57" s="120"/>
      <c r="V57" s="120"/>
      <c r="W57" s="120"/>
      <c r="X57" s="120"/>
      <c r="Y57" s="120"/>
      <c r="Z57" s="120"/>
      <c r="AA57" s="120" t="e">
        <f t="shared" ca="1" si="12"/>
        <v>#NAME?</v>
      </c>
      <c r="AB57" s="121" t="e">
        <f ca="1">IF(AA57=0,"",IFERROR(AA57/_xll.EVGTS($B$1,1,_xll.EVPRO($B$1,$H57,"COSBASIS"),$B$3,$B$5,$B$6,$B$7,$B$9,AA$16,AA$17,AA$11),""))</f>
        <v>#NAME?</v>
      </c>
      <c r="AC57" s="123"/>
      <c r="AD57" s="120"/>
      <c r="AE57" s="121" t="str">
        <f>IF(AD57=0,"",IFERROR(AD57/_xll.EVGTS($B$1,1,_xll.EVPRO($B$1,$H57,"COSBASIS"),$B$3,$B$5,$B$6,$B$7,$B$9,AD$16,AD$17,AD$18),""))</f>
        <v/>
      </c>
      <c r="AF57" s="122" t="e">
        <f t="shared" ca="1" si="13"/>
        <v>#NAME?</v>
      </c>
      <c r="AG57" s="120"/>
      <c r="AH57" s="121" t="str">
        <f>IF(AG57=0,"",IFERROR(AG57/_xll.EVGTS($B$1,1,_xll.EVPRO($B$1,$H57,"COSBASIS"),$B$3,$B$5,$B$6,$B$7,$B$9,AG$16,AG$17,AG$18),""))</f>
        <v/>
      </c>
      <c r="AI57" s="264" t="e">
        <f t="shared" ca="1" si="15"/>
        <v>#NAME?</v>
      </c>
      <c r="AJ57" s="332">
        <f t="shared" ca="1" si="16"/>
        <v>0</v>
      </c>
      <c r="AK57" s="333">
        <f t="shared" ca="1" si="17"/>
        <v>0</v>
      </c>
      <c r="AL57" s="335">
        <f t="shared" ca="1" si="18"/>
        <v>0</v>
      </c>
      <c r="AM57" s="377">
        <f t="shared" ca="1" si="19"/>
        <v>0</v>
      </c>
      <c r="AN57" s="378">
        <f t="shared" ca="1" si="20"/>
        <v>0</v>
      </c>
    </row>
    <row r="58" spans="1:40" x14ac:dyDescent="0.2">
      <c r="G58" s="13"/>
      <c r="H58" s="10" t="s">
        <v>287</v>
      </c>
      <c r="I58" s="447" t="e">
        <f ca="1">_xll.EVPRO($B$1,$H58,"STYLE")</f>
        <v>#NAME?</v>
      </c>
      <c r="J58" s="447" t="e">
        <f ca="1">_xll.EVPRO($B$1,$H58,"CALC")</f>
        <v>#NAME?</v>
      </c>
      <c r="K58" s="448" t="e">
        <f t="shared" ca="1" si="14"/>
        <v>#NAME?</v>
      </c>
      <c r="L58" s="151" t="e">
        <f ca="1">_xll.EVPRO($B$1,H58,"JDEID")</f>
        <v>#NAME?</v>
      </c>
      <c r="M58" s="151" t="e">
        <f ca="1">IF(AND(I58="N",J58="N"),_xll.EVPRO($B$1,H58,"PSFTID"),"")</f>
        <v>#NAME?</v>
      </c>
      <c r="N58" s="151" t="e">
        <f ca="1">IF(_xll.EVDES(H58,$B$1)="#NODATA","",_xll.EVDES(H58,$B$1))</f>
        <v>#NAME?</v>
      </c>
      <c r="O58" s="309"/>
      <c r="P58" s="35"/>
      <c r="Q58" s="35"/>
      <c r="R58" s="35"/>
      <c r="S58" s="35"/>
      <c r="T58" s="35"/>
      <c r="U58" s="35"/>
      <c r="V58" s="35"/>
      <c r="W58" s="35"/>
      <c r="X58" s="35"/>
      <c r="Y58" s="35"/>
      <c r="Z58" s="35"/>
      <c r="AA58" s="288" t="e">
        <f t="shared" ca="1" si="12"/>
        <v>#NAME?</v>
      </c>
      <c r="AB58" s="36" t="e">
        <f ca="1">IF(AA58=0,"",IFERROR(AA58/_xll.EVGTS($B$1,1,_xll.EVPRO($B$1,$H58,"COSBASIS"),$B$3,$B$5,$B$6,$B$7,$B$9,AA$16,AA$17,AA$11),""))</f>
        <v>#NAME?</v>
      </c>
      <c r="AD58" s="35"/>
      <c r="AE58" s="36" t="str">
        <f>IF(AD58=0,"",IFERROR(AD58/_xll.EVGTS($B$1,1,_xll.EVPRO($B$1,$H58,"COSBASIS"),$B$3,$B$5,$B$6,$B$7,$B$9,AD$16,AD$17,AD$18),""))</f>
        <v/>
      </c>
      <c r="AF58" s="118" t="e">
        <f t="shared" ca="1" si="13"/>
        <v>#NAME?</v>
      </c>
      <c r="AG58" s="35"/>
      <c r="AH58" s="36" t="str">
        <f>IF(AG58=0,"",IFERROR(AG58/_xll.EVGTS($B$1,1,_xll.EVPRO($B$1,$H58,"COSBASIS"),$B$3,$B$5,$B$6,$B$7,$B$9,AG$16,AG$17,AG$18),""))</f>
        <v/>
      </c>
      <c r="AI58" s="310" t="e">
        <f t="shared" ca="1" si="15"/>
        <v>#NAME?</v>
      </c>
      <c r="AJ58" s="325">
        <f t="shared" ca="1" si="16"/>
        <v>0</v>
      </c>
      <c r="AK58" s="326">
        <f t="shared" ca="1" si="17"/>
        <v>0</v>
      </c>
      <c r="AL58" s="328">
        <f t="shared" ca="1" si="18"/>
        <v>0</v>
      </c>
      <c r="AM58" s="362">
        <f t="shared" ca="1" si="19"/>
        <v>0</v>
      </c>
      <c r="AN58" s="376">
        <f t="shared" ca="1" si="20"/>
        <v>0</v>
      </c>
    </row>
    <row r="59" spans="1:40" x14ac:dyDescent="0.2">
      <c r="A59" s="3" t="s">
        <v>9</v>
      </c>
      <c r="B59" s="5" t="s">
        <v>10</v>
      </c>
      <c r="H59" s="10" t="s">
        <v>639</v>
      </c>
      <c r="I59" s="25" t="e">
        <f ca="1">_xll.EVPRO($B$1,$H59,"STYLE")</f>
        <v>#NAME?</v>
      </c>
      <c r="J59" s="25" t="e">
        <f ca="1">_xll.EVPRO($B$1,$H59,"CALC")</f>
        <v>#NAME?</v>
      </c>
      <c r="K59" s="64" t="e">
        <f t="shared" ca="1" si="14"/>
        <v>#NAME?</v>
      </c>
      <c r="L59" s="24" t="e">
        <f ca="1">_xll.EVPRO($B$1,H59,"JDEID")</f>
        <v>#NAME?</v>
      </c>
      <c r="M59" s="24" t="e">
        <f ca="1">IF(AND(I59="N",J59="N"),_xll.EVPRO($B$1,H59,"PSFTID"),"")</f>
        <v>#NAME?</v>
      </c>
      <c r="N59" s="24" t="e">
        <f ca="1">IF(_xll.EVDES(H59,$B$1)="#NODATA","",_xll.EVDES(H59,$B$1))</f>
        <v>#NAME?</v>
      </c>
      <c r="O59" s="295"/>
      <c r="P59" s="296"/>
      <c r="Q59" s="296"/>
      <c r="R59" s="296"/>
      <c r="S59" s="296"/>
      <c r="T59" s="296"/>
      <c r="U59" s="296"/>
      <c r="V59" s="296"/>
      <c r="W59" s="296"/>
      <c r="X59" s="296"/>
      <c r="Y59" s="296"/>
      <c r="Z59" s="296"/>
      <c r="AA59" s="296" t="e">
        <f t="shared" ca="1" si="12"/>
        <v>#NAME?</v>
      </c>
      <c r="AB59" s="297" t="e">
        <f ca="1">IF(AA59=0,"",IFERROR(AA59/_xll.EVGTS($B$1,1,_xll.EVPRO($B$1,$H59,"COSBASIS"),$B$3,$B$5,$B$6,$B$7,$B$9,AA$16,AA$17,AA$11),""))</f>
        <v>#NAME?</v>
      </c>
      <c r="AC59" s="263"/>
      <c r="AD59" s="296"/>
      <c r="AE59" s="297" t="str">
        <f>IF(AD59=0,"",IFERROR(AD59/_xll.EVGTS($B$1,1,_xll.EVPRO($B$1,$H59,"COSBASIS"),$B$3,$B$5,$B$6,$B$7,$B$9,AD$16,AD$17,AD$18),""))</f>
        <v/>
      </c>
      <c r="AF59" s="298" t="e">
        <f t="shared" ca="1" si="13"/>
        <v>#NAME?</v>
      </c>
      <c r="AG59" s="296"/>
      <c r="AH59" s="297" t="str">
        <f>IF(AG59=0,"",IFERROR(AG59/_xll.EVGTS($B$1,1,_xll.EVPRO($B$1,$H59,"COSBASIS"),$B$3,$B$5,$B$6,$B$7,$B$9,AG$16,AG$17,AG$18),""))</f>
        <v/>
      </c>
      <c r="AI59" s="299" t="e">
        <f t="shared" ca="1" si="15"/>
        <v>#NAME?</v>
      </c>
      <c r="AJ59" s="381">
        <f t="shared" ca="1" si="16"/>
        <v>0</v>
      </c>
      <c r="AK59" s="382">
        <f t="shared" ca="1" si="17"/>
        <v>0</v>
      </c>
      <c r="AL59" s="383">
        <f t="shared" ca="1" si="18"/>
        <v>0</v>
      </c>
      <c r="AM59" s="384">
        <f t="shared" ca="1" si="19"/>
        <v>0</v>
      </c>
      <c r="AN59" s="385">
        <f t="shared" ca="1" si="20"/>
        <v>0</v>
      </c>
    </row>
    <row r="60" spans="1:40" x14ac:dyDescent="0.2">
      <c r="A60" s="6" t="s">
        <v>11</v>
      </c>
      <c r="B60" s="7" t="s">
        <v>21</v>
      </c>
      <c r="H60" s="10" t="s">
        <v>288</v>
      </c>
      <c r="I60" s="447" t="e">
        <f ca="1">_xll.EVPRO($B$1,$H60,"STYLE")</f>
        <v>#NAME?</v>
      </c>
      <c r="J60" s="447" t="e">
        <f ca="1">_xll.EVPRO($B$1,$H60,"CALC")</f>
        <v>#NAME?</v>
      </c>
      <c r="K60" s="448" t="e">
        <f t="shared" ca="1" si="14"/>
        <v>#NAME?</v>
      </c>
      <c r="L60" s="151" t="e">
        <f ca="1">_xll.EVPRO($B$1,H60,"JDEID")</f>
        <v>#NAME?</v>
      </c>
      <c r="M60" s="151" t="e">
        <f ca="1">IF(AND(I60="N",J60="N"),_xll.EVPRO($B$1,H60,"PSFTID"),"")</f>
        <v>#NAME?</v>
      </c>
      <c r="N60" s="151" t="e">
        <f ca="1">IF(_xll.EVDES(H60,$B$1)="#NODATA","",_xll.EVDES(H60,$B$1))</f>
        <v>#NAME?</v>
      </c>
      <c r="O60" s="203"/>
      <c r="P60" s="33"/>
      <c r="Q60" s="33"/>
      <c r="R60" s="33"/>
      <c r="S60" s="33"/>
      <c r="T60" s="33"/>
      <c r="U60" s="33"/>
      <c r="V60" s="33"/>
      <c r="W60" s="33"/>
      <c r="X60" s="33"/>
      <c r="Y60" s="33"/>
      <c r="Z60" s="33"/>
      <c r="AA60" s="33" t="e">
        <f t="shared" ca="1" si="12"/>
        <v>#NAME?</v>
      </c>
      <c r="AB60" s="34" t="e">
        <f ca="1">IF(AA60=0,"",IFERROR(AA60/_xll.EVGTS($B$1,1,_xll.EVPRO($B$1,$H60,"COSBASIS"),$B$3,$B$5,$B$6,$B$7,$B$9,AA$16,AA$17,AA$11),""))</f>
        <v>#NAME?</v>
      </c>
      <c r="AC60" s="32"/>
      <c r="AD60" s="33"/>
      <c r="AE60" s="34" t="str">
        <f>IF(AD60=0,"",IFERROR(AD60/_xll.EVGTS($B$1,1,_xll.EVPRO($B$1,$H60,"COSBASIS"),$B$3,$B$5,$B$6,$B$7,$B$9,AD$16,AD$17,AD$18),""))</f>
        <v/>
      </c>
      <c r="AF60" s="54" t="e">
        <f t="shared" ca="1" si="13"/>
        <v>#NAME?</v>
      </c>
      <c r="AG60" s="33"/>
      <c r="AH60" s="34" t="str">
        <f>IF(AG60=0,"",IFERROR(AG60/_xll.EVGTS($B$1,1,_xll.EVPRO($B$1,$H60,"COSBASIS"),$B$3,$B$5,$B$6,$B$7,$B$9,AG$16,AG$17,AG$18),""))</f>
        <v/>
      </c>
      <c r="AI60" s="265" t="e">
        <f t="shared" ca="1" si="15"/>
        <v>#NAME?</v>
      </c>
      <c r="AJ60" s="344">
        <f t="shared" ca="1" si="16"/>
        <v>0</v>
      </c>
      <c r="AK60" s="345">
        <f t="shared" ca="1" si="17"/>
        <v>0</v>
      </c>
      <c r="AL60" s="347">
        <f t="shared" ca="1" si="18"/>
        <v>0</v>
      </c>
      <c r="AM60" s="379">
        <f t="shared" ca="1" si="19"/>
        <v>0</v>
      </c>
      <c r="AN60" s="380">
        <f t="shared" ca="1" si="20"/>
        <v>0</v>
      </c>
    </row>
    <row r="61" spans="1:40" x14ac:dyDescent="0.2">
      <c r="A61" s="6" t="s">
        <v>12</v>
      </c>
      <c r="B61" s="7" t="s">
        <v>22</v>
      </c>
      <c r="H61" s="10" t="s">
        <v>289</v>
      </c>
      <c r="I61" s="447" t="e">
        <f ca="1">_xll.EVPRO($B$1,$H61,"STYLE")</f>
        <v>#NAME?</v>
      </c>
      <c r="J61" s="447" t="e">
        <f ca="1">_xll.EVPRO($B$1,$H61,"CALC")</f>
        <v>#NAME?</v>
      </c>
      <c r="K61" s="448" t="e">
        <f t="shared" ca="1" si="14"/>
        <v>#NAME?</v>
      </c>
      <c r="L61" s="151" t="e">
        <f ca="1">_xll.EVPRO($B$1,H61,"JDEID")</f>
        <v>#NAME?</v>
      </c>
      <c r="M61" s="151" t="e">
        <f ca="1">IF(AND(I61="N",J61="N"),_xll.EVPRO($B$1,H61,"PSFTID"),"")</f>
        <v>#NAME?</v>
      </c>
      <c r="N61" s="151" t="e">
        <f ca="1">IF(_xll.EVDES(H61,$B$1)="#NODATA","",_xll.EVDES(H61,$B$1))</f>
        <v>#NAME?</v>
      </c>
      <c r="O61" s="202"/>
      <c r="P61" s="120"/>
      <c r="Q61" s="120"/>
      <c r="R61" s="120"/>
      <c r="S61" s="120"/>
      <c r="T61" s="120"/>
      <c r="U61" s="120"/>
      <c r="V61" s="120"/>
      <c r="W61" s="120"/>
      <c r="X61" s="120"/>
      <c r="Y61" s="120"/>
      <c r="Z61" s="120"/>
      <c r="AA61" s="120" t="e">
        <f t="shared" ca="1" si="12"/>
        <v>#NAME?</v>
      </c>
      <c r="AB61" s="121" t="e">
        <f ca="1">IF(AA61=0,"",IFERROR(AA61/_xll.EVGTS($B$1,1,_xll.EVPRO($B$1,$H61,"COSBASIS"),$B$3,$B$5,$B$6,$B$7,$B$9,AA$16,AA$17,AA$11),""))</f>
        <v>#NAME?</v>
      </c>
      <c r="AC61" s="123"/>
      <c r="AD61" s="120"/>
      <c r="AE61" s="121" t="str">
        <f>IF(AD61=0,"",IFERROR(AD61/_xll.EVGTS($B$1,1,_xll.EVPRO($B$1,$H61,"COSBASIS"),$B$3,$B$5,$B$6,$B$7,$B$9,AD$16,AD$17,AD$18),""))</f>
        <v/>
      </c>
      <c r="AF61" s="122" t="e">
        <f t="shared" ca="1" si="13"/>
        <v>#NAME?</v>
      </c>
      <c r="AG61" s="120"/>
      <c r="AH61" s="121" t="str">
        <f>IF(AG61=0,"",IFERROR(AG61/_xll.EVGTS($B$1,1,_xll.EVPRO($B$1,$H61,"COSBASIS"),$B$3,$B$5,$B$6,$B$7,$B$9,AG$16,AG$17,AG$18),""))</f>
        <v/>
      </c>
      <c r="AI61" s="264" t="e">
        <f t="shared" ca="1" si="15"/>
        <v>#NAME?</v>
      </c>
      <c r="AJ61" s="332">
        <f t="shared" ca="1" si="16"/>
        <v>0</v>
      </c>
      <c r="AK61" s="333">
        <f t="shared" ca="1" si="17"/>
        <v>0</v>
      </c>
      <c r="AL61" s="335">
        <f t="shared" ca="1" si="18"/>
        <v>0</v>
      </c>
      <c r="AM61" s="377">
        <f t="shared" ca="1" si="19"/>
        <v>0</v>
      </c>
      <c r="AN61" s="378">
        <f t="shared" ca="1" si="20"/>
        <v>0</v>
      </c>
    </row>
    <row r="62" spans="1:40" x14ac:dyDescent="0.2">
      <c r="A62" s="6" t="s">
        <v>13</v>
      </c>
      <c r="B62" s="7" t="e">
        <f ca="1">"DEP(COS_FB) AND "&amp;$E$6&amp;"=Y,COS_FB,COSOTH,DEP(COS_OTHR) AND "&amp;$E$6&amp;"=Y,COS_OTHR,500001"</f>
        <v>#NAME?</v>
      </c>
      <c r="H62" s="133" t="s">
        <v>175</v>
      </c>
      <c r="I62" s="26" t="e">
        <f ca="1">_xll.EVPRO($B$1,$H62,"STYLE")</f>
        <v>#NAME?</v>
      </c>
      <c r="J62" s="26" t="e">
        <f ca="1">_xll.EVPRO($B$1,$H62,"CALC")</f>
        <v>#NAME?</v>
      </c>
      <c r="K62" s="65" t="e">
        <f ca="1">IF(AND(I62&gt;="T5"),"&gt;","")</f>
        <v>#NAME?</v>
      </c>
      <c r="L62" s="65"/>
      <c r="M62" s="65"/>
      <c r="N62" s="23" t="e">
        <f ca="1">IF(_xll.EVDES(H62,$B$1)="#NODATA","",_xll.EVDES(H62,$B$1))</f>
        <v>#NAME?</v>
      </c>
      <c r="O62" s="44"/>
      <c r="P62" s="44"/>
      <c r="Q62" s="44"/>
      <c r="R62" s="44"/>
      <c r="S62" s="44"/>
      <c r="T62" s="44"/>
      <c r="U62" s="44"/>
      <c r="V62" s="44"/>
      <c r="W62" s="44"/>
      <c r="X62" s="44"/>
      <c r="Y62" s="44"/>
      <c r="Z62" s="44"/>
      <c r="AA62" s="44"/>
      <c r="AB62" s="45" t="str">
        <f>IF(O62=0,"",IFERROR(O62/_xll.EVGTS($B$1,1,INDEX($C$152:$C$175,MATCH($H62,$A$152:$A$175,0)),$B$3,$B$5,$B$6,$B$7,$B$9,O$16,O$17,O$18),""))</f>
        <v/>
      </c>
      <c r="AD62" s="44"/>
      <c r="AE62" s="45" t="str">
        <f>IF(AD62=0,"",IFERROR(AD62/_xll.EVGTS($B$1,1,INDEX($C$152:$C$175,MATCH($H62,$A$152:$A$175,0)),$B$3,$B$5,$B$6,$B$7,$B$9,AD$16,AD$17,AD$18),""))</f>
        <v/>
      </c>
      <c r="AF62" s="134" t="str">
        <f t="shared" ref="AF62:AF63" si="21">IF(AND($AA62="",AD62=""),"",$AA62-AD62)</f>
        <v/>
      </c>
      <c r="AG62" s="44"/>
      <c r="AH62" s="45" t="str">
        <f>IF(AG62=0,"",IFERROR(AG62/_xll.EVGTS($B$1,1,INDEX($C$152:$C$175,MATCH($H62,$A$152:$A$175,0)),$B$3,$B$5,$B$6,$B$7,$B$9,AG$16,AG$17,AG$18),""))</f>
        <v/>
      </c>
      <c r="AI62" s="134" t="str">
        <f>IF(AND($AA62="",AG62=""),"",$AA62-AG62)</f>
        <v/>
      </c>
      <c r="AJ62" s="392">
        <f ca="1">IFERROR(AA62/AA$20,0)</f>
        <v>0</v>
      </c>
      <c r="AK62" s="393">
        <f ca="1">IFERROR(AD62/AD$20,0)</f>
        <v>0</v>
      </c>
      <c r="AL62" s="394">
        <f ca="1">IFERROR(AG62/AG$20,0)</f>
        <v>0</v>
      </c>
      <c r="AM62" s="395">
        <f>+IFERROR(ROUND(($AB62-AE62)*100,2)&amp;" pts.",0)</f>
        <v>0</v>
      </c>
      <c r="AN62" s="396">
        <f>+IFERROR(ROUND(($AB62-AH62)*100,2)&amp;" pts.",0)</f>
        <v>0</v>
      </c>
    </row>
    <row r="63" spans="1:40" x14ac:dyDescent="0.2">
      <c r="A63" s="6" t="s">
        <v>14</v>
      </c>
      <c r="B63" s="7"/>
      <c r="H63" s="133" t="s">
        <v>292</v>
      </c>
      <c r="I63" s="26" t="e">
        <f ca="1">_xll.EVPRO($B$1,$H63,"STYLE")</f>
        <v>#NAME?</v>
      </c>
      <c r="J63" s="26" t="e">
        <f ca="1">_xll.EVPRO($B$1,$H63,"CALC")</f>
        <v>#NAME?</v>
      </c>
      <c r="K63" s="65" t="e">
        <f ca="1">IF(AND(I63&gt;="T5"),"&gt;","")</f>
        <v>#NAME?</v>
      </c>
      <c r="L63" s="65"/>
      <c r="M63" s="65"/>
      <c r="N63" s="23" t="e">
        <f ca="1">IF(_xll.EVDES(H63,$B$1)="#NODATA","",_xll.EVDES(H63,$B$1))</f>
        <v>#NAME?</v>
      </c>
      <c r="O63" s="145">
        <f>SUMIF($H$35:$H$61,"400000",O35:O61)-SUMIF($H$35:$H$61,"500001",O35:O61)</f>
        <v>0</v>
      </c>
      <c r="P63" s="145">
        <f t="shared" ref="P63:Z63" si="22">SUMIF($H$35:$H$61,"400000",P35:P61)-SUMIF($H$35:$H$61,"500001",P35:P61)</f>
        <v>0</v>
      </c>
      <c r="Q63" s="145">
        <f t="shared" si="22"/>
        <v>0</v>
      </c>
      <c r="R63" s="145">
        <f t="shared" si="22"/>
        <v>0</v>
      </c>
      <c r="S63" s="145">
        <f t="shared" si="22"/>
        <v>0</v>
      </c>
      <c r="T63" s="145">
        <f t="shared" si="22"/>
        <v>0</v>
      </c>
      <c r="U63" s="145">
        <f t="shared" si="22"/>
        <v>0</v>
      </c>
      <c r="V63" s="145">
        <f t="shared" si="22"/>
        <v>0</v>
      </c>
      <c r="W63" s="145">
        <f t="shared" si="22"/>
        <v>0</v>
      </c>
      <c r="X63" s="145">
        <f t="shared" si="22"/>
        <v>0</v>
      </c>
      <c r="Y63" s="145">
        <f t="shared" si="22"/>
        <v>0</v>
      </c>
      <c r="Z63" s="145">
        <f t="shared" si="22"/>
        <v>0</v>
      </c>
      <c r="AA63" s="145" t="e">
        <f ca="1">IF($I63="B1","",SUM(O63:Z63))</f>
        <v>#NAME?</v>
      </c>
      <c r="AB63" s="121" t="e">
        <f ca="1">IF(AA63=0,"",IFERROR(AA63/AA$19,""))</f>
        <v>#NAME?</v>
      </c>
      <c r="AD63" s="145">
        <f>SUMIF($H$35:$H$61,"400000",AD35:AD61)-SUMIF($H$35:$H$61,"500001",AD35:AD61)</f>
        <v>0</v>
      </c>
      <c r="AE63" s="121" t="str">
        <f>IF(AD63=0,"",IFERROR(AD63/AD$19,""))</f>
        <v/>
      </c>
      <c r="AF63" s="146" t="e">
        <f t="shared" ca="1" si="21"/>
        <v>#NAME?</v>
      </c>
      <c r="AG63" s="145">
        <f>SUMIF($H$35:$H$61,"400000",AG35:AG61)-SUMIF($H$35:$H$61,"500001",AG35:AG61)</f>
        <v>0</v>
      </c>
      <c r="AH63" s="121" t="str">
        <f>IF(AG63=0,"",IFERROR(AG63/AG$19,""))</f>
        <v/>
      </c>
      <c r="AI63" s="146" t="e">
        <f ca="1">IF(AND($AA63="",AG63=""),"",$AA63-AG63)</f>
        <v>#NAME?</v>
      </c>
      <c r="AJ63" s="364">
        <f ca="1">IFERROR(AA63/AA$20,0)</f>
        <v>0</v>
      </c>
      <c r="AK63" s="365">
        <f ca="1">IFERROR(AD63/AD$20,0)</f>
        <v>0</v>
      </c>
      <c r="AL63" s="366">
        <f ca="1">IFERROR(AG63/AG$20,0)</f>
        <v>0</v>
      </c>
      <c r="AM63" s="367">
        <f ca="1">+IFERROR(ROUND(($AB63-AE63)*100,2)&amp;" pts.",0)</f>
        <v>0</v>
      </c>
      <c r="AN63" s="409">
        <f ca="1">+IFERROR(ROUND(($AB63-AH63)*100,2)&amp;" pts.",0)</f>
        <v>0</v>
      </c>
    </row>
    <row r="64" spans="1:40" x14ac:dyDescent="0.2">
      <c r="A64" s="6" t="s">
        <v>15</v>
      </c>
      <c r="B64" s="7"/>
      <c r="O64" s="144"/>
      <c r="P64" s="147"/>
      <c r="Q64" s="147"/>
      <c r="R64" s="147"/>
      <c r="S64" s="147"/>
      <c r="T64" s="147"/>
      <c r="U64" s="147"/>
      <c r="V64" s="147"/>
      <c r="W64" s="147"/>
      <c r="X64" s="147"/>
      <c r="Y64" s="147"/>
      <c r="Z64" s="147"/>
      <c r="AA64" s="147"/>
      <c r="AB64" s="51"/>
      <c r="AD64" s="50"/>
      <c r="AF64" s="51"/>
      <c r="AI64" s="51"/>
    </row>
    <row r="65" spans="1:40" x14ac:dyDescent="0.2">
      <c r="A65" s="6" t="s">
        <v>16</v>
      </c>
      <c r="B65" s="7"/>
      <c r="H65" s="1" t="s">
        <v>73</v>
      </c>
      <c r="I65" s="11" t="e">
        <f ca="1">_xll.EVPRO($B$1,$H65,"STYLE")</f>
        <v>#NAME?</v>
      </c>
      <c r="J65" s="11" t="e">
        <f ca="1">_xll.EVPRO($B$1,$H65,"CALC")</f>
        <v>#NAME?</v>
      </c>
      <c r="N65" s="37" t="e">
        <f ca="1">IF(_xll.EVDES(H65,$B$1)="#NODATA","",_xll.EVDES(H65,$B$1))</f>
        <v>#NAME?</v>
      </c>
      <c r="O65" s="50"/>
      <c r="AB65" s="149"/>
      <c r="AD65" s="148"/>
      <c r="AE65" s="150"/>
      <c r="AF65" s="51"/>
      <c r="AH65" s="150"/>
      <c r="AI65" s="51"/>
    </row>
    <row r="66" spans="1:40" x14ac:dyDescent="0.2">
      <c r="A66" s="6" t="s">
        <v>17</v>
      </c>
      <c r="B66" s="7"/>
      <c r="H66" s="1" t="s">
        <v>74</v>
      </c>
      <c r="I66" s="11" t="e">
        <f ca="1">_xll.EVPRO($B$1,$H66,"STYLE")</f>
        <v>#NAME?</v>
      </c>
      <c r="J66" s="11" t="e">
        <f ca="1">_xll.EVPRO($B$1,$H66,"CALC")</f>
        <v>#NAME?</v>
      </c>
      <c r="N66" s="8" t="e">
        <f ca="1">IF(_xll.EVDES(H66,$B$1)="#NODATA","",_xll.EVDES(H66,$B$1))</f>
        <v>#NAME?</v>
      </c>
      <c r="O66" s="40"/>
      <c r="P66" s="43"/>
      <c r="Q66" s="43"/>
      <c r="R66" s="43"/>
      <c r="S66" s="43"/>
      <c r="T66" s="43"/>
      <c r="U66" s="43"/>
      <c r="V66" s="43"/>
      <c r="W66" s="43"/>
      <c r="X66" s="43"/>
      <c r="Y66" s="43"/>
      <c r="Z66" s="43"/>
      <c r="AA66" s="43"/>
      <c r="AB66" s="41"/>
      <c r="AD66" s="40"/>
      <c r="AE66" s="43"/>
      <c r="AF66" s="41"/>
      <c r="AG66" s="43"/>
      <c r="AH66" s="43"/>
      <c r="AI66" s="41"/>
    </row>
    <row r="67" spans="1:40" hidden="1" x14ac:dyDescent="0.2">
      <c r="H67" s="10" t="s">
        <v>667</v>
      </c>
      <c r="I67" s="25" t="e">
        <f ca="1">_xll.EVPRO($B$1,$H67,"STYLE")</f>
        <v>#NAME?</v>
      </c>
      <c r="J67" s="25" t="e">
        <f ca="1">_xll.EVPRO($B$1,$H67,"CALC")</f>
        <v>#NAME?</v>
      </c>
      <c r="K67" s="64" t="e">
        <f ca="1">IF(AND(I67&gt;="T3"),"&gt;","")</f>
        <v>#NAME?</v>
      </c>
      <c r="L67" s="24" t="e">
        <f ca="1">_xll.EVPRO($B$1,H67,"JDEID")</f>
        <v>#NAME?</v>
      </c>
      <c r="M67" s="24" t="e">
        <f ca="1">IF(AND(I67="N",J67="N"),_xll.EVPRO($B$1,H67,"PSFTID"),"")</f>
        <v>#NAME?</v>
      </c>
      <c r="N67" s="24" t="e">
        <f ca="1">IF(_xll.EVDES(H67,$B$1)="#NODATA","",_xll.EVDES(H67,$B$1))</f>
        <v>#NAME?</v>
      </c>
      <c r="O67" s="28"/>
      <c r="P67" s="28"/>
      <c r="Q67" s="28"/>
      <c r="R67" s="28"/>
      <c r="S67" s="28"/>
      <c r="T67" s="28"/>
      <c r="U67" s="28"/>
      <c r="V67" s="28"/>
      <c r="W67" s="28"/>
      <c r="X67" s="28"/>
      <c r="Y67" s="28"/>
      <c r="Z67" s="28"/>
      <c r="AA67" s="296" t="e">
        <f ca="1">IF($I67="B1","",SUM(O67:Z67))</f>
        <v>#NAME?</v>
      </c>
      <c r="AB67" s="29" t="e">
        <f ca="1">IF(AA67=0,"",IFERROR(AA67/AA$19,""))</f>
        <v>#NAME?</v>
      </c>
      <c r="AD67" s="28"/>
      <c r="AE67" s="29" t="str">
        <f>IF(AD67=0,"",IFERROR(AD67/AD$19,""))</f>
        <v/>
      </c>
      <c r="AF67" s="48" t="e">
        <f ca="1">IF(AND($AA67="",AD67=""),"",$AA67-AD67)</f>
        <v>#NAME?</v>
      </c>
      <c r="AG67" s="28"/>
      <c r="AH67" s="29" t="str">
        <f>IF(AG67=0,"",IFERROR(AG67/AG$19,""))</f>
        <v/>
      </c>
      <c r="AI67" s="48" t="e">
        <f ca="1">IF(AND($AA67="",AG67=""),"",$AA67-AG67)</f>
        <v>#NAME?</v>
      </c>
      <c r="AJ67" s="371">
        <f ca="1">IFERROR(AA67/AA$20,0)</f>
        <v>0</v>
      </c>
      <c r="AK67" s="372">
        <f ca="1">IFERROR(AD67/AD$20,0)</f>
        <v>0</v>
      </c>
      <c r="AL67" s="373">
        <f ca="1">IFERROR(AG67/AG$20,0)</f>
        <v>0</v>
      </c>
      <c r="AM67" s="374">
        <f ca="1">+IFERROR(ROUND(($AB67-AE67)*100,2)&amp;" pts.",0)</f>
        <v>0</v>
      </c>
      <c r="AN67" s="375">
        <f ca="1">+IFERROR(ROUND(($AB67-AH67)*100,2)&amp;" pts.",0)</f>
        <v>0</v>
      </c>
    </row>
    <row r="68" spans="1:40" hidden="1" x14ac:dyDescent="0.2">
      <c r="A68" s="20" t="s">
        <v>92</v>
      </c>
      <c r="B68" s="21" t="s">
        <v>93</v>
      </c>
      <c r="C68" s="21" t="s">
        <v>94</v>
      </c>
      <c r="D68" s="21" t="s">
        <v>95</v>
      </c>
      <c r="E68" s="21" t="s">
        <v>96</v>
      </c>
      <c r="F68" s="22" t="s">
        <v>97</v>
      </c>
      <c r="H68" s="10"/>
      <c r="I68" s="25" t="e">
        <f ca="1">_xll.EVPRO($B$1,$H68,"STYLE")</f>
        <v>#NAME?</v>
      </c>
      <c r="J68" s="25" t="e">
        <f ca="1">_xll.EVPRO($B$1,$H68,"CALC")</f>
        <v>#NAME?</v>
      </c>
      <c r="K68" s="64" t="e">
        <f ca="1">IF(AND(I68&gt;="T3"),"&gt;","")</f>
        <v>#NAME?</v>
      </c>
      <c r="L68" s="24" t="e">
        <f ca="1">_xll.EVPRO($B$1,H68,"JDEID")</f>
        <v>#NAME?</v>
      </c>
      <c r="M68" s="24" t="e">
        <f ca="1">IF(AND(I68="N",J68="N"),_xll.EVPRO($B$1,H68,"PSFTID"),"")</f>
        <v>#NAME?</v>
      </c>
      <c r="N68" s="24" t="e">
        <f ca="1">IF(_xll.EVDES(H68,$B$1)="#NODATA","",_xll.EVDES(H68,$B$1))</f>
        <v>#NAME?</v>
      </c>
      <c r="O68" s="28"/>
      <c r="P68" s="28"/>
      <c r="Q68" s="28"/>
      <c r="R68" s="28"/>
      <c r="S68" s="28"/>
      <c r="T68" s="28"/>
      <c r="U68" s="28"/>
      <c r="V68" s="28"/>
      <c r="W68" s="28"/>
      <c r="X68" s="28"/>
      <c r="Y68" s="28"/>
      <c r="Z68" s="28"/>
      <c r="AA68" s="296" t="e">
        <f ca="1">IF($I68="B1","",SUM(O68:Z68))</f>
        <v>#NAME?</v>
      </c>
      <c r="AB68" s="29" t="e">
        <f ca="1">IF(AA68=0,"",IFERROR(AA68/AA$19,""))</f>
        <v>#NAME?</v>
      </c>
      <c r="AD68" s="28"/>
      <c r="AE68" s="29" t="str">
        <f>IF(AD68=0,"",IFERROR(AD68/AD$19,""))</f>
        <v/>
      </c>
      <c r="AF68" s="48" t="e">
        <f ca="1">IF(AND($AA68="",AD68=""),"",$AA68-AD68)</f>
        <v>#NAME?</v>
      </c>
      <c r="AG68" s="28"/>
      <c r="AH68" s="29" t="str">
        <f>IF(AG68=0,"",IFERROR(AG68/AG$19,""))</f>
        <v/>
      </c>
      <c r="AI68" s="48" t="e">
        <f ca="1">IF(AND($AA68="",AG68=""),"",$AA68-AG68)</f>
        <v>#NAME?</v>
      </c>
      <c r="AJ68" s="371">
        <f ca="1">IFERROR(AA68/AA$20,0)</f>
        <v>0</v>
      </c>
      <c r="AK68" s="372">
        <f ca="1">IFERROR(AD68/AD$20,0)</f>
        <v>0</v>
      </c>
      <c r="AL68" s="373">
        <f ca="1">IFERROR(AG68/AG$20,0)</f>
        <v>0</v>
      </c>
      <c r="AM68" s="374">
        <f ca="1">+IFERROR(ROUND(($AB68-AE68)*100,2)&amp;" pts.",0)</f>
        <v>0</v>
      </c>
      <c r="AN68" s="375">
        <f ca="1">+IFERROR(ROUND(($AB68-AH68)*100,2)&amp;" pts.",0)</f>
        <v>0</v>
      </c>
    </row>
    <row r="69" spans="1:40" x14ac:dyDescent="0.2">
      <c r="H69" s="10" t="s">
        <v>75</v>
      </c>
      <c r="I69" s="26" t="e">
        <f ca="1">_xll.EVPRO($B$1,$H69,"STYLE")</f>
        <v>#NAME?</v>
      </c>
      <c r="J69" s="26" t="e">
        <f ca="1">_xll.EVPRO($B$1,$H69,"CALC")</f>
        <v>#NAME?</v>
      </c>
      <c r="K69" s="65" t="e">
        <f ca="1">IF(AND(I69&gt;="T3"),"&gt;","")</f>
        <v>#NAME?</v>
      </c>
      <c r="L69" s="23" t="e">
        <f ca="1">_xll.EVPRO($B$1,H69,"JDEID")</f>
        <v>#NAME?</v>
      </c>
      <c r="M69" s="24" t="e">
        <f ca="1">IF(AND(I69="N",J69="N"),_xll.EVPRO($B$1,H69,"PSFTID"),"")</f>
        <v>#NAME?</v>
      </c>
      <c r="N69" s="23" t="e">
        <f ca="1">IF(_xll.EVDES(H69,$B$1)="#NODATA","",_xll.EVDES(H69,$B$1))</f>
        <v>#NAME?</v>
      </c>
      <c r="O69" s="19"/>
      <c r="P69" s="19"/>
      <c r="Q69" s="19"/>
      <c r="R69" s="19"/>
      <c r="S69" s="19"/>
      <c r="T69" s="19"/>
      <c r="U69" s="19"/>
      <c r="V69" s="19"/>
      <c r="W69" s="19"/>
      <c r="X69" s="19"/>
      <c r="Y69" s="19"/>
      <c r="Z69" s="19"/>
      <c r="AA69" s="283" t="e">
        <f ca="1">IF($I69="B1","",SUM(O69:Z69))</f>
        <v>#NAME?</v>
      </c>
      <c r="AB69" s="15" t="e">
        <f ca="1">IF(AA69=0,"",IFERROR(AA69/AA$19,""))</f>
        <v>#NAME?</v>
      </c>
      <c r="AD69" s="19"/>
      <c r="AE69" s="15" t="str">
        <f>IF(AD69=0,"",IFERROR(AD69/AD$19,""))</f>
        <v/>
      </c>
      <c r="AF69" s="47" t="e">
        <f ca="1">IF(AND($AA69="",AD69=""),"",$AA69-AD69)</f>
        <v>#NAME?</v>
      </c>
      <c r="AG69" s="19"/>
      <c r="AH69" s="15" t="str">
        <f>IF(AG69=0,"",IFERROR(AG69/AG$19,""))</f>
        <v/>
      </c>
      <c r="AI69" s="47" t="e">
        <f ca="1">IF(AND($AA69="",AG69=""),"",$AA69-AG69)</f>
        <v>#NAME?</v>
      </c>
      <c r="AJ69" s="371">
        <f ca="1">IFERROR(AA69/AA$20,0)</f>
        <v>0</v>
      </c>
      <c r="AK69" s="372">
        <f ca="1">IFERROR(AD69/AD$20,0)</f>
        <v>0</v>
      </c>
      <c r="AL69" s="373">
        <f ca="1">IFERROR(AG69/AG$20,0)</f>
        <v>0</v>
      </c>
      <c r="AM69" s="374">
        <f ca="1">+IFERROR(ROUND(($AB69-AE69)*100,2)&amp;" pts.",0)</f>
        <v>0</v>
      </c>
      <c r="AN69" s="375">
        <f ca="1">+IFERROR(ROUND(($AB69-AH69)*100,2)&amp;" pts.",0)</f>
        <v>0</v>
      </c>
    </row>
    <row r="70" spans="1:40" hidden="1" x14ac:dyDescent="0.2">
      <c r="A70" s="1" t="s">
        <v>209</v>
      </c>
      <c r="B70" s="1" t="s">
        <v>21</v>
      </c>
      <c r="C70" s="70"/>
      <c r="D70" s="1" t="s">
        <v>590</v>
      </c>
      <c r="F70" s="1" t="s">
        <v>99</v>
      </c>
      <c r="H70" s="10" t="s">
        <v>667</v>
      </c>
      <c r="I70" s="25" t="e">
        <f ca="1">_xll.EVPRO($B$1,$H70,"STYLE")</f>
        <v>#NAME?</v>
      </c>
      <c r="J70" s="25" t="e">
        <f ca="1">_xll.EVPRO($B$1,$H70,"CALC")</f>
        <v>#NAME?</v>
      </c>
      <c r="K70" s="64" t="e">
        <f ca="1">IF(AND(I70&gt;="T3"),"&gt;","")</f>
        <v>#NAME?</v>
      </c>
      <c r="L70" s="24" t="e">
        <f ca="1">_xll.EVPRO($B$1,H70,"JDEID")</f>
        <v>#NAME?</v>
      </c>
      <c r="M70" s="24" t="e">
        <f ca="1">IF(AND(I70="N",J70="N"),_xll.EVPRO($B$1,H70,"PSFTID"),"")</f>
        <v>#NAME?</v>
      </c>
      <c r="N70" s="24" t="e">
        <f ca="1">IF(_xll.EVDES(H70,$B$1)="#NODATA","",_xll.EVDES(H70,$B$1))</f>
        <v>#NAME?</v>
      </c>
      <c r="O70" s="28"/>
      <c r="P70" s="28"/>
      <c r="Q70" s="28"/>
      <c r="R70" s="28"/>
      <c r="S70" s="28"/>
      <c r="T70" s="28"/>
      <c r="U70" s="28"/>
      <c r="V70" s="28"/>
      <c r="W70" s="28"/>
      <c r="X70" s="28"/>
      <c r="Y70" s="28"/>
      <c r="Z70" s="28"/>
      <c r="AA70" s="296" t="e">
        <f ca="1">IF($I70="B1","",SUM(O70:Z70))</f>
        <v>#NAME?</v>
      </c>
      <c r="AB70" s="29" t="e">
        <f ca="1">IF(AA70=0,"",IFERROR(AA70/AA$19,""))</f>
        <v>#NAME?</v>
      </c>
      <c r="AD70" s="28"/>
      <c r="AE70" s="29" t="str">
        <f>IF(AD70=0,"",IFERROR(AD70/AD$19,""))</f>
        <v/>
      </c>
      <c r="AF70" s="48" t="e">
        <f ca="1">IF(AND($AA70="",AD70=""),"",$AA70-AD70)</f>
        <v>#NAME?</v>
      </c>
      <c r="AG70" s="28"/>
      <c r="AH70" s="29" t="str">
        <f>IF(AG70=0,"",IFERROR(AG70/AG$19,""))</f>
        <v/>
      </c>
      <c r="AI70" s="48" t="e">
        <f ca="1">IF(AND($AA70="",AG70=""),"",$AA70-AG70)</f>
        <v>#NAME?</v>
      </c>
      <c r="AJ70" s="381">
        <f ca="1">IFERROR(AA70/AA$20,0)</f>
        <v>0</v>
      </c>
      <c r="AK70" s="382">
        <f ca="1">IFERROR(AD70/AD$20,0)</f>
        <v>0</v>
      </c>
      <c r="AL70" s="383">
        <f ca="1">IFERROR(AG70/AG$20,0)</f>
        <v>0</v>
      </c>
      <c r="AM70" s="384">
        <f ca="1">+IFERROR(ROUND(($AB70-AE70)*100,2)&amp;" pts.",0)</f>
        <v>0</v>
      </c>
      <c r="AN70" s="385">
        <f ca="1">+IFERROR(ROUND(($AB70-AH70)*100,2)&amp;" pts.",0)</f>
        <v>0</v>
      </c>
    </row>
    <row r="71" spans="1:40" hidden="1" x14ac:dyDescent="0.2">
      <c r="A71" s="1" t="s">
        <v>105</v>
      </c>
      <c r="C71" s="24" t="s">
        <v>101</v>
      </c>
      <c r="D71" s="1" t="s">
        <v>106</v>
      </c>
      <c r="F71" s="1" t="s">
        <v>98</v>
      </c>
      <c r="H71" s="10"/>
      <c r="I71" s="25" t="e">
        <f ca="1">_xll.EVPRO($B$1,$H71,"STYLE")</f>
        <v>#NAME?</v>
      </c>
      <c r="J71" s="25" t="e">
        <f ca="1">_xll.EVPRO($B$1,$H71,"CALC")</f>
        <v>#NAME?</v>
      </c>
      <c r="K71" s="64" t="e">
        <f ca="1">IF(AND(I71&gt;="T3"),"&gt;","")</f>
        <v>#NAME?</v>
      </c>
      <c r="L71" s="24" t="e">
        <f ca="1">_xll.EVPRO($B$1,H71,"JDEID")</f>
        <v>#NAME?</v>
      </c>
      <c r="M71" s="24" t="e">
        <f ca="1">IF(AND(I71="N",J71="N"),_xll.EVPRO($B$1,H71,"PSFTID"),"")</f>
        <v>#NAME?</v>
      </c>
      <c r="N71" s="24" t="e">
        <f ca="1">IF(_xll.EVDES(H71,$B$1)="#NODATA","",_xll.EVDES(H71,$B$1))</f>
        <v>#NAME?</v>
      </c>
      <c r="O71" s="28"/>
      <c r="P71" s="28"/>
      <c r="Q71" s="28"/>
      <c r="R71" s="28"/>
      <c r="S71" s="28"/>
      <c r="T71" s="28"/>
      <c r="U71" s="28"/>
      <c r="V71" s="28"/>
      <c r="W71" s="28"/>
      <c r="X71" s="28"/>
      <c r="Y71" s="28"/>
      <c r="Z71" s="28"/>
      <c r="AA71" s="296" t="e">
        <f ca="1">IF($I71="B1","",SUM(O71:Z71))</f>
        <v>#NAME?</v>
      </c>
      <c r="AB71" s="29" t="e">
        <f ca="1">IF(AA71=0,"",IFERROR(AA71/AA$19,""))</f>
        <v>#NAME?</v>
      </c>
      <c r="AD71" s="28"/>
      <c r="AE71" s="29" t="str">
        <f>IF(AD71=0,"",IFERROR(AD71/AD$19,""))</f>
        <v/>
      </c>
      <c r="AF71" s="48" t="e">
        <f ca="1">IF(AND($AA71="",AD71=""),"",$AA71-AD71)</f>
        <v>#NAME?</v>
      </c>
      <c r="AG71" s="28"/>
      <c r="AH71" s="29" t="str">
        <f>IF(AG71=0,"",IFERROR(AG71/AG$19,""))</f>
        <v/>
      </c>
      <c r="AI71" s="48" t="e">
        <f ca="1">IF(AND($AA71="",AG71=""),"",$AA71-AG71)</f>
        <v>#NAME?</v>
      </c>
      <c r="AJ71" s="381">
        <f ca="1">IFERROR(AA71/AA$20,0)</f>
        <v>0</v>
      </c>
      <c r="AK71" s="382">
        <f ca="1">IFERROR(AD71/AD$20,0)</f>
        <v>0</v>
      </c>
      <c r="AL71" s="383">
        <f ca="1">IFERROR(AG71/AG$20,0)</f>
        <v>0</v>
      </c>
      <c r="AM71" s="384">
        <f ca="1">+IFERROR(ROUND(($AB71-AE71)*100,2)&amp;" pts.",0)</f>
        <v>0</v>
      </c>
      <c r="AN71" s="385">
        <f ca="1">+IFERROR(ROUND(($AB71-AH71)*100,2)&amp;" pts.",0)</f>
        <v>0</v>
      </c>
    </row>
    <row r="72" spans="1:40" x14ac:dyDescent="0.2">
      <c r="A72" s="1" t="s">
        <v>104</v>
      </c>
      <c r="C72" s="24" t="s">
        <v>101</v>
      </c>
      <c r="D72" s="1" t="s">
        <v>106</v>
      </c>
      <c r="F72" s="1" t="s">
        <v>98</v>
      </c>
      <c r="O72" s="38"/>
      <c r="P72" s="42"/>
      <c r="Q72" s="42"/>
      <c r="R72" s="42"/>
      <c r="S72" s="42"/>
      <c r="T72" s="42"/>
      <c r="U72" s="42"/>
      <c r="V72" s="42"/>
      <c r="W72" s="42"/>
      <c r="X72" s="42"/>
      <c r="Y72" s="42"/>
      <c r="Z72" s="42"/>
      <c r="AA72" s="42"/>
      <c r="AB72" s="39"/>
      <c r="AD72" s="38"/>
      <c r="AE72" s="42"/>
      <c r="AF72" s="39"/>
      <c r="AG72" s="38"/>
      <c r="AH72" s="42"/>
      <c r="AI72" s="39"/>
    </row>
    <row r="73" spans="1:40" x14ac:dyDescent="0.2">
      <c r="A73" s="1" t="s">
        <v>100</v>
      </c>
      <c r="C73" s="8" t="s">
        <v>101</v>
      </c>
      <c r="D73" s="1" t="s">
        <v>106</v>
      </c>
      <c r="F73" s="1" t="s">
        <v>98</v>
      </c>
      <c r="H73" s="1" t="s">
        <v>82</v>
      </c>
      <c r="I73" s="11" t="e">
        <f ca="1">_xll.EVPRO($B$1,$H73,"STYLE")</f>
        <v>#NAME?</v>
      </c>
      <c r="J73" s="11" t="e">
        <f ca="1">_xll.EVPRO($B$1,$H73,"CALC")</f>
        <v>#NAME?</v>
      </c>
      <c r="N73" s="37" t="e">
        <f ca="1">IF(_xll.EVDES(H73,$B$1)="#NODATA","",_xll.EVDES(H73,$B$1))</f>
        <v>#NAME?</v>
      </c>
      <c r="O73" s="40"/>
      <c r="P73" s="43"/>
      <c r="Q73" s="43"/>
      <c r="R73" s="43"/>
      <c r="S73" s="43"/>
      <c r="T73" s="43"/>
      <c r="U73" s="43"/>
      <c r="V73" s="43"/>
      <c r="W73" s="43"/>
      <c r="X73" s="43"/>
      <c r="Y73" s="43"/>
      <c r="Z73" s="43"/>
      <c r="AA73" s="43"/>
      <c r="AB73" s="41"/>
      <c r="AD73" s="40"/>
      <c r="AE73" s="43"/>
      <c r="AF73" s="41"/>
      <c r="AG73" s="40"/>
      <c r="AH73" s="43"/>
      <c r="AI73" s="41"/>
    </row>
    <row r="74" spans="1:40" hidden="1" x14ac:dyDescent="0.2">
      <c r="A74" s="1" t="s">
        <v>102</v>
      </c>
      <c r="C74" s="23" t="s">
        <v>101</v>
      </c>
      <c r="D74" s="1" t="s">
        <v>106</v>
      </c>
      <c r="F74" s="1" t="s">
        <v>98</v>
      </c>
      <c r="H74" s="10" t="s">
        <v>667</v>
      </c>
      <c r="I74" s="25" t="e">
        <f ca="1">_xll.EVPRO($B$1,$H74,"STYLE")</f>
        <v>#NAME?</v>
      </c>
      <c r="J74" s="25" t="e">
        <f ca="1">_xll.EVPRO($B$1,$H74,"CALC")</f>
        <v>#NAME?</v>
      </c>
      <c r="K74" s="64" t="e">
        <f ca="1">IF(AND(I74&lt;&gt;"B1",J74="Y"),"&gt;","")</f>
        <v>#NAME?</v>
      </c>
      <c r="L74" s="24" t="e">
        <f ca="1">_xll.EVPRO($B$1,H74,"JDEID")</f>
        <v>#NAME?</v>
      </c>
      <c r="M74" s="24" t="e">
        <f ca="1">IF(AND(I74="N",J74="N"),_xll.EVPRO($B$1,H74,"PSFTID"),"")</f>
        <v>#NAME?</v>
      </c>
      <c r="N74" s="24" t="e">
        <f ca="1">IF(_xll.EVDES(H74,$B$1)="#NODATA","",_xll.EVDES(H74,$B$1))</f>
        <v>#NAME?</v>
      </c>
      <c r="O74" s="19"/>
      <c r="P74" s="19"/>
      <c r="Q74" s="19"/>
      <c r="R74" s="19"/>
      <c r="S74" s="19"/>
      <c r="T74" s="19"/>
      <c r="U74" s="19"/>
      <c r="V74" s="19"/>
      <c r="W74" s="19"/>
      <c r="X74" s="19"/>
      <c r="Y74" s="19"/>
      <c r="Z74" s="19"/>
      <c r="AA74" s="283" t="e">
        <f ca="1">IF($I74="B1","",SUM(O74:Z74))</f>
        <v>#NAME?</v>
      </c>
      <c r="AB74" s="15" t="e">
        <f ca="1">IF(AA74=0,"",IFERROR(AA74/AA$19,""))</f>
        <v>#NAME?</v>
      </c>
      <c r="AD74" s="19"/>
      <c r="AE74" s="15" t="str">
        <f>IF(AD74=0,"",IFERROR(AD74/AD$19,""))</f>
        <v/>
      </c>
      <c r="AF74" s="47" t="e">
        <f ca="1">IF(AND($AA74="",AD74=""),"",$AA74-AD74)</f>
        <v>#NAME?</v>
      </c>
      <c r="AG74" s="19"/>
      <c r="AH74" s="15" t="str">
        <f>IF(AG74=0,"",IFERROR(AG74/AG$19,""))</f>
        <v/>
      </c>
      <c r="AI74" s="47" t="e">
        <f ca="1">IF(AND($AA74="",AG74=""),"",$AA74-AG74)</f>
        <v>#NAME?</v>
      </c>
      <c r="AJ74" s="371">
        <f ca="1">IFERROR(AA74/AA$20,0)</f>
        <v>0</v>
      </c>
      <c r="AK74" s="372">
        <f ca="1">IFERROR(AD74/AD$20,0)</f>
        <v>0</v>
      </c>
      <c r="AL74" s="373">
        <f ca="1">IFERROR(AG74/AG$20,0)</f>
        <v>0</v>
      </c>
      <c r="AM74" s="374">
        <f ca="1">+IFERROR(ROUND(($AB74-AE74)*100,2)&amp;" pts.",0)</f>
        <v>0</v>
      </c>
      <c r="AN74" s="375">
        <f ca="1">+IFERROR(ROUND(($AB74-AH74)*100,2)&amp;" pts.",0)</f>
        <v>0</v>
      </c>
    </row>
    <row r="75" spans="1:40" hidden="1" x14ac:dyDescent="0.2">
      <c r="A75" s="1" t="s">
        <v>102</v>
      </c>
      <c r="C75" s="135" t="s">
        <v>101</v>
      </c>
      <c r="D75" s="1" t="s">
        <v>107</v>
      </c>
      <c r="F75" s="1" t="s">
        <v>99</v>
      </c>
      <c r="H75" s="10"/>
      <c r="I75" s="25" t="e">
        <f ca="1">_xll.EVPRO($B$1,$H75,"STYLE")</f>
        <v>#NAME?</v>
      </c>
      <c r="J75" s="25" t="e">
        <f ca="1">_xll.EVPRO($B$1,$H75,"CALC")</f>
        <v>#NAME?</v>
      </c>
      <c r="K75" s="64" t="e">
        <f ca="1">IF(AND(I75&lt;&gt;"B1",J75="Y"),"&gt;","")</f>
        <v>#NAME?</v>
      </c>
      <c r="L75" s="24" t="e">
        <f ca="1">_xll.EVPRO($B$1,H75,"JDEID")</f>
        <v>#NAME?</v>
      </c>
      <c r="M75" s="24" t="e">
        <f ca="1">IF(AND(I75="N",J75="N"),_xll.EVPRO($B$1,H75,"PSFTID"),"")</f>
        <v>#NAME?</v>
      </c>
      <c r="N75" s="24" t="e">
        <f ca="1">IF(_xll.EVDES(H75,$B$1)="#NODATA","",_xll.EVDES(H75,$B$1))</f>
        <v>#NAME?</v>
      </c>
      <c r="O75" s="19"/>
      <c r="P75" s="19"/>
      <c r="Q75" s="19"/>
      <c r="R75" s="19"/>
      <c r="S75" s="19"/>
      <c r="T75" s="19"/>
      <c r="U75" s="19"/>
      <c r="V75" s="19"/>
      <c r="W75" s="19"/>
      <c r="X75" s="19"/>
      <c r="Y75" s="19"/>
      <c r="Z75" s="19"/>
      <c r="AA75" s="283" t="e">
        <f ca="1">IF($I75="B1","",SUM(O75:Z75))</f>
        <v>#NAME?</v>
      </c>
      <c r="AB75" s="15" t="e">
        <f ca="1">IF(AA75=0,"",IFERROR(AA75/AA$19,""))</f>
        <v>#NAME?</v>
      </c>
      <c r="AD75" s="19"/>
      <c r="AE75" s="15" t="str">
        <f>IF(AD75=0,"",IFERROR(AD75/AD$19,""))</f>
        <v/>
      </c>
      <c r="AF75" s="47" t="e">
        <f ca="1">IF(AND($AA75="",AD75=""),"",$AA75-AD75)</f>
        <v>#NAME?</v>
      </c>
      <c r="AG75" s="19"/>
      <c r="AH75" s="15" t="str">
        <f>IF(AG75=0,"",IFERROR(AG75/AG$19,""))</f>
        <v/>
      </c>
      <c r="AI75" s="47" t="e">
        <f ca="1">IF(AND($AA75="",AG75=""),"",$AA75-AG75)</f>
        <v>#NAME?</v>
      </c>
      <c r="AJ75" s="371">
        <f ca="1">IFERROR(AA75/AA$20,0)</f>
        <v>0</v>
      </c>
      <c r="AK75" s="372">
        <f ca="1">IFERROR(AD75/AD$20,0)</f>
        <v>0</v>
      </c>
      <c r="AL75" s="373">
        <f ca="1">IFERROR(AG75/AG$20,0)</f>
        <v>0</v>
      </c>
      <c r="AM75" s="374">
        <f ca="1">+IFERROR(ROUND(($AB75-AE75)*100,2)&amp;" pts.",0)</f>
        <v>0</v>
      </c>
      <c r="AN75" s="375">
        <f ca="1">+IFERROR(ROUND(($AB75-AH75)*100,2)&amp;" pts.",0)</f>
        <v>0</v>
      </c>
    </row>
    <row r="76" spans="1:40" x14ac:dyDescent="0.2">
      <c r="A76" s="1" t="s">
        <v>108</v>
      </c>
      <c r="C76" s="23" t="s">
        <v>101</v>
      </c>
      <c r="D76" s="1" t="s">
        <v>106</v>
      </c>
      <c r="F76" s="1" t="s">
        <v>98</v>
      </c>
      <c r="H76" s="10" t="s">
        <v>79</v>
      </c>
      <c r="I76" s="25" t="e">
        <f ca="1">_xll.EVPRO($B$1,$H76,"STYLE")</f>
        <v>#NAME?</v>
      </c>
      <c r="J76" s="25" t="e">
        <f ca="1">_xll.EVPRO($B$1,$H76,"CALC")</f>
        <v>#NAME?</v>
      </c>
      <c r="K76" s="24"/>
      <c r="L76" s="24"/>
      <c r="M76" s="24"/>
      <c r="N76" s="23" t="e">
        <f ca="1">IF(_xll.EVDES(H76,$B$1)="#NODATA","",_xll.EVDES(H76,$B$1))</f>
        <v>#NAME?</v>
      </c>
      <c r="O76" s="30"/>
      <c r="P76" s="30"/>
      <c r="Q76" s="30"/>
      <c r="R76" s="30"/>
      <c r="S76" s="30"/>
      <c r="T76" s="30"/>
      <c r="U76" s="30"/>
      <c r="V76" s="30"/>
      <c r="W76" s="30"/>
      <c r="X76" s="30"/>
      <c r="Y76" s="30"/>
      <c r="Z76" s="30"/>
      <c r="AA76" s="30" t="e">
        <f ca="1">IF($I76="B1","",SUM(O76:Z76))</f>
        <v>#NAME?</v>
      </c>
      <c r="AB76" s="31" t="e">
        <f ca="1">IF(AA76=0,"",IFERROR(AA76/AA$19,""))</f>
        <v>#NAME?</v>
      </c>
      <c r="AD76" s="30"/>
      <c r="AE76" s="31" t="str">
        <f>IF(AD76=0,"",IFERROR(AD76/AD$19,""))</f>
        <v/>
      </c>
      <c r="AF76" s="49" t="e">
        <f ca="1">IF(AND($AA76="",AD76=""),"",$AA76-AD76)</f>
        <v>#NAME?</v>
      </c>
      <c r="AG76" s="30"/>
      <c r="AH76" s="31" t="str">
        <f>IF(AG76=0,"",IFERROR(AG76/AG$19,""))</f>
        <v/>
      </c>
      <c r="AI76" s="49" t="e">
        <f ca="1">IF(AND($AA76="",AG76=""),"",$AA76-AG76)</f>
        <v>#NAME?</v>
      </c>
      <c r="AJ76" s="387">
        <f ca="1">IFERROR(AA76/AA$20,0)</f>
        <v>0</v>
      </c>
      <c r="AK76" s="388">
        <f ca="1">IFERROR(AD76/AD$20,0)</f>
        <v>0</v>
      </c>
      <c r="AL76" s="389">
        <f ca="1">IFERROR(AG76/AG$20,0)</f>
        <v>0</v>
      </c>
      <c r="AM76" s="390">
        <f ca="1">+IFERROR(ROUND(($AB76-AE76)*100,2)&amp;" pts.",0)</f>
        <v>0</v>
      </c>
      <c r="AN76" s="408">
        <f ca="1">+IFERROR(ROUND(($AB76-AH76)*100,2)&amp;" pts.",0)</f>
        <v>0</v>
      </c>
    </row>
    <row r="77" spans="1:40" x14ac:dyDescent="0.2">
      <c r="A77" s="1" t="s">
        <v>108</v>
      </c>
      <c r="C77" s="135" t="s">
        <v>101</v>
      </c>
      <c r="D77" s="1" t="s">
        <v>107</v>
      </c>
      <c r="F77" s="1" t="s">
        <v>99</v>
      </c>
    </row>
    <row r="78" spans="1:40" x14ac:dyDescent="0.2">
      <c r="H78" s="10" t="s">
        <v>80</v>
      </c>
      <c r="I78" s="25" t="e">
        <f ca="1">_xll.EVPRO($B$1,$H78,"STYLE")</f>
        <v>#NAME?</v>
      </c>
      <c r="J78" s="25" t="e">
        <f ca="1">_xll.EVPRO($B$1,$H78,"CALC")</f>
        <v>#NAME?</v>
      </c>
      <c r="K78" s="23"/>
      <c r="L78" s="23"/>
      <c r="M78" s="23"/>
      <c r="N78" s="23" t="e">
        <f ca="1">IF(_xll.EVDES(H78,$B$1)="#NODATA","",_xll.EVDES(H78,$B$1))</f>
        <v>#NAME?</v>
      </c>
      <c r="O78" s="33"/>
      <c r="P78" s="33"/>
      <c r="Q78" s="33"/>
      <c r="R78" s="33"/>
      <c r="S78" s="33"/>
      <c r="T78" s="33"/>
      <c r="U78" s="33"/>
      <c r="V78" s="33"/>
      <c r="W78" s="33"/>
      <c r="X78" s="33"/>
      <c r="Y78" s="33"/>
      <c r="Z78" s="33"/>
      <c r="AA78" s="33" t="e">
        <f ca="1">IF($I78="B1","",SUM(O78:Z78))</f>
        <v>#NAME?</v>
      </c>
      <c r="AB78" s="34" t="e">
        <f ca="1">IF(AA78=0,"",IFERROR(AA78/AA$19,""))</f>
        <v>#NAME?</v>
      </c>
      <c r="AD78" s="33"/>
      <c r="AE78" s="34" t="str">
        <f>IF(AD78=0,"",IFERROR(AD78/AD$19,""))</f>
        <v/>
      </c>
      <c r="AF78" s="55" t="e">
        <f ca="1">IF(AND($AA78="",AD78=""),"",$AA78-AD78)</f>
        <v>#NAME?</v>
      </c>
      <c r="AG78" s="56"/>
      <c r="AH78" s="57" t="str">
        <f>IF(AG78=0,"",IFERROR(AG78/AG$19,""))</f>
        <v/>
      </c>
      <c r="AI78" s="55" t="e">
        <f ca="1">IF(AND($AA78="",AG78=""),"",$AA78-AG78)</f>
        <v>#NAME?</v>
      </c>
      <c r="AJ78" s="364">
        <f ca="1">IFERROR(AA78/AA$20,0)</f>
        <v>0</v>
      </c>
      <c r="AK78" s="365">
        <f ca="1">IFERROR(AD78/AD$20,0)</f>
        <v>0</v>
      </c>
      <c r="AL78" s="366">
        <f ca="1">IFERROR(AG78/AG$20,0)</f>
        <v>0</v>
      </c>
      <c r="AM78" s="367">
        <f ca="1">+IFERROR(ROUND(($AB78-AE78)*100,2)&amp;" pts.",0)</f>
        <v>0</v>
      </c>
      <c r="AN78" s="409">
        <f ca="1">+IFERROR(ROUND(($AB78-AH78)*100,2)&amp;" pts.",0)</f>
        <v>0</v>
      </c>
    </row>
    <row r="79" spans="1:40" ht="16" thickBot="1" x14ac:dyDescent="0.25">
      <c r="C79" s="23"/>
      <c r="H79" s="10" t="s">
        <v>81</v>
      </c>
      <c r="I79" s="25" t="e">
        <f ca="1">_xll.EVPRO($B$1,$H79,"STYLE")</f>
        <v>#NAME?</v>
      </c>
      <c r="J79" s="25" t="e">
        <f ca="1">_xll.EVPRO($B$1,$H79,"CALC")</f>
        <v>#NAME?</v>
      </c>
      <c r="K79" s="23"/>
      <c r="L79" s="23"/>
      <c r="M79" s="23"/>
      <c r="N79" s="23" t="e">
        <f ca="1">IF(_xll.EVDES(H79,$B$1)="#NODATA","",_xll.EVDES(H79,$B$1))</f>
        <v>#NAME?</v>
      </c>
      <c r="O79" s="58"/>
      <c r="P79" s="58"/>
      <c r="Q79" s="58"/>
      <c r="R79" s="58"/>
      <c r="S79" s="58"/>
      <c r="T79" s="58"/>
      <c r="U79" s="58"/>
      <c r="V79" s="58"/>
      <c r="W79" s="58"/>
      <c r="X79" s="58"/>
      <c r="Y79" s="58"/>
      <c r="Z79" s="58"/>
      <c r="AA79" s="58" t="e">
        <f ca="1">IF($I79="B1","",SUM(O79:Z79))</f>
        <v>#NAME?</v>
      </c>
      <c r="AB79" s="59" t="e">
        <f ca="1">IF(AA79=0,"",IFERROR(AA79/AA$19,""))</f>
        <v>#NAME?</v>
      </c>
      <c r="AD79" s="58"/>
      <c r="AE79" s="59" t="str">
        <f>IF(AD79=0,"",IFERROR(AD79/AD$19,""))</f>
        <v/>
      </c>
      <c r="AF79" s="60" t="e">
        <f ca="1">IF(AND($AA79="",AD79=""),"",$AA79-AD79)</f>
        <v>#NAME?</v>
      </c>
      <c r="AG79" s="58"/>
      <c r="AH79" s="59" t="str">
        <f>IF(AG79=0,"",IFERROR(AG79/AG$19,""))</f>
        <v/>
      </c>
      <c r="AI79" s="60" t="e">
        <f ca="1">IF(AND($AA79="",AG79=""),"",$AA79-AG79)</f>
        <v>#NAME?</v>
      </c>
      <c r="AJ79" s="402">
        <f ca="1">IFERROR(AA79/AA$20,0)</f>
        <v>0</v>
      </c>
      <c r="AK79" s="403">
        <f ca="1">IFERROR(AD79/AD$20,0)</f>
        <v>0</v>
      </c>
      <c r="AL79" s="404">
        <f ca="1">IFERROR(AG79/AG$20,0)</f>
        <v>0</v>
      </c>
      <c r="AM79" s="405">
        <f ca="1">+IFERROR(ROUND(($AB79-AE79)*100,2)&amp;" pts.",0)</f>
        <v>0</v>
      </c>
      <c r="AN79" s="410">
        <f ca="1">+IFERROR(ROUND(($AB79-AH79)*100,2)&amp;" pts.",0)</f>
        <v>0</v>
      </c>
    </row>
    <row r="80" spans="1:40" ht="16" thickTop="1" x14ac:dyDescent="0.2">
      <c r="A80" s="4" t="e">
        <f ca="1">_xll.EVDRE($B$1,A83:B90,A93:B99)</f>
        <v>#NAME?</v>
      </c>
    </row>
    <row r="81" spans="1:35" x14ac:dyDescent="0.2">
      <c r="N81" s="24" t="e">
        <f ca="1">N78&amp;" - Check"</f>
        <v>#NAME?</v>
      </c>
      <c r="O81" s="124">
        <f t="shared" ref="O81:AA81" si="23">SUMIF($H$35:$H$79,"600000",O$35:O$79)+SUMIF($H$35:$H$79,"700000",O$35:O$79)-SUMIF($H$35:$H$79,"TOTDEPTEXP",O$35:O$79)</f>
        <v>0</v>
      </c>
      <c r="P81" s="124">
        <f t="shared" si="23"/>
        <v>0</v>
      </c>
      <c r="Q81" s="124">
        <f t="shared" si="23"/>
        <v>0</v>
      </c>
      <c r="R81" s="124">
        <f t="shared" si="23"/>
        <v>0</v>
      </c>
      <c r="S81" s="124">
        <f t="shared" si="23"/>
        <v>0</v>
      </c>
      <c r="T81" s="124">
        <f t="shared" si="23"/>
        <v>0</v>
      </c>
      <c r="U81" s="124">
        <f t="shared" si="23"/>
        <v>0</v>
      </c>
      <c r="V81" s="124">
        <f t="shared" si="23"/>
        <v>0</v>
      </c>
      <c r="W81" s="124">
        <f t="shared" si="23"/>
        <v>0</v>
      </c>
      <c r="X81" s="124">
        <f t="shared" si="23"/>
        <v>0</v>
      </c>
      <c r="Y81" s="124">
        <f t="shared" si="23"/>
        <v>0</v>
      </c>
      <c r="Z81" s="124">
        <f t="shared" si="23"/>
        <v>0</v>
      </c>
      <c r="AA81" s="124" t="e">
        <f t="shared" ca="1" si="23"/>
        <v>#NAME?</v>
      </c>
      <c r="AB81" s="15"/>
      <c r="AD81" s="124">
        <f>SUMIF($H$35:$H$79,"600000",AD$35:AD$79)+SUMIF($H$35:$H$79,"700000",AD$35:AD$79)-SUMIF($H$35:$H$79,"TOTDEPTEXP",AD$35:AD$79)</f>
        <v>0</v>
      </c>
      <c r="AE81" s="15"/>
      <c r="AF81" s="19"/>
      <c r="AG81" s="124">
        <f>SUMIF($H$35:$H$79,"600000",AG$35:AG$79)+SUMIF($H$35:$H$79,"700000",AG$35:AG$79)-SUMIF($H$35:$H$79,"TOTDEPTEXP",AG$35:AG$79)</f>
        <v>0</v>
      </c>
      <c r="AH81" s="15"/>
      <c r="AI81" s="19"/>
    </row>
    <row r="82" spans="1:35" x14ac:dyDescent="0.2">
      <c r="A82" s="3" t="s">
        <v>0</v>
      </c>
      <c r="B82" s="5" t="s">
        <v>1</v>
      </c>
      <c r="N82" s="24" t="e">
        <f ca="1">N79&amp;" - Check"</f>
        <v>#NAME?</v>
      </c>
      <c r="O82" s="124">
        <f t="shared" ref="O82:AA82" si="24">SUMIF($H$35:$H$79,"KPI_GP",O$35:O$79)-SUMIF($H$35:$H$79,"TOTDEPTEXP",O$35:O$79)-SUMIF($H$35:$H$79,"TOTDEPTPL",O$35:O$79)</f>
        <v>0</v>
      </c>
      <c r="P82" s="124">
        <f t="shared" si="24"/>
        <v>0</v>
      </c>
      <c r="Q82" s="124">
        <f t="shared" si="24"/>
        <v>0</v>
      </c>
      <c r="R82" s="124">
        <f t="shared" si="24"/>
        <v>0</v>
      </c>
      <c r="S82" s="124">
        <f t="shared" si="24"/>
        <v>0</v>
      </c>
      <c r="T82" s="124">
        <f t="shared" si="24"/>
        <v>0</v>
      </c>
      <c r="U82" s="124">
        <f t="shared" si="24"/>
        <v>0</v>
      </c>
      <c r="V82" s="124">
        <f t="shared" si="24"/>
        <v>0</v>
      </c>
      <c r="W82" s="124">
        <f t="shared" si="24"/>
        <v>0</v>
      </c>
      <c r="X82" s="124">
        <f t="shared" si="24"/>
        <v>0</v>
      </c>
      <c r="Y82" s="124">
        <f t="shared" si="24"/>
        <v>0</v>
      </c>
      <c r="Z82" s="124">
        <f t="shared" si="24"/>
        <v>0</v>
      </c>
      <c r="AA82" s="124" t="e">
        <f t="shared" ca="1" si="24"/>
        <v>#NAME?</v>
      </c>
      <c r="AB82" s="15"/>
      <c r="AD82" s="124">
        <f>SUMIF($H$35:$H$79,"KPI_GP",AD$35:AD$79)-SUMIF($H$35:$H$79,"TOTDEPTEXP",AD$35:AD$79)-SUMIF($H$35:$H$79,"TOTDEPTPL",AD$35:AD$79)</f>
        <v>0</v>
      </c>
      <c r="AE82" s="15"/>
      <c r="AF82" s="19"/>
      <c r="AG82" s="124">
        <f>SUMIF($H$35:$H$79,"KPI_GP",AG$35:AG$79)-SUMIF($H$35:$H$79,"TOTDEPTEXP",AG$35:AG$79)-SUMIF($H$35:$H$79,"TOTDEPTPL",AG$35:AG$79)</f>
        <v>0</v>
      </c>
      <c r="AH82" s="15"/>
      <c r="AI82" s="19"/>
    </row>
    <row r="83" spans="1:35" x14ac:dyDescent="0.2">
      <c r="A83" s="6" t="s">
        <v>2</v>
      </c>
      <c r="B83" s="7" t="e">
        <f ca="1">_xll.EVRNG($B$2:$B$10)</f>
        <v>#NAME?</v>
      </c>
    </row>
    <row r="84" spans="1:35" x14ac:dyDescent="0.2">
      <c r="A84" s="6" t="s">
        <v>3</v>
      </c>
      <c r="B84" s="7" t="e">
        <f ca="1">_xll.EVRNG($O$16:$AN$18)</f>
        <v>#NAME?</v>
      </c>
      <c r="O84" s="147"/>
      <c r="P84" s="147"/>
      <c r="Q84" s="147"/>
      <c r="R84" s="147"/>
      <c r="S84" s="147"/>
      <c r="T84" s="147"/>
      <c r="U84" s="147"/>
      <c r="V84" s="147"/>
      <c r="W84" s="147"/>
      <c r="X84" s="147"/>
      <c r="Y84" s="147"/>
      <c r="Z84" s="147"/>
      <c r="AA84" s="147"/>
      <c r="AD84" s="147"/>
      <c r="AG84" s="147"/>
    </row>
    <row r="85" spans="1:35" x14ac:dyDescent="0.2">
      <c r="A85" s="6" t="s">
        <v>4</v>
      </c>
      <c r="B85" s="7" t="e">
        <f ca="1">_xll.EVRNG(H67:H68,H70:H71,H74:H75)</f>
        <v>#NAME?</v>
      </c>
    </row>
    <row r="86" spans="1:35" x14ac:dyDescent="0.2">
      <c r="A86" s="6" t="s">
        <v>5</v>
      </c>
      <c r="B86" s="7"/>
      <c r="O86" s="147"/>
      <c r="P86" s="147"/>
      <c r="Q86" s="147"/>
      <c r="R86" s="147"/>
      <c r="S86" s="147"/>
      <c r="T86" s="147"/>
      <c r="U86" s="147"/>
      <c r="V86" s="147"/>
      <c r="W86" s="147"/>
      <c r="X86" s="147"/>
      <c r="Y86" s="147"/>
      <c r="Z86" s="147"/>
      <c r="AA86" s="147"/>
      <c r="AD86" s="147"/>
      <c r="AG86" s="147"/>
    </row>
    <row r="87" spans="1:35" x14ac:dyDescent="0.2">
      <c r="A87" s="6" t="s">
        <v>6</v>
      </c>
      <c r="B87" s="7"/>
    </row>
    <row r="88" spans="1:35" x14ac:dyDescent="0.2">
      <c r="A88" s="6" t="s">
        <v>7</v>
      </c>
      <c r="B88" s="7" t="e">
        <f ca="1">_xll.EVRNG(A102:F108)</f>
        <v>#NAME?</v>
      </c>
    </row>
    <row r="89" spans="1:35" x14ac:dyDescent="0.2">
      <c r="A89" s="6" t="s">
        <v>47</v>
      </c>
      <c r="B89" s="7" t="e">
        <f ca="1">_xll.EVRNG($A$125:$B$146)</f>
        <v>#NAME?</v>
      </c>
      <c r="H89" s="11"/>
      <c r="J89" s="1"/>
    </row>
    <row r="90" spans="1:35" x14ac:dyDescent="0.2">
      <c r="A90" s="6" t="s">
        <v>8</v>
      </c>
      <c r="B90" s="7"/>
      <c r="H90" s="11"/>
      <c r="J90" s="1"/>
    </row>
    <row r="91" spans="1:35" x14ac:dyDescent="0.2">
      <c r="H91" s="11"/>
      <c r="J91" s="1"/>
    </row>
    <row r="92" spans="1:35" x14ac:dyDescent="0.2">
      <c r="A92" s="3" t="s">
        <v>9</v>
      </c>
      <c r="B92" s="5" t="s">
        <v>10</v>
      </c>
      <c r="H92" s="11"/>
      <c r="J92" s="1"/>
    </row>
    <row r="93" spans="1:35" x14ac:dyDescent="0.2">
      <c r="A93" s="6" t="s">
        <v>11</v>
      </c>
      <c r="B93" s="7" t="s">
        <v>21</v>
      </c>
      <c r="H93" s="11"/>
      <c r="J93" s="1"/>
    </row>
    <row r="94" spans="1:35" x14ac:dyDescent="0.2">
      <c r="A94" s="6" t="s">
        <v>12</v>
      </c>
      <c r="B94" s="7" t="s">
        <v>22</v>
      </c>
      <c r="G94" s="13"/>
      <c r="H94" s="11"/>
      <c r="J94" s="1"/>
    </row>
    <row r="95" spans="1:35" x14ac:dyDescent="0.2">
      <c r="A95" s="6" t="s">
        <v>13</v>
      </c>
      <c r="B95" s="7" t="s">
        <v>737</v>
      </c>
      <c r="H95" s="11"/>
      <c r="J95" s="1"/>
    </row>
    <row r="96" spans="1:35" x14ac:dyDescent="0.2">
      <c r="A96" s="6" t="s">
        <v>14</v>
      </c>
      <c r="B96" s="7"/>
      <c r="H96" s="11"/>
      <c r="J96" s="1"/>
    </row>
    <row r="97" spans="1:10" x14ac:dyDescent="0.2">
      <c r="A97" s="6" t="s">
        <v>15</v>
      </c>
      <c r="B97" s="7"/>
      <c r="H97" s="11"/>
      <c r="J97" s="1"/>
    </row>
    <row r="98" spans="1:10" x14ac:dyDescent="0.2">
      <c r="A98" s="6" t="s">
        <v>16</v>
      </c>
      <c r="B98" s="7" t="s">
        <v>78</v>
      </c>
      <c r="H98" s="11"/>
      <c r="J98" s="1"/>
    </row>
    <row r="99" spans="1:10" x14ac:dyDescent="0.2">
      <c r="A99" s="6" t="s">
        <v>17</v>
      </c>
      <c r="B99" s="7"/>
      <c r="H99" s="11"/>
      <c r="J99" s="1"/>
    </row>
    <row r="100" spans="1:10" x14ac:dyDescent="0.2">
      <c r="H100" s="11"/>
      <c r="J100" s="1"/>
    </row>
    <row r="101" spans="1:10" x14ac:dyDescent="0.2">
      <c r="A101" s="20" t="s">
        <v>92</v>
      </c>
      <c r="B101" s="21" t="s">
        <v>93</v>
      </c>
      <c r="C101" s="21" t="s">
        <v>94</v>
      </c>
      <c r="D101" s="21" t="s">
        <v>95</v>
      </c>
      <c r="E101" s="21" t="s">
        <v>96</v>
      </c>
      <c r="F101" s="22" t="s">
        <v>97</v>
      </c>
      <c r="H101" s="11"/>
      <c r="J101" s="1"/>
    </row>
    <row r="102" spans="1:10" x14ac:dyDescent="0.2">
      <c r="H102" s="11"/>
      <c r="J102" s="1"/>
    </row>
    <row r="103" spans="1:10" x14ac:dyDescent="0.2">
      <c r="A103" s="1" t="s">
        <v>108</v>
      </c>
      <c r="C103" s="24" t="s">
        <v>101</v>
      </c>
      <c r="D103" s="1" t="s">
        <v>106</v>
      </c>
      <c r="F103" s="1" t="s">
        <v>98</v>
      </c>
      <c r="H103" s="11"/>
      <c r="J103" s="1"/>
    </row>
    <row r="104" spans="1:10" x14ac:dyDescent="0.2">
      <c r="A104" s="1" t="s">
        <v>100</v>
      </c>
      <c r="C104" s="8" t="s">
        <v>101</v>
      </c>
      <c r="D104" s="1" t="s">
        <v>106</v>
      </c>
      <c r="F104" s="1" t="s">
        <v>98</v>
      </c>
      <c r="H104" s="11"/>
      <c r="J104" s="1"/>
    </row>
    <row r="105" spans="1:10" x14ac:dyDescent="0.2">
      <c r="A105" s="1" t="s">
        <v>109</v>
      </c>
      <c r="C105" s="23" t="s">
        <v>101</v>
      </c>
      <c r="D105" s="1" t="s">
        <v>106</v>
      </c>
      <c r="F105" s="1" t="s">
        <v>98</v>
      </c>
      <c r="H105" s="11"/>
      <c r="J105" s="1"/>
    </row>
    <row r="106" spans="1:10" x14ac:dyDescent="0.2">
      <c r="A106" s="1" t="s">
        <v>109</v>
      </c>
      <c r="C106" s="135" t="s">
        <v>101</v>
      </c>
      <c r="D106" s="1" t="s">
        <v>107</v>
      </c>
      <c r="F106" s="1" t="s">
        <v>99</v>
      </c>
      <c r="H106" s="11"/>
      <c r="J106" s="1"/>
    </row>
    <row r="107" spans="1:10" x14ac:dyDescent="0.2">
      <c r="A107" s="1" t="s">
        <v>110</v>
      </c>
      <c r="C107" s="23" t="s">
        <v>101</v>
      </c>
      <c r="D107" s="1" t="s">
        <v>106</v>
      </c>
      <c r="F107" s="1" t="s">
        <v>98</v>
      </c>
      <c r="H107" s="11"/>
      <c r="J107" s="1"/>
    </row>
    <row r="108" spans="1:10" x14ac:dyDescent="0.2">
      <c r="A108" s="1" t="s">
        <v>110</v>
      </c>
      <c r="C108" s="27" t="s">
        <v>101</v>
      </c>
      <c r="D108" s="1" t="s">
        <v>107</v>
      </c>
      <c r="F108" s="1" t="s">
        <v>99</v>
      </c>
      <c r="G108" s="13"/>
      <c r="H108" s="11"/>
      <c r="J108" s="1"/>
    </row>
    <row r="109" spans="1:10" x14ac:dyDescent="0.2">
      <c r="C109" s="23"/>
      <c r="G109" s="13"/>
      <c r="H109" s="11"/>
      <c r="J109" s="1"/>
    </row>
    <row r="110" spans="1:10" x14ac:dyDescent="0.2">
      <c r="H110" s="11"/>
      <c r="J110" s="1"/>
    </row>
    <row r="111" spans="1:10" x14ac:dyDescent="0.2">
      <c r="A111" s="4" t="e">
        <f ca="1">_xll.EVDRE($B$1,A114:B121)</f>
        <v>#NAME?</v>
      </c>
      <c r="B111" s="1" t="s">
        <v>736</v>
      </c>
      <c r="H111" s="11"/>
      <c r="J111" s="1"/>
    </row>
    <row r="113" spans="1:2" x14ac:dyDescent="0.2">
      <c r="A113" s="3" t="s">
        <v>0</v>
      </c>
      <c r="B113" s="5" t="s">
        <v>1</v>
      </c>
    </row>
    <row r="114" spans="1:2" x14ac:dyDescent="0.2">
      <c r="A114" s="6" t="s">
        <v>2</v>
      </c>
      <c r="B114" s="7" t="e">
        <f ca="1">_xll.EVRNG($B$2:$B$10)</f>
        <v>#NAME?</v>
      </c>
    </row>
    <row r="115" spans="1:2" x14ac:dyDescent="0.2">
      <c r="A115" s="6" t="s">
        <v>3</v>
      </c>
      <c r="B115" s="7" t="e">
        <f ca="1">_xll.EVRNG($O$16:$AN$18)</f>
        <v>#NAME?</v>
      </c>
    </row>
    <row r="116" spans="1:2" x14ac:dyDescent="0.2">
      <c r="A116" s="6" t="s">
        <v>4</v>
      </c>
      <c r="B116" s="7" t="e">
        <f ca="1">_xll.EVRNG(H76:H79)</f>
        <v>#NAME?</v>
      </c>
    </row>
    <row r="117" spans="1:2" x14ac:dyDescent="0.2">
      <c r="A117" s="6" t="s">
        <v>5</v>
      </c>
      <c r="B117" s="7"/>
    </row>
    <row r="118" spans="1:2" x14ac:dyDescent="0.2">
      <c r="A118" s="6" t="s">
        <v>6</v>
      </c>
      <c r="B118" s="7"/>
    </row>
    <row r="119" spans="1:2" x14ac:dyDescent="0.2">
      <c r="A119" s="6" t="s">
        <v>7</v>
      </c>
      <c r="B119" s="7"/>
    </row>
    <row r="120" spans="1:2" x14ac:dyDescent="0.2">
      <c r="A120" s="6" t="s">
        <v>47</v>
      </c>
      <c r="B120" s="7" t="e">
        <f ca="1">_xll.EVRNG($A$125:$B$146)</f>
        <v>#NAME?</v>
      </c>
    </row>
    <row r="121" spans="1:2" x14ac:dyDescent="0.2">
      <c r="A121" s="6" t="s">
        <v>8</v>
      </c>
      <c r="B121" s="7"/>
    </row>
    <row r="124" spans="1:2" x14ac:dyDescent="0.2">
      <c r="A124" s="3" t="s">
        <v>23</v>
      </c>
      <c r="B124" s="5" t="s">
        <v>24</v>
      </c>
    </row>
    <row r="125" spans="1:2" x14ac:dyDescent="0.2">
      <c r="A125" s="6" t="s">
        <v>25</v>
      </c>
      <c r="B125" s="7"/>
    </row>
    <row r="126" spans="1:2" x14ac:dyDescent="0.2">
      <c r="A126" s="6" t="s">
        <v>26</v>
      </c>
      <c r="B126" s="7"/>
    </row>
    <row r="127" spans="1:2" x14ac:dyDescent="0.2">
      <c r="A127" s="6" t="s">
        <v>27</v>
      </c>
      <c r="B127" s="7"/>
    </row>
    <row r="128" spans="1:2" x14ac:dyDescent="0.2">
      <c r="A128" s="6" t="s">
        <v>28</v>
      </c>
      <c r="B128" s="7"/>
    </row>
    <row r="129" spans="1:2" x14ac:dyDescent="0.2">
      <c r="A129" s="6" t="s">
        <v>29</v>
      </c>
      <c r="B129" s="7"/>
    </row>
    <row r="130" spans="1:2" x14ac:dyDescent="0.2">
      <c r="A130" s="6" t="s">
        <v>30</v>
      </c>
      <c r="B130" s="7" t="s">
        <v>78</v>
      </c>
    </row>
    <row r="131" spans="1:2" x14ac:dyDescent="0.2">
      <c r="A131" s="6" t="s">
        <v>31</v>
      </c>
      <c r="B131" s="7" t="s">
        <v>78</v>
      </c>
    </row>
    <row r="132" spans="1:2" x14ac:dyDescent="0.2">
      <c r="A132" s="6" t="s">
        <v>32</v>
      </c>
      <c r="B132" s="7"/>
    </row>
    <row r="133" spans="1:2" x14ac:dyDescent="0.2">
      <c r="A133" s="6" t="s">
        <v>33</v>
      </c>
      <c r="B133" s="7"/>
    </row>
    <row r="134" spans="1:2" x14ac:dyDescent="0.2">
      <c r="A134" s="6" t="s">
        <v>34</v>
      </c>
      <c r="B134" s="7"/>
    </row>
    <row r="135" spans="1:2" x14ac:dyDescent="0.2">
      <c r="A135" s="6" t="s">
        <v>35</v>
      </c>
      <c r="B135" s="7"/>
    </row>
    <row r="136" spans="1:2" x14ac:dyDescent="0.2">
      <c r="A136" s="6" t="s">
        <v>36</v>
      </c>
      <c r="B136" s="7"/>
    </row>
    <row r="137" spans="1:2" x14ac:dyDescent="0.2">
      <c r="A137" s="6" t="s">
        <v>37</v>
      </c>
      <c r="B137" s="7"/>
    </row>
    <row r="138" spans="1:2" x14ac:dyDescent="0.2">
      <c r="A138" s="6" t="s">
        <v>38</v>
      </c>
      <c r="B138" s="7"/>
    </row>
    <row r="139" spans="1:2" x14ac:dyDescent="0.2">
      <c r="A139" s="6" t="s">
        <v>39</v>
      </c>
      <c r="B139" s="7"/>
    </row>
    <row r="140" spans="1:2" x14ac:dyDescent="0.2">
      <c r="A140" s="6" t="s">
        <v>40</v>
      </c>
      <c r="B140" s="7"/>
    </row>
    <row r="141" spans="1:2" x14ac:dyDescent="0.2">
      <c r="A141" s="6" t="s">
        <v>41</v>
      </c>
      <c r="B141" s="7"/>
    </row>
    <row r="142" spans="1:2" x14ac:dyDescent="0.2">
      <c r="A142" s="6" t="s">
        <v>42</v>
      </c>
      <c r="B142" s="7"/>
    </row>
    <row r="143" spans="1:2" x14ac:dyDescent="0.2">
      <c r="A143" s="6" t="s">
        <v>43</v>
      </c>
      <c r="B143" s="7"/>
    </row>
    <row r="144" spans="1:2" x14ac:dyDescent="0.2">
      <c r="A144" s="6" t="s">
        <v>44</v>
      </c>
      <c r="B144" s="7"/>
    </row>
    <row r="145" spans="1:34" x14ac:dyDescent="0.2">
      <c r="A145" s="6" t="s">
        <v>45</v>
      </c>
      <c r="B145" s="7"/>
    </row>
    <row r="146" spans="1:34" x14ac:dyDescent="0.2">
      <c r="A146" s="6" t="s">
        <v>46</v>
      </c>
      <c r="B146" s="7"/>
    </row>
    <row r="152" spans="1:34" x14ac:dyDescent="0.2">
      <c r="I152" s="72"/>
      <c r="J152" s="1"/>
      <c r="K152" s="72"/>
      <c r="L152" s="72"/>
      <c r="M152" s="72"/>
      <c r="O152" s="72"/>
      <c r="P152" s="72"/>
      <c r="Q152" s="72"/>
      <c r="R152" s="72"/>
      <c r="S152" s="72"/>
      <c r="T152" s="72"/>
      <c r="U152" s="72"/>
      <c r="V152" s="72"/>
      <c r="W152" s="72"/>
      <c r="X152" s="72"/>
      <c r="Y152" s="72"/>
      <c r="Z152" s="72"/>
      <c r="AA152" s="72"/>
      <c r="AD152" s="72"/>
      <c r="AF152" s="72"/>
      <c r="AH152" s="72"/>
    </row>
    <row r="156" spans="1:34" x14ac:dyDescent="0.2">
      <c r="I156" s="72"/>
      <c r="J156" s="1"/>
      <c r="K156" s="72"/>
      <c r="L156" s="72"/>
      <c r="M156" s="72"/>
      <c r="O156" s="72"/>
      <c r="P156" s="72"/>
      <c r="Q156" s="72"/>
      <c r="R156" s="72"/>
      <c r="S156" s="72"/>
      <c r="T156" s="72"/>
      <c r="U156" s="72"/>
      <c r="V156" s="72"/>
      <c r="W156" s="72"/>
      <c r="X156" s="72"/>
      <c r="Y156" s="72"/>
      <c r="Z156" s="72"/>
      <c r="AA156" s="72"/>
      <c r="AD156" s="72"/>
      <c r="AF156" s="72"/>
      <c r="AH156" s="72"/>
    </row>
    <row r="163" spans="5:7" x14ac:dyDescent="0.2">
      <c r="E163" s="72"/>
    </row>
    <row r="167" spans="5:7" x14ac:dyDescent="0.2">
      <c r="E167" s="72"/>
    </row>
    <row r="170" spans="5:7" x14ac:dyDescent="0.2">
      <c r="G170" s="72"/>
    </row>
    <row r="174" spans="5:7" x14ac:dyDescent="0.2">
      <c r="G174" s="72"/>
    </row>
  </sheetData>
  <mergeCells count="2">
    <mergeCell ref="AD31:AE31"/>
    <mergeCell ref="AG31:AH31"/>
  </mergeCells>
  <dataValidations disablePrompts="1" count="2">
    <dataValidation type="list" allowBlank="1" sqref="B62 B29 B95" xr:uid="{00000000-0002-0000-2A00-000000000000}">
      <formula1>"SELF,ALL,BAS,DEP,BASMEMBERS,MEMBERS,NOEXPAND,GDEP"</formula1>
    </dataValidation>
    <dataValidation type="list" allowBlank="1" sqref="B61 B28 B94" xr:uid="{00000000-0002-0000-2A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0">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8"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16384" width="9.1640625" style="1"/>
  </cols>
  <sheetData>
    <row r="1" spans="1:35" hidden="1" outlineLevel="1" x14ac:dyDescent="0.2">
      <c r="A1" s="8" t="s">
        <v>48</v>
      </c>
      <c r="B1" s="2" t="s">
        <v>49</v>
      </c>
      <c r="C1" s="8" t="e">
        <f ca="1">_xll.EVAPD($B$1)</f>
        <v>#NAME?</v>
      </c>
      <c r="I1" s="1"/>
      <c r="J1" s="1"/>
      <c r="N1" s="16"/>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346</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35"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35" hidden="1" outlineLevel="1" x14ac:dyDescent="0.2">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2" t="e">
        <f ca="1">AA11</f>
        <v>#NAME?</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35" hidden="1" outlineLevel="1" x14ac:dyDescent="0.2">
      <c r="A19" s="6" t="s">
        <v>4</v>
      </c>
      <c r="B19" s="7" t="e">
        <f ca="1">_xll.EVRNG(H35:H146)</f>
        <v>#NAME?</v>
      </c>
      <c r="G19" s="16" t="str">
        <f>$B$6</f>
        <v>D_RS_CON</v>
      </c>
      <c r="H19" s="16" t="s">
        <v>273</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35" hidden="1" outlineLevel="1" x14ac:dyDescent="0.2">
      <c r="A20" s="6" t="s">
        <v>5</v>
      </c>
      <c r="B20" s="7"/>
      <c r="G20" s="16" t="str">
        <f>$B$6</f>
        <v>D_RS_CON</v>
      </c>
      <c r="H20" s="16">
        <v>946000</v>
      </c>
      <c r="I20" s="17"/>
      <c r="J20" s="17"/>
      <c r="K20" s="16"/>
      <c r="L20" s="16"/>
      <c r="M20" s="16"/>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35" hidden="1" outlineLevel="1" x14ac:dyDescent="0.2">
      <c r="A21" s="6" t="s">
        <v>6</v>
      </c>
      <c r="B21" s="7"/>
      <c r="I21" s="1"/>
      <c r="J21" s="1"/>
    </row>
    <row r="22" spans="1:35" hidden="1" outlineLevel="1" x14ac:dyDescent="0.2">
      <c r="A22" s="6" t="s">
        <v>7</v>
      </c>
      <c r="B22" s="7"/>
      <c r="I22" s="1"/>
      <c r="J22" s="1"/>
    </row>
    <row r="23" spans="1:35" hidden="1" outlineLevel="1" x14ac:dyDescent="0.2">
      <c r="A23" s="6" t="s">
        <v>47</v>
      </c>
      <c r="B23" s="7" t="e">
        <f ca="1">_xll.EVRNG($A$37:$B$58)</f>
        <v>#NAME?</v>
      </c>
      <c r="K23" s="53"/>
      <c r="L23" s="53"/>
      <c r="M23" s="53"/>
      <c r="AD23" s="136"/>
    </row>
    <row r="24" spans="1:35" hidden="1" outlineLevel="1" x14ac:dyDescent="0.2">
      <c r="A24" s="6" t="s">
        <v>8</v>
      </c>
      <c r="B24" s="7"/>
    </row>
    <row r="25" spans="1:35" collapsed="1" x14ac:dyDescent="0.2"/>
    <row r="26" spans="1:35" ht="23" x14ac:dyDescent="0.25">
      <c r="A26" s="3" t="s">
        <v>9</v>
      </c>
      <c r="B26" s="5" t="s">
        <v>10</v>
      </c>
      <c r="N26" s="61" t="e">
        <f ca="1">IF(_xll.EVDES(B3,$B$1)="#NODATA","",_xll.EVDES(B3,$B$1))</f>
        <v>#NAME?</v>
      </c>
    </row>
    <row r="27" spans="1:35" ht="18" x14ac:dyDescent="0.2">
      <c r="A27" s="6" t="s">
        <v>11</v>
      </c>
      <c r="B27" s="7" t="s">
        <v>21</v>
      </c>
      <c r="N27" s="66" t="e">
        <f ca="1">IF($N$1="",IF(_xll.EVDES(B6,$B$1)="#NODATA","",_xll.EVDES(B6,$B$1)&amp;" Department"),$N$1)</f>
        <v>#NAME?</v>
      </c>
    </row>
    <row r="28" spans="1:35" ht="16" x14ac:dyDescent="0.2">
      <c r="A28" s="6" t="s">
        <v>12</v>
      </c>
      <c r="B28" s="7" t="s">
        <v>22</v>
      </c>
      <c r="N28" s="67" t="e">
        <f ca="1">"For the Period ended"&amp;" "&amp;IF(_xll.EVDES($B$10,$B$1)="#NODATA","",_xll.EVDES($B$10,$B$1))</f>
        <v>#NAME?</v>
      </c>
    </row>
    <row r="29" spans="1:35" ht="15" customHeight="1" x14ac:dyDescent="0.2">
      <c r="A29" s="6" t="s">
        <v>13</v>
      </c>
      <c r="B29" s="7" t="s">
        <v>293</v>
      </c>
      <c r="N29" s="67" t="e">
        <f ca="1">_xll.EVDES(B9,B1)</f>
        <v>#NAME?</v>
      </c>
      <c r="O29" s="62" t="s">
        <v>344</v>
      </c>
      <c r="P29" s="62"/>
      <c r="Q29" s="62"/>
      <c r="R29" s="62"/>
      <c r="S29" s="62"/>
      <c r="T29" s="62"/>
      <c r="U29" s="62"/>
      <c r="V29" s="62"/>
      <c r="W29" s="62"/>
      <c r="X29" s="62"/>
      <c r="Y29" s="62"/>
      <c r="Z29" s="62"/>
      <c r="AA29" s="62"/>
    </row>
    <row r="30" spans="1:35"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row>
    <row r="31" spans="1:35" x14ac:dyDescent="0.2">
      <c r="A31" s="6" t="s">
        <v>15</v>
      </c>
      <c r="B31" s="7"/>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row>
    <row r="32" spans="1:35" s="232" customFormat="1" ht="30" customHeight="1" x14ac:dyDescent="0.2">
      <c r="A32" s="230" t="s">
        <v>16</v>
      </c>
      <c r="B32" s="231"/>
      <c r="E32" s="1"/>
      <c r="H32" s="233"/>
      <c r="I32" s="234"/>
      <c r="J32" s="234"/>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row>
    <row r="33" spans="1:35" ht="16" x14ac:dyDescent="0.2">
      <c r="A33" s="6" t="s">
        <v>17</v>
      </c>
      <c r="B33" s="7"/>
      <c r="N33" s="155" t="s">
        <v>330</v>
      </c>
      <c r="O33" s="38"/>
      <c r="P33" s="42"/>
      <c r="Q33" s="42"/>
      <c r="R33" s="42"/>
      <c r="S33" s="42"/>
      <c r="T33" s="42"/>
      <c r="U33" s="42"/>
      <c r="V33" s="42"/>
      <c r="W33" s="42"/>
      <c r="X33" s="42"/>
      <c r="Y33" s="42"/>
      <c r="Z33" s="42"/>
      <c r="AA33" s="42"/>
      <c r="AB33" s="39"/>
      <c r="AD33" s="38"/>
      <c r="AE33" s="42"/>
      <c r="AF33" s="39"/>
      <c r="AG33" s="38"/>
      <c r="AH33" s="42"/>
      <c r="AI33" s="39"/>
    </row>
    <row r="34" spans="1:35" x14ac:dyDescent="0.2">
      <c r="L34" s="175" t="s">
        <v>364</v>
      </c>
      <c r="M34" s="175" t="s">
        <v>782</v>
      </c>
      <c r="N34" s="8" t="s">
        <v>312</v>
      </c>
      <c r="O34" s="50"/>
      <c r="AB34" s="51"/>
      <c r="AD34" s="50"/>
      <c r="AF34" s="51"/>
      <c r="AG34" s="50"/>
      <c r="AI34" s="51"/>
    </row>
    <row r="35" spans="1:35" x14ac:dyDescent="0.2">
      <c r="H35" s="10" t="s">
        <v>260</v>
      </c>
      <c r="I35" s="25" t="e">
        <f ca="1">_xll.EVPRO($B$1,$H35,"STYLE")</f>
        <v>#NAME?</v>
      </c>
      <c r="J35" s="25" t="e">
        <f ca="1">_xll.EVPRO($B$1,$H35,"CALC")</f>
        <v>#NAME?</v>
      </c>
      <c r="K35" s="24"/>
      <c r="L35" s="24" t="e">
        <f ca="1">_xll.EVPRO($B$1,H35,"JDEID")</f>
        <v>#NAME?</v>
      </c>
      <c r="M35" s="24" t="e">
        <f ca="1">IF(AND(I35="N",J35="N"),_xll.EVPRO($B$1,H35,"PSFTID"),"")</f>
        <v>#NAME?</v>
      </c>
      <c r="N35" s="24" t="e">
        <f ca="1">IF(_xll.EVDES(H35,$B$1)="#NODATA","",_xll.EVDES(H35,$B$1))</f>
        <v>#NAME?</v>
      </c>
      <c r="O35" s="19"/>
      <c r="P35" s="19"/>
      <c r="Q35" s="19"/>
      <c r="R35" s="19"/>
      <c r="S35" s="19"/>
      <c r="T35" s="19"/>
      <c r="U35" s="19"/>
      <c r="V35" s="19"/>
      <c r="W35" s="19"/>
      <c r="X35" s="19"/>
      <c r="Y35" s="19"/>
      <c r="Z35" s="19"/>
      <c r="AA35" s="19">
        <f t="shared" ref="AA35:AA41" si="0">SUM(O35:Z35)</f>
        <v>0</v>
      </c>
      <c r="AB35" s="15" t="str">
        <f>IF(AA35=0,"",IFERROR(AA35/AA$19,""))</f>
        <v/>
      </c>
      <c r="AD35" s="19"/>
      <c r="AE35" s="15" t="str">
        <f>IF(AD35=0,"",IFERROR(AD35/AD$19,""))</f>
        <v/>
      </c>
      <c r="AF35" s="47">
        <f t="shared" ref="AF35:AF42" si="1">IF(AND($AA35="",AD35=""),"",$AA35-AD35)</f>
        <v>0</v>
      </c>
      <c r="AG35" s="19"/>
      <c r="AH35" s="15" t="str">
        <f>IF(AG35=0,"",IFERROR(AG35/AG$19,""))</f>
        <v/>
      </c>
      <c r="AI35" s="47">
        <f t="shared" ref="AI35:AI42" si="2">IF(AND($AA35="",AG35=""),"",$AA35-AG35)</f>
        <v>0</v>
      </c>
    </row>
    <row r="36" spans="1:35" x14ac:dyDescent="0.2">
      <c r="A36" s="3" t="s">
        <v>23</v>
      </c>
      <c r="B36" s="5" t="s">
        <v>24</v>
      </c>
      <c r="H36" s="10" t="s">
        <v>294</v>
      </c>
      <c r="I36" s="25" t="e">
        <f ca="1">_xll.EVPRO($B$1,$H36,"STYLE")</f>
        <v>#NAME?</v>
      </c>
      <c r="J36" s="25" t="e">
        <f ca="1">_xll.EVPRO($B$1,$H36,"CALC")</f>
        <v>#NAME?</v>
      </c>
      <c r="K36" s="24"/>
      <c r="L36" s="24" t="e">
        <f ca="1">_xll.EVPRO($B$1,H36,"JDEID")</f>
        <v>#NAME?</v>
      </c>
      <c r="M36" s="24" t="e">
        <f ca="1">IF(AND(I36="N",J36="N"),_xll.EVPRO($B$1,H36,"PSFTID"),"")</f>
        <v>#NAME?</v>
      </c>
      <c r="N36" s="24" t="e">
        <f ca="1">IF(_xll.EVDES(H36,$B$1)="#NODATA","",_xll.EVDES(H36,$B$1))</f>
        <v>#NAME?</v>
      </c>
      <c r="O36" s="19"/>
      <c r="P36" s="19"/>
      <c r="Q36" s="19"/>
      <c r="R36" s="19"/>
      <c r="S36" s="19"/>
      <c r="T36" s="19"/>
      <c r="U36" s="19"/>
      <c r="V36" s="19"/>
      <c r="W36" s="19"/>
      <c r="X36" s="19"/>
      <c r="Y36" s="19"/>
      <c r="Z36" s="19"/>
      <c r="AA36" s="19">
        <f t="shared" si="0"/>
        <v>0</v>
      </c>
      <c r="AB36" s="15" t="str">
        <f>IF(AA36=0,"",IFERROR(AA36/AA$19,""))</f>
        <v/>
      </c>
      <c r="AD36" s="19"/>
      <c r="AE36" s="15" t="str">
        <f>IF(AD36=0,"",IFERROR(AD36/AD$19,""))</f>
        <v/>
      </c>
      <c r="AF36" s="47">
        <f t="shared" si="1"/>
        <v>0</v>
      </c>
      <c r="AG36" s="19"/>
      <c r="AH36" s="15" t="str">
        <f t="shared" ref="AH36:AH79" si="3">IF(AG36=0,"",IFERROR(AG36/AG$19,""))</f>
        <v/>
      </c>
      <c r="AI36" s="47">
        <f t="shared" si="2"/>
        <v>0</v>
      </c>
    </row>
    <row r="37" spans="1:35" x14ac:dyDescent="0.2">
      <c r="A37" s="6" t="s">
        <v>25</v>
      </c>
      <c r="B37" s="7"/>
      <c r="H37" s="10" t="s">
        <v>295</v>
      </c>
      <c r="I37" s="25" t="e">
        <f ca="1">_xll.EVPRO($B$1,$H37,"STYLE")</f>
        <v>#NAME?</v>
      </c>
      <c r="J37" s="25" t="e">
        <f ca="1">_xll.EVPRO($B$1,$H37,"CALC")</f>
        <v>#NAME?</v>
      </c>
      <c r="K37" s="24"/>
      <c r="L37" s="24" t="e">
        <f ca="1">_xll.EVPRO($B$1,H37,"JDEID")</f>
        <v>#NAME?</v>
      </c>
      <c r="M37" s="24" t="e">
        <f ca="1">IF(AND(I37="N",J37="N"),_xll.EVPRO($B$1,H37,"PSFTID"),"")</f>
        <v>#NAME?</v>
      </c>
      <c r="N37" s="24" t="e">
        <f ca="1">IF(_xll.EVDES(H37,$B$1)="#NODATA","",_xll.EVDES(H37,$B$1))</f>
        <v>#NAME?</v>
      </c>
      <c r="O37" s="19"/>
      <c r="P37" s="19"/>
      <c r="Q37" s="19"/>
      <c r="R37" s="19"/>
      <c r="S37" s="19"/>
      <c r="T37" s="19"/>
      <c r="U37" s="19"/>
      <c r="V37" s="19"/>
      <c r="W37" s="19"/>
      <c r="X37" s="19"/>
      <c r="Y37" s="19"/>
      <c r="Z37" s="19"/>
      <c r="AA37" s="19">
        <f t="shared" si="0"/>
        <v>0</v>
      </c>
      <c r="AB37" s="15" t="str">
        <f>IF(AA37=0,"",IFERROR(AA37/AA$19,""))</f>
        <v/>
      </c>
      <c r="AD37" s="19"/>
      <c r="AE37" s="15" t="str">
        <f>IF(AD37=0,"",IFERROR(AD37/AD$19,""))</f>
        <v/>
      </c>
      <c r="AF37" s="47">
        <f t="shared" si="1"/>
        <v>0</v>
      </c>
      <c r="AG37" s="19"/>
      <c r="AH37" s="15" t="str">
        <f t="shared" si="3"/>
        <v/>
      </c>
      <c r="AI37" s="47">
        <f t="shared" si="2"/>
        <v>0</v>
      </c>
    </row>
    <row r="38" spans="1:35" x14ac:dyDescent="0.2">
      <c r="A38" s="6" t="s">
        <v>26</v>
      </c>
      <c r="B38" s="7"/>
      <c r="H38" s="10" t="s">
        <v>296</v>
      </c>
      <c r="I38" s="25" t="e">
        <f ca="1">_xll.EVPRO($B$1,$H38,"STYLE")</f>
        <v>#NAME?</v>
      </c>
      <c r="J38" s="25" t="e">
        <f ca="1">_xll.EVPRO($B$1,$H38,"CALC")</f>
        <v>#NAME?</v>
      </c>
      <c r="K38" s="24"/>
      <c r="L38" s="24" t="e">
        <f ca="1">_xll.EVPRO($B$1,H38,"JDEID")</f>
        <v>#NAME?</v>
      </c>
      <c r="M38" s="24" t="e">
        <f ca="1">IF(AND(I38="N",J38="N"),_xll.EVPRO($B$1,H38,"PSFTID"),"")</f>
        <v>#NAME?</v>
      </c>
      <c r="N38" s="24" t="e">
        <f ca="1">IF(_xll.EVDES(H38,$B$1)="#NODATA","",_xll.EVDES(H38,$B$1))</f>
        <v>#NAME?</v>
      </c>
      <c r="O38" s="28"/>
      <c r="P38" s="28"/>
      <c r="Q38" s="28"/>
      <c r="R38" s="28"/>
      <c r="S38" s="28"/>
      <c r="T38" s="28"/>
      <c r="U38" s="28"/>
      <c r="V38" s="28"/>
      <c r="W38" s="28"/>
      <c r="X38" s="28"/>
      <c r="Y38" s="28"/>
      <c r="Z38" s="28"/>
      <c r="AA38" s="28">
        <f t="shared" si="0"/>
        <v>0</v>
      </c>
      <c r="AB38" s="29" t="str">
        <f>IF(AA38=0,"",IFERROR(AA38/AA$19,""))</f>
        <v/>
      </c>
      <c r="AD38" s="28"/>
      <c r="AE38" s="29" t="str">
        <f>IF(AD38=0,"",IFERROR(AD38/AD$19,""))</f>
        <v/>
      </c>
      <c r="AF38" s="48">
        <f t="shared" si="1"/>
        <v>0</v>
      </c>
      <c r="AG38" s="28"/>
      <c r="AH38" s="29" t="str">
        <f t="shared" si="3"/>
        <v/>
      </c>
      <c r="AI38" s="48">
        <f t="shared" si="2"/>
        <v>0</v>
      </c>
    </row>
    <row r="39" spans="1:35" x14ac:dyDescent="0.2">
      <c r="A39" s="6" t="s">
        <v>27</v>
      </c>
      <c r="B39" s="7"/>
      <c r="H39" s="10" t="s">
        <v>318</v>
      </c>
      <c r="I39" s="25" t="e">
        <f ca="1">_xll.EVPRO($B$1,$H39,"STYLE")</f>
        <v>#NAME?</v>
      </c>
      <c r="J39" s="25" t="e">
        <f ca="1">_xll.EVPRO($B$1,$H39,"CALC")</f>
        <v>#NAME?</v>
      </c>
      <c r="K39" s="24"/>
      <c r="L39" s="24" t="e">
        <f ca="1">_xll.EVPRO($B$1,H39,"JDEID")</f>
        <v>#NAME?</v>
      </c>
      <c r="M39" s="24" t="e">
        <f ca="1">IF(AND(I39="N",J39="N"),_xll.EVPRO($B$1,H39,"PSFTID"),"")</f>
        <v>#NAME?</v>
      </c>
      <c r="N39" s="23" t="e">
        <f ca="1">IF(_xll.EVDES(H39,$B$1)="#NODATA","",_xll.EVDES(H39,$B$1))</f>
        <v>#NAME?</v>
      </c>
      <c r="O39" s="145"/>
      <c r="P39" s="145"/>
      <c r="Q39" s="145"/>
      <c r="R39" s="145"/>
      <c r="S39" s="145"/>
      <c r="T39" s="145"/>
      <c r="U39" s="145"/>
      <c r="V39" s="145"/>
      <c r="W39" s="145"/>
      <c r="X39" s="145"/>
      <c r="Y39" s="145"/>
      <c r="Z39" s="145"/>
      <c r="AA39" s="145">
        <f t="shared" si="0"/>
        <v>0</v>
      </c>
      <c r="AB39" s="156" t="str">
        <f>IF(AA39=0,"",IFERROR(AA39/AA$19,""))</f>
        <v/>
      </c>
      <c r="AD39" s="145"/>
      <c r="AE39" s="156" t="str">
        <f>IF(AD39=0,"",IFERROR(AD39/AD$19,""))</f>
        <v/>
      </c>
      <c r="AF39" s="146">
        <f t="shared" si="1"/>
        <v>0</v>
      </c>
      <c r="AG39" s="145"/>
      <c r="AH39" s="156" t="str">
        <f t="shared" si="3"/>
        <v/>
      </c>
      <c r="AI39" s="146">
        <f t="shared" si="2"/>
        <v>0</v>
      </c>
    </row>
    <row r="40" spans="1:35" x14ac:dyDescent="0.2">
      <c r="A40" s="6" t="s">
        <v>28</v>
      </c>
      <c r="B40" s="7"/>
      <c r="H40" s="10" t="s">
        <v>763</v>
      </c>
      <c r="I40" s="25" t="e">
        <f ca="1">_xll.EVPRO($B$1,$H40,"STYLE")</f>
        <v>#NAME?</v>
      </c>
      <c r="J40" s="25" t="e">
        <f ca="1">_xll.EVPRO($B$1,$H40,"CALC")</f>
        <v>#NAME?</v>
      </c>
      <c r="K40" s="24"/>
      <c r="L40" s="24" t="e">
        <f ca="1">_xll.EVPRO($B$1,H40,"JDEID")</f>
        <v>#NAME?</v>
      </c>
      <c r="M40" s="24" t="e">
        <f ca="1">IF(AND(I40="N",J40="N"),_xll.EVPRO($B$1,H40,"PSFTID"),"")</f>
        <v>#NAME?</v>
      </c>
      <c r="N40" s="24" t="e">
        <f ca="1">IF(_xll.EVDES(H40,$B$1)="#NODATA","",_xll.EVDES(H40,$B$1))</f>
        <v>#NAME?</v>
      </c>
      <c r="O40" s="35"/>
      <c r="P40" s="35"/>
      <c r="Q40" s="35"/>
      <c r="R40" s="35"/>
      <c r="S40" s="35"/>
      <c r="T40" s="35"/>
      <c r="U40" s="35"/>
      <c r="V40" s="35"/>
      <c r="W40" s="35"/>
      <c r="X40" s="35"/>
      <c r="Y40" s="35"/>
      <c r="Z40" s="35"/>
      <c r="AA40" s="35">
        <f t="shared" si="0"/>
        <v>0</v>
      </c>
      <c r="AB40" s="36"/>
      <c r="AD40" s="35"/>
      <c r="AE40" s="36"/>
      <c r="AF40" s="118">
        <f t="shared" si="1"/>
        <v>0</v>
      </c>
      <c r="AG40" s="35"/>
      <c r="AH40" s="36"/>
      <c r="AI40" s="118">
        <f t="shared" si="2"/>
        <v>0</v>
      </c>
    </row>
    <row r="41" spans="1:35" x14ac:dyDescent="0.2">
      <c r="A41" s="6" t="s">
        <v>29</v>
      </c>
      <c r="B41" s="7"/>
      <c r="H41" s="10" t="s">
        <v>297</v>
      </c>
      <c r="I41" s="25" t="e">
        <f ca="1">_xll.EVPRO($B$1,$H41,"STYLE")</f>
        <v>#NAME?</v>
      </c>
      <c r="J41" s="25" t="e">
        <f ca="1">_xll.EVPRO($B$1,$H41,"CALC")</f>
        <v>#NAME?</v>
      </c>
      <c r="K41" s="24"/>
      <c r="L41" s="24" t="e">
        <f ca="1">_xll.EVPRO($B$1,H41,"JDEID")</f>
        <v>#NAME?</v>
      </c>
      <c r="M41" s="24" t="e">
        <f ca="1">IF(AND(I41="N",J41="N"),_xll.EVPRO($B$1,H41,"PSFTID"),"")</f>
        <v>#NAME?</v>
      </c>
      <c r="N41" s="24" t="e">
        <f ca="1">IF(_xll.EVDES(H41,$B$1)="#NODATA","",_xll.EVDES(H41,$B$1))</f>
        <v>#NAME?</v>
      </c>
      <c r="O41" s="35"/>
      <c r="P41" s="35"/>
      <c r="Q41" s="35"/>
      <c r="R41" s="35"/>
      <c r="S41" s="35"/>
      <c r="T41" s="35"/>
      <c r="U41" s="35"/>
      <c r="V41" s="35"/>
      <c r="W41" s="35"/>
      <c r="X41" s="35"/>
      <c r="Y41" s="35"/>
      <c r="Z41" s="35"/>
      <c r="AA41" s="35">
        <f t="shared" si="0"/>
        <v>0</v>
      </c>
      <c r="AB41" s="36" t="str">
        <f>IF(AA41=0,"",IFERROR(AA41/AA$87,""))</f>
        <v/>
      </c>
      <c r="AD41" s="35"/>
      <c r="AE41" s="36" t="str">
        <f>IF(AD41=0,"",IFERROR(AD41/AD$87,""))</f>
        <v/>
      </c>
      <c r="AF41" s="118">
        <f t="shared" si="1"/>
        <v>0</v>
      </c>
      <c r="AG41" s="35"/>
      <c r="AH41" s="36" t="str">
        <f>IF(AG41=0,"",IFERROR(AG41/AG$87,""))</f>
        <v/>
      </c>
      <c r="AI41" s="118">
        <f t="shared" si="2"/>
        <v>0</v>
      </c>
    </row>
    <row r="42" spans="1:35" x14ac:dyDescent="0.2">
      <c r="A42" s="6" t="s">
        <v>30</v>
      </c>
      <c r="B42" s="7" t="s">
        <v>78</v>
      </c>
      <c r="H42" s="10" t="s">
        <v>313</v>
      </c>
      <c r="I42" s="25" t="e">
        <f ca="1">_xll.EVPRO($B$1,$H42,"STYLE")</f>
        <v>#NAME?</v>
      </c>
      <c r="J42" s="25" t="e">
        <f ca="1">_xll.EVPRO($B$1,$H42,"CALC")</f>
        <v>#NAME?</v>
      </c>
      <c r="K42" s="24"/>
      <c r="L42" s="24" t="e">
        <f ca="1">_xll.EVPRO($B$1,H42,"JDEID")</f>
        <v>#NAME?</v>
      </c>
      <c r="M42" s="24" t="e">
        <f ca="1">IF(AND(I42="N",J42="N"),_xll.EVPRO($B$1,H42,"PSFTID"),"")</f>
        <v>#NAME?</v>
      </c>
      <c r="N42" s="151" t="e">
        <f ca="1">IF(_xll.EVDES(H42,$B$1)="#NODATA","",_xll.EVDES(H42,$B$1))</f>
        <v>#NAME?</v>
      </c>
      <c r="O42" s="157"/>
      <c r="P42" s="157"/>
      <c r="Q42" s="157"/>
      <c r="R42" s="157"/>
      <c r="S42" s="157"/>
      <c r="T42" s="157"/>
      <c r="U42" s="157"/>
      <c r="V42" s="157"/>
      <c r="W42" s="157"/>
      <c r="X42" s="157"/>
      <c r="Y42" s="157"/>
      <c r="Z42" s="157"/>
      <c r="AA42" s="157" t="str">
        <f>IFERROR(AA39/AA41,"")</f>
        <v/>
      </c>
      <c r="AB42" s="157"/>
      <c r="AD42" s="157"/>
      <c r="AE42" s="157"/>
      <c r="AF42" s="158" t="str">
        <f t="shared" si="1"/>
        <v/>
      </c>
      <c r="AG42" s="157"/>
      <c r="AH42" s="157"/>
      <c r="AI42" s="158" t="str">
        <f t="shared" si="2"/>
        <v/>
      </c>
    </row>
    <row r="43" spans="1:35" x14ac:dyDescent="0.2">
      <c r="A43" s="6" t="s">
        <v>31</v>
      </c>
      <c r="B43" s="7" t="s">
        <v>78</v>
      </c>
      <c r="G43" s="162">
        <f>COUNTIF(O44:AI44,FALSE)</f>
        <v>0</v>
      </c>
      <c r="H43" s="10"/>
      <c r="I43" s="25"/>
      <c r="J43" s="25"/>
      <c r="K43" s="24"/>
      <c r="L43" s="24"/>
      <c r="M43" s="24"/>
      <c r="N43" s="163" t="s">
        <v>345</v>
      </c>
      <c r="O43" s="160">
        <f t="shared" ref="O43:AA43" si="4">ROUND(IFERROR(O39/O41,0),2)</f>
        <v>0</v>
      </c>
      <c r="P43" s="165">
        <f t="shared" si="4"/>
        <v>0</v>
      </c>
      <c r="Q43" s="165">
        <f t="shared" si="4"/>
        <v>0</v>
      </c>
      <c r="R43" s="165">
        <f t="shared" si="4"/>
        <v>0</v>
      </c>
      <c r="S43" s="165">
        <f t="shared" si="4"/>
        <v>0</v>
      </c>
      <c r="T43" s="165">
        <f t="shared" si="4"/>
        <v>0</v>
      </c>
      <c r="U43" s="165">
        <f t="shared" si="4"/>
        <v>0</v>
      </c>
      <c r="V43" s="165">
        <f t="shared" si="4"/>
        <v>0</v>
      </c>
      <c r="W43" s="165">
        <f t="shared" si="4"/>
        <v>0</v>
      </c>
      <c r="X43" s="165">
        <f t="shared" si="4"/>
        <v>0</v>
      </c>
      <c r="Y43" s="165">
        <f t="shared" si="4"/>
        <v>0</v>
      </c>
      <c r="Z43" s="165">
        <f t="shared" si="4"/>
        <v>0</v>
      </c>
      <c r="AA43" s="165">
        <f t="shared" si="4"/>
        <v>0</v>
      </c>
      <c r="AB43" s="164"/>
      <c r="AD43" s="160">
        <f>ROUND(IFERROR(AD39/AD41,0),2)</f>
        <v>0</v>
      </c>
      <c r="AE43" s="165"/>
      <c r="AF43" s="161"/>
      <c r="AG43" s="160">
        <f>ROUND(IFERROR(AG39/AG41,0),2)</f>
        <v>0</v>
      </c>
      <c r="AH43" s="165"/>
      <c r="AI43" s="161"/>
    </row>
    <row r="44" spans="1:35" x14ac:dyDescent="0.2">
      <c r="A44" s="6" t="s">
        <v>32</v>
      </c>
      <c r="B44" s="7"/>
      <c r="H44" s="10"/>
      <c r="I44" s="25"/>
      <c r="J44" s="25"/>
      <c r="K44" s="24"/>
      <c r="L44" s="24"/>
      <c r="M44" s="24"/>
      <c r="N44" s="8" t="s">
        <v>314</v>
      </c>
      <c r="O44" s="292" t="b">
        <f t="shared" ref="O44:AA44" si="5">ROUND(O42,2)=ROUND(O43,2)</f>
        <v>1</v>
      </c>
      <c r="P44" s="293" t="b">
        <f t="shared" si="5"/>
        <v>1</v>
      </c>
      <c r="Q44" s="293" t="b">
        <f t="shared" si="5"/>
        <v>1</v>
      </c>
      <c r="R44" s="293" t="b">
        <f t="shared" si="5"/>
        <v>1</v>
      </c>
      <c r="S44" s="293" t="b">
        <f t="shared" si="5"/>
        <v>1</v>
      </c>
      <c r="T44" s="293" t="b">
        <f t="shared" si="5"/>
        <v>1</v>
      </c>
      <c r="U44" s="293" t="b">
        <f t="shared" si="5"/>
        <v>1</v>
      </c>
      <c r="V44" s="293" t="b">
        <f t="shared" si="5"/>
        <v>1</v>
      </c>
      <c r="W44" s="293" t="b">
        <f t="shared" si="5"/>
        <v>1</v>
      </c>
      <c r="X44" s="293" t="b">
        <f t="shared" si="5"/>
        <v>1</v>
      </c>
      <c r="Y44" s="293" t="b">
        <f t="shared" si="5"/>
        <v>1</v>
      </c>
      <c r="Z44" s="293" t="b">
        <f t="shared" si="5"/>
        <v>1</v>
      </c>
      <c r="AA44" s="293" t="e">
        <f t="shared" si="5"/>
        <v>#VALUE!</v>
      </c>
      <c r="AB44" s="294"/>
      <c r="AC44" s="206"/>
      <c r="AD44" s="292"/>
      <c r="AE44" s="293" t="b">
        <f>ROUND(AD42,2)=ROUND(AD43,2)</f>
        <v>1</v>
      </c>
      <c r="AF44" s="294"/>
      <c r="AG44" s="292"/>
      <c r="AH44" s="293" t="b">
        <f>ROUND(AG42,2)=ROUND(AG43,2)</f>
        <v>1</v>
      </c>
      <c r="AI44" s="294"/>
    </row>
    <row r="45" spans="1:35" x14ac:dyDescent="0.2">
      <c r="A45" s="6" t="s">
        <v>33</v>
      </c>
      <c r="B45" s="7"/>
      <c r="H45" s="10" t="s">
        <v>261</v>
      </c>
      <c r="I45" s="25" t="e">
        <f ca="1">_xll.EVPRO($B$1,$H45,"STYLE")</f>
        <v>#NAME?</v>
      </c>
      <c r="J45" s="25" t="e">
        <f ca="1">_xll.EVPRO($B$1,$H45,"CALC")</f>
        <v>#NAME?</v>
      </c>
      <c r="K45" s="24"/>
      <c r="L45" s="24" t="e">
        <f ca="1">_xll.EVPRO($B$1,H45,"JDEID")</f>
        <v>#NAME?</v>
      </c>
      <c r="M45" s="24" t="e">
        <f ca="1">IF(AND(I45="N",J45="N"),_xll.EVPRO($B$1,H45,"PSFTID"),"")</f>
        <v>#NAME?</v>
      </c>
      <c r="N45" s="24" t="e">
        <f ca="1">IF(_xll.EVDES(H45,$B$1)="#NODATA","",_xll.EVDES(H45,$B$1))</f>
        <v>#NAME?</v>
      </c>
      <c r="O45" s="19"/>
      <c r="P45" s="19"/>
      <c r="Q45" s="19"/>
      <c r="R45" s="19"/>
      <c r="S45" s="19"/>
      <c r="T45" s="19"/>
      <c r="U45" s="19"/>
      <c r="V45" s="19"/>
      <c r="W45" s="19"/>
      <c r="X45" s="19"/>
      <c r="Y45" s="19"/>
      <c r="Z45" s="19"/>
      <c r="AA45" s="19">
        <f t="shared" ref="AA45:AA51" si="6">SUM(O45:Z45)</f>
        <v>0</v>
      </c>
      <c r="AB45" s="15" t="str">
        <f>IF(AA45=0,"",IFERROR(AA45/AA$19,""))</f>
        <v/>
      </c>
      <c r="AD45" s="19"/>
      <c r="AE45" s="15" t="str">
        <f>IF(AD45=0,"",IFERROR(AD45/AD$19,""))</f>
        <v/>
      </c>
      <c r="AF45" s="47">
        <f t="shared" ref="AF45:AF52" si="7">IF(AND($AA45="",AD45=""),"",$AA45-AD45)</f>
        <v>0</v>
      </c>
      <c r="AG45" s="19"/>
      <c r="AH45" s="15" t="str">
        <f t="shared" si="3"/>
        <v/>
      </c>
      <c r="AI45" s="47">
        <f t="shared" ref="AI45:AI52" si="8">IF(AND($AA45="",AG45=""),"",$AA45-AG45)</f>
        <v>0</v>
      </c>
    </row>
    <row r="46" spans="1:35" x14ac:dyDescent="0.2">
      <c r="A46" s="6" t="s">
        <v>34</v>
      </c>
      <c r="B46" s="7"/>
      <c r="H46" s="133" t="s">
        <v>301</v>
      </c>
      <c r="I46" s="25" t="e">
        <f ca="1">_xll.EVPRO($B$1,$H46,"STYLE")</f>
        <v>#NAME?</v>
      </c>
      <c r="J46" s="25" t="e">
        <f ca="1">_xll.EVPRO($B$1,$H46,"CALC")</f>
        <v>#NAME?</v>
      </c>
      <c r="K46" s="24"/>
      <c r="L46" s="24" t="e">
        <f ca="1">_xll.EVPRO($B$1,H46,"JDEID")</f>
        <v>#NAME?</v>
      </c>
      <c r="M46" s="24" t="e">
        <f ca="1">IF(AND(I46="N",J46="N"),_xll.EVPRO($B$1,H46,"PSFTID"),"")</f>
        <v>#NAME?</v>
      </c>
      <c r="N46" s="24" t="e">
        <f ca="1">IF(_xll.EVDES(H46,$B$1)="#NODATA","",_xll.EVDES(H46,$B$1))</f>
        <v>#NAME?</v>
      </c>
      <c r="O46" s="19"/>
      <c r="P46" s="19"/>
      <c r="Q46" s="19"/>
      <c r="R46" s="19"/>
      <c r="S46" s="19"/>
      <c r="T46" s="19"/>
      <c r="U46" s="19"/>
      <c r="V46" s="19"/>
      <c r="W46" s="19"/>
      <c r="X46" s="19"/>
      <c r="Y46" s="19"/>
      <c r="Z46" s="19"/>
      <c r="AA46" s="19">
        <f t="shared" si="6"/>
        <v>0</v>
      </c>
      <c r="AB46" s="15" t="str">
        <f>IF(AA46=0,"",IFERROR(AA46/AA$19,""))</f>
        <v/>
      </c>
      <c r="AD46" s="19"/>
      <c r="AE46" s="15" t="str">
        <f>IF(AD46=0,"",IFERROR(AD46/AD$19,""))</f>
        <v/>
      </c>
      <c r="AF46" s="47">
        <f t="shared" si="7"/>
        <v>0</v>
      </c>
      <c r="AG46" s="19"/>
      <c r="AH46" s="15" t="str">
        <f t="shared" si="3"/>
        <v/>
      </c>
      <c r="AI46" s="47">
        <f t="shared" si="8"/>
        <v>0</v>
      </c>
    </row>
    <row r="47" spans="1:35" x14ac:dyDescent="0.2">
      <c r="A47" s="6" t="s">
        <v>35</v>
      </c>
      <c r="B47" s="7"/>
      <c r="H47" s="133" t="s">
        <v>305</v>
      </c>
      <c r="I47" s="25" t="e">
        <f ca="1">_xll.EVPRO($B$1,$H47,"STYLE")</f>
        <v>#NAME?</v>
      </c>
      <c r="J47" s="25" t="e">
        <f ca="1">_xll.EVPRO($B$1,$H47,"CALC")</f>
        <v>#NAME?</v>
      </c>
      <c r="K47" s="24"/>
      <c r="L47" s="24" t="e">
        <f ca="1">_xll.EVPRO($B$1,H47,"JDEID")</f>
        <v>#NAME?</v>
      </c>
      <c r="M47" s="24" t="e">
        <f ca="1">IF(AND(I47="N",J47="N"),_xll.EVPRO($B$1,H47,"PSFTID"),"")</f>
        <v>#NAME?</v>
      </c>
      <c r="N47" s="24" t="e">
        <f ca="1">IF(_xll.EVDES(H47,$B$1)="#NODATA","",_xll.EVDES(H47,$B$1))</f>
        <v>#NAME?</v>
      </c>
      <c r="O47" s="19"/>
      <c r="P47" s="19"/>
      <c r="Q47" s="19"/>
      <c r="R47" s="19"/>
      <c r="S47" s="19"/>
      <c r="T47" s="19"/>
      <c r="U47" s="19"/>
      <c r="V47" s="19"/>
      <c r="W47" s="19"/>
      <c r="X47" s="19"/>
      <c r="Y47" s="19"/>
      <c r="Z47" s="19"/>
      <c r="AA47" s="19">
        <f t="shared" si="6"/>
        <v>0</v>
      </c>
      <c r="AB47" s="15" t="str">
        <f>IF(AA47=0,"",IFERROR(AA47/AA$19,""))</f>
        <v/>
      </c>
      <c r="AD47" s="19"/>
      <c r="AE47" s="15" t="str">
        <f>IF(AD47=0,"",IFERROR(AD47/AD$19,""))</f>
        <v/>
      </c>
      <c r="AF47" s="47">
        <f t="shared" si="7"/>
        <v>0</v>
      </c>
      <c r="AG47" s="19"/>
      <c r="AH47" s="15" t="str">
        <f t="shared" si="3"/>
        <v/>
      </c>
      <c r="AI47" s="47">
        <f t="shared" si="8"/>
        <v>0</v>
      </c>
    </row>
    <row r="48" spans="1:35" x14ac:dyDescent="0.2">
      <c r="A48" s="6" t="s">
        <v>36</v>
      </c>
      <c r="B48" s="7"/>
      <c r="H48" s="133" t="s">
        <v>303</v>
      </c>
      <c r="I48" s="25" t="e">
        <f ca="1">_xll.EVPRO($B$1,$H48,"STYLE")</f>
        <v>#NAME?</v>
      </c>
      <c r="J48" s="25" t="e">
        <f ca="1">_xll.EVPRO($B$1,$H48,"CALC")</f>
        <v>#NAME?</v>
      </c>
      <c r="K48" s="24"/>
      <c r="L48" s="24" t="e">
        <f ca="1">_xll.EVPRO($B$1,H48,"JDEID")</f>
        <v>#NAME?</v>
      </c>
      <c r="M48" s="24" t="e">
        <f ca="1">IF(AND(I48="N",J48="N"),_xll.EVPRO($B$1,H48,"PSFTID"),"")</f>
        <v>#NAME?</v>
      </c>
      <c r="N48" s="24" t="e">
        <f ca="1">IF(_xll.EVDES(H48,$B$1)="#NODATA","",_xll.EVDES(H48,$B$1))</f>
        <v>#NAME?</v>
      </c>
      <c r="O48" s="28"/>
      <c r="P48" s="28"/>
      <c r="Q48" s="28"/>
      <c r="R48" s="28"/>
      <c r="S48" s="28"/>
      <c r="T48" s="28"/>
      <c r="U48" s="28"/>
      <c r="V48" s="28"/>
      <c r="W48" s="28"/>
      <c r="X48" s="28"/>
      <c r="Y48" s="28"/>
      <c r="Z48" s="28"/>
      <c r="AA48" s="28">
        <f t="shared" si="6"/>
        <v>0</v>
      </c>
      <c r="AB48" s="29" t="str">
        <f>IF(AA48=0,"",IFERROR(AA48/AA$19,""))</f>
        <v/>
      </c>
      <c r="AD48" s="28"/>
      <c r="AE48" s="29" t="str">
        <f>IF(AD48=0,"",IFERROR(AD48/AD$19,""))</f>
        <v/>
      </c>
      <c r="AF48" s="48">
        <f t="shared" si="7"/>
        <v>0</v>
      </c>
      <c r="AG48" s="28"/>
      <c r="AH48" s="29" t="str">
        <f t="shared" si="3"/>
        <v/>
      </c>
      <c r="AI48" s="48">
        <f t="shared" si="8"/>
        <v>0</v>
      </c>
    </row>
    <row r="49" spans="1:35" x14ac:dyDescent="0.2">
      <c r="A49" s="6" t="s">
        <v>37</v>
      </c>
      <c r="B49" s="7"/>
      <c r="H49" s="10" t="s">
        <v>319</v>
      </c>
      <c r="I49" s="25" t="e">
        <f ca="1">_xll.EVPRO($B$1,$H49,"STYLE")</f>
        <v>#NAME?</v>
      </c>
      <c r="J49" s="25" t="e">
        <f ca="1">_xll.EVPRO($B$1,$H49,"CALC")</f>
        <v>#NAME?</v>
      </c>
      <c r="K49" s="24"/>
      <c r="L49" s="24" t="e">
        <f ca="1">_xll.EVPRO($B$1,H49,"JDEID")</f>
        <v>#NAME?</v>
      </c>
      <c r="M49" s="24" t="e">
        <f ca="1">IF(AND(I49="N",J49="N"),_xll.EVPRO($B$1,H49,"PSFTID"),"")</f>
        <v>#NAME?</v>
      </c>
      <c r="N49" s="23" t="e">
        <f ca="1">IF(_xll.EVDES(H49,$B$1)="#NODATA","",_xll.EVDES(H49,$B$1))</f>
        <v>#NAME?</v>
      </c>
      <c r="O49" s="145"/>
      <c r="P49" s="145"/>
      <c r="Q49" s="145"/>
      <c r="R49" s="145"/>
      <c r="S49" s="145"/>
      <c r="T49" s="145"/>
      <c r="U49" s="145"/>
      <c r="V49" s="145"/>
      <c r="W49" s="145"/>
      <c r="X49" s="145"/>
      <c r="Y49" s="145"/>
      <c r="Z49" s="145"/>
      <c r="AA49" s="145">
        <f t="shared" si="6"/>
        <v>0</v>
      </c>
      <c r="AB49" s="156" t="str">
        <f>IF(AA49=0,"",IFERROR(AA49/AA$19,""))</f>
        <v/>
      </c>
      <c r="AD49" s="145"/>
      <c r="AE49" s="156" t="str">
        <f>IF(AD49=0,"",IFERROR(AD49/AD$19,""))</f>
        <v/>
      </c>
      <c r="AF49" s="146">
        <f t="shared" si="7"/>
        <v>0</v>
      </c>
      <c r="AG49" s="145"/>
      <c r="AH49" s="156" t="str">
        <f t="shared" si="3"/>
        <v/>
      </c>
      <c r="AI49" s="146">
        <f t="shared" si="8"/>
        <v>0</v>
      </c>
    </row>
    <row r="50" spans="1:35" x14ac:dyDescent="0.2">
      <c r="A50" s="6" t="s">
        <v>38</v>
      </c>
      <c r="B50" s="7"/>
      <c r="H50" s="10" t="s">
        <v>764</v>
      </c>
      <c r="I50" s="25" t="e">
        <f ca="1">_xll.EVPRO($B$1,$H50,"STYLE")</f>
        <v>#NAME?</v>
      </c>
      <c r="J50" s="25" t="e">
        <f ca="1">_xll.EVPRO($B$1,$H50,"CALC")</f>
        <v>#NAME?</v>
      </c>
      <c r="K50" s="24"/>
      <c r="L50" s="24" t="e">
        <f ca="1">_xll.EVPRO($B$1,H50,"JDEID")</f>
        <v>#NAME?</v>
      </c>
      <c r="M50" s="24" t="e">
        <f ca="1">IF(AND(I50="N",J50="N"),_xll.EVPRO($B$1,H50,"PSFTID"),"")</f>
        <v>#NAME?</v>
      </c>
      <c r="N50" s="24" t="e">
        <f ca="1">IF(_xll.EVDES(H50,$B$1)="#NODATA","",_xll.EVDES(H50,$B$1))</f>
        <v>#NAME?</v>
      </c>
      <c r="O50" s="35"/>
      <c r="P50" s="35"/>
      <c r="Q50" s="35"/>
      <c r="R50" s="35"/>
      <c r="S50" s="35"/>
      <c r="T50" s="35"/>
      <c r="U50" s="35"/>
      <c r="V50" s="35"/>
      <c r="W50" s="35"/>
      <c r="X50" s="35"/>
      <c r="Y50" s="35"/>
      <c r="Z50" s="35"/>
      <c r="AA50" s="35">
        <f t="shared" si="6"/>
        <v>0</v>
      </c>
      <c r="AB50" s="36"/>
      <c r="AD50" s="35"/>
      <c r="AE50" s="36"/>
      <c r="AF50" s="118">
        <f t="shared" si="7"/>
        <v>0</v>
      </c>
      <c r="AG50" s="35"/>
      <c r="AH50" s="36"/>
      <c r="AI50" s="118">
        <f t="shared" si="8"/>
        <v>0</v>
      </c>
    </row>
    <row r="51" spans="1:35" x14ac:dyDescent="0.2">
      <c r="A51" s="6" t="s">
        <v>39</v>
      </c>
      <c r="B51" s="7"/>
      <c r="H51" s="10" t="s">
        <v>298</v>
      </c>
      <c r="I51" s="25" t="e">
        <f ca="1">_xll.EVPRO($B$1,$H51,"STYLE")</f>
        <v>#NAME?</v>
      </c>
      <c r="J51" s="25" t="e">
        <f ca="1">_xll.EVPRO($B$1,$H51,"CALC")</f>
        <v>#NAME?</v>
      </c>
      <c r="K51" s="24"/>
      <c r="L51" s="24" t="e">
        <f ca="1">_xll.EVPRO($B$1,H51,"JDEID")</f>
        <v>#NAME?</v>
      </c>
      <c r="M51" s="24" t="e">
        <f ca="1">IF(AND(I51="N",J51="N"),_xll.EVPRO($B$1,H51,"PSFTID"),"")</f>
        <v>#NAME?</v>
      </c>
      <c r="N51" s="24" t="e">
        <f ca="1">IF(_xll.EVDES(H51,$B$1)="#NODATA","",_xll.EVDES(H51,$B$1))</f>
        <v>#NAME?</v>
      </c>
      <c r="O51" s="35"/>
      <c r="P51" s="35"/>
      <c r="Q51" s="35"/>
      <c r="R51" s="35"/>
      <c r="S51" s="35"/>
      <c r="T51" s="35"/>
      <c r="U51" s="35"/>
      <c r="V51" s="35"/>
      <c r="W51" s="35"/>
      <c r="X51" s="35"/>
      <c r="Y51" s="35"/>
      <c r="Z51" s="35"/>
      <c r="AA51" s="35">
        <f t="shared" si="6"/>
        <v>0</v>
      </c>
      <c r="AB51" s="36" t="str">
        <f>IF(AA51=0,"",IFERROR(AA51/AA$87,""))</f>
        <v/>
      </c>
      <c r="AD51" s="35"/>
      <c r="AE51" s="36" t="str">
        <f>IF(AD51=0,"",IFERROR(AD51/AD$87,""))</f>
        <v/>
      </c>
      <c r="AF51" s="118">
        <f t="shared" si="7"/>
        <v>0</v>
      </c>
      <c r="AG51" s="35"/>
      <c r="AH51" s="36" t="str">
        <f>IF(AG51=0,"",IFERROR(AG51/AG$87,""))</f>
        <v/>
      </c>
      <c r="AI51" s="118">
        <f t="shared" si="8"/>
        <v>0</v>
      </c>
    </row>
    <row r="52" spans="1:35" x14ac:dyDescent="0.2">
      <c r="A52" s="6" t="s">
        <v>40</v>
      </c>
      <c r="B52" s="7"/>
      <c r="H52" s="10" t="s">
        <v>315</v>
      </c>
      <c r="I52" s="25" t="e">
        <f ca="1">_xll.EVPRO($B$1,$H52,"STYLE")</f>
        <v>#NAME?</v>
      </c>
      <c r="J52" s="25" t="e">
        <f ca="1">_xll.EVPRO($B$1,$H52,"CALC")</f>
        <v>#NAME?</v>
      </c>
      <c r="K52" s="24"/>
      <c r="L52" s="24" t="e">
        <f ca="1">_xll.EVPRO($B$1,H52,"JDEID")</f>
        <v>#NAME?</v>
      </c>
      <c r="M52" s="24" t="e">
        <f ca="1">IF(AND(I52="N",J52="N"),_xll.EVPRO($B$1,H52,"PSFTID"),"")</f>
        <v>#NAME?</v>
      </c>
      <c r="N52" s="151" t="e">
        <f ca="1">IF(_xll.EVDES(H52,$B$1)="#NODATA","",_xll.EVDES(H52,$B$1))</f>
        <v>#NAME?</v>
      </c>
      <c r="O52" s="157"/>
      <c r="P52" s="157"/>
      <c r="Q52" s="157"/>
      <c r="R52" s="157"/>
      <c r="S52" s="157"/>
      <c r="T52" s="157"/>
      <c r="U52" s="157"/>
      <c r="V52" s="157"/>
      <c r="W52" s="157"/>
      <c r="X52" s="157"/>
      <c r="Y52" s="157"/>
      <c r="Z52" s="157"/>
      <c r="AA52" s="157" t="str">
        <f>IFERROR(AA49/AA51,"")</f>
        <v/>
      </c>
      <c r="AB52" s="157"/>
      <c r="AD52" s="157"/>
      <c r="AE52" s="157"/>
      <c r="AF52" s="158" t="str">
        <f t="shared" si="7"/>
        <v/>
      </c>
      <c r="AG52" s="157"/>
      <c r="AH52" s="157"/>
      <c r="AI52" s="158" t="str">
        <f t="shared" si="8"/>
        <v/>
      </c>
    </row>
    <row r="53" spans="1:35" x14ac:dyDescent="0.2">
      <c r="A53" s="6" t="s">
        <v>41</v>
      </c>
      <c r="B53" s="7"/>
      <c r="G53" s="162">
        <f>COUNTIF(O54:AI54,FALSE)</f>
        <v>0</v>
      </c>
      <c r="H53" s="10"/>
      <c r="I53" s="25"/>
      <c r="J53" s="25"/>
      <c r="K53" s="24"/>
      <c r="L53" s="24"/>
      <c r="M53" s="24"/>
      <c r="N53" s="163" t="s">
        <v>345</v>
      </c>
      <c r="O53" s="160">
        <f t="shared" ref="O53:AA53" si="9">ROUND(IFERROR(O49/O51,0),2)</f>
        <v>0</v>
      </c>
      <c r="P53" s="165">
        <f t="shared" si="9"/>
        <v>0</v>
      </c>
      <c r="Q53" s="165">
        <f t="shared" si="9"/>
        <v>0</v>
      </c>
      <c r="R53" s="165">
        <f t="shared" si="9"/>
        <v>0</v>
      </c>
      <c r="S53" s="165">
        <f t="shared" si="9"/>
        <v>0</v>
      </c>
      <c r="T53" s="165">
        <f t="shared" si="9"/>
        <v>0</v>
      </c>
      <c r="U53" s="165">
        <f t="shared" si="9"/>
        <v>0</v>
      </c>
      <c r="V53" s="165">
        <f t="shared" si="9"/>
        <v>0</v>
      </c>
      <c r="W53" s="165">
        <f t="shared" si="9"/>
        <v>0</v>
      </c>
      <c r="X53" s="165">
        <f t="shared" si="9"/>
        <v>0</v>
      </c>
      <c r="Y53" s="165">
        <f t="shared" si="9"/>
        <v>0</v>
      </c>
      <c r="Z53" s="165">
        <f t="shared" si="9"/>
        <v>0</v>
      </c>
      <c r="AA53" s="165">
        <f t="shared" si="9"/>
        <v>0</v>
      </c>
      <c r="AB53" s="164"/>
      <c r="AD53" s="160">
        <f>ROUND(IFERROR(AD49/AD51,0),2)</f>
        <v>0</v>
      </c>
      <c r="AE53" s="165"/>
      <c r="AF53" s="161"/>
      <c r="AG53" s="160">
        <f>ROUND(IFERROR(AG49/AG51,0),2)</f>
        <v>0</v>
      </c>
      <c r="AH53" s="165"/>
      <c r="AI53" s="161"/>
    </row>
    <row r="54" spans="1:35" x14ac:dyDescent="0.2">
      <c r="A54" s="6" t="s">
        <v>42</v>
      </c>
      <c r="B54" s="7"/>
      <c r="H54" s="10"/>
      <c r="I54" s="25"/>
      <c r="J54" s="25"/>
      <c r="K54" s="24"/>
      <c r="L54" s="24"/>
      <c r="M54" s="24"/>
      <c r="N54" s="8" t="s">
        <v>316</v>
      </c>
      <c r="O54" s="292" t="b">
        <f t="shared" ref="O54:AA54" si="10">ROUND(O52,2)=ROUND(O53,2)</f>
        <v>1</v>
      </c>
      <c r="P54" s="293" t="b">
        <f t="shared" si="10"/>
        <v>1</v>
      </c>
      <c r="Q54" s="293" t="b">
        <f t="shared" si="10"/>
        <v>1</v>
      </c>
      <c r="R54" s="293" t="b">
        <f t="shared" si="10"/>
        <v>1</v>
      </c>
      <c r="S54" s="293" t="b">
        <f t="shared" si="10"/>
        <v>1</v>
      </c>
      <c r="T54" s="293" t="b">
        <f t="shared" si="10"/>
        <v>1</v>
      </c>
      <c r="U54" s="293" t="b">
        <f t="shared" si="10"/>
        <v>1</v>
      </c>
      <c r="V54" s="293" t="b">
        <f t="shared" si="10"/>
        <v>1</v>
      </c>
      <c r="W54" s="293" t="b">
        <f t="shared" si="10"/>
        <v>1</v>
      </c>
      <c r="X54" s="293" t="b">
        <f t="shared" si="10"/>
        <v>1</v>
      </c>
      <c r="Y54" s="293" t="b">
        <f t="shared" si="10"/>
        <v>1</v>
      </c>
      <c r="Z54" s="293" t="b">
        <f t="shared" si="10"/>
        <v>1</v>
      </c>
      <c r="AA54" s="293" t="e">
        <f t="shared" si="10"/>
        <v>#VALUE!</v>
      </c>
      <c r="AB54" s="294"/>
      <c r="AC54" s="206"/>
      <c r="AD54" s="292"/>
      <c r="AE54" s="293" t="b">
        <f>ROUND(AD52,2)=ROUND(AD53,2)</f>
        <v>1</v>
      </c>
      <c r="AF54" s="294"/>
      <c r="AG54" s="292"/>
      <c r="AH54" s="293" t="b">
        <f>ROUND(AG52,2)=ROUND(AG53,2)</f>
        <v>1</v>
      </c>
      <c r="AI54" s="294"/>
    </row>
    <row r="55" spans="1:35" x14ac:dyDescent="0.2">
      <c r="A55" s="6" t="s">
        <v>43</v>
      </c>
      <c r="B55" s="7"/>
      <c r="H55" s="10" t="s">
        <v>262</v>
      </c>
      <c r="I55" s="25" t="e">
        <f ca="1">_xll.EVPRO($B$1,$H55,"STYLE")</f>
        <v>#NAME?</v>
      </c>
      <c r="J55" s="25" t="e">
        <f ca="1">_xll.EVPRO($B$1,$H55,"CALC")</f>
        <v>#NAME?</v>
      </c>
      <c r="K55" s="24"/>
      <c r="L55" s="24" t="e">
        <f ca="1">_xll.EVPRO($B$1,H55,"JDEID")</f>
        <v>#NAME?</v>
      </c>
      <c r="M55" s="24" t="e">
        <f ca="1">IF(AND(I55="N",J55="N"),_xll.EVPRO($B$1,H55,"PSFTID"),"")</f>
        <v>#NAME?</v>
      </c>
      <c r="N55" s="24" t="e">
        <f ca="1">IF(_xll.EVDES(H55,$B$1)="#NODATA","",_xll.EVDES(H55,$B$1))</f>
        <v>#NAME?</v>
      </c>
      <c r="O55" s="19"/>
      <c r="P55" s="19"/>
      <c r="Q55" s="19"/>
      <c r="R55" s="19"/>
      <c r="S55" s="19"/>
      <c r="T55" s="19"/>
      <c r="U55" s="19"/>
      <c r="V55" s="19"/>
      <c r="W55" s="19"/>
      <c r="X55" s="19"/>
      <c r="Y55" s="19"/>
      <c r="Z55" s="19"/>
      <c r="AA55" s="19">
        <f t="shared" ref="AA55:AA61" si="11">SUM(O55:Z55)</f>
        <v>0</v>
      </c>
      <c r="AB55" s="15" t="str">
        <f>IF(AA55=0,"",IFERROR(AA55/AA$19,""))</f>
        <v/>
      </c>
      <c r="AD55" s="19"/>
      <c r="AE55" s="15" t="str">
        <f>IF(AD55=0,"",IFERROR(AD55/AD$19,""))</f>
        <v/>
      </c>
      <c r="AF55" s="47">
        <f t="shared" ref="AF55:AF62" si="12">IF(AND($AA55="",AD55=""),"",$AA55-AD55)</f>
        <v>0</v>
      </c>
      <c r="AG55" s="19"/>
      <c r="AH55" s="15" t="str">
        <f t="shared" si="3"/>
        <v/>
      </c>
      <c r="AI55" s="47">
        <f t="shared" ref="AI55:AI62" si="13">IF(AND($AA55="",AG55=""),"",$AA55-AG55)</f>
        <v>0</v>
      </c>
    </row>
    <row r="56" spans="1:35" x14ac:dyDescent="0.2">
      <c r="A56" s="6" t="s">
        <v>44</v>
      </c>
      <c r="B56" s="7"/>
      <c r="H56" s="10" t="s">
        <v>302</v>
      </c>
      <c r="I56" s="25" t="e">
        <f ca="1">_xll.EVPRO($B$1,$H56,"STYLE")</f>
        <v>#NAME?</v>
      </c>
      <c r="J56" s="25" t="e">
        <f ca="1">_xll.EVPRO($B$1,$H56,"CALC")</f>
        <v>#NAME?</v>
      </c>
      <c r="K56" s="24"/>
      <c r="L56" s="24" t="e">
        <f ca="1">_xll.EVPRO($B$1,H56,"JDEID")</f>
        <v>#NAME?</v>
      </c>
      <c r="M56" s="24" t="e">
        <f ca="1">IF(AND(I56="N",J56="N"),_xll.EVPRO($B$1,H56,"PSFTID"),"")</f>
        <v>#NAME?</v>
      </c>
      <c r="N56" s="24" t="e">
        <f ca="1">IF(_xll.EVDES(H56,$B$1)="#NODATA","",_xll.EVDES(H56,$B$1))</f>
        <v>#NAME?</v>
      </c>
      <c r="O56" s="19"/>
      <c r="P56" s="19"/>
      <c r="Q56" s="19"/>
      <c r="R56" s="19"/>
      <c r="S56" s="19"/>
      <c r="T56" s="19"/>
      <c r="U56" s="19"/>
      <c r="V56" s="19"/>
      <c r="W56" s="19"/>
      <c r="X56" s="19"/>
      <c r="Y56" s="19"/>
      <c r="Z56" s="19"/>
      <c r="AA56" s="19">
        <f t="shared" si="11"/>
        <v>0</v>
      </c>
      <c r="AB56" s="15" t="str">
        <f>IF(AA56=0,"",IFERROR(AA56/AA$19,""))</f>
        <v/>
      </c>
      <c r="AD56" s="19"/>
      <c r="AE56" s="15" t="str">
        <f>IF(AD56=0,"",IFERROR(AD56/AD$19,""))</f>
        <v/>
      </c>
      <c r="AF56" s="47">
        <f t="shared" si="12"/>
        <v>0</v>
      </c>
      <c r="AG56" s="19"/>
      <c r="AH56" s="15" t="str">
        <f t="shared" si="3"/>
        <v/>
      </c>
      <c r="AI56" s="47">
        <f t="shared" si="13"/>
        <v>0</v>
      </c>
    </row>
    <row r="57" spans="1:35" x14ac:dyDescent="0.2">
      <c r="A57" s="6" t="s">
        <v>45</v>
      </c>
      <c r="B57" s="7"/>
      <c r="H57" s="10" t="s">
        <v>306</v>
      </c>
      <c r="I57" s="25" t="e">
        <f ca="1">_xll.EVPRO($B$1,$H57,"STYLE")</f>
        <v>#NAME?</v>
      </c>
      <c r="J57" s="25" t="e">
        <f ca="1">_xll.EVPRO($B$1,$H57,"CALC")</f>
        <v>#NAME?</v>
      </c>
      <c r="K57" s="24"/>
      <c r="L57" s="24" t="e">
        <f ca="1">_xll.EVPRO($B$1,H57,"JDEID")</f>
        <v>#NAME?</v>
      </c>
      <c r="M57" s="24" t="e">
        <f ca="1">IF(AND(I57="N",J57="N"),_xll.EVPRO($B$1,H57,"PSFTID"),"")</f>
        <v>#NAME?</v>
      </c>
      <c r="N57" s="24" t="e">
        <f ca="1">IF(_xll.EVDES(H57,$B$1)="#NODATA","",_xll.EVDES(H57,$B$1))</f>
        <v>#NAME?</v>
      </c>
      <c r="O57" s="19"/>
      <c r="P57" s="19"/>
      <c r="Q57" s="19"/>
      <c r="R57" s="19"/>
      <c r="S57" s="19"/>
      <c r="T57" s="19"/>
      <c r="U57" s="19"/>
      <c r="V57" s="19"/>
      <c r="W57" s="19"/>
      <c r="X57" s="19"/>
      <c r="Y57" s="19"/>
      <c r="Z57" s="19"/>
      <c r="AA57" s="19">
        <f t="shared" si="11"/>
        <v>0</v>
      </c>
      <c r="AB57" s="15" t="str">
        <f>IF(AA57=0,"",IFERROR(AA57/AA$19,""))</f>
        <v/>
      </c>
      <c r="AD57" s="19"/>
      <c r="AE57" s="15" t="str">
        <f>IF(AD57=0,"",IFERROR(AD57/AD$19,""))</f>
        <v/>
      </c>
      <c r="AF57" s="47">
        <f t="shared" si="12"/>
        <v>0</v>
      </c>
      <c r="AG57" s="19"/>
      <c r="AH57" s="15" t="str">
        <f t="shared" si="3"/>
        <v/>
      </c>
      <c r="AI57" s="47">
        <f t="shared" si="13"/>
        <v>0</v>
      </c>
    </row>
    <row r="58" spans="1:35" x14ac:dyDescent="0.2">
      <c r="A58" s="6" t="s">
        <v>46</v>
      </c>
      <c r="B58" s="7"/>
      <c r="H58" s="10" t="s">
        <v>304</v>
      </c>
      <c r="I58" s="25" t="e">
        <f ca="1">_xll.EVPRO($B$1,$H58,"STYLE")</f>
        <v>#NAME?</v>
      </c>
      <c r="J58" s="25" t="e">
        <f ca="1">_xll.EVPRO($B$1,$H58,"CALC")</f>
        <v>#NAME?</v>
      </c>
      <c r="K58" s="24"/>
      <c r="L58" s="24" t="e">
        <f ca="1">_xll.EVPRO($B$1,H58,"JDEID")</f>
        <v>#NAME?</v>
      </c>
      <c r="M58" s="24" t="e">
        <f ca="1">IF(AND(I58="N",J58="N"),_xll.EVPRO($B$1,H58,"PSFTID"),"")</f>
        <v>#NAME?</v>
      </c>
      <c r="N58" s="24" t="e">
        <f ca="1">IF(_xll.EVDES(H58,$B$1)="#NODATA","",_xll.EVDES(H58,$B$1))</f>
        <v>#NAME?</v>
      </c>
      <c r="O58" s="28"/>
      <c r="P58" s="28"/>
      <c r="Q58" s="28"/>
      <c r="R58" s="28"/>
      <c r="S58" s="28"/>
      <c r="T58" s="28"/>
      <c r="U58" s="28"/>
      <c r="V58" s="28"/>
      <c r="W58" s="28"/>
      <c r="X58" s="28"/>
      <c r="Y58" s="28"/>
      <c r="Z58" s="28"/>
      <c r="AA58" s="28">
        <f t="shared" si="11"/>
        <v>0</v>
      </c>
      <c r="AB58" s="29" t="str">
        <f>IF(AA58=0,"",IFERROR(AA58/AA$19,""))</f>
        <v/>
      </c>
      <c r="AD58" s="28"/>
      <c r="AE58" s="29" t="str">
        <f>IF(AD58=0,"",IFERROR(AD58/AD$19,""))</f>
        <v/>
      </c>
      <c r="AF58" s="48">
        <f t="shared" si="12"/>
        <v>0</v>
      </c>
      <c r="AG58" s="28"/>
      <c r="AH58" s="29" t="str">
        <f t="shared" si="3"/>
        <v/>
      </c>
      <c r="AI58" s="48">
        <f t="shared" si="13"/>
        <v>0</v>
      </c>
    </row>
    <row r="59" spans="1:35" x14ac:dyDescent="0.2">
      <c r="H59" s="10" t="s">
        <v>320</v>
      </c>
      <c r="I59" s="25" t="e">
        <f ca="1">_xll.EVPRO($B$1,$H59,"STYLE")</f>
        <v>#NAME?</v>
      </c>
      <c r="J59" s="25" t="e">
        <f ca="1">_xll.EVPRO($B$1,$H59,"CALC")</f>
        <v>#NAME?</v>
      </c>
      <c r="K59" s="24"/>
      <c r="L59" s="24" t="e">
        <f ca="1">_xll.EVPRO($B$1,H59,"JDEID")</f>
        <v>#NAME?</v>
      </c>
      <c r="M59" s="24" t="e">
        <f ca="1">IF(AND(I59="N",J59="N"),_xll.EVPRO($B$1,H59,"PSFTID"),"")</f>
        <v>#NAME?</v>
      </c>
      <c r="N59" s="23" t="e">
        <f ca="1">IF(_xll.EVDES(H59,$B$1)="#NODATA","",_xll.EVDES(H59,$B$1))</f>
        <v>#NAME?</v>
      </c>
      <c r="O59" s="145"/>
      <c r="P59" s="145"/>
      <c r="Q59" s="145"/>
      <c r="R59" s="145"/>
      <c r="S59" s="145"/>
      <c r="T59" s="145"/>
      <c r="U59" s="145"/>
      <c r="V59" s="145"/>
      <c r="W59" s="145"/>
      <c r="X59" s="145"/>
      <c r="Y59" s="145"/>
      <c r="Z59" s="145"/>
      <c r="AA59" s="145">
        <f t="shared" si="11"/>
        <v>0</v>
      </c>
      <c r="AB59" s="156" t="str">
        <f>IF(AA59=0,"",IFERROR(AA59/AA$19,""))</f>
        <v/>
      </c>
      <c r="AD59" s="145"/>
      <c r="AE59" s="156" t="str">
        <f>IF(AD59=0,"",IFERROR(AD59/AD$19,""))</f>
        <v/>
      </c>
      <c r="AF59" s="146">
        <f t="shared" si="12"/>
        <v>0</v>
      </c>
      <c r="AG59" s="145"/>
      <c r="AH59" s="156" t="str">
        <f t="shared" si="3"/>
        <v/>
      </c>
      <c r="AI59" s="146">
        <f t="shared" si="13"/>
        <v>0</v>
      </c>
    </row>
    <row r="60" spans="1:35" x14ac:dyDescent="0.2">
      <c r="H60" s="10" t="s">
        <v>765</v>
      </c>
      <c r="I60" s="25" t="e">
        <f ca="1">_xll.EVPRO($B$1,$H60,"STYLE")</f>
        <v>#NAME?</v>
      </c>
      <c r="J60" s="25" t="e">
        <f ca="1">_xll.EVPRO($B$1,$H60,"CALC")</f>
        <v>#NAME?</v>
      </c>
      <c r="K60" s="24"/>
      <c r="L60" s="24" t="e">
        <f ca="1">_xll.EVPRO($B$1,H60,"JDEID")</f>
        <v>#NAME?</v>
      </c>
      <c r="M60" s="24" t="e">
        <f ca="1">IF(AND(I60="N",J60="N"),_xll.EVPRO($B$1,H60,"PSFTID"),"")</f>
        <v>#NAME?</v>
      </c>
      <c r="N60" s="24" t="e">
        <f ca="1">IF(_xll.EVDES(H60,$B$1)="#NODATA","",_xll.EVDES(H60,$B$1))</f>
        <v>#NAME?</v>
      </c>
      <c r="O60" s="35"/>
      <c r="P60" s="35"/>
      <c r="Q60" s="35"/>
      <c r="R60" s="35"/>
      <c r="S60" s="35"/>
      <c r="T60" s="35"/>
      <c r="U60" s="35"/>
      <c r="V60" s="35"/>
      <c r="W60" s="35"/>
      <c r="X60" s="35"/>
      <c r="Y60" s="35"/>
      <c r="Z60" s="35"/>
      <c r="AA60" s="35">
        <f t="shared" si="11"/>
        <v>0</v>
      </c>
      <c r="AB60" s="36"/>
      <c r="AD60" s="35"/>
      <c r="AE60" s="36"/>
      <c r="AF60" s="118">
        <f t="shared" si="12"/>
        <v>0</v>
      </c>
      <c r="AG60" s="35"/>
      <c r="AH60" s="36"/>
      <c r="AI60" s="118">
        <f t="shared" si="13"/>
        <v>0</v>
      </c>
    </row>
    <row r="61" spans="1:35" x14ac:dyDescent="0.2">
      <c r="H61" s="10" t="s">
        <v>299</v>
      </c>
      <c r="I61" s="25" t="e">
        <f ca="1">_xll.EVPRO($B$1,$H61,"STYLE")</f>
        <v>#NAME?</v>
      </c>
      <c r="J61" s="25" t="e">
        <f ca="1">_xll.EVPRO($B$1,$H61,"CALC")</f>
        <v>#NAME?</v>
      </c>
      <c r="K61" s="24"/>
      <c r="L61" s="24" t="e">
        <f ca="1">_xll.EVPRO($B$1,H61,"JDEID")</f>
        <v>#NAME?</v>
      </c>
      <c r="M61" s="24" t="e">
        <f ca="1">IF(AND(I61="N",J61="N"),_xll.EVPRO($B$1,H61,"PSFTID"),"")</f>
        <v>#NAME?</v>
      </c>
      <c r="N61" s="24" t="e">
        <f ca="1">IF(_xll.EVDES(H61,$B$1)="#NODATA","",_xll.EVDES(H61,$B$1))</f>
        <v>#NAME?</v>
      </c>
      <c r="O61" s="35"/>
      <c r="P61" s="35"/>
      <c r="Q61" s="35"/>
      <c r="R61" s="35"/>
      <c r="S61" s="35"/>
      <c r="T61" s="35"/>
      <c r="U61" s="35"/>
      <c r="V61" s="35"/>
      <c r="W61" s="35"/>
      <c r="X61" s="35"/>
      <c r="Y61" s="35"/>
      <c r="Z61" s="35"/>
      <c r="AA61" s="35">
        <f t="shared" si="11"/>
        <v>0</v>
      </c>
      <c r="AB61" s="36" t="str">
        <f>IF(AA61=0,"",IFERROR(AA61/AA$87,""))</f>
        <v/>
      </c>
      <c r="AD61" s="35"/>
      <c r="AE61" s="36" t="str">
        <f>IF(AD61=0,"",IFERROR(AD61/AD$87,""))</f>
        <v/>
      </c>
      <c r="AF61" s="118">
        <f t="shared" si="12"/>
        <v>0</v>
      </c>
      <c r="AG61" s="35"/>
      <c r="AH61" s="36" t="str">
        <f>IF(AG61=0,"",IFERROR(AG61/AG$87,""))</f>
        <v/>
      </c>
      <c r="AI61" s="118">
        <f t="shared" si="13"/>
        <v>0</v>
      </c>
    </row>
    <row r="62" spans="1:35" x14ac:dyDescent="0.2">
      <c r="H62" s="133" t="s">
        <v>317</v>
      </c>
      <c r="I62" s="25" t="e">
        <f ca="1">_xll.EVPRO($B$1,$H62,"STYLE")</f>
        <v>#NAME?</v>
      </c>
      <c r="J62" s="25" t="e">
        <f ca="1">_xll.EVPRO($B$1,$H62,"CALC")</f>
        <v>#NAME?</v>
      </c>
      <c r="K62" s="24"/>
      <c r="L62" s="24" t="e">
        <f ca="1">_xll.EVPRO($B$1,H62,"JDEID")</f>
        <v>#NAME?</v>
      </c>
      <c r="M62" s="24" t="e">
        <f ca="1">IF(AND(I62="N",J62="N"),_xll.EVPRO($B$1,H62,"PSFTID"),"")</f>
        <v>#NAME?</v>
      </c>
      <c r="N62" s="151" t="e">
        <f ca="1">IF(_xll.EVDES(H62,$B$1)="#NODATA","",_xll.EVDES(H62,$B$1))</f>
        <v>#NAME?</v>
      </c>
      <c r="O62" s="157"/>
      <c r="P62" s="157"/>
      <c r="Q62" s="157"/>
      <c r="R62" s="157"/>
      <c r="S62" s="157"/>
      <c r="T62" s="157"/>
      <c r="U62" s="157"/>
      <c r="V62" s="157"/>
      <c r="W62" s="157"/>
      <c r="X62" s="157"/>
      <c r="Y62" s="157"/>
      <c r="Z62" s="157"/>
      <c r="AA62" s="157" t="str">
        <f>IFERROR(AA59/AA61,"")</f>
        <v/>
      </c>
      <c r="AB62" s="157"/>
      <c r="AD62" s="157"/>
      <c r="AE62" s="157"/>
      <c r="AF62" s="158" t="str">
        <f t="shared" si="12"/>
        <v/>
      </c>
      <c r="AG62" s="157"/>
      <c r="AH62" s="157"/>
      <c r="AI62" s="158" t="str">
        <f t="shared" si="13"/>
        <v/>
      </c>
    </row>
    <row r="63" spans="1:35" x14ac:dyDescent="0.2">
      <c r="G63" s="162">
        <f>COUNTIF(O64:AI64,FALSE)</f>
        <v>0</v>
      </c>
      <c r="H63" s="10"/>
      <c r="I63" s="25"/>
      <c r="J63" s="25"/>
      <c r="K63" s="24"/>
      <c r="L63" s="24"/>
      <c r="M63" s="24"/>
      <c r="N63" s="163" t="s">
        <v>345</v>
      </c>
      <c r="O63" s="160">
        <f t="shared" ref="O63:AA63" si="14">ROUND(IFERROR(O59/O61,0),2)</f>
        <v>0</v>
      </c>
      <c r="P63" s="165">
        <f t="shared" si="14"/>
        <v>0</v>
      </c>
      <c r="Q63" s="165">
        <f t="shared" si="14"/>
        <v>0</v>
      </c>
      <c r="R63" s="165">
        <f t="shared" si="14"/>
        <v>0</v>
      </c>
      <c r="S63" s="165">
        <f t="shared" si="14"/>
        <v>0</v>
      </c>
      <c r="T63" s="165">
        <f t="shared" si="14"/>
        <v>0</v>
      </c>
      <c r="U63" s="165">
        <f t="shared" si="14"/>
        <v>0</v>
      </c>
      <c r="V63" s="165">
        <f t="shared" si="14"/>
        <v>0</v>
      </c>
      <c r="W63" s="165">
        <f t="shared" si="14"/>
        <v>0</v>
      </c>
      <c r="X63" s="165">
        <f t="shared" si="14"/>
        <v>0</v>
      </c>
      <c r="Y63" s="165">
        <f t="shared" si="14"/>
        <v>0</v>
      </c>
      <c r="Z63" s="165">
        <f t="shared" si="14"/>
        <v>0</v>
      </c>
      <c r="AA63" s="165">
        <f t="shared" si="14"/>
        <v>0</v>
      </c>
      <c r="AB63" s="164"/>
      <c r="AD63" s="160">
        <f>ROUND(IFERROR(AD59/AD61,0),2)</f>
        <v>0</v>
      </c>
      <c r="AE63" s="165"/>
      <c r="AF63" s="161"/>
      <c r="AG63" s="160">
        <f>ROUND(IFERROR(AG59/AG61,0),2)</f>
        <v>0</v>
      </c>
      <c r="AH63" s="165"/>
      <c r="AI63" s="161"/>
    </row>
    <row r="64" spans="1:35" x14ac:dyDescent="0.2">
      <c r="H64" s="133"/>
      <c r="I64" s="25"/>
      <c r="J64" s="25"/>
      <c r="K64" s="24"/>
      <c r="L64" s="24"/>
      <c r="M64" s="24"/>
      <c r="N64" s="8" t="s">
        <v>307</v>
      </c>
      <c r="O64" s="292" t="b">
        <f t="shared" ref="O64:AA64" si="15">ROUND(O62,2)=ROUND(O63,2)</f>
        <v>1</v>
      </c>
      <c r="P64" s="293" t="b">
        <f t="shared" si="15"/>
        <v>1</v>
      </c>
      <c r="Q64" s="293" t="b">
        <f t="shared" si="15"/>
        <v>1</v>
      </c>
      <c r="R64" s="293" t="b">
        <f t="shared" si="15"/>
        <v>1</v>
      </c>
      <c r="S64" s="293" t="b">
        <f t="shared" si="15"/>
        <v>1</v>
      </c>
      <c r="T64" s="293" t="b">
        <f t="shared" si="15"/>
        <v>1</v>
      </c>
      <c r="U64" s="293" t="b">
        <f t="shared" si="15"/>
        <v>1</v>
      </c>
      <c r="V64" s="293" t="b">
        <f t="shared" si="15"/>
        <v>1</v>
      </c>
      <c r="W64" s="293" t="b">
        <f t="shared" si="15"/>
        <v>1</v>
      </c>
      <c r="X64" s="293" t="b">
        <f t="shared" si="15"/>
        <v>1</v>
      </c>
      <c r="Y64" s="293" t="b">
        <f t="shared" si="15"/>
        <v>1</v>
      </c>
      <c r="Z64" s="293" t="b">
        <f t="shared" si="15"/>
        <v>1</v>
      </c>
      <c r="AA64" s="293" t="e">
        <f t="shared" si="15"/>
        <v>#VALUE!</v>
      </c>
      <c r="AB64" s="294"/>
      <c r="AC64" s="206"/>
      <c r="AD64" s="292"/>
      <c r="AE64" s="293" t="b">
        <f>ROUND(AD62,2)=ROUND(AD63,2)</f>
        <v>1</v>
      </c>
      <c r="AF64" s="294"/>
      <c r="AG64" s="292"/>
      <c r="AH64" s="293" t="b">
        <f>ROUND(AG62,2)=ROUND(AG63,2)</f>
        <v>1</v>
      </c>
      <c r="AI64" s="294"/>
    </row>
    <row r="65" spans="3:35" x14ac:dyDescent="0.2">
      <c r="H65" s="133" t="s">
        <v>263</v>
      </c>
      <c r="I65" s="25" t="e">
        <f ca="1">_xll.EVPRO($B$1,$H65,"STYLE")</f>
        <v>#NAME?</v>
      </c>
      <c r="J65" s="25" t="e">
        <f ca="1">_xll.EVPRO($B$1,$H65,"CALC")</f>
        <v>#NAME?</v>
      </c>
      <c r="K65" s="24"/>
      <c r="L65" s="24" t="e">
        <f ca="1">_xll.EVPRO($B$1,H65,"JDEID")</f>
        <v>#NAME?</v>
      </c>
      <c r="M65" s="24" t="e">
        <f ca="1">IF(AND(I65="N",J65="N"),_xll.EVPRO($B$1,H65,"PSFTID"),"")</f>
        <v>#NAME?</v>
      </c>
      <c r="N65" s="24" t="e">
        <f ca="1">IF(_xll.EVDES(H65,$B$1)="#NODATA","",_xll.EVDES(H65,$B$1))</f>
        <v>#NAME?</v>
      </c>
      <c r="O65" s="19"/>
      <c r="P65" s="19"/>
      <c r="Q65" s="19"/>
      <c r="R65" s="19"/>
      <c r="S65" s="19"/>
      <c r="T65" s="19"/>
      <c r="U65" s="19"/>
      <c r="V65" s="19"/>
      <c r="W65" s="19"/>
      <c r="X65" s="19"/>
      <c r="Y65" s="19"/>
      <c r="Z65" s="19"/>
      <c r="AA65" s="19">
        <f t="shared" ref="AA65:AA71" si="16">SUM(O65:Z65)</f>
        <v>0</v>
      </c>
      <c r="AB65" s="15" t="str">
        <f>IF(AA65=0,"",IFERROR(AA65/AA$19,""))</f>
        <v/>
      </c>
      <c r="AD65" s="19"/>
      <c r="AE65" s="15" t="str">
        <f>IF(AD65=0,"",IFERROR(AD65/AD$19,""))</f>
        <v/>
      </c>
      <c r="AF65" s="47">
        <f t="shared" ref="AF65:AF72" si="17">IF(AND($AA65="",AD65=""),"",$AA65-AD65)</f>
        <v>0</v>
      </c>
      <c r="AG65" s="19"/>
      <c r="AH65" s="15" t="str">
        <f t="shared" si="3"/>
        <v/>
      </c>
      <c r="AI65" s="47">
        <f t="shared" ref="AI65:AI72" si="18">IF(AND($AA65="",AG65=""),"",$AA65-AG65)</f>
        <v>0</v>
      </c>
    </row>
    <row r="66" spans="3:35" x14ac:dyDescent="0.2">
      <c r="H66" s="133" t="s">
        <v>308</v>
      </c>
      <c r="I66" s="25" t="e">
        <f ca="1">_xll.EVPRO($B$1,$H66,"STYLE")</f>
        <v>#NAME?</v>
      </c>
      <c r="J66" s="25" t="e">
        <f ca="1">_xll.EVPRO($B$1,$H66,"CALC")</f>
        <v>#NAME?</v>
      </c>
      <c r="K66" s="24"/>
      <c r="L66" s="24" t="e">
        <f ca="1">_xll.EVPRO($B$1,H66,"JDEID")</f>
        <v>#NAME?</v>
      </c>
      <c r="M66" s="24" t="e">
        <f ca="1">IF(AND(I66="N",J66="N"),_xll.EVPRO($B$1,H66,"PSFTID"),"")</f>
        <v>#NAME?</v>
      </c>
      <c r="N66" s="24" t="e">
        <f ca="1">IF(_xll.EVDES(H66,$B$1)="#NODATA","",_xll.EVDES(H66,$B$1))</f>
        <v>#NAME?</v>
      </c>
      <c r="O66" s="19"/>
      <c r="P66" s="19"/>
      <c r="Q66" s="19"/>
      <c r="R66" s="19"/>
      <c r="S66" s="19"/>
      <c r="T66" s="19"/>
      <c r="U66" s="19"/>
      <c r="V66" s="19"/>
      <c r="W66" s="19"/>
      <c r="X66" s="19"/>
      <c r="Y66" s="19"/>
      <c r="Z66" s="19"/>
      <c r="AA66" s="19">
        <f t="shared" si="16"/>
        <v>0</v>
      </c>
      <c r="AB66" s="15" t="str">
        <f>IF(AA66=0,"",IFERROR(AA66/AA$19,""))</f>
        <v/>
      </c>
      <c r="AD66" s="19"/>
      <c r="AE66" s="15" t="str">
        <f>IF(AD66=0,"",IFERROR(AD66/AD$19,""))</f>
        <v/>
      </c>
      <c r="AF66" s="47">
        <f t="shared" si="17"/>
        <v>0</v>
      </c>
      <c r="AG66" s="19"/>
      <c r="AH66" s="15" t="str">
        <f t="shared" si="3"/>
        <v/>
      </c>
      <c r="AI66" s="47">
        <f t="shared" si="18"/>
        <v>0</v>
      </c>
    </row>
    <row r="67" spans="3:35" x14ac:dyDescent="0.2">
      <c r="H67" s="133" t="s">
        <v>310</v>
      </c>
      <c r="I67" s="25" t="e">
        <f ca="1">_xll.EVPRO($B$1,$H67,"STYLE")</f>
        <v>#NAME?</v>
      </c>
      <c r="J67" s="25" t="e">
        <f ca="1">_xll.EVPRO($B$1,$H67,"CALC")</f>
        <v>#NAME?</v>
      </c>
      <c r="K67" s="24"/>
      <c r="L67" s="24" t="e">
        <f ca="1">_xll.EVPRO($B$1,H67,"JDEID")</f>
        <v>#NAME?</v>
      </c>
      <c r="M67" s="24" t="e">
        <f ca="1">IF(AND(I67="N",J67="N"),_xll.EVPRO($B$1,H67,"PSFTID"),"")</f>
        <v>#NAME?</v>
      </c>
      <c r="N67" s="24" t="e">
        <f ca="1">IF(_xll.EVDES(H67,$B$1)="#NODATA","",_xll.EVDES(H67,$B$1))</f>
        <v>#NAME?</v>
      </c>
      <c r="O67" s="19"/>
      <c r="P67" s="19"/>
      <c r="Q67" s="19"/>
      <c r="R67" s="19"/>
      <c r="S67" s="19"/>
      <c r="T67" s="19"/>
      <c r="U67" s="19"/>
      <c r="V67" s="19"/>
      <c r="W67" s="19"/>
      <c r="X67" s="19"/>
      <c r="Y67" s="19"/>
      <c r="Z67" s="19"/>
      <c r="AA67" s="19">
        <f t="shared" si="16"/>
        <v>0</v>
      </c>
      <c r="AB67" s="15" t="str">
        <f>IF(AA67=0,"",IFERROR(AA67/AA$19,""))</f>
        <v/>
      </c>
      <c r="AD67" s="19"/>
      <c r="AE67" s="15" t="str">
        <f>IF(AD67=0,"",IFERROR(AD67/AD$19,""))</f>
        <v/>
      </c>
      <c r="AF67" s="47">
        <f t="shared" si="17"/>
        <v>0</v>
      </c>
      <c r="AG67" s="19"/>
      <c r="AH67" s="15" t="str">
        <f t="shared" si="3"/>
        <v/>
      </c>
      <c r="AI67" s="47">
        <f t="shared" si="18"/>
        <v>0</v>
      </c>
    </row>
    <row r="68" spans="3:35" x14ac:dyDescent="0.2">
      <c r="H68" s="133" t="s">
        <v>309</v>
      </c>
      <c r="I68" s="25" t="e">
        <f ca="1">_xll.EVPRO($B$1,$H68,"STYLE")</f>
        <v>#NAME?</v>
      </c>
      <c r="J68" s="25" t="e">
        <f ca="1">_xll.EVPRO($B$1,$H68,"CALC")</f>
        <v>#NAME?</v>
      </c>
      <c r="K68" s="24"/>
      <c r="L68" s="24" t="e">
        <f ca="1">_xll.EVPRO($B$1,H68,"JDEID")</f>
        <v>#NAME?</v>
      </c>
      <c r="M68" s="24" t="e">
        <f ca="1">IF(AND(I68="N",J68="N"),_xll.EVPRO($B$1,H68,"PSFTID"),"")</f>
        <v>#NAME?</v>
      </c>
      <c r="N68" s="24" t="e">
        <f ca="1">IF(_xll.EVDES(H68,$B$1)="#NODATA","",_xll.EVDES(H68,$B$1))</f>
        <v>#NAME?</v>
      </c>
      <c r="O68" s="28"/>
      <c r="P68" s="28"/>
      <c r="Q68" s="28"/>
      <c r="R68" s="28"/>
      <c r="S68" s="28"/>
      <c r="T68" s="28"/>
      <c r="U68" s="28"/>
      <c r="V68" s="28"/>
      <c r="W68" s="28"/>
      <c r="X68" s="28"/>
      <c r="Y68" s="28"/>
      <c r="Z68" s="28"/>
      <c r="AA68" s="28">
        <f t="shared" si="16"/>
        <v>0</v>
      </c>
      <c r="AB68" s="29" t="str">
        <f>IF(AA68=0,"",IFERROR(AA68/AA$19,""))</f>
        <v/>
      </c>
      <c r="AD68" s="28"/>
      <c r="AE68" s="29" t="str">
        <f>IF(AD68=0,"",IFERROR(AD68/AD$19,""))</f>
        <v/>
      </c>
      <c r="AF68" s="48">
        <f t="shared" si="17"/>
        <v>0</v>
      </c>
      <c r="AG68" s="28"/>
      <c r="AH68" s="29" t="str">
        <f t="shared" si="3"/>
        <v/>
      </c>
      <c r="AI68" s="48">
        <f t="shared" si="18"/>
        <v>0</v>
      </c>
    </row>
    <row r="69" spans="3:35" x14ac:dyDescent="0.2">
      <c r="H69" s="133" t="s">
        <v>327</v>
      </c>
      <c r="I69" s="25" t="e">
        <f ca="1">_xll.EVPRO($B$1,$H69,"STYLE")</f>
        <v>#NAME?</v>
      </c>
      <c r="J69" s="25" t="e">
        <f ca="1">_xll.EVPRO($B$1,$H69,"CALC")</f>
        <v>#NAME?</v>
      </c>
      <c r="K69" s="24"/>
      <c r="L69" s="24" t="e">
        <f ca="1">_xll.EVPRO($B$1,H69,"JDEID")</f>
        <v>#NAME?</v>
      </c>
      <c r="M69" s="24" t="e">
        <f ca="1">IF(AND(I69="N",J69="N"),_xll.EVPRO($B$1,H69,"PSFTID"),"")</f>
        <v>#NAME?</v>
      </c>
      <c r="N69" s="23" t="e">
        <f ca="1">IF(_xll.EVDES(H69,$B$1)="#NODATA","",_xll.EVDES(H69,$B$1))</f>
        <v>#NAME?</v>
      </c>
      <c r="O69" s="145"/>
      <c r="P69" s="145"/>
      <c r="Q69" s="145"/>
      <c r="R69" s="145"/>
      <c r="S69" s="145"/>
      <c r="T69" s="145"/>
      <c r="U69" s="145"/>
      <c r="V69" s="145"/>
      <c r="W69" s="145"/>
      <c r="X69" s="145"/>
      <c r="Y69" s="145"/>
      <c r="Z69" s="145"/>
      <c r="AA69" s="145">
        <f t="shared" si="16"/>
        <v>0</v>
      </c>
      <c r="AB69" s="156" t="str">
        <f>IF(AA69=0,"",IFERROR(AA69/AA$19,""))</f>
        <v/>
      </c>
      <c r="AD69" s="145"/>
      <c r="AE69" s="156" t="str">
        <f>IF(AD69=0,"",IFERROR(AD69/AD$19,""))</f>
        <v/>
      </c>
      <c r="AF69" s="146">
        <f t="shared" si="17"/>
        <v>0</v>
      </c>
      <c r="AG69" s="145"/>
      <c r="AH69" s="156" t="str">
        <f t="shared" si="3"/>
        <v/>
      </c>
      <c r="AI69" s="146">
        <f t="shared" si="18"/>
        <v>0</v>
      </c>
    </row>
    <row r="70" spans="3:35" x14ac:dyDescent="0.2">
      <c r="H70" s="133" t="s">
        <v>766</v>
      </c>
      <c r="I70" s="25" t="e">
        <f ca="1">_xll.EVPRO($B$1,$H70,"STYLE")</f>
        <v>#NAME?</v>
      </c>
      <c r="J70" s="25" t="e">
        <f ca="1">_xll.EVPRO($B$1,$H70,"CALC")</f>
        <v>#NAME?</v>
      </c>
      <c r="K70" s="24"/>
      <c r="L70" s="24" t="e">
        <f ca="1">_xll.EVPRO($B$1,H70,"JDEID")</f>
        <v>#NAME?</v>
      </c>
      <c r="M70" s="24" t="e">
        <f ca="1">IF(AND(I70="N",J70="N"),_xll.EVPRO($B$1,H70,"PSFTID"),"")</f>
        <v>#NAME?</v>
      </c>
      <c r="N70" s="24" t="e">
        <f ca="1">IF(_xll.EVDES(H70,$B$1)="#NODATA","",_xll.EVDES(H70,$B$1))</f>
        <v>#NAME?</v>
      </c>
      <c r="O70" s="35"/>
      <c r="P70" s="35"/>
      <c r="Q70" s="35"/>
      <c r="R70" s="35"/>
      <c r="S70" s="35"/>
      <c r="T70" s="35"/>
      <c r="U70" s="35"/>
      <c r="V70" s="35"/>
      <c r="W70" s="35"/>
      <c r="X70" s="35"/>
      <c r="Y70" s="35"/>
      <c r="Z70" s="35"/>
      <c r="AA70" s="35">
        <f t="shared" si="16"/>
        <v>0</v>
      </c>
      <c r="AB70" s="36"/>
      <c r="AD70" s="35"/>
      <c r="AE70" s="36"/>
      <c r="AF70" s="118">
        <f t="shared" si="17"/>
        <v>0</v>
      </c>
      <c r="AG70" s="35"/>
      <c r="AH70" s="36"/>
      <c r="AI70" s="118">
        <f t="shared" si="18"/>
        <v>0</v>
      </c>
    </row>
    <row r="71" spans="3:35" x14ac:dyDescent="0.2">
      <c r="H71" s="133" t="s">
        <v>326</v>
      </c>
      <c r="I71" s="25" t="e">
        <f ca="1">_xll.EVPRO($B$1,$H71,"STYLE")</f>
        <v>#NAME?</v>
      </c>
      <c r="J71" s="25" t="e">
        <f ca="1">_xll.EVPRO($B$1,$H71,"CALC")</f>
        <v>#NAME?</v>
      </c>
      <c r="K71" s="24"/>
      <c r="L71" s="24" t="e">
        <f ca="1">_xll.EVPRO($B$1,H71,"JDEID")</f>
        <v>#NAME?</v>
      </c>
      <c r="M71" s="24" t="e">
        <f ca="1">IF(AND(I71="N",J71="N"),_xll.EVPRO($B$1,H71,"PSFTID"),"")</f>
        <v>#NAME?</v>
      </c>
      <c r="N71" s="24" t="e">
        <f ca="1">IF(_xll.EVDES(H71,$B$1)="#NODATA","",_xll.EVDES(H71,$B$1))</f>
        <v>#NAME?</v>
      </c>
      <c r="O71" s="35"/>
      <c r="P71" s="35"/>
      <c r="Q71" s="35"/>
      <c r="R71" s="35"/>
      <c r="S71" s="35"/>
      <c r="T71" s="35"/>
      <c r="U71" s="35"/>
      <c r="V71" s="35"/>
      <c r="W71" s="35"/>
      <c r="X71" s="35"/>
      <c r="Y71" s="35"/>
      <c r="Z71" s="35"/>
      <c r="AA71" s="35">
        <f t="shared" si="16"/>
        <v>0</v>
      </c>
      <c r="AB71" s="36" t="str">
        <f>IF(AA71=0,"",IFERROR(AA71/AA$87,""))</f>
        <v/>
      </c>
      <c r="AD71" s="35"/>
      <c r="AE71" s="36" t="str">
        <f>IF(AD71=0,"",IFERROR(AD71/AD$87,""))</f>
        <v/>
      </c>
      <c r="AF71" s="118">
        <f t="shared" si="17"/>
        <v>0</v>
      </c>
      <c r="AG71" s="35"/>
      <c r="AH71" s="36" t="str">
        <f>IF(AG71=0,"",IFERROR(AG71/AG$87,""))</f>
        <v/>
      </c>
      <c r="AI71" s="118">
        <f t="shared" si="18"/>
        <v>0</v>
      </c>
    </row>
    <row r="72" spans="3:35" x14ac:dyDescent="0.2">
      <c r="H72" s="133" t="s">
        <v>328</v>
      </c>
      <c r="I72" s="25" t="e">
        <f ca="1">_xll.EVPRO($B$1,$H72,"STYLE")</f>
        <v>#NAME?</v>
      </c>
      <c r="J72" s="25" t="e">
        <f ca="1">_xll.EVPRO($B$1,$H72,"CALC")</f>
        <v>#NAME?</v>
      </c>
      <c r="K72" s="24"/>
      <c r="L72" s="24" t="e">
        <f ca="1">_xll.EVPRO($B$1,H72,"JDEID")</f>
        <v>#NAME?</v>
      </c>
      <c r="M72" s="24" t="e">
        <f ca="1">IF(AND(I72="N",J72="N"),_xll.EVPRO($B$1,H72,"PSFTID"),"")</f>
        <v>#NAME?</v>
      </c>
      <c r="N72" s="151" t="e">
        <f ca="1">IF(_xll.EVDES(H72,$B$1)="#NODATA","",_xll.EVDES(H72,$B$1))</f>
        <v>#NAME?</v>
      </c>
      <c r="O72" s="157"/>
      <c r="P72" s="157"/>
      <c r="Q72" s="157"/>
      <c r="R72" s="157"/>
      <c r="S72" s="157"/>
      <c r="T72" s="157"/>
      <c r="U72" s="157"/>
      <c r="V72" s="157"/>
      <c r="W72" s="157"/>
      <c r="X72" s="157"/>
      <c r="Y72" s="157"/>
      <c r="Z72" s="157"/>
      <c r="AA72" s="157" t="str">
        <f>IFERROR(AA69/AA71,"")</f>
        <v/>
      </c>
      <c r="AB72" s="157"/>
      <c r="AD72" s="157"/>
      <c r="AE72" s="157"/>
      <c r="AF72" s="158" t="str">
        <f t="shared" si="17"/>
        <v/>
      </c>
      <c r="AG72" s="157"/>
      <c r="AH72" s="157"/>
      <c r="AI72" s="158" t="str">
        <f t="shared" si="18"/>
        <v/>
      </c>
    </row>
    <row r="73" spans="3:35" x14ac:dyDescent="0.2">
      <c r="G73" s="162">
        <f>COUNTIF(O74:AI74,FALSE)</f>
        <v>0</v>
      </c>
      <c r="H73" s="10"/>
      <c r="I73" s="25"/>
      <c r="J73" s="25"/>
      <c r="K73" s="24"/>
      <c r="L73" s="24"/>
      <c r="M73" s="24"/>
      <c r="N73" s="163" t="s">
        <v>345</v>
      </c>
      <c r="O73" s="160">
        <f t="shared" ref="O73:AA73" si="19">ROUND(IFERROR(O69/O71,0),2)</f>
        <v>0</v>
      </c>
      <c r="P73" s="165">
        <f t="shared" si="19"/>
        <v>0</v>
      </c>
      <c r="Q73" s="165">
        <f t="shared" si="19"/>
        <v>0</v>
      </c>
      <c r="R73" s="165">
        <f t="shared" si="19"/>
        <v>0</v>
      </c>
      <c r="S73" s="165">
        <f t="shared" si="19"/>
        <v>0</v>
      </c>
      <c r="T73" s="165">
        <f t="shared" si="19"/>
        <v>0</v>
      </c>
      <c r="U73" s="165">
        <f t="shared" si="19"/>
        <v>0</v>
      </c>
      <c r="V73" s="165">
        <f t="shared" si="19"/>
        <v>0</v>
      </c>
      <c r="W73" s="165">
        <f t="shared" si="19"/>
        <v>0</v>
      </c>
      <c r="X73" s="165">
        <f t="shared" si="19"/>
        <v>0</v>
      </c>
      <c r="Y73" s="165">
        <f t="shared" si="19"/>
        <v>0</v>
      </c>
      <c r="Z73" s="165">
        <f t="shared" si="19"/>
        <v>0</v>
      </c>
      <c r="AA73" s="165">
        <f t="shared" si="19"/>
        <v>0</v>
      </c>
      <c r="AB73" s="164"/>
      <c r="AD73" s="160">
        <f>ROUND(IFERROR(AD69/AD71,0),2)</f>
        <v>0</v>
      </c>
      <c r="AE73" s="165"/>
      <c r="AF73" s="161"/>
      <c r="AG73" s="160">
        <f>ROUND(IFERROR(AG69/AG71,0),2)</f>
        <v>0</v>
      </c>
      <c r="AH73" s="165"/>
      <c r="AI73" s="161"/>
    </row>
    <row r="74" spans="3:35" x14ac:dyDescent="0.2">
      <c r="H74" s="133"/>
      <c r="I74" s="25"/>
      <c r="J74" s="25"/>
      <c r="K74" s="24"/>
      <c r="L74" s="24"/>
      <c r="M74" s="24"/>
      <c r="N74" s="8" t="s">
        <v>324</v>
      </c>
      <c r="O74" s="292" t="b">
        <f t="shared" ref="O74:AA74" si="20">ROUND(O72,2)=ROUND(O73,2)</f>
        <v>1</v>
      </c>
      <c r="P74" s="293" t="b">
        <f t="shared" si="20"/>
        <v>1</v>
      </c>
      <c r="Q74" s="293" t="b">
        <f t="shared" si="20"/>
        <v>1</v>
      </c>
      <c r="R74" s="293" t="b">
        <f t="shared" si="20"/>
        <v>1</v>
      </c>
      <c r="S74" s="293" t="b">
        <f t="shared" si="20"/>
        <v>1</v>
      </c>
      <c r="T74" s="293" t="b">
        <f t="shared" si="20"/>
        <v>1</v>
      </c>
      <c r="U74" s="293" t="b">
        <f t="shared" si="20"/>
        <v>1</v>
      </c>
      <c r="V74" s="293" t="b">
        <f t="shared" si="20"/>
        <v>1</v>
      </c>
      <c r="W74" s="293" t="b">
        <f t="shared" si="20"/>
        <v>1</v>
      </c>
      <c r="X74" s="293" t="b">
        <f t="shared" si="20"/>
        <v>1</v>
      </c>
      <c r="Y74" s="293" t="b">
        <f t="shared" si="20"/>
        <v>1</v>
      </c>
      <c r="Z74" s="293" t="b">
        <f t="shared" si="20"/>
        <v>1</v>
      </c>
      <c r="AA74" s="293" t="e">
        <f t="shared" si="20"/>
        <v>#VALUE!</v>
      </c>
      <c r="AB74" s="294"/>
      <c r="AC74" s="206"/>
      <c r="AD74" s="292"/>
      <c r="AE74" s="293" t="b">
        <f>ROUND(AD72,2)=ROUND(AD73,2)</f>
        <v>1</v>
      </c>
      <c r="AF74" s="294"/>
      <c r="AG74" s="292"/>
      <c r="AH74" s="293" t="b">
        <f>ROUND(AG72,2)=ROUND(AG73,2)</f>
        <v>1</v>
      </c>
      <c r="AI74" s="294"/>
    </row>
    <row r="75" spans="3:35" x14ac:dyDescent="0.2">
      <c r="H75" s="133" t="s">
        <v>264</v>
      </c>
      <c r="I75" s="25" t="e">
        <f ca="1">_xll.EVPRO($B$1,$H75,"STYLE")</f>
        <v>#NAME?</v>
      </c>
      <c r="J75" s="25" t="e">
        <f ca="1">_xll.EVPRO($B$1,$H75,"CALC")</f>
        <v>#NAME?</v>
      </c>
      <c r="K75" s="24"/>
      <c r="L75" s="24" t="e">
        <f ca="1">_xll.EVPRO($B$1,H75,"JDEID")</f>
        <v>#NAME?</v>
      </c>
      <c r="M75" s="24" t="e">
        <f ca="1">IF(AND(I75="N",J75="N"),_xll.EVPRO($B$1,H75,"PSFTID"),"")</f>
        <v>#NAME?</v>
      </c>
      <c r="N75" s="24" t="e">
        <f ca="1">IF(_xll.EVDES(H75,$B$1)="#NODATA","",_xll.EVDES(H75,$B$1))</f>
        <v>#NAME?</v>
      </c>
      <c r="O75" s="19"/>
      <c r="P75" s="19"/>
      <c r="Q75" s="19"/>
      <c r="R75" s="19"/>
      <c r="S75" s="19"/>
      <c r="T75" s="19"/>
      <c r="U75" s="19"/>
      <c r="V75" s="19"/>
      <c r="W75" s="19"/>
      <c r="X75" s="19"/>
      <c r="Y75" s="19"/>
      <c r="Z75" s="19"/>
      <c r="AA75" s="19">
        <f t="shared" ref="AA75:AA80" si="21">SUM(O75:Z75)</f>
        <v>0</v>
      </c>
      <c r="AB75" s="15" t="str">
        <f>IF(AA75=0,"",IFERROR(AA75/AA$19,""))</f>
        <v/>
      </c>
      <c r="AD75" s="19"/>
      <c r="AE75" s="15" t="str">
        <f>IF(AD75=0,"",IFERROR(AD75/AD$19,""))</f>
        <v/>
      </c>
      <c r="AF75" s="47">
        <f t="shared" ref="AF75:AF81" si="22">IF(AND($AA75="",AD75=""),"",$AA75-AD75)</f>
        <v>0</v>
      </c>
      <c r="AG75" s="19"/>
      <c r="AH75" s="15" t="str">
        <f t="shared" si="3"/>
        <v/>
      </c>
      <c r="AI75" s="47">
        <f t="shared" ref="AI75:AI81" si="23">IF(AND($AA75="",AG75=""),"",$AA75-AG75)</f>
        <v>0</v>
      </c>
    </row>
    <row r="76" spans="3:35" x14ac:dyDescent="0.2">
      <c r="H76" s="133" t="s">
        <v>321</v>
      </c>
      <c r="I76" s="25" t="e">
        <f ca="1">_xll.EVPRO($B$1,$H76,"STYLE")</f>
        <v>#NAME?</v>
      </c>
      <c r="J76" s="25" t="e">
        <f ca="1">_xll.EVPRO($B$1,$H76,"CALC")</f>
        <v>#NAME?</v>
      </c>
      <c r="K76" s="24"/>
      <c r="L76" s="24" t="e">
        <f ca="1">_xll.EVPRO($B$1,H76,"JDEID")</f>
        <v>#NAME?</v>
      </c>
      <c r="M76" s="24" t="e">
        <f ca="1">IF(AND(I76="N",J76="N"),_xll.EVPRO($B$1,H76,"PSFTID"),"")</f>
        <v>#NAME?</v>
      </c>
      <c r="N76" s="24" t="e">
        <f ca="1">IF(_xll.EVDES(H76,$B$1)="#NODATA","",_xll.EVDES(H76,$B$1))</f>
        <v>#NAME?</v>
      </c>
      <c r="O76" s="19"/>
      <c r="P76" s="19"/>
      <c r="Q76" s="19"/>
      <c r="R76" s="19"/>
      <c r="S76" s="19"/>
      <c r="T76" s="19"/>
      <c r="U76" s="19"/>
      <c r="V76" s="19"/>
      <c r="W76" s="19"/>
      <c r="X76" s="19"/>
      <c r="Y76" s="19"/>
      <c r="Z76" s="19"/>
      <c r="AA76" s="19">
        <f t="shared" si="21"/>
        <v>0</v>
      </c>
      <c r="AB76" s="15" t="str">
        <f>IF(AA76=0,"",IFERROR(AA76/AA$19,""))</f>
        <v/>
      </c>
      <c r="AD76" s="19"/>
      <c r="AE76" s="15" t="str">
        <f>IF(AD76=0,"",IFERROR(AD76/AD$19,""))</f>
        <v/>
      </c>
      <c r="AF76" s="47">
        <f t="shared" si="22"/>
        <v>0</v>
      </c>
      <c r="AG76" s="19"/>
      <c r="AH76" s="15" t="str">
        <f t="shared" si="3"/>
        <v/>
      </c>
      <c r="AI76" s="47">
        <f t="shared" si="23"/>
        <v>0</v>
      </c>
    </row>
    <row r="77" spans="3:35" x14ac:dyDescent="0.2">
      <c r="H77" s="133" t="s">
        <v>323</v>
      </c>
      <c r="I77" s="25" t="e">
        <f ca="1">_xll.EVPRO($B$1,$H77,"STYLE")</f>
        <v>#NAME?</v>
      </c>
      <c r="J77" s="25" t="e">
        <f ca="1">_xll.EVPRO($B$1,$H77,"CALC")</f>
        <v>#NAME?</v>
      </c>
      <c r="K77" s="24"/>
      <c r="L77" s="24" t="e">
        <f ca="1">_xll.EVPRO($B$1,H77,"JDEID")</f>
        <v>#NAME?</v>
      </c>
      <c r="M77" s="24" t="e">
        <f ca="1">IF(AND(I77="N",J77="N"),_xll.EVPRO($B$1,H77,"PSFTID"),"")</f>
        <v>#NAME?</v>
      </c>
      <c r="N77" s="24" t="e">
        <f ca="1">IF(_xll.EVDES(H77,$B$1)="#NODATA","",_xll.EVDES(H77,$B$1))</f>
        <v>#NAME?</v>
      </c>
      <c r="O77" s="19"/>
      <c r="P77" s="19"/>
      <c r="Q77" s="19"/>
      <c r="R77" s="19"/>
      <c r="S77" s="19"/>
      <c r="T77" s="19"/>
      <c r="U77" s="19"/>
      <c r="V77" s="19"/>
      <c r="W77" s="19"/>
      <c r="X77" s="19"/>
      <c r="Y77" s="19"/>
      <c r="Z77" s="19"/>
      <c r="AA77" s="19">
        <f t="shared" si="21"/>
        <v>0</v>
      </c>
      <c r="AB77" s="15" t="str">
        <f>IF(AA77=0,"",IFERROR(AA77/AA$19,""))</f>
        <v/>
      </c>
      <c r="AD77" s="19"/>
      <c r="AE77" s="15" t="str">
        <f>IF(AD77=0,"",IFERROR(AD77/AD$19,""))</f>
        <v/>
      </c>
      <c r="AF77" s="47">
        <f t="shared" si="22"/>
        <v>0</v>
      </c>
      <c r="AG77" s="19"/>
      <c r="AH77" s="15" t="str">
        <f t="shared" si="3"/>
        <v/>
      </c>
      <c r="AI77" s="47">
        <f t="shared" si="23"/>
        <v>0</v>
      </c>
    </row>
    <row r="78" spans="3:35" x14ac:dyDescent="0.2">
      <c r="C78" s="23"/>
      <c r="H78" s="133" t="s">
        <v>322</v>
      </c>
      <c r="I78" s="25" t="e">
        <f ca="1">_xll.EVPRO($B$1,$H78,"STYLE")</f>
        <v>#NAME?</v>
      </c>
      <c r="J78" s="25" t="e">
        <f ca="1">_xll.EVPRO($B$1,$H78,"CALC")</f>
        <v>#NAME?</v>
      </c>
      <c r="K78" s="24"/>
      <c r="L78" s="24" t="e">
        <f ca="1">_xll.EVPRO($B$1,H78,"JDEID")</f>
        <v>#NAME?</v>
      </c>
      <c r="M78" s="24" t="e">
        <f ca="1">IF(AND(I78="N",J78="N"),_xll.EVPRO($B$1,H78,"PSFTID"),"")</f>
        <v>#NAME?</v>
      </c>
      <c r="N78" s="24" t="e">
        <f ca="1">IF(_xll.EVDES(H78,$B$1)="#NODATA","",_xll.EVDES(H78,$B$1))</f>
        <v>#NAME?</v>
      </c>
      <c r="O78" s="28"/>
      <c r="P78" s="28"/>
      <c r="Q78" s="28"/>
      <c r="R78" s="28"/>
      <c r="S78" s="28"/>
      <c r="T78" s="28"/>
      <c r="U78" s="28"/>
      <c r="V78" s="28"/>
      <c r="W78" s="28"/>
      <c r="X78" s="28"/>
      <c r="Y78" s="28"/>
      <c r="Z78" s="28"/>
      <c r="AA78" s="28">
        <f t="shared" si="21"/>
        <v>0</v>
      </c>
      <c r="AB78" s="29" t="str">
        <f>IF(AA78=0,"",IFERROR(AA78/AA$19,""))</f>
        <v/>
      </c>
      <c r="AD78" s="28"/>
      <c r="AE78" s="29" t="str">
        <f>IF(AD78=0,"",IFERROR(AD78/AD$19,""))</f>
        <v/>
      </c>
      <c r="AF78" s="48">
        <f t="shared" si="22"/>
        <v>0</v>
      </c>
      <c r="AG78" s="28"/>
      <c r="AH78" s="29" t="str">
        <f t="shared" si="3"/>
        <v/>
      </c>
      <c r="AI78" s="48">
        <f t="shared" si="23"/>
        <v>0</v>
      </c>
    </row>
    <row r="79" spans="3:35" x14ac:dyDescent="0.2">
      <c r="C79" s="23"/>
      <c r="H79" s="133" t="s">
        <v>329</v>
      </c>
      <c r="I79" s="25" t="e">
        <f ca="1">_xll.EVPRO($B$1,$H79,"STYLE")</f>
        <v>#NAME?</v>
      </c>
      <c r="J79" s="25" t="e">
        <f ca="1">_xll.EVPRO($B$1,$H79,"CALC")</f>
        <v>#NAME?</v>
      </c>
      <c r="K79" s="24"/>
      <c r="L79" s="24" t="e">
        <f ca="1">_xll.EVPRO($B$1,H79,"JDEID")</f>
        <v>#NAME?</v>
      </c>
      <c r="M79" s="24" t="e">
        <f ca="1">IF(AND(I79="N",J79="N"),_xll.EVPRO($B$1,H79,"PSFTID"),"")</f>
        <v>#NAME?</v>
      </c>
      <c r="N79" s="23" t="e">
        <f ca="1">IF(_xll.EVDES(H79,$B$1)="#NODATA","",_xll.EVDES(H79,$B$1))</f>
        <v>#NAME?</v>
      </c>
      <c r="O79" s="145"/>
      <c r="P79" s="145"/>
      <c r="Q79" s="145"/>
      <c r="R79" s="145"/>
      <c r="S79" s="145"/>
      <c r="T79" s="145"/>
      <c r="U79" s="145"/>
      <c r="V79" s="145"/>
      <c r="W79" s="145"/>
      <c r="X79" s="145"/>
      <c r="Y79" s="145"/>
      <c r="Z79" s="145"/>
      <c r="AA79" s="145">
        <f t="shared" si="21"/>
        <v>0</v>
      </c>
      <c r="AB79" s="156" t="str">
        <f>IF(AA79=0,"",IFERROR(AA79/AA$19,""))</f>
        <v/>
      </c>
      <c r="AD79" s="145"/>
      <c r="AE79" s="156" t="str">
        <f>IF(AD79=0,"",IFERROR(AD79/AD$19,""))</f>
        <v/>
      </c>
      <c r="AF79" s="146">
        <f t="shared" si="22"/>
        <v>0</v>
      </c>
      <c r="AG79" s="145"/>
      <c r="AH79" s="156" t="str">
        <f t="shared" si="3"/>
        <v/>
      </c>
      <c r="AI79" s="146">
        <f t="shared" si="23"/>
        <v>0</v>
      </c>
    </row>
    <row r="80" spans="3:35" x14ac:dyDescent="0.2">
      <c r="C80" s="23"/>
      <c r="H80" s="133" t="s">
        <v>300</v>
      </c>
      <c r="I80" s="25" t="e">
        <f ca="1">_xll.EVPRO($B$1,$H80,"STYLE")</f>
        <v>#NAME?</v>
      </c>
      <c r="J80" s="25" t="e">
        <f ca="1">_xll.EVPRO($B$1,$H80,"CALC")</f>
        <v>#NAME?</v>
      </c>
      <c r="K80" s="24"/>
      <c r="L80" s="24" t="e">
        <f ca="1">_xll.EVPRO($B$1,H80,"JDEID")</f>
        <v>#NAME?</v>
      </c>
      <c r="M80" s="24" t="e">
        <f ca="1">IF(AND(I80="N",J80="N"),_xll.EVPRO($B$1,H80,"PSFTID"),"")</f>
        <v>#NAME?</v>
      </c>
      <c r="N80" s="24" t="e">
        <f ca="1">IF(_xll.EVDES(H80,$B$1)="#NODATA","",_xll.EVDES(H80,$B$1))</f>
        <v>#NAME?</v>
      </c>
      <c r="O80" s="35"/>
      <c r="P80" s="35"/>
      <c r="Q80" s="35"/>
      <c r="R80" s="35"/>
      <c r="S80" s="35"/>
      <c r="T80" s="35"/>
      <c r="U80" s="35"/>
      <c r="V80" s="35"/>
      <c r="W80" s="35"/>
      <c r="X80" s="35"/>
      <c r="Y80" s="35"/>
      <c r="Z80" s="35"/>
      <c r="AA80" s="35">
        <f t="shared" si="21"/>
        <v>0</v>
      </c>
      <c r="AB80" s="36" t="str">
        <f>IF(AA80=0,"",IFERROR(AA80/AA$87,""))</f>
        <v/>
      </c>
      <c r="AD80" s="35"/>
      <c r="AE80" s="36" t="str">
        <f>IF(AD80=0,"",IFERROR(AD80/AD$87,""))</f>
        <v/>
      </c>
      <c r="AF80" s="118">
        <f t="shared" si="22"/>
        <v>0</v>
      </c>
      <c r="AG80" s="35"/>
      <c r="AH80" s="36" t="str">
        <f>IF(AG80=0,"",IFERROR(AG80/AG$87,""))</f>
        <v/>
      </c>
      <c r="AI80" s="118">
        <f t="shared" si="23"/>
        <v>0</v>
      </c>
    </row>
    <row r="81" spans="3:35" x14ac:dyDescent="0.2">
      <c r="C81" s="23"/>
      <c r="H81" s="133" t="s">
        <v>325</v>
      </c>
      <c r="I81" s="25" t="e">
        <f ca="1">_xll.EVPRO($B$1,$H81,"STYLE")</f>
        <v>#NAME?</v>
      </c>
      <c r="J81" s="25" t="e">
        <f ca="1">_xll.EVPRO($B$1,$H81,"CALC")</f>
        <v>#NAME?</v>
      </c>
      <c r="K81" s="24"/>
      <c r="L81" s="24" t="e">
        <f ca="1">_xll.EVPRO($B$1,H81,"JDEID")</f>
        <v>#NAME?</v>
      </c>
      <c r="M81" s="24" t="e">
        <f ca="1">IF(AND(I81="N",J81="N"),_xll.EVPRO($B$1,H81,"PSFTID"),"")</f>
        <v>#NAME?</v>
      </c>
      <c r="N81" s="151" t="e">
        <f ca="1">IF(_xll.EVDES(H81,$B$1)="#NODATA","",_xll.EVDES(H81,$B$1))</f>
        <v>#NAME?</v>
      </c>
      <c r="O81" s="157"/>
      <c r="P81" s="157"/>
      <c r="Q81" s="157"/>
      <c r="R81" s="157"/>
      <c r="S81" s="157"/>
      <c r="T81" s="157"/>
      <c r="U81" s="157"/>
      <c r="V81" s="157"/>
      <c r="W81" s="157"/>
      <c r="X81" s="157"/>
      <c r="Y81" s="157"/>
      <c r="Z81" s="157"/>
      <c r="AA81" s="157" t="str">
        <f>IFERROR(AA79/AA80,"")</f>
        <v/>
      </c>
      <c r="AB81" s="157"/>
      <c r="AD81" s="157"/>
      <c r="AE81" s="157"/>
      <c r="AF81" s="158" t="str">
        <f t="shared" si="22"/>
        <v/>
      </c>
      <c r="AG81" s="157"/>
      <c r="AH81" s="157"/>
      <c r="AI81" s="158" t="str">
        <f t="shared" si="23"/>
        <v/>
      </c>
    </row>
    <row r="82" spans="3:35" x14ac:dyDescent="0.2">
      <c r="C82" s="23"/>
      <c r="G82" s="162">
        <f>COUNTIF(O84:AI84,FALSE)</f>
        <v>0</v>
      </c>
      <c r="H82" s="10"/>
      <c r="I82" s="25"/>
      <c r="J82" s="25"/>
      <c r="K82" s="24"/>
      <c r="L82" s="24"/>
      <c r="M82" s="24"/>
      <c r="N82" s="163" t="s">
        <v>345</v>
      </c>
      <c r="O82" s="160">
        <f t="shared" ref="O82:AA82" si="24">ROUND(IFERROR(O79/O80,0),2)</f>
        <v>0</v>
      </c>
      <c r="P82" s="165">
        <f t="shared" si="24"/>
        <v>0</v>
      </c>
      <c r="Q82" s="165">
        <f t="shared" si="24"/>
        <v>0</v>
      </c>
      <c r="R82" s="165">
        <f t="shared" si="24"/>
        <v>0</v>
      </c>
      <c r="S82" s="165">
        <f t="shared" si="24"/>
        <v>0</v>
      </c>
      <c r="T82" s="165">
        <f t="shared" si="24"/>
        <v>0</v>
      </c>
      <c r="U82" s="165">
        <f t="shared" si="24"/>
        <v>0</v>
      </c>
      <c r="V82" s="165">
        <f t="shared" si="24"/>
        <v>0</v>
      </c>
      <c r="W82" s="165">
        <f t="shared" si="24"/>
        <v>0</v>
      </c>
      <c r="X82" s="165">
        <f t="shared" si="24"/>
        <v>0</v>
      </c>
      <c r="Y82" s="165">
        <f t="shared" si="24"/>
        <v>0</v>
      </c>
      <c r="Z82" s="165">
        <f t="shared" si="24"/>
        <v>0</v>
      </c>
      <c r="AA82" s="165">
        <f t="shared" si="24"/>
        <v>0</v>
      </c>
      <c r="AB82" s="164"/>
      <c r="AD82" s="160">
        <f>ROUND(IFERROR(AD79/AD80,0),2)</f>
        <v>0</v>
      </c>
      <c r="AE82" s="165"/>
      <c r="AF82" s="161"/>
      <c r="AG82" s="160">
        <f>ROUND(IFERROR(AG79/AG80,0),2)</f>
        <v>0</v>
      </c>
      <c r="AH82" s="165"/>
      <c r="AI82" s="161"/>
    </row>
    <row r="83" spans="3:35" x14ac:dyDescent="0.2">
      <c r="C83" s="23"/>
      <c r="H83" s="10" t="s">
        <v>486</v>
      </c>
      <c r="I83" s="25" t="e">
        <f ca="1">_xll.EVPRO($B$1,$H83,"STYLE")</f>
        <v>#NAME?</v>
      </c>
      <c r="J83" s="25" t="e">
        <f ca="1">_xll.EVPRO($B$1,$H83,"CALC")</f>
        <v>#NAME?</v>
      </c>
      <c r="K83" s="24"/>
      <c r="L83" s="24" t="e">
        <f ca="1">_xll.EVPRO($B$1,H83,"JDEID")</f>
        <v>#NAME?</v>
      </c>
      <c r="M83" s="24" t="e">
        <f ca="1">IF(AND(I83="N",J83="N"),_xll.EVPRO($B$1,H83,"PSFTID"),"")</f>
        <v>#NAME?</v>
      </c>
      <c r="N83" s="24" t="e">
        <f ca="1">IF(_xll.EVDES(H83,$B$1)="#NODATA","",_xll.EVDES(H83,$B$1))</f>
        <v>#NAME?</v>
      </c>
      <c r="O83" s="19"/>
      <c r="P83" s="19"/>
      <c r="Q83" s="19"/>
      <c r="R83" s="19"/>
      <c r="S83" s="19"/>
      <c r="T83" s="19"/>
      <c r="U83" s="19"/>
      <c r="V83" s="19"/>
      <c r="W83" s="19"/>
      <c r="X83" s="19"/>
      <c r="Y83" s="19"/>
      <c r="Z83" s="19"/>
      <c r="AA83" s="19">
        <f>SUM(O83:Z83)</f>
        <v>0</v>
      </c>
      <c r="AB83" s="15" t="str">
        <f>IF(AA83=0,"",IFERROR(AA83/AA$19,""))</f>
        <v/>
      </c>
      <c r="AD83" s="19"/>
      <c r="AE83" s="15" t="str">
        <f>IF(AD83=0,"",IFERROR(AD83/AD$19,""))</f>
        <v/>
      </c>
      <c r="AF83" s="47">
        <f>IF(AND($AA83="",AD83=""),"",$AA83-AD83)</f>
        <v>0</v>
      </c>
      <c r="AG83" s="19"/>
      <c r="AH83" s="15" t="str">
        <f>IF(AG83=0,"",IFERROR(AG83/AG$19,""))</f>
        <v/>
      </c>
      <c r="AI83" s="47">
        <f>IF(AND($AA83="",AG83=""),"",$AA83-AG83)</f>
        <v>0</v>
      </c>
    </row>
    <row r="84" spans="3:35" x14ac:dyDescent="0.2">
      <c r="C84" s="23"/>
      <c r="H84" s="10"/>
      <c r="I84" s="25"/>
      <c r="J84" s="25"/>
      <c r="K84" s="24"/>
      <c r="L84" s="24"/>
      <c r="M84" s="24"/>
      <c r="N84" s="8" t="s">
        <v>348</v>
      </c>
      <c r="O84" s="292" t="b">
        <f t="shared" ref="O84:AA84" si="25">ROUND(O81,2)=ROUND(O82,2)</f>
        <v>1</v>
      </c>
      <c r="P84" s="293" t="b">
        <f t="shared" si="25"/>
        <v>1</v>
      </c>
      <c r="Q84" s="293" t="b">
        <f t="shared" si="25"/>
        <v>1</v>
      </c>
      <c r="R84" s="293" t="b">
        <f t="shared" si="25"/>
        <v>1</v>
      </c>
      <c r="S84" s="293" t="b">
        <f t="shared" si="25"/>
        <v>1</v>
      </c>
      <c r="T84" s="293" t="b">
        <f t="shared" si="25"/>
        <v>1</v>
      </c>
      <c r="U84" s="293" t="b">
        <f t="shared" si="25"/>
        <v>1</v>
      </c>
      <c r="V84" s="293" t="b">
        <f t="shared" si="25"/>
        <v>1</v>
      </c>
      <c r="W84" s="293" t="b">
        <f t="shared" si="25"/>
        <v>1</v>
      </c>
      <c r="X84" s="293" t="b">
        <f t="shared" si="25"/>
        <v>1</v>
      </c>
      <c r="Y84" s="293" t="b">
        <f t="shared" si="25"/>
        <v>1</v>
      </c>
      <c r="Z84" s="293" t="b">
        <f t="shared" si="25"/>
        <v>1</v>
      </c>
      <c r="AA84" s="293" t="e">
        <f t="shared" si="25"/>
        <v>#VALUE!</v>
      </c>
      <c r="AB84" s="294"/>
      <c r="AC84" s="206"/>
      <c r="AD84" s="292"/>
      <c r="AE84" s="293" t="b">
        <f>ROUND(AD81,2)=ROUND(AD82,2)</f>
        <v>1</v>
      </c>
      <c r="AF84" s="294"/>
      <c r="AG84" s="292"/>
      <c r="AH84" s="293" t="b">
        <f>ROUND(AG81,2)=ROUND(AG82,2)</f>
        <v>1</v>
      </c>
      <c r="AI84" s="294"/>
    </row>
    <row r="85" spans="3:35" x14ac:dyDescent="0.2">
      <c r="C85" s="23"/>
      <c r="H85" s="133" t="s">
        <v>273</v>
      </c>
      <c r="I85" s="25" t="e">
        <f ca="1">_xll.EVPRO($B$1,$H85,"STYLE")</f>
        <v>#NAME?</v>
      </c>
      <c r="J85" s="25" t="e">
        <f ca="1">_xll.EVPRO($B$1,$H85,"CALC")</f>
        <v>#NAME?</v>
      </c>
      <c r="L85" s="24" t="e">
        <f ca="1">_xll.EVPRO($B$1,H85,"JDEID")</f>
        <v>#NAME?</v>
      </c>
      <c r="M85" s="24" t="e">
        <f ca="1">IF(AND(I85="N",J85="N"),_xll.EVPRO($B$1,H85,"PSFTID"),"")</f>
        <v>#NAME?</v>
      </c>
      <c r="N85" s="24" t="e">
        <f ca="1">IF(_xll.EVDES(H85,$B$1)="#NODATA","",_xll.EVDES(H85,$B$1))</f>
        <v>#NAME?</v>
      </c>
      <c r="O85" s="152"/>
      <c r="P85" s="152"/>
      <c r="Q85" s="152"/>
      <c r="R85" s="152"/>
      <c r="S85" s="152"/>
      <c r="T85" s="152"/>
      <c r="U85" s="152"/>
      <c r="V85" s="152"/>
      <c r="W85" s="152"/>
      <c r="X85" s="152"/>
      <c r="Y85" s="152"/>
      <c r="Z85" s="152"/>
      <c r="AA85" s="152">
        <f>SUM(O85:Z85)</f>
        <v>0</v>
      </c>
      <c r="AB85" s="153" t="str">
        <f>IF(AA85=0,"",IFERROR(AA85/AA$19,""))</f>
        <v/>
      </c>
      <c r="AD85" s="152"/>
      <c r="AE85" s="153" t="str">
        <f>IF(AD85=0,"",IFERROR(AD85/AD$19,""))</f>
        <v/>
      </c>
      <c r="AF85" s="154">
        <f>IF(AND($AA85="",AD85=""),"",$AA85-AD85)</f>
        <v>0</v>
      </c>
      <c r="AG85" s="152"/>
      <c r="AH85" s="153" t="str">
        <f>IF(AG85=0,"",IFERROR(AG85/AG$19,""))</f>
        <v/>
      </c>
      <c r="AI85" s="154">
        <f>IF(AND($AA85="",AG85=""),"",$AA85-AG85)</f>
        <v>0</v>
      </c>
    </row>
    <row r="86" spans="3:35" x14ac:dyDescent="0.2">
      <c r="C86" s="23"/>
      <c r="H86" s="133" t="s">
        <v>767</v>
      </c>
      <c r="I86" s="25" t="e">
        <f ca="1">_xll.EVPRO($B$1,$H86,"STYLE")</f>
        <v>#NAME?</v>
      </c>
      <c r="J86" s="25" t="e">
        <f ca="1">_xll.EVPRO($B$1,$H86,"CALC")</f>
        <v>#NAME?</v>
      </c>
      <c r="L86" s="24" t="e">
        <f ca="1">_xll.EVPRO($B$1,H86,"JDEID")</f>
        <v>#NAME?</v>
      </c>
      <c r="M86" s="24" t="e">
        <f ca="1">IF(AND(I86="N",J86="N"),_xll.EVPRO($B$1,H86,"PSFTID"),"")</f>
        <v>#NAME?</v>
      </c>
      <c r="N86" s="24" t="e">
        <f ca="1">IF(_xll.EVDES(H86,$B$1)="#NODATA","",_xll.EVDES(H86,$B$1))</f>
        <v>#NAME?</v>
      </c>
      <c r="O86" s="152"/>
      <c r="P86" s="152"/>
      <c r="Q86" s="152"/>
      <c r="R86" s="152"/>
      <c r="S86" s="152"/>
      <c r="T86" s="152"/>
      <c r="U86" s="152"/>
      <c r="V86" s="152"/>
      <c r="W86" s="152"/>
      <c r="X86" s="152"/>
      <c r="Y86" s="152"/>
      <c r="Z86" s="152"/>
      <c r="AA86" s="152">
        <f>SUM(O86:Z86)</f>
        <v>0</v>
      </c>
      <c r="AB86" s="153"/>
      <c r="AD86" s="152"/>
      <c r="AE86" s="153"/>
      <c r="AF86" s="154">
        <f>IF(AND($AA86="",AD86=""),"",$AA86-AD86)</f>
        <v>0</v>
      </c>
      <c r="AG86" s="152"/>
      <c r="AH86" s="153"/>
      <c r="AI86" s="154">
        <f>IF(AND($AA86="",AG86=""),"",$AA86-AG86)</f>
        <v>0</v>
      </c>
    </row>
    <row r="87" spans="3:35" x14ac:dyDescent="0.2">
      <c r="C87" s="23"/>
      <c r="H87" s="133" t="s">
        <v>331</v>
      </c>
      <c r="I87" s="25" t="e">
        <f ca="1">_xll.EVPRO($B$1,$H87,"STYLE")</f>
        <v>#NAME?</v>
      </c>
      <c r="J87" s="25" t="e">
        <f ca="1">_xll.EVPRO($B$1,$H87,"CALC")</f>
        <v>#NAME?</v>
      </c>
      <c r="L87" s="24" t="e">
        <f ca="1">_xll.EVPRO($B$1,H87,"JDEID")</f>
        <v>#NAME?</v>
      </c>
      <c r="M87" s="24" t="e">
        <f ca="1">IF(AND(I87="N",J87="N"),_xll.EVPRO($B$1,H87,"PSFTID"),"")</f>
        <v>#NAME?</v>
      </c>
      <c r="N87" s="24" t="e">
        <f ca="1">IF(_xll.EVDES(H87,$B$1)="#NODATA","",_xll.EVDES(H87,$B$1))</f>
        <v>#NAME?</v>
      </c>
      <c r="O87" s="152"/>
      <c r="P87" s="152"/>
      <c r="Q87" s="152"/>
      <c r="R87" s="152"/>
      <c r="S87" s="152"/>
      <c r="T87" s="152"/>
      <c r="U87" s="152"/>
      <c r="V87" s="152"/>
      <c r="W87" s="152"/>
      <c r="X87" s="152"/>
      <c r="Y87" s="152"/>
      <c r="Z87" s="152"/>
      <c r="AA87" s="152">
        <f>SUM(O87:Z87)</f>
        <v>0</v>
      </c>
      <c r="AB87" s="153" t="str">
        <f>IF(AA87=0,"",IFERROR(AA87/AA$20,""))</f>
        <v/>
      </c>
      <c r="AD87" s="152"/>
      <c r="AE87" s="153" t="str">
        <f>IF(AD87=0,"",IFERROR(AD87/AD$20,""))</f>
        <v/>
      </c>
      <c r="AF87" s="154">
        <f>IF(AND($AA87="",AD87=""),"",$AA87-AD87)</f>
        <v>0</v>
      </c>
      <c r="AG87" s="152"/>
      <c r="AH87" s="153" t="str">
        <f>IF(AG87=0,"",IFERROR(AG87/AG$20,""))</f>
        <v/>
      </c>
      <c r="AI87" s="154">
        <f>IF(AND($AA87="",AG87=""),"",$AA87-AG87)</f>
        <v>0</v>
      </c>
    </row>
    <row r="88" spans="3:35" x14ac:dyDescent="0.2">
      <c r="C88" s="23"/>
      <c r="H88" s="133" t="s">
        <v>311</v>
      </c>
      <c r="I88" s="25" t="e">
        <f ca="1">_xll.EVPRO($B$1,$H88,"STYLE")</f>
        <v>#NAME?</v>
      </c>
      <c r="J88" s="25" t="e">
        <f ca="1">_xll.EVPRO($B$1,$H88,"CALC")</f>
        <v>#NAME?</v>
      </c>
      <c r="L88" s="24"/>
      <c r="M88" s="24" t="e">
        <f ca="1">IF(AND(I88="N",J88="N"),_xll.EVPRO($B$1,H88,"PSFTID"),"")</f>
        <v>#NAME?</v>
      </c>
      <c r="N88" s="24" t="e">
        <f ca="1">IF(_xll.EVDES(H88,$B$1)="#NODATA","",_xll.EVDES(H88,$B$1))</f>
        <v>#NAME?</v>
      </c>
      <c r="O88" s="157"/>
      <c r="P88" s="157"/>
      <c r="Q88" s="157"/>
      <c r="R88" s="157"/>
      <c r="S88" s="157"/>
      <c r="T88" s="157"/>
      <c r="U88" s="157"/>
      <c r="V88" s="157"/>
      <c r="W88" s="157"/>
      <c r="X88" s="157"/>
      <c r="Y88" s="157"/>
      <c r="Z88" s="157"/>
      <c r="AA88" s="157" t="str">
        <f>IFERROR(AA85/AA87,"")</f>
        <v/>
      </c>
      <c r="AB88" s="157"/>
      <c r="AD88" s="157"/>
      <c r="AE88" s="157"/>
      <c r="AF88" s="158" t="str">
        <f>IF(AND($AA88="",AD88=""),"",$AA88-AD88)</f>
        <v/>
      </c>
      <c r="AG88" s="157"/>
      <c r="AH88" s="157"/>
      <c r="AI88" s="158" t="str">
        <f>IF(AND($AA88="",AG88=""),"",$AA88-AG88)</f>
        <v/>
      </c>
    </row>
    <row r="89" spans="3:35" x14ac:dyDescent="0.2">
      <c r="C89" s="23"/>
      <c r="H89" s="133"/>
      <c r="I89" s="25"/>
      <c r="J89" s="25"/>
      <c r="L89" s="24"/>
      <c r="M89" s="24"/>
      <c r="N89" s="24"/>
      <c r="O89" s="38"/>
      <c r="P89" s="42"/>
      <c r="Q89" s="42"/>
      <c r="R89" s="42"/>
      <c r="S89" s="42"/>
      <c r="T89" s="42"/>
      <c r="U89" s="42"/>
      <c r="V89" s="42"/>
      <c r="W89" s="42"/>
      <c r="X89" s="42"/>
      <c r="Y89" s="42"/>
      <c r="Z89" s="42"/>
      <c r="AA89" s="42"/>
      <c r="AB89" s="39"/>
      <c r="AD89" s="38"/>
      <c r="AE89" s="42"/>
      <c r="AF89" s="39"/>
      <c r="AG89" s="38"/>
      <c r="AH89" s="42"/>
      <c r="AI89" s="39"/>
    </row>
    <row r="90" spans="3:35" x14ac:dyDescent="0.2">
      <c r="C90" s="23"/>
      <c r="H90" s="133"/>
      <c r="I90" s="25"/>
      <c r="J90" s="25"/>
      <c r="L90" s="24"/>
      <c r="M90" s="24"/>
      <c r="N90" s="8" t="s">
        <v>334</v>
      </c>
      <c r="O90" s="40"/>
      <c r="P90" s="43"/>
      <c r="Q90" s="43"/>
      <c r="R90" s="43"/>
      <c r="S90" s="43"/>
      <c r="T90" s="43"/>
      <c r="U90" s="43"/>
      <c r="V90" s="43"/>
      <c r="W90" s="43"/>
      <c r="X90" s="43"/>
      <c r="Y90" s="43"/>
      <c r="Z90" s="43"/>
      <c r="AA90" s="43"/>
      <c r="AB90" s="41"/>
      <c r="AD90" s="40"/>
      <c r="AE90" s="43"/>
      <c r="AF90" s="41"/>
      <c r="AG90" s="40"/>
      <c r="AH90" s="43"/>
      <c r="AI90" s="41"/>
    </row>
    <row r="91" spans="3:35" hidden="1" outlineLevel="1" x14ac:dyDescent="0.2">
      <c r="C91" s="23"/>
      <c r="H91" s="133" t="s">
        <v>332</v>
      </c>
      <c r="I91" s="25" t="e">
        <f ca="1">_xll.EVPRO($B$1,$H91,"STYLE")</f>
        <v>#NAME?</v>
      </c>
      <c r="J91" s="25" t="e">
        <f ca="1">_xll.EVPRO($B$1,$H91,"CALC")</f>
        <v>#NAME?</v>
      </c>
      <c r="L91" s="24"/>
      <c r="M91" s="24"/>
      <c r="N91" s="24" t="e">
        <f ca="1">IF(_xll.EVDES(H91,$B$1)="#NODATA","",_xll.EVDES(H91,$B$1))</f>
        <v>#NAME?</v>
      </c>
      <c r="O91" s="19"/>
      <c r="P91" s="19"/>
      <c r="Q91" s="19"/>
      <c r="R91" s="19"/>
      <c r="S91" s="19"/>
      <c r="T91" s="19"/>
      <c r="U91" s="19"/>
      <c r="V91" s="19"/>
      <c r="W91" s="19"/>
      <c r="X91" s="19"/>
      <c r="Y91" s="19"/>
      <c r="Z91" s="19"/>
      <c r="AA91" s="19">
        <f>SUM(O91:Z91)</f>
        <v>0</v>
      </c>
      <c r="AB91" s="15"/>
      <c r="AD91" s="19"/>
      <c r="AE91" s="15"/>
      <c r="AF91" s="47">
        <f>IF(AND($AA91="",AD91=""),"",$AA91-AD91)</f>
        <v>0</v>
      </c>
      <c r="AG91" s="19"/>
      <c r="AH91" s="15"/>
      <c r="AI91" s="47">
        <f>IF(AND($AA91="",AG91=""),"",$AA91-AG91)</f>
        <v>0</v>
      </c>
    </row>
    <row r="92" spans="3:35" hidden="1" outlineLevel="1" x14ac:dyDescent="0.2">
      <c r="C92" s="23"/>
      <c r="H92" s="133" t="s">
        <v>333</v>
      </c>
      <c r="I92" s="25" t="e">
        <f ca="1">_xll.EVPRO($B$1,$H92,"STYLE")</f>
        <v>#NAME?</v>
      </c>
      <c r="J92" s="25" t="e">
        <f ca="1">_xll.EVPRO($B$1,$H92,"CALC")</f>
        <v>#NAME?</v>
      </c>
      <c r="L92" s="24"/>
      <c r="M92" s="24"/>
      <c r="N92" s="24" t="e">
        <f ca="1">IF(_xll.EVDES(H92,$B$1)="#NODATA","",_xll.EVDES(H92,$B$1))</f>
        <v>#NAME?</v>
      </c>
      <c r="O92" s="19"/>
      <c r="P92" s="19"/>
      <c r="Q92" s="19"/>
      <c r="R92" s="19"/>
      <c r="S92" s="19"/>
      <c r="T92" s="19"/>
      <c r="U92" s="19"/>
      <c r="V92" s="19"/>
      <c r="W92" s="19"/>
      <c r="X92" s="19"/>
      <c r="Y92" s="19"/>
      <c r="Z92" s="19"/>
      <c r="AA92" s="19">
        <f>SUM(O92:Z92)</f>
        <v>0</v>
      </c>
      <c r="AB92" s="15"/>
      <c r="AD92" s="19"/>
      <c r="AE92" s="15"/>
      <c r="AF92" s="47">
        <f>IF(AND($AA92="",AD92=""),"",$AA92-AD92)</f>
        <v>0</v>
      </c>
      <c r="AG92" s="19"/>
      <c r="AH92" s="15"/>
      <c r="AI92" s="47">
        <f>IF(AND($AA92="",AG92=""),"",$AA92-AG92)</f>
        <v>0</v>
      </c>
    </row>
    <row r="93" spans="3:35" collapsed="1" x14ac:dyDescent="0.2">
      <c r="C93" s="23"/>
      <c r="H93" s="133"/>
      <c r="I93" s="25"/>
      <c r="J93" s="25"/>
      <c r="L93" s="24"/>
      <c r="M93" s="24"/>
      <c r="N93" s="24" t="s">
        <v>335</v>
      </c>
      <c r="O93" s="159" t="str">
        <f t="shared" ref="O93:AA93" si="26">IFERROR(O$87/O91,"")</f>
        <v/>
      </c>
      <c r="P93" s="159" t="str">
        <f t="shared" si="26"/>
        <v/>
      </c>
      <c r="Q93" s="159" t="str">
        <f t="shared" si="26"/>
        <v/>
      </c>
      <c r="R93" s="159" t="str">
        <f t="shared" si="26"/>
        <v/>
      </c>
      <c r="S93" s="159" t="str">
        <f t="shared" si="26"/>
        <v/>
      </c>
      <c r="T93" s="159" t="str">
        <f t="shared" si="26"/>
        <v/>
      </c>
      <c r="U93" s="159" t="str">
        <f t="shared" si="26"/>
        <v/>
      </c>
      <c r="V93" s="159" t="str">
        <f t="shared" si="26"/>
        <v/>
      </c>
      <c r="W93" s="159" t="str">
        <f t="shared" si="26"/>
        <v/>
      </c>
      <c r="X93" s="159" t="str">
        <f t="shared" si="26"/>
        <v/>
      </c>
      <c r="Y93" s="159" t="str">
        <f t="shared" si="26"/>
        <v/>
      </c>
      <c r="Z93" s="159" t="str">
        <f t="shared" si="26"/>
        <v/>
      </c>
      <c r="AA93" s="159" t="str">
        <f t="shared" si="26"/>
        <v/>
      </c>
      <c r="AB93" s="124"/>
      <c r="AD93" s="159" t="str">
        <f>IFERROR(AD$87/AD91,"")</f>
        <v/>
      </c>
      <c r="AE93" s="124"/>
      <c r="AF93" s="125" t="str">
        <f>IF(AND($AA93="",AD93=""),"",$AA93-AD93)</f>
        <v/>
      </c>
      <c r="AG93" s="159" t="str">
        <f>IFERROR(AG$87/AG91,"")</f>
        <v/>
      </c>
      <c r="AH93" s="124"/>
      <c r="AI93" s="125" t="str">
        <f>IF(AND($AA93="",AG93=""),"",$AA93-AG93)</f>
        <v/>
      </c>
    </row>
    <row r="94" spans="3:35" x14ac:dyDescent="0.2">
      <c r="C94" s="23"/>
      <c r="H94" s="133"/>
      <c r="I94" s="25"/>
      <c r="J94" s="25"/>
      <c r="L94" s="24"/>
      <c r="M94" s="24"/>
      <c r="N94" s="24" t="s">
        <v>336</v>
      </c>
      <c r="O94" s="159" t="str">
        <f t="shared" ref="O94:AA94" si="27">IFERROR(O$87/O92,"")</f>
        <v/>
      </c>
      <c r="P94" s="159" t="str">
        <f t="shared" si="27"/>
        <v/>
      </c>
      <c r="Q94" s="159" t="str">
        <f t="shared" si="27"/>
        <v/>
      </c>
      <c r="R94" s="159" t="str">
        <f t="shared" si="27"/>
        <v/>
      </c>
      <c r="S94" s="159" t="str">
        <f t="shared" si="27"/>
        <v/>
      </c>
      <c r="T94" s="159" t="str">
        <f t="shared" si="27"/>
        <v/>
      </c>
      <c r="U94" s="159" t="str">
        <f t="shared" si="27"/>
        <v/>
      </c>
      <c r="V94" s="159" t="str">
        <f t="shared" si="27"/>
        <v/>
      </c>
      <c r="W94" s="159" t="str">
        <f t="shared" si="27"/>
        <v/>
      </c>
      <c r="X94" s="159" t="str">
        <f t="shared" si="27"/>
        <v/>
      </c>
      <c r="Y94" s="159" t="str">
        <f t="shared" si="27"/>
        <v/>
      </c>
      <c r="Z94" s="159" t="str">
        <f t="shared" si="27"/>
        <v/>
      </c>
      <c r="AA94" s="159" t="str">
        <f t="shared" si="27"/>
        <v/>
      </c>
      <c r="AB94" s="124"/>
      <c r="AD94" s="159" t="str">
        <f>IFERROR(AD$87/AD92,"")</f>
        <v/>
      </c>
      <c r="AE94" s="124"/>
      <c r="AF94" s="125" t="str">
        <f>IF(AND($AA94="",AD94=""),"",$AA94-AD94)</f>
        <v/>
      </c>
      <c r="AG94" s="159" t="str">
        <f>IFERROR(AG$87/AG92,"")</f>
        <v/>
      </c>
      <c r="AH94" s="124"/>
      <c r="AI94" s="125" t="str">
        <f>IF(AND($AA94="",AG94=""),"",$AA94-AG94)</f>
        <v/>
      </c>
    </row>
    <row r="95" spans="3:35" x14ac:dyDescent="0.2">
      <c r="C95" s="23"/>
      <c r="H95" s="133"/>
      <c r="I95" s="25"/>
      <c r="J95" s="25"/>
      <c r="L95" s="24"/>
      <c r="M95" s="24"/>
      <c r="N95" s="24"/>
      <c r="O95" s="144"/>
      <c r="P95" s="147"/>
      <c r="Q95" s="147"/>
      <c r="R95" s="147"/>
      <c r="S95" s="147"/>
      <c r="T95" s="147"/>
      <c r="U95" s="147"/>
      <c r="V95" s="147"/>
      <c r="W95" s="147"/>
      <c r="X95" s="147"/>
      <c r="Y95" s="147"/>
      <c r="Z95" s="147"/>
      <c r="AA95" s="147"/>
      <c r="AB95" s="51"/>
      <c r="AD95" s="50"/>
      <c r="AF95" s="51"/>
      <c r="AI95" s="51"/>
    </row>
    <row r="96" spans="3:35" x14ac:dyDescent="0.2">
      <c r="C96" s="23"/>
      <c r="H96" s="133"/>
      <c r="I96" s="25"/>
      <c r="J96" s="25"/>
      <c r="L96" s="24"/>
      <c r="M96" s="24"/>
      <c r="N96" s="8" t="s">
        <v>343</v>
      </c>
      <c r="O96" s="50"/>
      <c r="AB96" s="149"/>
      <c r="AD96" s="148"/>
      <c r="AE96" s="150"/>
      <c r="AF96" s="51"/>
      <c r="AH96" s="150"/>
      <c r="AI96" s="51"/>
    </row>
    <row r="97" spans="3:35" x14ac:dyDescent="0.2">
      <c r="C97" s="23"/>
      <c r="H97" s="133"/>
      <c r="I97" s="25"/>
      <c r="J97" s="25"/>
      <c r="L97" s="24"/>
      <c r="M97" s="24"/>
      <c r="N97" s="8" t="s">
        <v>337</v>
      </c>
      <c r="O97" s="40"/>
      <c r="P97" s="43"/>
      <c r="Q97" s="43"/>
      <c r="R97" s="43"/>
      <c r="S97" s="43"/>
      <c r="T97" s="43"/>
      <c r="U97" s="43"/>
      <c r="V97" s="43"/>
      <c r="W97" s="43"/>
      <c r="X97" s="43"/>
      <c r="Y97" s="43"/>
      <c r="Z97" s="43"/>
      <c r="AA97" s="43"/>
      <c r="AB97" s="41"/>
      <c r="AD97" s="40"/>
      <c r="AE97" s="43"/>
      <c r="AF97" s="41"/>
      <c r="AG97" s="43"/>
      <c r="AH97" s="43"/>
      <c r="AI97" s="41"/>
    </row>
    <row r="98" spans="3:35" x14ac:dyDescent="0.2">
      <c r="C98" s="23"/>
      <c r="H98" s="133" t="s">
        <v>294</v>
      </c>
      <c r="I98" s="25"/>
      <c r="J98" s="25"/>
      <c r="L98" s="24" t="e">
        <f ca="1">_xll.EVPRO($B$1,H98,"JDEID")</f>
        <v>#NAME?</v>
      </c>
      <c r="M98" s="24" t="str">
        <f>IF(AND(I98="N",J98="N"),_xll.EVPRO($B$1,H98,"PSFTID"),"")</f>
        <v/>
      </c>
      <c r="N98" s="24" t="e">
        <f ca="1">IF(_xll.EVDES(H98,$B$1)="#NODATA","",_xll.EVDES(H98,$B$1))</f>
        <v>#NAME?</v>
      </c>
      <c r="O98" s="19"/>
      <c r="P98" s="19"/>
      <c r="Q98" s="19"/>
      <c r="R98" s="19"/>
      <c r="S98" s="19"/>
      <c r="T98" s="19"/>
      <c r="U98" s="19"/>
      <c r="V98" s="19"/>
      <c r="W98" s="19"/>
      <c r="X98" s="19"/>
      <c r="Y98" s="19"/>
      <c r="Z98" s="19"/>
      <c r="AA98" s="19">
        <f t="shared" ref="AA98:AA103" si="28">SUM(O98:Z98)</f>
        <v>0</v>
      </c>
      <c r="AB98" s="15" t="str">
        <f t="shared" ref="AB98:AB103" si="29">IF(AA98=0,"",IFERROR(AA98/AA$19,""))</f>
        <v/>
      </c>
      <c r="AD98" s="19"/>
      <c r="AE98" s="15" t="str">
        <f t="shared" ref="AE98:AE103" si="30">IF(AD98=0,"",IFERROR(AD98/AD$19,""))</f>
        <v/>
      </c>
      <c r="AF98" s="47">
        <f t="shared" ref="AF98:AF103" si="31">IF(AND($AA98="",AD98=""),"",$AA98-AD98)</f>
        <v>0</v>
      </c>
      <c r="AG98" s="19"/>
      <c r="AH98" s="15" t="str">
        <f t="shared" ref="AH98:AH103" si="32">IF(AG98=0,"",IFERROR(AG98/AG$19,""))</f>
        <v/>
      </c>
      <c r="AI98" s="47">
        <f t="shared" ref="AI98:AI103" si="33">IF(AND($AA98="",AG98=""),"",$AA98-AG98)</f>
        <v>0</v>
      </c>
    </row>
    <row r="99" spans="3:35" x14ac:dyDescent="0.2">
      <c r="C99" s="23"/>
      <c r="H99" s="133" t="s">
        <v>301</v>
      </c>
      <c r="I99" s="25"/>
      <c r="J99" s="25"/>
      <c r="L99" s="24" t="e">
        <f ca="1">_xll.EVPRO($B$1,H99,"JDEID")</f>
        <v>#NAME?</v>
      </c>
      <c r="M99" s="24" t="str">
        <f>IF(AND(I99="N",J99="N"),_xll.EVPRO($B$1,H99,"PSFTID"),"")</f>
        <v/>
      </c>
      <c r="N99" s="24" t="e">
        <f ca="1">IF(_xll.EVDES(H99,$B$1)="#NODATA","",_xll.EVDES(H99,$B$1))</f>
        <v>#NAME?</v>
      </c>
      <c r="O99" s="19"/>
      <c r="P99" s="19"/>
      <c r="Q99" s="19"/>
      <c r="R99" s="19"/>
      <c r="S99" s="19"/>
      <c r="T99" s="19"/>
      <c r="U99" s="19"/>
      <c r="V99" s="19"/>
      <c r="W99" s="19"/>
      <c r="X99" s="19"/>
      <c r="Y99" s="19"/>
      <c r="Z99" s="19"/>
      <c r="AA99" s="19">
        <f t="shared" si="28"/>
        <v>0</v>
      </c>
      <c r="AB99" s="15" t="str">
        <f t="shared" si="29"/>
        <v/>
      </c>
      <c r="AD99" s="19"/>
      <c r="AE99" s="15" t="str">
        <f t="shared" si="30"/>
        <v/>
      </c>
      <c r="AF99" s="47">
        <f t="shared" si="31"/>
        <v>0</v>
      </c>
      <c r="AG99" s="19"/>
      <c r="AH99" s="15" t="str">
        <f t="shared" si="32"/>
        <v/>
      </c>
      <c r="AI99" s="47">
        <f t="shared" si="33"/>
        <v>0</v>
      </c>
    </row>
    <row r="100" spans="3:35" x14ac:dyDescent="0.2">
      <c r="C100" s="23"/>
      <c r="H100" s="133" t="s">
        <v>302</v>
      </c>
      <c r="I100" s="25"/>
      <c r="J100" s="25"/>
      <c r="L100" s="24" t="e">
        <f ca="1">_xll.EVPRO($B$1,H100,"JDEID")</f>
        <v>#NAME?</v>
      </c>
      <c r="M100" s="24" t="str">
        <f>IF(AND(I100="N",J100="N"),_xll.EVPRO($B$1,H100,"PSFTID"),"")</f>
        <v/>
      </c>
      <c r="N100" s="24" t="e">
        <f ca="1">IF(_xll.EVDES(H100,$B$1)="#NODATA","",_xll.EVDES(H100,$B$1))</f>
        <v>#NAME?</v>
      </c>
      <c r="O100" s="19"/>
      <c r="P100" s="19"/>
      <c r="Q100" s="19"/>
      <c r="R100" s="19"/>
      <c r="S100" s="19"/>
      <c r="T100" s="19"/>
      <c r="U100" s="19"/>
      <c r="V100" s="19"/>
      <c r="W100" s="19"/>
      <c r="X100" s="19"/>
      <c r="Y100" s="19"/>
      <c r="Z100" s="19"/>
      <c r="AA100" s="19">
        <f t="shared" si="28"/>
        <v>0</v>
      </c>
      <c r="AB100" s="15" t="str">
        <f t="shared" si="29"/>
        <v/>
      </c>
      <c r="AD100" s="19"/>
      <c r="AE100" s="15" t="str">
        <f t="shared" si="30"/>
        <v/>
      </c>
      <c r="AF100" s="47">
        <f t="shared" si="31"/>
        <v>0</v>
      </c>
      <c r="AG100" s="19"/>
      <c r="AH100" s="15" t="str">
        <f t="shared" si="32"/>
        <v/>
      </c>
      <c r="AI100" s="47">
        <f t="shared" si="33"/>
        <v>0</v>
      </c>
    </row>
    <row r="101" spans="3:35" x14ac:dyDescent="0.2">
      <c r="C101" s="23"/>
      <c r="H101" s="133" t="s">
        <v>308</v>
      </c>
      <c r="I101" s="25"/>
      <c r="J101" s="25"/>
      <c r="L101" s="24" t="e">
        <f ca="1">_xll.EVPRO($B$1,H101,"JDEID")</f>
        <v>#NAME?</v>
      </c>
      <c r="M101" s="24" t="str">
        <f>IF(AND(I101="N",J101="N"),_xll.EVPRO($B$1,H101,"PSFTID"),"")</f>
        <v/>
      </c>
      <c r="N101" s="24" t="e">
        <f ca="1">IF(_xll.EVDES(H101,$B$1)="#NODATA","",_xll.EVDES(H101,$B$1))</f>
        <v>#NAME?</v>
      </c>
      <c r="O101" s="19"/>
      <c r="P101" s="19"/>
      <c r="Q101" s="19"/>
      <c r="R101" s="19"/>
      <c r="S101" s="19"/>
      <c r="T101" s="19"/>
      <c r="U101" s="19"/>
      <c r="V101" s="19"/>
      <c r="W101" s="19"/>
      <c r="X101" s="19"/>
      <c r="Y101" s="19"/>
      <c r="Z101" s="19"/>
      <c r="AA101" s="19">
        <f t="shared" si="28"/>
        <v>0</v>
      </c>
      <c r="AB101" s="15" t="str">
        <f t="shared" si="29"/>
        <v/>
      </c>
      <c r="AD101" s="19"/>
      <c r="AE101" s="15" t="str">
        <f t="shared" si="30"/>
        <v/>
      </c>
      <c r="AF101" s="47">
        <f t="shared" si="31"/>
        <v>0</v>
      </c>
      <c r="AG101" s="19"/>
      <c r="AH101" s="15" t="str">
        <f t="shared" si="32"/>
        <v/>
      </c>
      <c r="AI101" s="47">
        <f t="shared" si="33"/>
        <v>0</v>
      </c>
    </row>
    <row r="102" spans="3:35" x14ac:dyDescent="0.2">
      <c r="C102" s="23"/>
      <c r="H102" s="133" t="s">
        <v>321</v>
      </c>
      <c r="I102" s="25"/>
      <c r="J102" s="25"/>
      <c r="L102" s="24" t="e">
        <f ca="1">_xll.EVPRO($B$1,H102,"JDEID")</f>
        <v>#NAME?</v>
      </c>
      <c r="M102" s="24" t="str">
        <f>IF(AND(I102="N",J102="N"),_xll.EVPRO($B$1,H102,"PSFTID"),"")</f>
        <v/>
      </c>
      <c r="N102" s="24" t="e">
        <f ca="1">IF(_xll.EVDES(H102,$B$1)="#NODATA","",_xll.EVDES(H102,$B$1))</f>
        <v>#NAME?</v>
      </c>
      <c r="O102" s="19"/>
      <c r="P102" s="19"/>
      <c r="Q102" s="19"/>
      <c r="R102" s="19"/>
      <c r="S102" s="19"/>
      <c r="T102" s="19"/>
      <c r="U102" s="19"/>
      <c r="V102" s="19"/>
      <c r="W102" s="19"/>
      <c r="X102" s="19"/>
      <c r="Y102" s="19"/>
      <c r="Z102" s="19"/>
      <c r="AA102" s="19">
        <f t="shared" si="28"/>
        <v>0</v>
      </c>
      <c r="AB102" s="15" t="str">
        <f t="shared" si="29"/>
        <v/>
      </c>
      <c r="AD102" s="19"/>
      <c r="AE102" s="15" t="str">
        <f t="shared" si="30"/>
        <v/>
      </c>
      <c r="AF102" s="47">
        <f t="shared" si="31"/>
        <v>0</v>
      </c>
      <c r="AG102" s="19"/>
      <c r="AH102" s="15" t="str">
        <f t="shared" si="32"/>
        <v/>
      </c>
      <c r="AI102" s="47">
        <f t="shared" si="33"/>
        <v>0</v>
      </c>
    </row>
    <row r="103" spans="3:35" x14ac:dyDescent="0.2">
      <c r="C103" s="23"/>
      <c r="H103" s="133" t="s">
        <v>340</v>
      </c>
      <c r="I103" s="25"/>
      <c r="J103" s="25"/>
      <c r="L103" s="24" t="e">
        <f ca="1">_xll.EVPRO($B$1,H103,"JDEID")</f>
        <v>#NAME?</v>
      </c>
      <c r="M103" s="24" t="str">
        <f>IF(AND(I103="N",J103="N"),_xll.EVPRO($B$1,H103,"PSFTID"),"")</f>
        <v/>
      </c>
      <c r="N103" s="23" t="e">
        <f ca="1">IF(_xll.EVDES(H103,$B$1)="#NODATA","",_xll.EVDES(H103,$B$1))</f>
        <v>#NAME?</v>
      </c>
      <c r="O103" s="145"/>
      <c r="P103" s="145"/>
      <c r="Q103" s="145"/>
      <c r="R103" s="145"/>
      <c r="S103" s="145"/>
      <c r="T103" s="145"/>
      <c r="U103" s="145"/>
      <c r="V103" s="145"/>
      <c r="W103" s="145"/>
      <c r="X103" s="145"/>
      <c r="Y103" s="145"/>
      <c r="Z103" s="145"/>
      <c r="AA103" s="145">
        <f t="shared" si="28"/>
        <v>0</v>
      </c>
      <c r="AB103" s="156" t="str">
        <f t="shared" si="29"/>
        <v/>
      </c>
      <c r="AD103" s="145"/>
      <c r="AE103" s="156" t="str">
        <f t="shared" si="30"/>
        <v/>
      </c>
      <c r="AF103" s="146">
        <f t="shared" si="31"/>
        <v>0</v>
      </c>
      <c r="AG103" s="145"/>
      <c r="AH103" s="156" t="str">
        <f t="shared" si="32"/>
        <v/>
      </c>
      <c r="AI103" s="146">
        <f t="shared" si="33"/>
        <v>0</v>
      </c>
    </row>
    <row r="104" spans="3:35" x14ac:dyDescent="0.2">
      <c r="C104" s="23"/>
      <c r="H104" s="133"/>
      <c r="I104" s="25"/>
      <c r="J104" s="25"/>
      <c r="L104" s="24"/>
      <c r="M104" s="24"/>
      <c r="N104" s="8"/>
      <c r="O104" s="38"/>
      <c r="P104" s="42"/>
      <c r="Q104" s="42"/>
      <c r="R104" s="42"/>
      <c r="S104" s="42"/>
      <c r="T104" s="42"/>
      <c r="U104" s="42"/>
      <c r="V104" s="42"/>
      <c r="W104" s="42"/>
      <c r="X104" s="42"/>
      <c r="Y104" s="42"/>
      <c r="Z104" s="42"/>
      <c r="AA104" s="42"/>
      <c r="AB104" s="39"/>
      <c r="AD104" s="38"/>
      <c r="AE104" s="42"/>
      <c r="AF104" s="39"/>
      <c r="AG104" s="38"/>
      <c r="AH104" s="42"/>
      <c r="AI104" s="39"/>
    </row>
    <row r="105" spans="3:35" x14ac:dyDescent="0.2">
      <c r="C105" s="23"/>
      <c r="H105" s="133"/>
      <c r="I105" s="25"/>
      <c r="J105" s="25"/>
      <c r="L105" s="24"/>
      <c r="M105" s="24"/>
      <c r="N105" s="8" t="s">
        <v>339</v>
      </c>
      <c r="O105" s="40"/>
      <c r="P105" s="43"/>
      <c r="Q105" s="43"/>
      <c r="R105" s="43"/>
      <c r="S105" s="43"/>
      <c r="T105" s="43"/>
      <c r="U105" s="43"/>
      <c r="V105" s="43"/>
      <c r="W105" s="43"/>
      <c r="X105" s="43"/>
      <c r="Y105" s="43"/>
      <c r="Z105" s="43"/>
      <c r="AA105" s="43"/>
      <c r="AB105" s="41"/>
      <c r="AD105" s="40"/>
      <c r="AE105" s="43"/>
      <c r="AF105" s="41"/>
      <c r="AG105" s="40"/>
      <c r="AH105" s="43"/>
      <c r="AI105" s="41"/>
    </row>
    <row r="106" spans="3:35" x14ac:dyDescent="0.2">
      <c r="C106" s="23"/>
      <c r="H106" s="133" t="s">
        <v>295</v>
      </c>
      <c r="I106" s="25"/>
      <c r="J106" s="25"/>
      <c r="L106" s="24" t="e">
        <f ca="1">_xll.EVPRO($B$1,H106,"JDEID")</f>
        <v>#NAME?</v>
      </c>
      <c r="M106" s="24" t="str">
        <f>IF(AND(I106="N",J106="N"),_xll.EVPRO($B$1,H106,"PSFTID"),"")</f>
        <v/>
      </c>
      <c r="N106" s="24" t="e">
        <f ca="1">IF(_xll.EVDES(H106,$B$1)="#NODATA","",_xll.EVDES(H106,$B$1))</f>
        <v>#NAME?</v>
      </c>
      <c r="O106" s="19"/>
      <c r="P106" s="19"/>
      <c r="Q106" s="19"/>
      <c r="R106" s="19"/>
      <c r="S106" s="19"/>
      <c r="T106" s="19"/>
      <c r="U106" s="19"/>
      <c r="V106" s="19"/>
      <c r="W106" s="19"/>
      <c r="X106" s="19"/>
      <c r="Y106" s="19"/>
      <c r="Z106" s="19"/>
      <c r="AA106" s="19">
        <f t="shared" ref="AA106:AA111" si="34">SUM(O106:Z106)</f>
        <v>0</v>
      </c>
      <c r="AB106" s="15" t="str">
        <f t="shared" ref="AB106:AB111" si="35">IF(AA106=0,"",IFERROR(AA106/AA$19,""))</f>
        <v/>
      </c>
      <c r="AD106" s="19"/>
      <c r="AE106" s="15" t="str">
        <f t="shared" ref="AE106:AE111" si="36">IF(AD106=0,"",IFERROR(AD106/AD$19,""))</f>
        <v/>
      </c>
      <c r="AF106" s="47">
        <f t="shared" ref="AF106:AF111" si="37">IF(AND($AA106="",AD106=""),"",$AA106-AD106)</f>
        <v>0</v>
      </c>
      <c r="AG106" s="19"/>
      <c r="AH106" s="15" t="str">
        <f t="shared" ref="AH106:AH111" si="38">IF(AG106=0,"",IFERROR(AG106/AG$19,""))</f>
        <v/>
      </c>
      <c r="AI106" s="47">
        <f t="shared" ref="AI106:AI111" si="39">IF(AND($AA106="",AG106=""),"",$AA106-AG106)</f>
        <v>0</v>
      </c>
    </row>
    <row r="107" spans="3:35" x14ac:dyDescent="0.2">
      <c r="C107" s="23"/>
      <c r="H107" s="133" t="s">
        <v>305</v>
      </c>
      <c r="I107" s="25"/>
      <c r="J107" s="25"/>
      <c r="L107" s="24" t="e">
        <f ca="1">_xll.EVPRO($B$1,H107,"JDEID")</f>
        <v>#NAME?</v>
      </c>
      <c r="M107" s="24" t="str">
        <f>IF(AND(I107="N",J107="N"),_xll.EVPRO($B$1,H107,"PSFTID"),"")</f>
        <v/>
      </c>
      <c r="N107" s="24" t="e">
        <f ca="1">IF(_xll.EVDES(H107,$B$1)="#NODATA","",_xll.EVDES(H107,$B$1))</f>
        <v>#NAME?</v>
      </c>
      <c r="O107" s="19"/>
      <c r="P107" s="19"/>
      <c r="Q107" s="19"/>
      <c r="R107" s="19"/>
      <c r="S107" s="19"/>
      <c r="T107" s="19"/>
      <c r="U107" s="19"/>
      <c r="V107" s="19"/>
      <c r="W107" s="19"/>
      <c r="X107" s="19"/>
      <c r="Y107" s="19"/>
      <c r="Z107" s="19"/>
      <c r="AA107" s="19">
        <f t="shared" si="34"/>
        <v>0</v>
      </c>
      <c r="AB107" s="15" t="str">
        <f t="shared" si="35"/>
        <v/>
      </c>
      <c r="AD107" s="19"/>
      <c r="AE107" s="15" t="str">
        <f t="shared" si="36"/>
        <v/>
      </c>
      <c r="AF107" s="47">
        <f t="shared" si="37"/>
        <v>0</v>
      </c>
      <c r="AG107" s="19"/>
      <c r="AH107" s="15" t="str">
        <f t="shared" si="38"/>
        <v/>
      </c>
      <c r="AI107" s="47">
        <f t="shared" si="39"/>
        <v>0</v>
      </c>
    </row>
    <row r="108" spans="3:35" x14ac:dyDescent="0.2">
      <c r="C108" s="23"/>
      <c r="H108" s="133" t="s">
        <v>306</v>
      </c>
      <c r="I108" s="25"/>
      <c r="J108" s="25"/>
      <c r="L108" s="24" t="e">
        <f ca="1">_xll.EVPRO($B$1,H108,"JDEID")</f>
        <v>#NAME?</v>
      </c>
      <c r="M108" s="24" t="str">
        <f>IF(AND(I108="N",J108="N"),_xll.EVPRO($B$1,H108,"PSFTID"),"")</f>
        <v/>
      </c>
      <c r="N108" s="24" t="e">
        <f ca="1">IF(_xll.EVDES(H108,$B$1)="#NODATA","",_xll.EVDES(H108,$B$1))</f>
        <v>#NAME?</v>
      </c>
      <c r="O108" s="19"/>
      <c r="P108" s="19"/>
      <c r="Q108" s="19"/>
      <c r="R108" s="19"/>
      <c r="S108" s="19"/>
      <c r="T108" s="19"/>
      <c r="U108" s="19"/>
      <c r="V108" s="19"/>
      <c r="W108" s="19"/>
      <c r="X108" s="19"/>
      <c r="Y108" s="19"/>
      <c r="Z108" s="19"/>
      <c r="AA108" s="19">
        <f t="shared" si="34"/>
        <v>0</v>
      </c>
      <c r="AB108" s="15" t="str">
        <f t="shared" si="35"/>
        <v/>
      </c>
      <c r="AD108" s="19"/>
      <c r="AE108" s="15" t="str">
        <f t="shared" si="36"/>
        <v/>
      </c>
      <c r="AF108" s="47">
        <f t="shared" si="37"/>
        <v>0</v>
      </c>
      <c r="AG108" s="19"/>
      <c r="AH108" s="15" t="str">
        <f t="shared" si="38"/>
        <v/>
      </c>
      <c r="AI108" s="47">
        <f t="shared" si="39"/>
        <v>0</v>
      </c>
    </row>
    <row r="109" spans="3:35" x14ac:dyDescent="0.2">
      <c r="C109" s="23"/>
      <c r="H109" s="133" t="s">
        <v>310</v>
      </c>
      <c r="I109" s="25"/>
      <c r="J109" s="25"/>
      <c r="L109" s="24" t="e">
        <f ca="1">_xll.EVPRO($B$1,H109,"JDEID")</f>
        <v>#NAME?</v>
      </c>
      <c r="M109" s="24" t="str">
        <f>IF(AND(I109="N",J109="N"),_xll.EVPRO($B$1,H109,"PSFTID"),"")</f>
        <v/>
      </c>
      <c r="N109" s="24" t="e">
        <f ca="1">IF(_xll.EVDES(H109,$B$1)="#NODATA","",_xll.EVDES(H109,$B$1))</f>
        <v>#NAME?</v>
      </c>
      <c r="O109" s="19"/>
      <c r="P109" s="19"/>
      <c r="Q109" s="19"/>
      <c r="R109" s="19"/>
      <c r="S109" s="19"/>
      <c r="T109" s="19"/>
      <c r="U109" s="19"/>
      <c r="V109" s="19"/>
      <c r="W109" s="19"/>
      <c r="X109" s="19"/>
      <c r="Y109" s="19"/>
      <c r="Z109" s="19"/>
      <c r="AA109" s="19">
        <f t="shared" si="34"/>
        <v>0</v>
      </c>
      <c r="AB109" s="15" t="str">
        <f t="shared" si="35"/>
        <v/>
      </c>
      <c r="AD109" s="19"/>
      <c r="AE109" s="15" t="str">
        <f t="shared" si="36"/>
        <v/>
      </c>
      <c r="AF109" s="47">
        <f t="shared" si="37"/>
        <v>0</v>
      </c>
      <c r="AG109" s="19"/>
      <c r="AH109" s="15" t="str">
        <f t="shared" si="38"/>
        <v/>
      </c>
      <c r="AI109" s="47">
        <f t="shared" si="39"/>
        <v>0</v>
      </c>
    </row>
    <row r="110" spans="3:35" x14ac:dyDescent="0.2">
      <c r="C110" s="23"/>
      <c r="H110" s="133" t="s">
        <v>323</v>
      </c>
      <c r="I110" s="25"/>
      <c r="J110" s="25"/>
      <c r="L110" s="24" t="e">
        <f ca="1">_xll.EVPRO($B$1,H110,"JDEID")</f>
        <v>#NAME?</v>
      </c>
      <c r="M110" s="24" t="str">
        <f>IF(AND(I110="N",J110="N"),_xll.EVPRO($B$1,H110,"PSFTID"),"")</f>
        <v/>
      </c>
      <c r="N110" s="24" t="e">
        <f ca="1">IF(_xll.EVDES(H110,$B$1)="#NODATA","",_xll.EVDES(H110,$B$1))</f>
        <v>#NAME?</v>
      </c>
      <c r="O110" s="19"/>
      <c r="P110" s="19"/>
      <c r="Q110" s="19"/>
      <c r="R110" s="19"/>
      <c r="S110" s="19"/>
      <c r="T110" s="19"/>
      <c r="U110" s="19"/>
      <c r="V110" s="19"/>
      <c r="W110" s="19"/>
      <c r="X110" s="19"/>
      <c r="Y110" s="19"/>
      <c r="Z110" s="19"/>
      <c r="AA110" s="19">
        <f t="shared" si="34"/>
        <v>0</v>
      </c>
      <c r="AB110" s="15" t="str">
        <f t="shared" si="35"/>
        <v/>
      </c>
      <c r="AD110" s="19"/>
      <c r="AE110" s="15" t="str">
        <f t="shared" si="36"/>
        <v/>
      </c>
      <c r="AF110" s="47">
        <f t="shared" si="37"/>
        <v>0</v>
      </c>
      <c r="AG110" s="19"/>
      <c r="AH110" s="15" t="str">
        <f t="shared" si="38"/>
        <v/>
      </c>
      <c r="AI110" s="47">
        <f t="shared" si="39"/>
        <v>0</v>
      </c>
    </row>
    <row r="111" spans="3:35" x14ac:dyDescent="0.2">
      <c r="C111" s="23"/>
      <c r="H111" s="133" t="s">
        <v>342</v>
      </c>
      <c r="I111" s="25"/>
      <c r="J111" s="25"/>
      <c r="L111" s="24" t="e">
        <f ca="1">_xll.EVPRO($B$1,H111,"JDEID")</f>
        <v>#NAME?</v>
      </c>
      <c r="M111" s="24" t="str">
        <f>IF(AND(I111="N",J111="N"),_xll.EVPRO($B$1,H111,"PSFTID"),"")</f>
        <v/>
      </c>
      <c r="N111" s="23" t="e">
        <f ca="1">IF(_xll.EVDES(H111,$B$1)="#NODATA","",_xll.EVDES(H111,$B$1))</f>
        <v>#NAME?</v>
      </c>
      <c r="O111" s="145"/>
      <c r="P111" s="145"/>
      <c r="Q111" s="145"/>
      <c r="R111" s="145"/>
      <c r="S111" s="145"/>
      <c r="T111" s="145"/>
      <c r="U111" s="145"/>
      <c r="V111" s="145"/>
      <c r="W111" s="145"/>
      <c r="X111" s="145"/>
      <c r="Y111" s="145"/>
      <c r="Z111" s="145"/>
      <c r="AA111" s="145">
        <f t="shared" si="34"/>
        <v>0</v>
      </c>
      <c r="AB111" s="156" t="str">
        <f t="shared" si="35"/>
        <v/>
      </c>
      <c r="AD111" s="145"/>
      <c r="AE111" s="156" t="str">
        <f t="shared" si="36"/>
        <v/>
      </c>
      <c r="AF111" s="146">
        <f t="shared" si="37"/>
        <v>0</v>
      </c>
      <c r="AG111" s="145"/>
      <c r="AH111" s="156" t="str">
        <f t="shared" si="38"/>
        <v/>
      </c>
      <c r="AI111" s="146">
        <f t="shared" si="39"/>
        <v>0</v>
      </c>
    </row>
    <row r="112" spans="3:35" x14ac:dyDescent="0.2">
      <c r="C112" s="23"/>
      <c r="H112" s="133"/>
      <c r="I112" s="25"/>
      <c r="J112" s="25"/>
      <c r="L112" s="24"/>
      <c r="M112" s="24"/>
      <c r="N112" s="8"/>
      <c r="O112" s="38"/>
      <c r="P112" s="42"/>
      <c r="Q112" s="42"/>
      <c r="R112" s="42"/>
      <c r="S112" s="42"/>
      <c r="T112" s="42"/>
      <c r="U112" s="42"/>
      <c r="V112" s="42"/>
      <c r="W112" s="42"/>
      <c r="X112" s="42"/>
      <c r="Y112" s="42"/>
      <c r="Z112" s="42"/>
      <c r="AA112" s="42"/>
      <c r="AB112" s="39"/>
      <c r="AD112" s="38"/>
      <c r="AE112" s="42"/>
      <c r="AF112" s="39"/>
      <c r="AG112" s="38"/>
      <c r="AH112" s="42"/>
      <c r="AI112" s="39"/>
    </row>
    <row r="113" spans="3:35" x14ac:dyDescent="0.2">
      <c r="C113" s="23"/>
      <c r="H113" s="133"/>
      <c r="I113" s="25"/>
      <c r="J113" s="25"/>
      <c r="L113" s="24"/>
      <c r="M113" s="24"/>
      <c r="N113" s="8" t="s">
        <v>338</v>
      </c>
      <c r="O113" s="40"/>
      <c r="P113" s="43"/>
      <c r="Q113" s="43"/>
      <c r="R113" s="43"/>
      <c r="S113" s="43"/>
      <c r="T113" s="43"/>
      <c r="U113" s="43"/>
      <c r="V113" s="43"/>
      <c r="W113" s="43"/>
      <c r="X113" s="43"/>
      <c r="Y113" s="43"/>
      <c r="Z113" s="43"/>
      <c r="AA113" s="43"/>
      <c r="AB113" s="41"/>
      <c r="AD113" s="40"/>
      <c r="AE113" s="43"/>
      <c r="AF113" s="41"/>
      <c r="AG113" s="40"/>
      <c r="AH113" s="43"/>
      <c r="AI113" s="41"/>
    </row>
    <row r="114" spans="3:35" x14ac:dyDescent="0.2">
      <c r="C114" s="23"/>
      <c r="H114" s="133" t="s">
        <v>296</v>
      </c>
      <c r="I114" s="25"/>
      <c r="J114" s="25"/>
      <c r="L114" s="24" t="e">
        <f ca="1">_xll.EVPRO($B$1,H114,"JDEID")</f>
        <v>#NAME?</v>
      </c>
      <c r="M114" s="24" t="str">
        <f>IF(AND(I114="N",J114="N"),_xll.EVPRO($B$1,H114,"PSFTID"),"")</f>
        <v/>
      </c>
      <c r="N114" s="24" t="e">
        <f ca="1">IF(_xll.EVDES(H114,$B$1)="#NODATA","",_xll.EVDES(H114,$B$1))</f>
        <v>#NAME?</v>
      </c>
      <c r="O114" s="19"/>
      <c r="P114" s="19"/>
      <c r="Q114" s="19"/>
      <c r="R114" s="19"/>
      <c r="S114" s="19"/>
      <c r="T114" s="19"/>
      <c r="U114" s="19"/>
      <c r="V114" s="19"/>
      <c r="W114" s="19"/>
      <c r="X114" s="19"/>
      <c r="Y114" s="19"/>
      <c r="Z114" s="19"/>
      <c r="AA114" s="19">
        <f t="shared" ref="AA114:AA119" si="40">SUM(O114:Z114)</f>
        <v>0</v>
      </c>
      <c r="AB114" s="15" t="str">
        <f t="shared" ref="AB114:AB119" si="41">IF(AA114=0,"",IFERROR(AA114/AA$19,""))</f>
        <v/>
      </c>
      <c r="AD114" s="19"/>
      <c r="AE114" s="15" t="str">
        <f t="shared" ref="AE114:AE119" si="42">IF(AD114=0,"",IFERROR(AD114/AD$19,""))</f>
        <v/>
      </c>
      <c r="AF114" s="47">
        <f t="shared" ref="AF114:AF119" si="43">IF(AND($AA114="",AD114=""),"",$AA114-AD114)</f>
        <v>0</v>
      </c>
      <c r="AG114" s="19"/>
      <c r="AH114" s="15" t="str">
        <f t="shared" ref="AH114:AH119" si="44">IF(AG114=0,"",IFERROR(AG114/AG$19,""))</f>
        <v/>
      </c>
      <c r="AI114" s="47">
        <f t="shared" ref="AI114:AI119" si="45">IF(AND($AA114="",AG114=""),"",$AA114-AG114)</f>
        <v>0</v>
      </c>
    </row>
    <row r="115" spans="3:35" x14ac:dyDescent="0.2">
      <c r="C115" s="23"/>
      <c r="H115" s="133" t="s">
        <v>303</v>
      </c>
      <c r="I115" s="25"/>
      <c r="J115" s="25"/>
      <c r="L115" s="24" t="e">
        <f ca="1">_xll.EVPRO($B$1,H115,"JDEID")</f>
        <v>#NAME?</v>
      </c>
      <c r="M115" s="24" t="str">
        <f>IF(AND(I115="N",J115="N"),_xll.EVPRO($B$1,H115,"PSFTID"),"")</f>
        <v/>
      </c>
      <c r="N115" s="24" t="e">
        <f ca="1">IF(_xll.EVDES(H115,$B$1)="#NODATA","",_xll.EVDES(H115,$B$1))</f>
        <v>#NAME?</v>
      </c>
      <c r="O115" s="19"/>
      <c r="P115" s="19"/>
      <c r="Q115" s="19"/>
      <c r="R115" s="19"/>
      <c r="S115" s="19"/>
      <c r="T115" s="19"/>
      <c r="U115" s="19"/>
      <c r="V115" s="19"/>
      <c r="W115" s="19"/>
      <c r="X115" s="19"/>
      <c r="Y115" s="19"/>
      <c r="Z115" s="19"/>
      <c r="AA115" s="19">
        <f t="shared" si="40"/>
        <v>0</v>
      </c>
      <c r="AB115" s="15" t="str">
        <f t="shared" si="41"/>
        <v/>
      </c>
      <c r="AD115" s="19"/>
      <c r="AE115" s="15" t="str">
        <f t="shared" si="42"/>
        <v/>
      </c>
      <c r="AF115" s="47">
        <f t="shared" si="43"/>
        <v>0</v>
      </c>
      <c r="AG115" s="19"/>
      <c r="AH115" s="15" t="str">
        <f t="shared" si="44"/>
        <v/>
      </c>
      <c r="AI115" s="47">
        <f t="shared" si="45"/>
        <v>0</v>
      </c>
    </row>
    <row r="116" spans="3:35" x14ac:dyDescent="0.2">
      <c r="C116" s="23"/>
      <c r="H116" s="133" t="s">
        <v>304</v>
      </c>
      <c r="I116" s="25"/>
      <c r="J116" s="25"/>
      <c r="L116" s="24" t="e">
        <f ca="1">_xll.EVPRO($B$1,H116,"JDEID")</f>
        <v>#NAME?</v>
      </c>
      <c r="M116" s="24" t="str">
        <f>IF(AND(I116="N",J116="N"),_xll.EVPRO($B$1,H116,"PSFTID"),"")</f>
        <v/>
      </c>
      <c r="N116" s="24" t="e">
        <f ca="1">IF(_xll.EVDES(H116,$B$1)="#NODATA","",_xll.EVDES(H116,$B$1))</f>
        <v>#NAME?</v>
      </c>
      <c r="O116" s="19"/>
      <c r="P116" s="19"/>
      <c r="Q116" s="19"/>
      <c r="R116" s="19"/>
      <c r="S116" s="19"/>
      <c r="T116" s="19"/>
      <c r="U116" s="19"/>
      <c r="V116" s="19"/>
      <c r="W116" s="19"/>
      <c r="X116" s="19"/>
      <c r="Y116" s="19"/>
      <c r="Z116" s="19"/>
      <c r="AA116" s="19">
        <f t="shared" si="40"/>
        <v>0</v>
      </c>
      <c r="AB116" s="15" t="str">
        <f t="shared" si="41"/>
        <v/>
      </c>
      <c r="AD116" s="19"/>
      <c r="AE116" s="15" t="str">
        <f t="shared" si="42"/>
        <v/>
      </c>
      <c r="AF116" s="47">
        <f t="shared" si="43"/>
        <v>0</v>
      </c>
      <c r="AG116" s="19"/>
      <c r="AH116" s="15" t="str">
        <f t="shared" si="44"/>
        <v/>
      </c>
      <c r="AI116" s="47">
        <f t="shared" si="45"/>
        <v>0</v>
      </c>
    </row>
    <row r="117" spans="3:35" x14ac:dyDescent="0.2">
      <c r="C117" s="23"/>
      <c r="H117" s="133" t="s">
        <v>309</v>
      </c>
      <c r="I117" s="25"/>
      <c r="J117" s="25"/>
      <c r="L117" s="24" t="e">
        <f ca="1">_xll.EVPRO($B$1,H117,"JDEID")</f>
        <v>#NAME?</v>
      </c>
      <c r="M117" s="24" t="str">
        <f>IF(AND(I117="N",J117="N"),_xll.EVPRO($B$1,H117,"PSFTID"),"")</f>
        <v/>
      </c>
      <c r="N117" s="24" t="e">
        <f ca="1">IF(_xll.EVDES(H117,$B$1)="#NODATA","",_xll.EVDES(H117,$B$1))</f>
        <v>#NAME?</v>
      </c>
      <c r="O117" s="19"/>
      <c r="P117" s="19"/>
      <c r="Q117" s="19"/>
      <c r="R117" s="19"/>
      <c r="S117" s="19"/>
      <c r="T117" s="19"/>
      <c r="U117" s="19"/>
      <c r="V117" s="19"/>
      <c r="W117" s="19"/>
      <c r="X117" s="19"/>
      <c r="Y117" s="19"/>
      <c r="Z117" s="19"/>
      <c r="AA117" s="19">
        <f t="shared" si="40"/>
        <v>0</v>
      </c>
      <c r="AB117" s="15" t="str">
        <f t="shared" si="41"/>
        <v/>
      </c>
      <c r="AD117" s="19"/>
      <c r="AE117" s="15" t="str">
        <f t="shared" si="42"/>
        <v/>
      </c>
      <c r="AF117" s="47">
        <f t="shared" si="43"/>
        <v>0</v>
      </c>
      <c r="AG117" s="19"/>
      <c r="AH117" s="15" t="str">
        <f t="shared" si="44"/>
        <v/>
      </c>
      <c r="AI117" s="47">
        <f t="shared" si="45"/>
        <v>0</v>
      </c>
    </row>
    <row r="118" spans="3:35" x14ac:dyDescent="0.2">
      <c r="C118" s="23"/>
      <c r="H118" s="133" t="s">
        <v>322</v>
      </c>
      <c r="I118" s="25"/>
      <c r="J118" s="25"/>
      <c r="L118" s="24" t="e">
        <f ca="1">_xll.EVPRO($B$1,H118,"JDEID")</f>
        <v>#NAME?</v>
      </c>
      <c r="M118" s="24" t="str">
        <f>IF(AND(I118="N",J118="N"),_xll.EVPRO($B$1,H118,"PSFTID"),"")</f>
        <v/>
      </c>
      <c r="N118" s="24" t="e">
        <f ca="1">IF(_xll.EVDES(H118,$B$1)="#NODATA","",_xll.EVDES(H118,$B$1))</f>
        <v>#NAME?</v>
      </c>
      <c r="O118" s="19"/>
      <c r="P118" s="19"/>
      <c r="Q118" s="19"/>
      <c r="R118" s="19"/>
      <c r="S118" s="19"/>
      <c r="T118" s="19"/>
      <c r="U118" s="19"/>
      <c r="V118" s="19"/>
      <c r="W118" s="19"/>
      <c r="X118" s="19"/>
      <c r="Y118" s="19"/>
      <c r="Z118" s="19"/>
      <c r="AA118" s="19">
        <f t="shared" si="40"/>
        <v>0</v>
      </c>
      <c r="AB118" s="15" t="str">
        <f t="shared" si="41"/>
        <v/>
      </c>
      <c r="AD118" s="19"/>
      <c r="AE118" s="15" t="str">
        <f t="shared" si="42"/>
        <v/>
      </c>
      <c r="AF118" s="47">
        <f t="shared" si="43"/>
        <v>0</v>
      </c>
      <c r="AG118" s="19"/>
      <c r="AH118" s="15" t="str">
        <f t="shared" si="44"/>
        <v/>
      </c>
      <c r="AI118" s="47">
        <f t="shared" si="45"/>
        <v>0</v>
      </c>
    </row>
    <row r="119" spans="3:35" x14ac:dyDescent="0.2">
      <c r="C119" s="23"/>
      <c r="H119" s="133" t="s">
        <v>341</v>
      </c>
      <c r="I119" s="25"/>
      <c r="J119" s="25"/>
      <c r="L119" s="24" t="e">
        <f ca="1">_xll.EVPRO($B$1,H119,"JDEID")</f>
        <v>#NAME?</v>
      </c>
      <c r="M119" s="24" t="str">
        <f>IF(AND(I119="N",J119="N"),_xll.EVPRO($B$1,H119,"PSFTID"),"")</f>
        <v/>
      </c>
      <c r="N119" s="23" t="e">
        <f ca="1">IF(_xll.EVDES(H119,$B$1)="#NODATA","",_xll.EVDES(H119,$B$1))</f>
        <v>#NAME?</v>
      </c>
      <c r="O119" s="145"/>
      <c r="P119" s="145"/>
      <c r="Q119" s="145"/>
      <c r="R119" s="145"/>
      <c r="S119" s="145"/>
      <c r="T119" s="145"/>
      <c r="U119" s="145"/>
      <c r="V119" s="145"/>
      <c r="W119" s="145"/>
      <c r="X119" s="145"/>
      <c r="Y119" s="145"/>
      <c r="Z119" s="145"/>
      <c r="AA119" s="145">
        <f t="shared" si="40"/>
        <v>0</v>
      </c>
      <c r="AB119" s="156" t="str">
        <f t="shared" si="41"/>
        <v/>
      </c>
      <c r="AD119" s="145"/>
      <c r="AE119" s="156" t="str">
        <f t="shared" si="42"/>
        <v/>
      </c>
      <c r="AF119" s="146">
        <f t="shared" si="43"/>
        <v>0</v>
      </c>
      <c r="AG119" s="145"/>
      <c r="AH119" s="156" t="str">
        <f t="shared" si="44"/>
        <v/>
      </c>
      <c r="AI119" s="146">
        <f t="shared" si="45"/>
        <v>0</v>
      </c>
    </row>
    <row r="120" spans="3:35" x14ac:dyDescent="0.2">
      <c r="C120" s="23"/>
      <c r="H120" s="133"/>
      <c r="I120" s="25"/>
      <c r="J120" s="25"/>
      <c r="L120" s="24"/>
      <c r="M120" s="24"/>
      <c r="O120" s="38"/>
      <c r="P120" s="42"/>
      <c r="Q120" s="42"/>
      <c r="R120" s="42"/>
      <c r="S120" s="42"/>
      <c r="T120" s="42"/>
      <c r="U120" s="42"/>
      <c r="V120" s="42"/>
      <c r="W120" s="42"/>
      <c r="X120" s="42"/>
      <c r="Y120" s="42"/>
      <c r="Z120" s="42"/>
      <c r="AA120" s="42"/>
      <c r="AB120" s="39"/>
      <c r="AD120" s="38"/>
      <c r="AE120" s="42"/>
      <c r="AF120" s="39"/>
      <c r="AG120" s="38"/>
      <c r="AH120" s="42"/>
      <c r="AI120" s="39"/>
    </row>
    <row r="121" spans="3:35" x14ac:dyDescent="0.2">
      <c r="C121" s="23"/>
      <c r="H121" s="10" t="s">
        <v>267</v>
      </c>
      <c r="I121" s="25"/>
      <c r="J121" s="25"/>
      <c r="L121" s="24" t="e">
        <f ca="1">_xll.EVPRO($B$1,H121,"JDEID")</f>
        <v>#NAME?</v>
      </c>
      <c r="M121" s="24" t="str">
        <f>IF(AND(I121="N",J121="N"),_xll.EVPRO($B$1,H121,"PSFTID"),"")</f>
        <v/>
      </c>
      <c r="N121" s="24" t="e">
        <f ca="1">IF(_xll.EVDES(H121,$B$1)="#NODATA","",_xll.EVDES(H121,$B$1))</f>
        <v>#NAME?</v>
      </c>
      <c r="O121" s="19">
        <f t="shared" ref="O121:Z121" si="46">O98+O106+O114</f>
        <v>0</v>
      </c>
      <c r="P121" s="19">
        <f t="shared" si="46"/>
        <v>0</v>
      </c>
      <c r="Q121" s="19">
        <f t="shared" si="46"/>
        <v>0</v>
      </c>
      <c r="R121" s="19">
        <f t="shared" si="46"/>
        <v>0</v>
      </c>
      <c r="S121" s="19">
        <f t="shared" si="46"/>
        <v>0</v>
      </c>
      <c r="T121" s="19">
        <f t="shared" si="46"/>
        <v>0</v>
      </c>
      <c r="U121" s="19">
        <f t="shared" si="46"/>
        <v>0</v>
      </c>
      <c r="V121" s="19">
        <f t="shared" si="46"/>
        <v>0</v>
      </c>
      <c r="W121" s="19">
        <f t="shared" si="46"/>
        <v>0</v>
      </c>
      <c r="X121" s="19">
        <f t="shared" si="46"/>
        <v>0</v>
      </c>
      <c r="Y121" s="19">
        <f t="shared" si="46"/>
        <v>0</v>
      </c>
      <c r="Z121" s="19">
        <f t="shared" si="46"/>
        <v>0</v>
      </c>
      <c r="AA121" s="19">
        <f t="shared" ref="AA121:AA126" si="47">SUM(O121:Z121)</f>
        <v>0</v>
      </c>
      <c r="AB121" s="15" t="str">
        <f t="shared" ref="AB121:AB126" si="48">IF(AA121=0,"",IFERROR(AA121/AA$19,""))</f>
        <v/>
      </c>
      <c r="AD121" s="19">
        <f>AD98+AD106+AD114</f>
        <v>0</v>
      </c>
      <c r="AE121" s="15" t="str">
        <f t="shared" ref="AE121:AE126" si="49">IF(AD121=0,"",IFERROR(AD121/AD$19,""))</f>
        <v/>
      </c>
      <c r="AF121" s="47">
        <f t="shared" ref="AF121:AF126" si="50">IF(AND($AA121="",AD121=""),"",$AA121-AD121)</f>
        <v>0</v>
      </c>
      <c r="AG121" s="19">
        <f>AG98+AG106+AG114</f>
        <v>0</v>
      </c>
      <c r="AH121" s="15" t="str">
        <f t="shared" ref="AH121:AH126" si="51">IF(AG121=0,"",IFERROR(AG121/AG$19,""))</f>
        <v/>
      </c>
      <c r="AI121" s="47">
        <f t="shared" ref="AI121:AI126" si="52">IF(AND($AA121="",AG121=""),"",$AA121-AG121)</f>
        <v>0</v>
      </c>
    </row>
    <row r="122" spans="3:35" x14ac:dyDescent="0.2">
      <c r="C122" s="23"/>
      <c r="H122" s="10" t="s">
        <v>268</v>
      </c>
      <c r="I122" s="25"/>
      <c r="J122" s="25"/>
      <c r="L122" s="24" t="e">
        <f ca="1">_xll.EVPRO($B$1,H122,"JDEID")</f>
        <v>#NAME?</v>
      </c>
      <c r="M122" s="24" t="str">
        <f>IF(AND(I122="N",J122="N"),_xll.EVPRO($B$1,H122,"PSFTID"),"")</f>
        <v/>
      </c>
      <c r="N122" s="24" t="e">
        <f ca="1">IF(_xll.EVDES(H122,$B$1)="#NODATA","",_xll.EVDES(H122,$B$1))</f>
        <v>#NAME?</v>
      </c>
      <c r="O122" s="19">
        <f t="shared" ref="O122:Z122" si="53">O99+O107+O115</f>
        <v>0</v>
      </c>
      <c r="P122" s="19">
        <f t="shared" si="53"/>
        <v>0</v>
      </c>
      <c r="Q122" s="19">
        <f t="shared" si="53"/>
        <v>0</v>
      </c>
      <c r="R122" s="19">
        <f t="shared" si="53"/>
        <v>0</v>
      </c>
      <c r="S122" s="19">
        <f t="shared" si="53"/>
        <v>0</v>
      </c>
      <c r="T122" s="19">
        <f t="shared" si="53"/>
        <v>0</v>
      </c>
      <c r="U122" s="19">
        <f t="shared" si="53"/>
        <v>0</v>
      </c>
      <c r="V122" s="19">
        <f t="shared" si="53"/>
        <v>0</v>
      </c>
      <c r="W122" s="19">
        <f t="shared" si="53"/>
        <v>0</v>
      </c>
      <c r="X122" s="19">
        <f t="shared" si="53"/>
        <v>0</v>
      </c>
      <c r="Y122" s="19">
        <f t="shared" si="53"/>
        <v>0</v>
      </c>
      <c r="Z122" s="19">
        <f t="shared" si="53"/>
        <v>0</v>
      </c>
      <c r="AA122" s="19">
        <f t="shared" si="47"/>
        <v>0</v>
      </c>
      <c r="AB122" s="15" t="str">
        <f t="shared" si="48"/>
        <v/>
      </c>
      <c r="AD122" s="19">
        <f>AD99+AD107+AD115</f>
        <v>0</v>
      </c>
      <c r="AE122" s="15" t="str">
        <f t="shared" si="49"/>
        <v/>
      </c>
      <c r="AF122" s="47">
        <f t="shared" si="50"/>
        <v>0</v>
      </c>
      <c r="AG122" s="19">
        <f>AG99+AG107+AG115</f>
        <v>0</v>
      </c>
      <c r="AH122" s="15" t="str">
        <f t="shared" si="51"/>
        <v/>
      </c>
      <c r="AI122" s="47">
        <f t="shared" si="52"/>
        <v>0</v>
      </c>
    </row>
    <row r="123" spans="3:35" x14ac:dyDescent="0.2">
      <c r="C123" s="23"/>
      <c r="H123" s="133" t="s">
        <v>269</v>
      </c>
      <c r="I123" s="25"/>
      <c r="J123" s="25"/>
      <c r="L123" s="24" t="e">
        <f ca="1">_xll.EVPRO($B$1,H123,"JDEID")</f>
        <v>#NAME?</v>
      </c>
      <c r="M123" s="24" t="str">
        <f>IF(AND(I123="N",J123="N"),_xll.EVPRO($B$1,H123,"PSFTID"),"")</f>
        <v/>
      </c>
      <c r="N123" s="24" t="e">
        <f ca="1">IF(_xll.EVDES(H123,$B$1)="#NODATA","",_xll.EVDES(H123,$B$1))</f>
        <v>#NAME?</v>
      </c>
      <c r="O123" s="19">
        <f t="shared" ref="O123:Z123" si="54">O100+O108+O116</f>
        <v>0</v>
      </c>
      <c r="P123" s="19">
        <f t="shared" si="54"/>
        <v>0</v>
      </c>
      <c r="Q123" s="19">
        <f t="shared" si="54"/>
        <v>0</v>
      </c>
      <c r="R123" s="19">
        <f t="shared" si="54"/>
        <v>0</v>
      </c>
      <c r="S123" s="19">
        <f t="shared" si="54"/>
        <v>0</v>
      </c>
      <c r="T123" s="19">
        <f t="shared" si="54"/>
        <v>0</v>
      </c>
      <c r="U123" s="19">
        <f t="shared" si="54"/>
        <v>0</v>
      </c>
      <c r="V123" s="19">
        <f t="shared" si="54"/>
        <v>0</v>
      </c>
      <c r="W123" s="19">
        <f t="shared" si="54"/>
        <v>0</v>
      </c>
      <c r="X123" s="19">
        <f t="shared" si="54"/>
        <v>0</v>
      </c>
      <c r="Y123" s="19">
        <f t="shared" si="54"/>
        <v>0</v>
      </c>
      <c r="Z123" s="19">
        <f t="shared" si="54"/>
        <v>0</v>
      </c>
      <c r="AA123" s="19">
        <f t="shared" si="47"/>
        <v>0</v>
      </c>
      <c r="AB123" s="15" t="str">
        <f t="shared" si="48"/>
        <v/>
      </c>
      <c r="AD123" s="19">
        <f>AD100+AD108+AD116</f>
        <v>0</v>
      </c>
      <c r="AE123" s="15" t="str">
        <f t="shared" si="49"/>
        <v/>
      </c>
      <c r="AF123" s="47">
        <f t="shared" si="50"/>
        <v>0</v>
      </c>
      <c r="AG123" s="19">
        <f>AG100+AG108+AG116</f>
        <v>0</v>
      </c>
      <c r="AH123" s="15" t="str">
        <f t="shared" si="51"/>
        <v/>
      </c>
      <c r="AI123" s="47">
        <f t="shared" si="52"/>
        <v>0</v>
      </c>
    </row>
    <row r="124" spans="3:35" x14ac:dyDescent="0.2">
      <c r="C124" s="23"/>
      <c r="H124" s="133" t="s">
        <v>270</v>
      </c>
      <c r="I124" s="25"/>
      <c r="J124" s="25"/>
      <c r="L124" s="24" t="e">
        <f ca="1">_xll.EVPRO($B$1,H124,"JDEID")</f>
        <v>#NAME?</v>
      </c>
      <c r="M124" s="24" t="str">
        <f>IF(AND(I124="N",J124="N"),_xll.EVPRO($B$1,H124,"PSFTID"),"")</f>
        <v/>
      </c>
      <c r="N124" s="24" t="e">
        <f ca="1">IF(_xll.EVDES(H124,$B$1)="#NODATA","",_xll.EVDES(H124,$B$1))</f>
        <v>#NAME?</v>
      </c>
      <c r="O124" s="19">
        <f t="shared" ref="O124:Z124" si="55">O101+O109+O117</f>
        <v>0</v>
      </c>
      <c r="P124" s="19">
        <f t="shared" si="55"/>
        <v>0</v>
      </c>
      <c r="Q124" s="19">
        <f t="shared" si="55"/>
        <v>0</v>
      </c>
      <c r="R124" s="19">
        <f t="shared" si="55"/>
        <v>0</v>
      </c>
      <c r="S124" s="19">
        <f t="shared" si="55"/>
        <v>0</v>
      </c>
      <c r="T124" s="19">
        <f t="shared" si="55"/>
        <v>0</v>
      </c>
      <c r="U124" s="19">
        <f t="shared" si="55"/>
        <v>0</v>
      </c>
      <c r="V124" s="19">
        <f t="shared" si="55"/>
        <v>0</v>
      </c>
      <c r="W124" s="19">
        <f t="shared" si="55"/>
        <v>0</v>
      </c>
      <c r="X124" s="19">
        <f t="shared" si="55"/>
        <v>0</v>
      </c>
      <c r="Y124" s="19">
        <f t="shared" si="55"/>
        <v>0</v>
      </c>
      <c r="Z124" s="19">
        <f t="shared" si="55"/>
        <v>0</v>
      </c>
      <c r="AA124" s="19">
        <f t="shared" si="47"/>
        <v>0</v>
      </c>
      <c r="AB124" s="15" t="str">
        <f t="shared" si="48"/>
        <v/>
      </c>
      <c r="AD124" s="19">
        <f>AD101+AD109+AD117</f>
        <v>0</v>
      </c>
      <c r="AE124" s="15" t="str">
        <f t="shared" si="49"/>
        <v/>
      </c>
      <c r="AF124" s="47">
        <f t="shared" si="50"/>
        <v>0</v>
      </c>
      <c r="AG124" s="19">
        <f>AG101+AG109+AG117</f>
        <v>0</v>
      </c>
      <c r="AH124" s="15" t="str">
        <f t="shared" si="51"/>
        <v/>
      </c>
      <c r="AI124" s="47">
        <f t="shared" si="52"/>
        <v>0</v>
      </c>
    </row>
    <row r="125" spans="3:35" x14ac:dyDescent="0.2">
      <c r="C125" s="23"/>
      <c r="H125" s="133" t="s">
        <v>271</v>
      </c>
      <c r="I125" s="25"/>
      <c r="J125" s="25"/>
      <c r="L125" s="24" t="e">
        <f ca="1">_xll.EVPRO($B$1,H125,"JDEID")</f>
        <v>#NAME?</v>
      </c>
      <c r="M125" s="24" t="str">
        <f>IF(AND(I125="N",J125="N"),_xll.EVPRO($B$1,H125,"PSFTID"),"")</f>
        <v/>
      </c>
      <c r="N125" s="24" t="e">
        <f ca="1">IF(_xll.EVDES(H125,$B$1)="#NODATA","",_xll.EVDES(H125,$B$1))</f>
        <v>#NAME?</v>
      </c>
      <c r="O125" s="19">
        <f t="shared" ref="O125:Z125" si="56">O102+O110+O118</f>
        <v>0</v>
      </c>
      <c r="P125" s="19">
        <f t="shared" si="56"/>
        <v>0</v>
      </c>
      <c r="Q125" s="19">
        <f t="shared" si="56"/>
        <v>0</v>
      </c>
      <c r="R125" s="19">
        <f t="shared" si="56"/>
        <v>0</v>
      </c>
      <c r="S125" s="19">
        <f t="shared" si="56"/>
        <v>0</v>
      </c>
      <c r="T125" s="19">
        <f t="shared" si="56"/>
        <v>0</v>
      </c>
      <c r="U125" s="19">
        <f t="shared" si="56"/>
        <v>0</v>
      </c>
      <c r="V125" s="19">
        <f t="shared" si="56"/>
        <v>0</v>
      </c>
      <c r="W125" s="19">
        <f t="shared" si="56"/>
        <v>0</v>
      </c>
      <c r="X125" s="19">
        <f t="shared" si="56"/>
        <v>0</v>
      </c>
      <c r="Y125" s="19">
        <f t="shared" si="56"/>
        <v>0</v>
      </c>
      <c r="Z125" s="19">
        <f t="shared" si="56"/>
        <v>0</v>
      </c>
      <c r="AA125" s="19">
        <f t="shared" si="47"/>
        <v>0</v>
      </c>
      <c r="AB125" s="15" t="str">
        <f t="shared" si="48"/>
        <v/>
      </c>
      <c r="AD125" s="19">
        <f>AD102+AD110+AD118</f>
        <v>0</v>
      </c>
      <c r="AE125" s="15" t="str">
        <f t="shared" si="49"/>
        <v/>
      </c>
      <c r="AF125" s="47">
        <f t="shared" si="50"/>
        <v>0</v>
      </c>
      <c r="AG125" s="19">
        <f>AG102+AG110+AG118</f>
        <v>0</v>
      </c>
      <c r="AH125" s="15" t="str">
        <f t="shared" si="51"/>
        <v/>
      </c>
      <c r="AI125" s="47">
        <f t="shared" si="52"/>
        <v>0</v>
      </c>
    </row>
    <row r="126" spans="3:35" x14ac:dyDescent="0.2">
      <c r="C126" s="23"/>
      <c r="H126" s="10" t="s">
        <v>272</v>
      </c>
      <c r="I126" s="25"/>
      <c r="J126" s="25"/>
      <c r="L126" s="24" t="e">
        <f ca="1">_xll.EVPRO($B$1,H126,"JDEID")</f>
        <v>#NAME?</v>
      </c>
      <c r="M126" s="24" t="str">
        <f>IF(AND(I126="N",J126="N"),_xll.EVPRO($B$1,H126,"PSFTID"),"")</f>
        <v/>
      </c>
      <c r="N126" s="23" t="e">
        <f ca="1">IF(_xll.EVDES(H126,$B$1)="#NODATA","",_xll.EVDES(H126,$B$1))</f>
        <v>#NAME?</v>
      </c>
      <c r="O126" s="145">
        <f t="shared" ref="O126:Z126" si="57">SUM(O121:O125)</f>
        <v>0</v>
      </c>
      <c r="P126" s="145">
        <f t="shared" si="57"/>
        <v>0</v>
      </c>
      <c r="Q126" s="145">
        <f t="shared" si="57"/>
        <v>0</v>
      </c>
      <c r="R126" s="145">
        <f t="shared" si="57"/>
        <v>0</v>
      </c>
      <c r="S126" s="145">
        <f t="shared" si="57"/>
        <v>0</v>
      </c>
      <c r="T126" s="145">
        <f t="shared" si="57"/>
        <v>0</v>
      </c>
      <c r="U126" s="145">
        <f t="shared" si="57"/>
        <v>0</v>
      </c>
      <c r="V126" s="145">
        <f t="shared" si="57"/>
        <v>0</v>
      </c>
      <c r="W126" s="145">
        <f t="shared" si="57"/>
        <v>0</v>
      </c>
      <c r="X126" s="145">
        <f t="shared" si="57"/>
        <v>0</v>
      </c>
      <c r="Y126" s="145">
        <f t="shared" si="57"/>
        <v>0</v>
      </c>
      <c r="Z126" s="145">
        <f t="shared" si="57"/>
        <v>0</v>
      </c>
      <c r="AA126" s="145">
        <f t="shared" si="47"/>
        <v>0</v>
      </c>
      <c r="AB126" s="156" t="str">
        <f t="shared" si="48"/>
        <v/>
      </c>
      <c r="AD126" s="145">
        <f>SUM(AD121:AD125)</f>
        <v>0</v>
      </c>
      <c r="AE126" s="156" t="str">
        <f t="shared" si="49"/>
        <v/>
      </c>
      <c r="AF126" s="146">
        <f t="shared" si="50"/>
        <v>0</v>
      </c>
      <c r="AG126" s="145">
        <f>SUM(AG121:AG125)</f>
        <v>0</v>
      </c>
      <c r="AH126" s="156" t="str">
        <f t="shared" si="51"/>
        <v/>
      </c>
      <c r="AI126" s="146">
        <f t="shared" si="52"/>
        <v>0</v>
      </c>
    </row>
    <row r="127" spans="3:35" x14ac:dyDescent="0.2">
      <c r="C127" s="23"/>
      <c r="H127" s="133"/>
      <c r="I127" s="25"/>
      <c r="J127" s="25"/>
      <c r="M127" s="24"/>
      <c r="O127" s="124">
        <f t="shared" ref="O127:AA127" si="58">O103+O111+O119-O126</f>
        <v>0</v>
      </c>
      <c r="P127" s="124">
        <f t="shared" si="58"/>
        <v>0</v>
      </c>
      <c r="Q127" s="124">
        <f t="shared" si="58"/>
        <v>0</v>
      </c>
      <c r="R127" s="124">
        <f t="shared" si="58"/>
        <v>0</v>
      </c>
      <c r="S127" s="124">
        <f t="shared" si="58"/>
        <v>0</v>
      </c>
      <c r="T127" s="124">
        <f t="shared" si="58"/>
        <v>0</v>
      </c>
      <c r="U127" s="124">
        <f t="shared" si="58"/>
        <v>0</v>
      </c>
      <c r="V127" s="124">
        <f t="shared" si="58"/>
        <v>0</v>
      </c>
      <c r="W127" s="124">
        <f t="shared" si="58"/>
        <v>0</v>
      </c>
      <c r="X127" s="124">
        <f t="shared" si="58"/>
        <v>0</v>
      </c>
      <c r="Y127" s="124">
        <f t="shared" si="58"/>
        <v>0</v>
      </c>
      <c r="Z127" s="124">
        <f t="shared" si="58"/>
        <v>0</v>
      </c>
      <c r="AA127" s="124">
        <f t="shared" si="58"/>
        <v>0</v>
      </c>
      <c r="AB127" s="15"/>
      <c r="AD127" s="124">
        <f>AD103+AD111+AD119-AD126</f>
        <v>0</v>
      </c>
      <c r="AE127" s="15"/>
      <c r="AF127" s="19"/>
      <c r="AG127" s="124">
        <f>AG103+AG111+AG119-AG126</f>
        <v>0</v>
      </c>
      <c r="AH127" s="15"/>
      <c r="AI127" s="19"/>
    </row>
    <row r="128" spans="3:35" x14ac:dyDescent="0.2">
      <c r="C128" s="23"/>
      <c r="H128" s="133"/>
      <c r="I128" s="25"/>
      <c r="J128" s="25"/>
      <c r="O128" s="38"/>
      <c r="P128" s="42"/>
      <c r="Q128" s="42"/>
      <c r="R128" s="42"/>
      <c r="S128" s="42"/>
      <c r="T128" s="42"/>
      <c r="U128" s="42"/>
      <c r="V128" s="42"/>
      <c r="W128" s="42"/>
      <c r="X128" s="42"/>
      <c r="Y128" s="42"/>
      <c r="Z128" s="42"/>
      <c r="AA128" s="42"/>
      <c r="AB128" s="39"/>
      <c r="AD128" s="38"/>
      <c r="AE128" s="42"/>
      <c r="AF128" s="39"/>
      <c r="AG128" s="38"/>
      <c r="AH128" s="42"/>
      <c r="AI128" s="39"/>
    </row>
    <row r="129" spans="3:35" ht="16" x14ac:dyDescent="0.2">
      <c r="C129" s="23"/>
      <c r="H129" s="133" t="s">
        <v>281</v>
      </c>
      <c r="I129" s="25"/>
      <c r="J129" s="25"/>
      <c r="N129" s="155" t="e">
        <f ca="1">IF(_xll.EVDES(H129,$B$1)="#NODATA","",_xll.EVDES(H129,$B$1))</f>
        <v>#NAME?</v>
      </c>
      <c r="O129" s="436"/>
      <c r="P129" s="438"/>
      <c r="Q129" s="438"/>
      <c r="R129" s="438"/>
      <c r="S129" s="438"/>
      <c r="T129" s="438"/>
      <c r="U129" s="438"/>
      <c r="V129" s="438"/>
      <c r="W129" s="438"/>
      <c r="X129" s="438"/>
      <c r="Y129" s="438"/>
      <c r="Z129" s="438"/>
      <c r="AA129" s="438"/>
      <c r="AB129" s="437"/>
      <c r="AD129" s="436"/>
      <c r="AE129" s="438"/>
      <c r="AF129" s="438"/>
      <c r="AG129" s="438"/>
      <c r="AH129" s="438"/>
      <c r="AI129" s="437"/>
    </row>
    <row r="130" spans="3:35" x14ac:dyDescent="0.2">
      <c r="C130" s="23"/>
      <c r="H130" s="133">
        <v>561100</v>
      </c>
      <c r="I130" s="25"/>
      <c r="J130" s="25"/>
      <c r="L130" s="24" t="e">
        <f ca="1">_xll.EVPRO($B$1,H130,"JDEID")</f>
        <v>#NAME?</v>
      </c>
      <c r="M130" s="24" t="str">
        <f>IF(AND(I130="N",J130="N"),_xll.EVPRO($B$1,H130,"PSFTID"),"")</f>
        <v/>
      </c>
      <c r="N130" s="24" t="e">
        <f ca="1">IF(_xll.EVDES(H130,$B$1)="#NODATA","",_xll.EVDES(H130,$B$1))</f>
        <v>#NAME?</v>
      </c>
      <c r="O130" s="19"/>
      <c r="P130" s="19"/>
      <c r="Q130" s="19"/>
      <c r="R130" s="19"/>
      <c r="S130" s="19"/>
      <c r="T130" s="19"/>
      <c r="U130" s="19"/>
      <c r="V130" s="19"/>
      <c r="W130" s="19"/>
      <c r="X130" s="19"/>
      <c r="Y130" s="19"/>
      <c r="Z130" s="19"/>
      <c r="AA130" s="19">
        <f>SUM(O130:Z130)</f>
        <v>0</v>
      </c>
      <c r="AB130" s="284" t="str">
        <f>IF(AA130=0,"",IFERROR(AA130/_xll.EVGTS($B$1,1,_xll.EVPRO($B$1,$H130,"COSBASIS"),$B$3,$B$5,$B$6,$B$7,$B$9,AA$16,AA$17,AA$11),""))</f>
        <v/>
      </c>
      <c r="AD130" s="19"/>
      <c r="AE130" s="284" t="str">
        <f>IF(AD130=0,"",IFERROR(AD130/_xll.EVGTS($B$1,1,_xll.EVPRO($B$1,$H130,"COSBASIS"),$B$3,$B$5,$B$6,$B$7,$B$9,AD$16,AD$17,AD$18),""))</f>
        <v/>
      </c>
      <c r="AF130" s="47">
        <f t="shared" ref="AF130:AF140" si="59">IF(AND($AA130="",AD130=""),"",$AA130-AD130)</f>
        <v>0</v>
      </c>
      <c r="AG130" s="19"/>
      <c r="AH130" s="284" t="str">
        <f>IF(AG130=0,"",IFERROR(AG130/_xll.EVGTS($B$1,1,_xll.EVPRO($B$1,$H130,"COSBASIS"),$B$3,$B$5,$B$6,$B$7,$B$9,AG$16,AG$17,AG$18),""))</f>
        <v/>
      </c>
      <c r="AI130" s="47">
        <f t="shared" ref="AI130:AI141" si="60">IF(AND($AA130="",AG130=""),"",$AA130-AG130)</f>
        <v>0</v>
      </c>
    </row>
    <row r="131" spans="3:35" x14ac:dyDescent="0.2">
      <c r="C131" s="23"/>
      <c r="H131" s="133" t="s">
        <v>756</v>
      </c>
      <c r="I131" s="25"/>
      <c r="J131" s="25"/>
      <c r="L131" s="24" t="e">
        <f ca="1">_xll.EVPRO($B$1,H131,"JDEID")</f>
        <v>#NAME?</v>
      </c>
      <c r="M131" s="24" t="str">
        <f>IF(AND(I131="N",J131="N"),_xll.EVPRO($B$1,H131,"PSFTID"),"")</f>
        <v/>
      </c>
      <c r="N131" s="439" t="e">
        <f ca="1">IF(_xll.EVDES(H131,$B$1)="#NODATA","",_xll.EVDES(H131,$B$1))</f>
        <v>#NAME?</v>
      </c>
      <c r="O131" s="153"/>
      <c r="P131" s="153"/>
      <c r="Q131" s="153"/>
      <c r="R131" s="153"/>
      <c r="S131" s="153"/>
      <c r="T131" s="153"/>
      <c r="U131" s="153"/>
      <c r="V131" s="153"/>
      <c r="W131" s="153"/>
      <c r="X131" s="153"/>
      <c r="Y131" s="153"/>
      <c r="Z131" s="153"/>
      <c r="AA131" s="153"/>
      <c r="AB131" s="284"/>
      <c r="AD131" s="153"/>
      <c r="AE131" s="284"/>
      <c r="AF131" s="440" t="str">
        <f t="shared" si="59"/>
        <v/>
      </c>
      <c r="AG131" s="153"/>
      <c r="AH131" s="284"/>
      <c r="AI131" s="440" t="str">
        <f t="shared" si="60"/>
        <v/>
      </c>
    </row>
    <row r="132" spans="3:35" x14ac:dyDescent="0.2">
      <c r="C132" s="23"/>
      <c r="H132" s="133" t="s">
        <v>636</v>
      </c>
      <c r="I132" s="25"/>
      <c r="J132" s="25"/>
      <c r="L132" s="24" t="e">
        <f ca="1">_xll.EVPRO($B$1,H132,"JDEID")</f>
        <v>#NAME?</v>
      </c>
      <c r="M132" s="24" t="str">
        <f>IF(AND(I132="N",J132="N"),_xll.EVPRO($B$1,H132,"PSFTID"),"")</f>
        <v/>
      </c>
      <c r="N132" s="24" t="e">
        <f ca="1">IF(_xll.EVDES(H132,$B$1)="#NODATA","",_xll.EVDES(H132,$B$1))</f>
        <v>#NAME?</v>
      </c>
      <c r="O132" s="19"/>
      <c r="P132" s="19"/>
      <c r="Q132" s="19"/>
      <c r="R132" s="19"/>
      <c r="S132" s="19"/>
      <c r="T132" s="19"/>
      <c r="U132" s="19"/>
      <c r="V132" s="19"/>
      <c r="W132" s="19"/>
      <c r="X132" s="19"/>
      <c r="Y132" s="19"/>
      <c r="Z132" s="19"/>
      <c r="AA132" s="19">
        <f>SUM(O132:Z132)</f>
        <v>0</v>
      </c>
      <c r="AB132" s="284" t="str">
        <f>IF(AA132=0,"",IFERROR(AA132/_xll.EVGTS($B$1,1,_xll.EVPRO($B$1,$H132,"COSBASIS"),$B$3,$B$5,$B$6,$B$7,$B$9,AA$16,AA$17,AA$11),""))</f>
        <v/>
      </c>
      <c r="AD132" s="19"/>
      <c r="AE132" s="284" t="str">
        <f>IF(AD132=0,"",IFERROR(AD132/_xll.EVGTS($B$1,1,_xll.EVPRO($B$1,$H132,"COSBASIS"),$B$3,$B$5,$B$6,$B$7,$B$9,AD$16,AD$17,AD$18),""))</f>
        <v/>
      </c>
      <c r="AF132" s="47">
        <f t="shared" si="59"/>
        <v>0</v>
      </c>
      <c r="AG132" s="19"/>
      <c r="AH132" s="284" t="str">
        <f>IF(AG132=0,"",IFERROR(AG132/_xll.EVGTS($B$1,1,_xll.EVPRO($B$1,$H132,"COSBASIS"),$B$3,$B$5,$B$6,$B$7,$B$9,AG$16,AG$17,AG$18),""))</f>
        <v/>
      </c>
      <c r="AI132" s="47">
        <f t="shared" si="60"/>
        <v>0</v>
      </c>
    </row>
    <row r="133" spans="3:35" x14ac:dyDescent="0.2">
      <c r="C133" s="23"/>
      <c r="H133" s="133" t="s">
        <v>757</v>
      </c>
      <c r="I133" s="25"/>
      <c r="J133" s="25"/>
      <c r="L133" s="24" t="e">
        <f ca="1">_xll.EVPRO($B$1,H133,"JDEID")</f>
        <v>#NAME?</v>
      </c>
      <c r="M133" s="24" t="str">
        <f>IF(AND(I133="N",J133="N"),_xll.EVPRO($B$1,H133,"PSFTID"),"")</f>
        <v/>
      </c>
      <c r="N133" s="439" t="e">
        <f ca="1">IF(_xll.EVDES(H133,$B$1)="#NODATA","",_xll.EVDES(H133,$B$1))</f>
        <v>#NAME?</v>
      </c>
      <c r="O133" s="153"/>
      <c r="P133" s="153"/>
      <c r="Q133" s="153"/>
      <c r="R133" s="153"/>
      <c r="S133" s="153"/>
      <c r="T133" s="153"/>
      <c r="U133" s="153"/>
      <c r="V133" s="153"/>
      <c r="W133" s="153"/>
      <c r="X133" s="153"/>
      <c r="Y133" s="153"/>
      <c r="Z133" s="153"/>
      <c r="AA133" s="153"/>
      <c r="AB133" s="284"/>
      <c r="AD133" s="153"/>
      <c r="AE133" s="284"/>
      <c r="AF133" s="440" t="str">
        <f t="shared" si="59"/>
        <v/>
      </c>
      <c r="AG133" s="153"/>
      <c r="AH133" s="284"/>
      <c r="AI133" s="440" t="str">
        <f t="shared" si="60"/>
        <v/>
      </c>
    </row>
    <row r="134" spans="3:35" x14ac:dyDescent="0.2">
      <c r="C134" s="23"/>
      <c r="H134" s="133" t="s">
        <v>755</v>
      </c>
      <c r="I134" s="25"/>
      <c r="J134" s="25"/>
      <c r="L134" s="24" t="e">
        <f ca="1">_xll.EVPRO($B$1,H134,"JDEID")</f>
        <v>#NAME?</v>
      </c>
      <c r="M134" s="24" t="str">
        <f>IF(AND(I134="N",J134="N"),_xll.EVPRO($B$1,H134,"PSFTID"),"")</f>
        <v/>
      </c>
      <c r="N134" s="24" t="e">
        <f ca="1">IF(_xll.EVDES(H134,$B$1)="#NODATA","",_xll.EVDES(H134,$B$1))</f>
        <v>#NAME?</v>
      </c>
      <c r="O134" s="19"/>
      <c r="P134" s="19"/>
      <c r="Q134" s="19"/>
      <c r="R134" s="19"/>
      <c r="S134" s="19"/>
      <c r="T134" s="19"/>
      <c r="U134" s="19"/>
      <c r="V134" s="19"/>
      <c r="W134" s="19"/>
      <c r="X134" s="19"/>
      <c r="Y134" s="19"/>
      <c r="Z134" s="19"/>
      <c r="AA134" s="19">
        <f>SUM(O134:Z134)</f>
        <v>0</v>
      </c>
      <c r="AB134" s="284" t="str">
        <f>IF(AA134=0,"",IFERROR(AA134/_xll.EVGTS($B$1,1,_xll.EVPRO($B$1,$H134,"COSBASIS"),$B$3,$B$5,$B$6,$B$7,$B$9,AA$16,AA$17,AA$11),""))</f>
        <v/>
      </c>
      <c r="AD134" s="19"/>
      <c r="AE134" s="284" t="str">
        <f>IF(AD134=0,"",IFERROR(AD134/_xll.EVGTS($B$1,1,_xll.EVPRO($B$1,$H134,"COSBASIS"),$B$3,$B$5,$B$6,$B$7,$B$9,AD$16,AD$17,AD$18),""))</f>
        <v/>
      </c>
      <c r="AF134" s="47">
        <f t="shared" si="59"/>
        <v>0</v>
      </c>
      <c r="AG134" s="19"/>
      <c r="AH134" s="284" t="str">
        <f>IF(AG134=0,"",IFERROR(AG134/_xll.EVGTS($B$1,1,_xll.EVPRO($B$1,$H134,"COSBASIS"),$B$3,$B$5,$B$6,$B$7,$B$9,AG$16,AG$17,AG$18),""))</f>
        <v/>
      </c>
      <c r="AI134" s="47">
        <f t="shared" si="60"/>
        <v>0</v>
      </c>
    </row>
    <row r="135" spans="3:35" x14ac:dyDescent="0.2">
      <c r="C135" s="23"/>
      <c r="H135" s="133" t="s">
        <v>758</v>
      </c>
      <c r="I135" s="25"/>
      <c r="J135" s="25"/>
      <c r="L135" s="24" t="e">
        <f ca="1">_xll.EVPRO($B$1,H135,"JDEID")</f>
        <v>#NAME?</v>
      </c>
      <c r="M135" s="24" t="str">
        <f>IF(AND(I135="N",J135="N"),_xll.EVPRO($B$1,H135,"PSFTID"),"")</f>
        <v/>
      </c>
      <c r="N135" s="439" t="e">
        <f ca="1">IF(_xll.EVDES(H135,$B$1)="#NODATA","",_xll.EVDES(H135,$B$1))</f>
        <v>#NAME?</v>
      </c>
      <c r="O135" s="153"/>
      <c r="P135" s="153"/>
      <c r="Q135" s="153"/>
      <c r="R135" s="153"/>
      <c r="S135" s="153"/>
      <c r="T135" s="153"/>
      <c r="U135" s="153"/>
      <c r="V135" s="153"/>
      <c r="W135" s="153"/>
      <c r="X135" s="153"/>
      <c r="Y135" s="153"/>
      <c r="Z135" s="153"/>
      <c r="AA135" s="153"/>
      <c r="AB135" s="284"/>
      <c r="AD135" s="153"/>
      <c r="AE135" s="284"/>
      <c r="AF135" s="440" t="str">
        <f t="shared" si="59"/>
        <v/>
      </c>
      <c r="AG135" s="153"/>
      <c r="AH135" s="284"/>
      <c r="AI135" s="440" t="str">
        <f t="shared" si="60"/>
        <v/>
      </c>
    </row>
    <row r="136" spans="3:35" x14ac:dyDescent="0.2">
      <c r="C136" s="23"/>
      <c r="H136" s="133">
        <v>561400</v>
      </c>
      <c r="I136" s="25"/>
      <c r="J136" s="25"/>
      <c r="L136" s="24" t="e">
        <f ca="1">_xll.EVPRO($B$1,H136,"JDEID")</f>
        <v>#NAME?</v>
      </c>
      <c r="M136" s="24" t="str">
        <f>IF(AND(I136="N",J136="N"),_xll.EVPRO($B$1,H136,"PSFTID"),"")</f>
        <v/>
      </c>
      <c r="N136" s="24" t="e">
        <f ca="1">IF(_xll.EVDES(H136,$B$1)="#NODATA","",_xll.EVDES(H136,$B$1))</f>
        <v>#NAME?</v>
      </c>
      <c r="O136" s="19"/>
      <c r="P136" s="19"/>
      <c r="Q136" s="19"/>
      <c r="R136" s="19"/>
      <c r="S136" s="19"/>
      <c r="T136" s="19"/>
      <c r="U136" s="19"/>
      <c r="V136" s="19"/>
      <c r="W136" s="19"/>
      <c r="X136" s="19"/>
      <c r="Y136" s="19"/>
      <c r="Z136" s="19"/>
      <c r="AA136" s="19">
        <f>SUM(O136:Z136)</f>
        <v>0</v>
      </c>
      <c r="AB136" s="284" t="str">
        <f>IF(AA136=0,"",IFERROR(AA136/_xll.EVGTS($B$1,1,_xll.EVPRO($B$1,$H136,"COSBASIS"),$B$3,$B$5,$B$6,$B$7,$B$9,AA$16,AA$17,AA$11),""))</f>
        <v/>
      </c>
      <c r="AD136" s="19"/>
      <c r="AE136" s="284" t="str">
        <f>IF(AD136=0,"",IFERROR(AD136/_xll.EVGTS($B$1,1,_xll.EVPRO($B$1,$H136,"COSBASIS"),$B$3,$B$5,$B$6,$B$7,$B$9,AD$16,AD$17,AD$18),""))</f>
        <v/>
      </c>
      <c r="AF136" s="47">
        <f t="shared" si="59"/>
        <v>0</v>
      </c>
      <c r="AG136" s="19"/>
      <c r="AH136" s="284" t="str">
        <f>IF(AG136=0,"",IFERROR(AG136/_xll.EVGTS($B$1,1,_xll.EVPRO($B$1,$H136,"COSBASIS"),$B$3,$B$5,$B$6,$B$7,$B$9,AG$16,AG$17,AG$18),""))</f>
        <v/>
      </c>
      <c r="AI136" s="47">
        <f t="shared" si="60"/>
        <v>0</v>
      </c>
    </row>
    <row r="137" spans="3:35" x14ac:dyDescent="0.2">
      <c r="C137" s="23"/>
      <c r="H137" s="133" t="s">
        <v>759</v>
      </c>
      <c r="I137" s="25"/>
      <c r="J137" s="25"/>
      <c r="L137" s="24" t="e">
        <f ca="1">_xll.EVPRO($B$1,H137,"JDEID")</f>
        <v>#NAME?</v>
      </c>
      <c r="M137" s="24" t="str">
        <f>IF(AND(I137="N",J137="N"),_xll.EVPRO($B$1,H137,"PSFTID"),"")</f>
        <v/>
      </c>
      <c r="N137" s="439" t="e">
        <f ca="1">IF(_xll.EVDES(H137,$B$1)="#NODATA","",_xll.EVDES(H137,$B$1))</f>
        <v>#NAME?</v>
      </c>
      <c r="O137" s="153"/>
      <c r="P137" s="153"/>
      <c r="Q137" s="153"/>
      <c r="R137" s="153"/>
      <c r="S137" s="153"/>
      <c r="T137" s="153"/>
      <c r="U137" s="153"/>
      <c r="V137" s="153"/>
      <c r="W137" s="153"/>
      <c r="X137" s="153"/>
      <c r="Y137" s="153"/>
      <c r="Z137" s="153"/>
      <c r="AA137" s="153"/>
      <c r="AB137" s="284"/>
      <c r="AD137" s="153"/>
      <c r="AE137" s="284"/>
      <c r="AF137" s="440" t="str">
        <f t="shared" si="59"/>
        <v/>
      </c>
      <c r="AG137" s="153"/>
      <c r="AH137" s="284"/>
      <c r="AI137" s="440" t="str">
        <f t="shared" si="60"/>
        <v/>
      </c>
    </row>
    <row r="138" spans="3:35" x14ac:dyDescent="0.2">
      <c r="H138" s="133">
        <v>561500</v>
      </c>
      <c r="I138" s="25"/>
      <c r="J138" s="25"/>
      <c r="L138" s="24" t="e">
        <f ca="1">_xll.EVPRO($B$1,H138,"JDEID")</f>
        <v>#NAME?</v>
      </c>
      <c r="M138" s="24" t="str">
        <f>IF(AND(I138="N",J138="N"),_xll.EVPRO($B$1,H138,"PSFTID"),"")</f>
        <v/>
      </c>
      <c r="N138" s="24" t="e">
        <f ca="1">IF(_xll.EVDES(H138,$B$1)="#NODATA","",_xll.EVDES(H138,$B$1))</f>
        <v>#NAME?</v>
      </c>
      <c r="O138" s="19"/>
      <c r="P138" s="19"/>
      <c r="Q138" s="19"/>
      <c r="R138" s="19"/>
      <c r="S138" s="19"/>
      <c r="T138" s="19"/>
      <c r="U138" s="19"/>
      <c r="V138" s="19"/>
      <c r="W138" s="19"/>
      <c r="X138" s="19"/>
      <c r="Y138" s="19"/>
      <c r="Z138" s="19"/>
      <c r="AA138" s="19">
        <f>SUM(O138:Z138)</f>
        <v>0</v>
      </c>
      <c r="AB138" s="284" t="str">
        <f>IF(AA138=0,"",IFERROR(AA138/_xll.EVGTS($B$1,1,_xll.EVPRO($B$1,$H138,"COSBASIS"),$B$3,$B$5,$B$6,$B$7,$B$9,AA$16,AA$17,AA$11),""))</f>
        <v/>
      </c>
      <c r="AD138" s="19"/>
      <c r="AE138" s="284" t="str">
        <f>IF(AD138=0,"",IFERROR(AD138/_xll.EVGTS($B$1,1,_xll.EVPRO($B$1,$H138,"COSBASIS"),$B$3,$B$5,$B$6,$B$7,$B$9,AD$16,AD$17,AD$18),""))</f>
        <v/>
      </c>
      <c r="AF138" s="47">
        <f t="shared" si="59"/>
        <v>0</v>
      </c>
      <c r="AG138" s="19"/>
      <c r="AH138" s="284" t="str">
        <f>IF(AG138=0,"",IFERROR(AG138/_xll.EVGTS($B$1,1,_xll.EVPRO($B$1,$H138,"COSBASIS"),$B$3,$B$5,$B$6,$B$7,$B$9,AG$16,AG$17,AG$18),""))</f>
        <v/>
      </c>
      <c r="AI138" s="47">
        <f t="shared" si="60"/>
        <v>0</v>
      </c>
    </row>
    <row r="139" spans="3:35" x14ac:dyDescent="0.2">
      <c r="C139" s="23"/>
      <c r="H139" s="133" t="s">
        <v>760</v>
      </c>
      <c r="I139" s="25"/>
      <c r="J139" s="25"/>
      <c r="L139" s="24" t="e">
        <f ca="1">_xll.EVPRO($B$1,H139,"JDEID")</f>
        <v>#NAME?</v>
      </c>
      <c r="M139" s="24" t="str">
        <f>IF(AND(I139="N",J139="N"),_xll.EVPRO($B$1,H139,"PSFTID"),"")</f>
        <v/>
      </c>
      <c r="N139" s="439" t="e">
        <f ca="1">IF(_xll.EVDES(H139,$B$1)="#NODATA","",_xll.EVDES(H139,$B$1))</f>
        <v>#NAME?</v>
      </c>
      <c r="O139" s="153"/>
      <c r="P139" s="153"/>
      <c r="Q139" s="153"/>
      <c r="R139" s="153"/>
      <c r="S139" s="153"/>
      <c r="T139" s="153"/>
      <c r="U139" s="153"/>
      <c r="V139" s="153"/>
      <c r="W139" s="153"/>
      <c r="X139" s="153"/>
      <c r="Y139" s="153"/>
      <c r="Z139" s="153"/>
      <c r="AA139" s="153"/>
      <c r="AB139" s="284"/>
      <c r="AD139" s="153"/>
      <c r="AE139" s="284"/>
      <c r="AF139" s="440" t="str">
        <f t="shared" si="59"/>
        <v/>
      </c>
      <c r="AG139" s="153"/>
      <c r="AH139" s="284"/>
      <c r="AI139" s="440" t="str">
        <f t="shared" si="60"/>
        <v/>
      </c>
    </row>
    <row r="140" spans="3:35" x14ac:dyDescent="0.2">
      <c r="C140" s="23"/>
      <c r="H140" s="133" t="s">
        <v>286</v>
      </c>
      <c r="I140" s="25"/>
      <c r="J140" s="25"/>
      <c r="L140" s="24" t="e">
        <f ca="1">_xll.EVPRO($B$1,H140,"JDEID")</f>
        <v>#NAME?</v>
      </c>
      <c r="M140" s="24" t="str">
        <f>IF(AND(I140="N",J140="N"),_xll.EVPRO($B$1,H140,"PSFTID"),"")</f>
        <v/>
      </c>
      <c r="N140" s="24" t="e">
        <f ca="1">IF(_xll.EVDES(H140,$B$1)="#NODATA","",_xll.EVDES(H140,$B$1))</f>
        <v>#NAME?</v>
      </c>
      <c r="O140" s="19"/>
      <c r="P140" s="19"/>
      <c r="Q140" s="19"/>
      <c r="R140" s="19"/>
      <c r="S140" s="19"/>
      <c r="T140" s="19"/>
      <c r="U140" s="19"/>
      <c r="V140" s="19"/>
      <c r="W140" s="19"/>
      <c r="X140" s="19"/>
      <c r="Y140" s="19"/>
      <c r="Z140" s="19"/>
      <c r="AA140" s="19">
        <f>SUM(O140:Z140)</f>
        <v>0</v>
      </c>
      <c r="AB140" s="284" t="str">
        <f>IF(AA140=0,"",IFERROR(AA140/_xll.EVGTS($B$1,1,_xll.EVPRO($B$1,$H140,"COSBASIS"),$B$3,$B$5,$B$6,$B$7,$B$9,AA$16,AA$17,AA$11),""))</f>
        <v/>
      </c>
      <c r="AD140" s="19"/>
      <c r="AE140" s="284" t="str">
        <f>IF(AD140=0,"",IFERROR(AD140/_xll.EVGTS($B$1,1,_xll.EVPRO($B$1,$H140,"COSBASIS"),$B$3,$B$5,$B$6,$B$7,$B$9,AD$16,AD$17,AD$18),""))</f>
        <v/>
      </c>
      <c r="AF140" s="47">
        <f t="shared" si="59"/>
        <v>0</v>
      </c>
      <c r="AG140" s="19"/>
      <c r="AH140" s="284" t="str">
        <f>IF(AG140=0,"",IFERROR(AG140/_xll.EVGTS($B$1,1,_xll.EVPRO($B$1,$H140,"COSBASIS"),$B$3,$B$5,$B$6,$B$7,$B$9,AG$16,AG$17,AG$18),""))</f>
        <v/>
      </c>
      <c r="AI140" s="47">
        <f t="shared" si="60"/>
        <v>0</v>
      </c>
    </row>
    <row r="141" spans="3:35" x14ac:dyDescent="0.2">
      <c r="C141" s="23"/>
      <c r="H141" s="133"/>
      <c r="I141" s="25"/>
      <c r="J141" s="25"/>
      <c r="L141" s="24"/>
      <c r="M141" s="24"/>
      <c r="N141" s="439" t="s">
        <v>762</v>
      </c>
      <c r="O141" s="153" t="str">
        <f>IFERROR(O140/O85,"")</f>
        <v/>
      </c>
      <c r="P141" s="153" t="str">
        <f t="shared" ref="P141:AA141" si="61">IFERROR(P140/P85,"")</f>
        <v/>
      </c>
      <c r="Q141" s="153" t="str">
        <f t="shared" si="61"/>
        <v/>
      </c>
      <c r="R141" s="153" t="str">
        <f t="shared" si="61"/>
        <v/>
      </c>
      <c r="S141" s="153" t="str">
        <f t="shared" si="61"/>
        <v/>
      </c>
      <c r="T141" s="153" t="str">
        <f t="shared" si="61"/>
        <v/>
      </c>
      <c r="U141" s="153" t="str">
        <f t="shared" si="61"/>
        <v/>
      </c>
      <c r="V141" s="153" t="str">
        <f t="shared" si="61"/>
        <v/>
      </c>
      <c r="W141" s="153" t="str">
        <f t="shared" si="61"/>
        <v/>
      </c>
      <c r="X141" s="153" t="str">
        <f t="shared" si="61"/>
        <v/>
      </c>
      <c r="Y141" s="153" t="str">
        <f t="shared" si="61"/>
        <v/>
      </c>
      <c r="Z141" s="153" t="str">
        <f t="shared" si="61"/>
        <v/>
      </c>
      <c r="AA141" s="153" t="str">
        <f t="shared" si="61"/>
        <v/>
      </c>
      <c r="AB141" s="284"/>
      <c r="AD141" s="153" t="str">
        <f>IFERROR(AD140/AD85,"")</f>
        <v/>
      </c>
      <c r="AE141" s="284"/>
      <c r="AF141" s="440" t="str">
        <f t="shared" ref="AF141" si="62">IF(AND($AA141="",AD141=""),"",$AA141-AD141)</f>
        <v/>
      </c>
      <c r="AG141" s="153" t="str">
        <f>IFERROR(AG140/AG85,"")</f>
        <v/>
      </c>
      <c r="AH141" s="284"/>
      <c r="AI141" s="440" t="str">
        <f t="shared" si="60"/>
        <v/>
      </c>
    </row>
    <row r="142" spans="3:35" x14ac:dyDescent="0.2">
      <c r="C142" s="23"/>
    </row>
    <row r="143" spans="3:35" x14ac:dyDescent="0.2">
      <c r="C143" s="23"/>
      <c r="H143" s="133"/>
      <c r="I143" s="25"/>
      <c r="J143" s="25"/>
      <c r="N143" s="24" t="e">
        <f ca="1">N85&amp;" - Check"</f>
        <v>#NAME?</v>
      </c>
      <c r="O143" s="124">
        <f t="shared" ref="O143:AA143" si="63">O39+O49+O59+O69+O79+O83-O85</f>
        <v>0</v>
      </c>
      <c r="P143" s="124">
        <f t="shared" si="63"/>
        <v>0</v>
      </c>
      <c r="Q143" s="124">
        <f t="shared" si="63"/>
        <v>0</v>
      </c>
      <c r="R143" s="124">
        <f t="shared" si="63"/>
        <v>0</v>
      </c>
      <c r="S143" s="124">
        <f t="shared" si="63"/>
        <v>0</v>
      </c>
      <c r="T143" s="124">
        <f t="shared" si="63"/>
        <v>0</v>
      </c>
      <c r="U143" s="124">
        <f t="shared" si="63"/>
        <v>0</v>
      </c>
      <c r="V143" s="124">
        <f t="shared" si="63"/>
        <v>0</v>
      </c>
      <c r="W143" s="124">
        <f t="shared" si="63"/>
        <v>0</v>
      </c>
      <c r="X143" s="124">
        <f t="shared" si="63"/>
        <v>0</v>
      </c>
      <c r="Y143" s="124">
        <f t="shared" si="63"/>
        <v>0</v>
      </c>
      <c r="Z143" s="124">
        <f t="shared" si="63"/>
        <v>0</v>
      </c>
      <c r="AA143" s="124">
        <f t="shared" si="63"/>
        <v>0</v>
      </c>
      <c r="AB143" s="15"/>
      <c r="AD143" s="124">
        <f>AD39+AD49+AD59+AD69+AD79+AD83-AD85</f>
        <v>0</v>
      </c>
      <c r="AE143" s="15"/>
      <c r="AF143" s="19"/>
      <c r="AG143" s="124">
        <f>AG39+AG49+AG59+AG69+AG79+AG83-AG85</f>
        <v>0</v>
      </c>
      <c r="AH143" s="15"/>
      <c r="AI143" s="19"/>
    </row>
    <row r="144" spans="3:35" x14ac:dyDescent="0.2">
      <c r="C144" s="23"/>
      <c r="H144" s="133"/>
      <c r="I144" s="25"/>
      <c r="J144" s="25"/>
      <c r="N144" s="24" t="e">
        <f ca="1">N87&amp;" - Check"</f>
        <v>#NAME?</v>
      </c>
      <c r="O144" s="124">
        <f t="shared" ref="O144:AA144" si="64">O41+O51+O61+O71+O80-O87</f>
        <v>0</v>
      </c>
      <c r="P144" s="124">
        <f t="shared" si="64"/>
        <v>0</v>
      </c>
      <c r="Q144" s="124">
        <f t="shared" si="64"/>
        <v>0</v>
      </c>
      <c r="R144" s="124">
        <f t="shared" si="64"/>
        <v>0</v>
      </c>
      <c r="S144" s="124">
        <f t="shared" si="64"/>
        <v>0</v>
      </c>
      <c r="T144" s="124">
        <f t="shared" si="64"/>
        <v>0</v>
      </c>
      <c r="U144" s="124">
        <f t="shared" si="64"/>
        <v>0</v>
      </c>
      <c r="V144" s="124">
        <f t="shared" si="64"/>
        <v>0</v>
      </c>
      <c r="W144" s="124">
        <f t="shared" si="64"/>
        <v>0</v>
      </c>
      <c r="X144" s="124">
        <f t="shared" si="64"/>
        <v>0</v>
      </c>
      <c r="Y144" s="124">
        <f t="shared" si="64"/>
        <v>0</v>
      </c>
      <c r="Z144" s="124">
        <f t="shared" si="64"/>
        <v>0</v>
      </c>
      <c r="AA144" s="124">
        <f t="shared" si="64"/>
        <v>0</v>
      </c>
      <c r="AB144" s="15"/>
      <c r="AD144" s="124">
        <f>AD41+AD51+AD61+AD71+AD80-AD87</f>
        <v>0</v>
      </c>
      <c r="AE144" s="15"/>
      <c r="AF144" s="19"/>
      <c r="AG144" s="124">
        <f>AG41+AG51+AG61+AG71+AG80-AG87</f>
        <v>0</v>
      </c>
      <c r="AH144" s="15"/>
      <c r="AI144" s="19"/>
    </row>
    <row r="145" spans="3:35" x14ac:dyDescent="0.2">
      <c r="C145" s="23"/>
      <c r="H145" s="133"/>
      <c r="I145" s="25"/>
      <c r="J145" s="25"/>
      <c r="N145" s="24" t="e">
        <f ca="1">N88&amp;" - Check"</f>
        <v>#NAME?</v>
      </c>
      <c r="O145" s="159" t="e">
        <f>IFERROR(O$85/O87,"")-O88</f>
        <v>#VALUE!</v>
      </c>
      <c r="P145" s="159" t="e">
        <f t="shared" ref="P145:Z145" si="65">IFERROR(P$85/P87,"")-P88</f>
        <v>#VALUE!</v>
      </c>
      <c r="Q145" s="159" t="e">
        <f t="shared" si="65"/>
        <v>#VALUE!</v>
      </c>
      <c r="R145" s="159" t="e">
        <f t="shared" si="65"/>
        <v>#VALUE!</v>
      </c>
      <c r="S145" s="159" t="e">
        <f t="shared" si="65"/>
        <v>#VALUE!</v>
      </c>
      <c r="T145" s="159" t="e">
        <f t="shared" si="65"/>
        <v>#VALUE!</v>
      </c>
      <c r="U145" s="159" t="e">
        <f t="shared" si="65"/>
        <v>#VALUE!</v>
      </c>
      <c r="V145" s="159" t="e">
        <f t="shared" si="65"/>
        <v>#VALUE!</v>
      </c>
      <c r="W145" s="159" t="e">
        <f t="shared" si="65"/>
        <v>#VALUE!</v>
      </c>
      <c r="X145" s="159" t="e">
        <f t="shared" si="65"/>
        <v>#VALUE!</v>
      </c>
      <c r="Y145" s="159" t="e">
        <f t="shared" si="65"/>
        <v>#VALUE!</v>
      </c>
      <c r="Z145" s="159" t="e">
        <f t="shared" si="65"/>
        <v>#VALUE!</v>
      </c>
      <c r="AA145" s="159" t="e">
        <f>IFERROR(AA$85/AA87,"")-AA88</f>
        <v>#VALUE!</v>
      </c>
      <c r="AB145" s="15"/>
      <c r="AD145" s="159" t="e">
        <f>IFERROR(AD$85/AD87,"")-AD88</f>
        <v>#VALUE!</v>
      </c>
      <c r="AE145" s="15"/>
      <c r="AF145" s="19"/>
      <c r="AG145" s="159" t="e">
        <f>IFERROR(AG$85/AG87,"")-AG88</f>
        <v>#VALUE!</v>
      </c>
      <c r="AH145" s="15"/>
      <c r="AI145" s="19"/>
    </row>
    <row r="146" spans="3:35" x14ac:dyDescent="0.2">
      <c r="C146" s="23"/>
      <c r="H146" s="133"/>
      <c r="I146" s="25"/>
      <c r="J146" s="25"/>
      <c r="N146" s="24" t="s">
        <v>768</v>
      </c>
      <c r="O146" s="124">
        <f>(O130+O132)-O140</f>
        <v>0</v>
      </c>
      <c r="P146" s="124">
        <f t="shared" ref="P146:AA146" si="66">(P130+P132)-P140</f>
        <v>0</v>
      </c>
      <c r="Q146" s="124">
        <f t="shared" si="66"/>
        <v>0</v>
      </c>
      <c r="R146" s="124">
        <f t="shared" si="66"/>
        <v>0</v>
      </c>
      <c r="S146" s="124">
        <f t="shared" si="66"/>
        <v>0</v>
      </c>
      <c r="T146" s="124">
        <f t="shared" si="66"/>
        <v>0</v>
      </c>
      <c r="U146" s="124">
        <f t="shared" si="66"/>
        <v>0</v>
      </c>
      <c r="V146" s="124">
        <f t="shared" si="66"/>
        <v>0</v>
      </c>
      <c r="W146" s="124">
        <f t="shared" si="66"/>
        <v>0</v>
      </c>
      <c r="X146" s="124">
        <f t="shared" si="66"/>
        <v>0</v>
      </c>
      <c r="Y146" s="124">
        <f t="shared" si="66"/>
        <v>0</v>
      </c>
      <c r="Z146" s="124">
        <f t="shared" si="66"/>
        <v>0</v>
      </c>
      <c r="AA146" s="124">
        <f t="shared" si="66"/>
        <v>0</v>
      </c>
      <c r="AB146" s="15"/>
      <c r="AD146" s="124">
        <f>(AD130+AD132)-AD140</f>
        <v>0</v>
      </c>
      <c r="AE146" s="15"/>
      <c r="AF146" s="19"/>
      <c r="AG146" s="124">
        <f>(AG130+AG132)-AG140</f>
        <v>0</v>
      </c>
      <c r="AH146" s="15"/>
      <c r="AI146" s="19"/>
    </row>
    <row r="147" spans="3:35" x14ac:dyDescent="0.2">
      <c r="C147" s="23"/>
    </row>
    <row r="148" spans="3:35" x14ac:dyDescent="0.2">
      <c r="C148" s="23"/>
    </row>
    <row r="149" spans="3:35" x14ac:dyDescent="0.2">
      <c r="C149" s="23"/>
    </row>
    <row r="150" spans="3:35" x14ac:dyDescent="0.2">
      <c r="C150" s="23"/>
    </row>
    <row r="151" spans="3:35" x14ac:dyDescent="0.2">
      <c r="C151" s="23"/>
    </row>
    <row r="152" spans="3:35" x14ac:dyDescent="0.2">
      <c r="C152" s="23"/>
    </row>
    <row r="153" spans="3:35" x14ac:dyDescent="0.2">
      <c r="C153" s="23"/>
    </row>
    <row r="169" spans="9:34" x14ac:dyDescent="0.2">
      <c r="I169" s="72"/>
      <c r="J169" s="1"/>
      <c r="K169" s="72"/>
      <c r="L169" s="72"/>
      <c r="M169" s="72"/>
      <c r="O169" s="72"/>
      <c r="P169" s="72"/>
      <c r="Q169" s="72"/>
      <c r="R169" s="72"/>
      <c r="S169" s="72"/>
      <c r="T169" s="72"/>
      <c r="U169" s="72"/>
      <c r="V169" s="72"/>
      <c r="W169" s="72"/>
      <c r="X169" s="72"/>
      <c r="Y169" s="72"/>
      <c r="Z169" s="72"/>
      <c r="AA169" s="72"/>
      <c r="AD169" s="72"/>
      <c r="AF169" s="72"/>
      <c r="AH169" s="72"/>
    </row>
    <row r="173" spans="9:34" x14ac:dyDescent="0.2">
      <c r="I173" s="72"/>
      <c r="J173" s="1"/>
      <c r="K173" s="72"/>
      <c r="L173" s="72"/>
      <c r="M173" s="72"/>
      <c r="O173" s="72"/>
      <c r="P173" s="72"/>
      <c r="Q173" s="72"/>
      <c r="R173" s="72"/>
      <c r="S173" s="72"/>
      <c r="T173" s="72"/>
      <c r="U173" s="72"/>
      <c r="V173" s="72"/>
      <c r="W173" s="72"/>
      <c r="X173" s="72"/>
      <c r="Y173" s="72"/>
      <c r="Z173" s="72"/>
      <c r="AA173" s="72"/>
      <c r="AD173" s="72"/>
      <c r="AF173" s="72"/>
      <c r="AH173" s="72"/>
    </row>
    <row r="207" spans="5:5" x14ac:dyDescent="0.2">
      <c r="E207" s="72"/>
    </row>
    <row r="211" spans="5:5" x14ac:dyDescent="0.2">
      <c r="E211" s="72"/>
    </row>
  </sheetData>
  <mergeCells count="2">
    <mergeCell ref="AD31:AE31"/>
    <mergeCell ref="AG31:AH31"/>
  </mergeCells>
  <conditionalFormatting sqref="N43">
    <cfRule type="expression" dxfId="50" priority="14">
      <formula>$G43&lt;&gt;0</formula>
    </cfRule>
  </conditionalFormatting>
  <conditionalFormatting sqref="N53">
    <cfRule type="expression" dxfId="49" priority="12">
      <formula>$G53&lt;&gt;0</formula>
    </cfRule>
  </conditionalFormatting>
  <conditionalFormatting sqref="N63">
    <cfRule type="expression" dxfId="48" priority="10">
      <formula>$G63&lt;&gt;0</formula>
    </cfRule>
  </conditionalFormatting>
  <conditionalFormatting sqref="N73">
    <cfRule type="expression" dxfId="47" priority="8">
      <formula>$G73&lt;&gt;0</formula>
    </cfRule>
  </conditionalFormatting>
  <conditionalFormatting sqref="N82">
    <cfRule type="expression" dxfId="46" priority="7">
      <formula>$G82&lt;&gt;0</formula>
    </cfRule>
  </conditionalFormatting>
  <conditionalFormatting sqref="O43:AA43 AD43 AF43:AG43">
    <cfRule type="expression" dxfId="45" priority="15">
      <formula>ROUND(O42,2)&lt;&gt;ROUND(O43,2)</formula>
    </cfRule>
  </conditionalFormatting>
  <conditionalFormatting sqref="O53:AA53 AD53 AF53:AG53">
    <cfRule type="expression" dxfId="44" priority="13">
      <formula>ROUND(O52,2)&lt;&gt;ROUND(O53,2)</formula>
    </cfRule>
  </conditionalFormatting>
  <conditionalFormatting sqref="O63:AA63 AD63 AF63:AG63">
    <cfRule type="expression" dxfId="43" priority="11">
      <formula>ROUND(O62,2)&lt;&gt;ROUND(O63,2)</formula>
    </cfRule>
  </conditionalFormatting>
  <conditionalFormatting sqref="O73:AA73 AD73 AF73:AG73">
    <cfRule type="expression" dxfId="42" priority="9">
      <formula>ROUND(O72,2)&lt;&gt;ROUND(O73,2)</formula>
    </cfRule>
  </conditionalFormatting>
  <conditionalFormatting sqref="O82:AA82 AD82 AF82:AG82">
    <cfRule type="expression" dxfId="41" priority="6">
      <formula>ROUND(O81,2)&lt;&gt;ROUND(O82,2)</formula>
    </cfRule>
  </conditionalFormatting>
  <conditionalFormatting sqref="AI43">
    <cfRule type="expression" dxfId="40" priority="5">
      <formula>ROUND(AI42,2)&lt;&gt;ROUND(AI43,2)</formula>
    </cfRule>
  </conditionalFormatting>
  <conditionalFormatting sqref="AI53">
    <cfRule type="expression" dxfId="39" priority="4">
      <formula>ROUND(AI52,2)&lt;&gt;ROUND(AI53,2)</formula>
    </cfRule>
  </conditionalFormatting>
  <conditionalFormatting sqref="AI63">
    <cfRule type="expression" dxfId="38" priority="3">
      <formula>ROUND(AI62,2)&lt;&gt;ROUND(AI63,2)</formula>
    </cfRule>
  </conditionalFormatting>
  <conditionalFormatting sqref="AI73">
    <cfRule type="expression" dxfId="37" priority="2">
      <formula>ROUND(AI72,2)&lt;&gt;ROUND(AI73,2)</formula>
    </cfRule>
  </conditionalFormatting>
  <conditionalFormatting sqref="AI82">
    <cfRule type="expression" dxfId="36" priority="1">
      <formula>ROUND(AI81,2)&lt;&gt;ROUND(AI82,2)</formula>
    </cfRule>
  </conditionalFormatting>
  <dataValidations disablePrompts="1" count="2">
    <dataValidation type="list" allowBlank="1" sqref="B28" xr:uid="{00000000-0002-0000-2C00-000000000000}">
      <formula1>"ACCOUNT,BUSINESSUNIT,CATEGORY,DATASRC,DEPARTMENT,INTCO,MEASURES,RPTCURRENCY,TIME"</formula1>
    </dataValidation>
    <dataValidation type="list" allowBlank="1" sqref="B29" xr:uid="{00000000-0002-0000-2C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drawing r:id="rId5"/>
  <legacyDrawing r:id="rId6"/>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8">
    <tabColor theme="6" tint="0.39997558519241921"/>
    <pageSetUpPr fitToPage="1"/>
  </sheetPr>
  <dimension ref="A1:AO133"/>
  <sheetViews>
    <sheetView topLeftCell="K25" zoomScale="85" zoomScaleNormal="85" workbookViewId="0">
      <pane xSplit="4" ySplit="8" topLeftCell="O33" activePane="bottomRight" state="frozen"/>
      <selection activeCell="O33" sqref="O33"/>
      <selection pane="topRight" activeCell="O33" sqref="O33"/>
      <selection pane="bottomLeft" activeCell="O33" sqref="O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347</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_xll.EVRNG(H35:H56)</f>
        <v>#NAME?</v>
      </c>
      <c r="G19" s="16" t="str">
        <f>$B$6</f>
        <v>D_BCC_CON</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tr">
        <f>$B$6</f>
        <v>D_BCC_CON</v>
      </c>
      <c r="H20" s="16">
        <v>946000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I21" s="1"/>
      <c r="J21" s="1"/>
    </row>
    <row r="22" spans="1:40" hidden="1" outlineLevel="1" x14ac:dyDescent="0.2">
      <c r="A22" s="6" t="s">
        <v>7</v>
      </c>
      <c r="B22" s="7" t="e">
        <f ca="1">_xll.EVRNG(A36:F44)</f>
        <v>#NAME?</v>
      </c>
      <c r="I22" s="1"/>
      <c r="J22" s="1"/>
    </row>
    <row r="23" spans="1:40" hidden="1" outlineLevel="1" x14ac:dyDescent="0.2">
      <c r="A23" s="6" t="s">
        <v>47</v>
      </c>
      <c r="B23" s="7" t="e">
        <f ca="1">_xll.EVRNG($A$125:$B$130)</f>
        <v>#NAME?</v>
      </c>
      <c r="K23" s="53"/>
      <c r="L23" s="53"/>
      <c r="M23" s="53"/>
      <c r="AD23" s="136"/>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IF(_xll.EVDES(B6,$B$1)="#NODATA","",_xll.EVDES(B6,$B$1)&amp;" Department")</f>
        <v>#NAME?</v>
      </c>
    </row>
    <row r="28" spans="1:40" ht="16" x14ac:dyDescent="0.2">
      <c r="A28" s="6" t="s">
        <v>12</v>
      </c>
      <c r="B28" s="7" t="s">
        <v>22</v>
      </c>
      <c r="N28" s="67" t="e">
        <f ca="1">"For the Period ended"&amp;" "&amp;IF(_xll.EVDES($B$10,$B$1)="#NODATA","",_xll.EVDES($B$10,$B$1))</f>
        <v>#NAME?</v>
      </c>
    </row>
    <row r="29" spans="1:40" ht="15" customHeight="1" x14ac:dyDescent="0.2">
      <c r="A29" s="6" t="s">
        <v>13</v>
      </c>
      <c r="B29" s="7" t="e">
        <f ca="1">"DEP(REV_F) AND "&amp;$E$6&amp;"=Y,REV_F,BEV,DEP(REV_BEV) AND "&amp;$E$6&amp;"=Y,REV_BEV,ALLOW_FB,REV_FB,OTHR_REV,DEP(REV_OTHR) AND "&amp;$E$6&amp;"=Y,REV_OTHR,400000"</f>
        <v>#NAME?</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751</v>
      </c>
      <c r="AK30" s="209"/>
      <c r="AL30" s="210"/>
      <c r="AM30" s="209" t="s">
        <v>750</v>
      </c>
      <c r="AN30" s="209"/>
    </row>
    <row r="31" spans="1:40" x14ac:dyDescent="0.2">
      <c r="A31" s="6" t="s">
        <v>15</v>
      </c>
      <c r="B31" s="7"/>
      <c r="G31" s="13"/>
      <c r="I31" s="1"/>
      <c r="J31" s="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69</v>
      </c>
      <c r="I33" s="11" t="e">
        <f ca="1">_xll.EVPRO($B$1,$H33,"STYLE")</f>
        <v>#NAME?</v>
      </c>
      <c r="J33" s="11" t="e">
        <f ca="1">_xll.EVPRO($B$1,$H33,"CALC")</f>
        <v>#NAME?</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0" x14ac:dyDescent="0.2">
      <c r="H34" s="1" t="s">
        <v>259</v>
      </c>
      <c r="I34" s="11" t="e">
        <f ca="1">_xll.EVPRO($B$1,$H34,"STYLE")</f>
        <v>#NAME?</v>
      </c>
      <c r="J34" s="11" t="e">
        <f ca="1">_xll.EVPRO($B$1,$H34,"CALC")</f>
        <v>#NAME?</v>
      </c>
      <c r="L34" s="175" t="s">
        <v>364</v>
      </c>
      <c r="M34" s="175" t="s">
        <v>782</v>
      </c>
      <c r="N34" s="8" t="e">
        <f ca="1">IF(_xll.EVDES(H34,$B$1)="#NODATA","",_xll.EVDES(H34,$B$1))</f>
        <v>#NAME?</v>
      </c>
      <c r="O34" s="50"/>
      <c r="AB34" s="51"/>
      <c r="AD34" s="50"/>
      <c r="AF34" s="51"/>
      <c r="AG34" s="50"/>
      <c r="AI34" s="51"/>
    </row>
    <row r="35" spans="1:40" x14ac:dyDescent="0.2">
      <c r="A35" s="20" t="s">
        <v>92</v>
      </c>
      <c r="B35" s="21" t="s">
        <v>93</v>
      </c>
      <c r="C35" s="21" t="s">
        <v>94</v>
      </c>
      <c r="D35" s="21" t="s">
        <v>95</v>
      </c>
      <c r="E35" s="21" t="s">
        <v>96</v>
      </c>
      <c r="F35" s="22" t="s">
        <v>97</v>
      </c>
      <c r="H35" s="10" t="s">
        <v>260</v>
      </c>
      <c r="I35" s="25" t="e">
        <f ca="1">_xll.EVPRO($B$1,$H35,"STYLE")</f>
        <v>#NAME?</v>
      </c>
      <c r="J35" s="25" t="e">
        <f ca="1">_xll.EVPRO($B$1,$H35,"CALC")</f>
        <v>#NAME?</v>
      </c>
      <c r="K35" s="64" t="e">
        <f ca="1">IF(AND(I35&gt;="T5"),"&gt;","")</f>
        <v>#NAME?</v>
      </c>
      <c r="L35" s="24" t="e">
        <f ca="1">_xll.EVPRO($B$1,H35,"JDEID")</f>
        <v>#NAME?</v>
      </c>
      <c r="M35" s="24" t="e">
        <f ca="1">IF(AND(I35="N",J35="N"),_xll.EVPRO($B$1,H35,"PSFTID"),"")</f>
        <v>#NAME?</v>
      </c>
      <c r="N35" s="24" t="e">
        <f ca="1">IF(_xll.EVDES(H35,$B$1)="#NODATA","",_xll.EVDES(H35,$B$1))</f>
        <v>#NAME?</v>
      </c>
      <c r="O35" s="304">
        <v>7313.21</v>
      </c>
      <c r="P35" s="305"/>
      <c r="Q35" s="305"/>
      <c r="R35" s="305"/>
      <c r="S35" s="305"/>
      <c r="T35" s="305"/>
      <c r="U35" s="305"/>
      <c r="V35" s="305"/>
      <c r="W35" s="305"/>
      <c r="X35" s="305"/>
      <c r="Y35" s="305"/>
      <c r="Z35" s="305"/>
      <c r="AA35" s="283" t="e">
        <f t="shared" ref="AA35:AA56" ca="1" si="0">IF($I35="B1","",SUM(O35:Z35))</f>
        <v>#NAME?</v>
      </c>
      <c r="AB35" s="306" t="e">
        <f t="shared" ref="AB35:AB56" ca="1" si="1">IF(AA35=0,"",IFERROR(AA35/AA$19,""))</f>
        <v>#NAME?</v>
      </c>
      <c r="AC35" s="263"/>
      <c r="AD35" s="305"/>
      <c r="AE35" s="306" t="str">
        <f t="shared" ref="AE35:AE56" si="2">IF(AD35=0,"",IFERROR(AD35/AD$19,""))</f>
        <v/>
      </c>
      <c r="AF35" s="307" t="e">
        <f t="shared" ref="AF35:AF56" ca="1" si="3">IF(AND($AA35="",AD35=""),"",$AA35-AD35)</f>
        <v>#NAME?</v>
      </c>
      <c r="AG35" s="305">
        <v>19660.599999999999</v>
      </c>
      <c r="AH35" s="306" t="str">
        <f ca="1">IF(AG35=0,"",IFERROR(AG35/AG$19,""))</f>
        <v/>
      </c>
      <c r="AI35" s="308" t="e">
        <f ca="1">IF(AND($AA35="",AG35=""),"",$AA35-AG35)</f>
        <v>#NAME?</v>
      </c>
      <c r="AJ35" s="371">
        <f ca="1">IFERROR(AA35/AA$20,0)</f>
        <v>0</v>
      </c>
      <c r="AK35" s="372">
        <f ca="1">IFERROR(AD35/AD$20,0)</f>
        <v>0</v>
      </c>
      <c r="AL35" s="373">
        <f ca="1">IFERROR(AG35/AG$20,0)</f>
        <v>0</v>
      </c>
      <c r="AM35" s="374">
        <f ca="1">+IFERROR(ROUND(($AB35-AE35)*100,2)&amp;" pts.",0)</f>
        <v>0</v>
      </c>
      <c r="AN35" s="375">
        <f ca="1">+IFERROR(ROUND(($AB35-AH35)*100,2)&amp;" pts.",0)</f>
        <v>0</v>
      </c>
    </row>
    <row r="36" spans="1:40" x14ac:dyDescent="0.2">
      <c r="H36" s="10" t="s">
        <v>261</v>
      </c>
      <c r="I36" s="25" t="e">
        <f ca="1">_xll.EVPRO($B$1,$H36,"STYLE")</f>
        <v>#NAME?</v>
      </c>
      <c r="J36" s="25" t="e">
        <f ca="1">_xll.EVPRO($B$1,$H36,"CALC")</f>
        <v>#NAME?</v>
      </c>
      <c r="K36" s="64" t="e">
        <f t="shared" ref="K36:K56" ca="1" si="4">IF(AND(I36&gt;="T5"),"&gt;","")</f>
        <v>#NAME?</v>
      </c>
      <c r="L36" s="24" t="e">
        <f ca="1">_xll.EVPRO($B$1,H36,"JDEID")</f>
        <v>#NAME?</v>
      </c>
      <c r="M36" s="24" t="e">
        <f ca="1">IF(AND(I36="N",J36="N"),_xll.EVPRO($B$1,H36,"PSFTID"),"")</f>
        <v>#NAME?</v>
      </c>
      <c r="N36" s="24" t="e">
        <f ca="1">IF(_xll.EVDES(H36,$B$1)="#NODATA","",_xll.EVDES(H36,$B$1))</f>
        <v>#NAME?</v>
      </c>
      <c r="O36" s="304"/>
      <c r="P36" s="305"/>
      <c r="Q36" s="305"/>
      <c r="R36" s="305"/>
      <c r="S36" s="305"/>
      <c r="T36" s="305"/>
      <c r="U36" s="305"/>
      <c r="V36" s="305"/>
      <c r="W36" s="305"/>
      <c r="X36" s="305"/>
      <c r="Y36" s="305"/>
      <c r="Z36" s="305"/>
      <c r="AA36" s="283" t="e">
        <f t="shared" ca="1" si="0"/>
        <v>#NAME?</v>
      </c>
      <c r="AB36" s="306" t="e">
        <f t="shared" ca="1" si="1"/>
        <v>#NAME?</v>
      </c>
      <c r="AC36" s="263"/>
      <c r="AD36" s="305"/>
      <c r="AE36" s="306" t="str">
        <f t="shared" si="2"/>
        <v/>
      </c>
      <c r="AF36" s="307" t="e">
        <f t="shared" ca="1" si="3"/>
        <v>#NAME?</v>
      </c>
      <c r="AG36" s="305">
        <v>99409.63</v>
      </c>
      <c r="AH36" s="306" t="str">
        <f t="shared" ref="AH36:AH56" ca="1" si="5">IF(AG36=0,"",IFERROR(AG36/AG$19,""))</f>
        <v/>
      </c>
      <c r="AI36" s="308" t="e">
        <f t="shared" ref="AI36:AI56" ca="1" si="6">IF(AND($AA36="",AG36=""),"",$AA36-AG36)</f>
        <v>#NAME?</v>
      </c>
      <c r="AJ36" s="371">
        <f t="shared" ref="AJ36:AJ56" ca="1" si="7">IFERROR(AA36/AA$20,0)</f>
        <v>0</v>
      </c>
      <c r="AK36" s="372">
        <f t="shared" ref="AK36:AK56" ca="1" si="8">IFERROR(AD36/AD$20,0)</f>
        <v>0</v>
      </c>
      <c r="AL36" s="373">
        <f t="shared" ref="AL36:AL56" ca="1" si="9">IFERROR(AG36/AG$20,0)</f>
        <v>0</v>
      </c>
      <c r="AM36" s="374">
        <f t="shared" ref="AM36:AM56" ca="1" si="10">+IFERROR(ROUND(($AB36-AE36)*100,2)&amp;" pts.",0)</f>
        <v>0</v>
      </c>
      <c r="AN36" s="375">
        <f t="shared" ref="AN36:AN56" ca="1" si="11">+IFERROR(ROUND(($AB36-AH36)*100,2)&amp;" pts.",0)</f>
        <v>0</v>
      </c>
    </row>
    <row r="37" spans="1:40" x14ac:dyDescent="0.2">
      <c r="A37" s="1" t="s">
        <v>209</v>
      </c>
      <c r="B37" s="1" t="s">
        <v>21</v>
      </c>
      <c r="C37" s="70"/>
      <c r="D37" s="1" t="s">
        <v>590</v>
      </c>
      <c r="F37" s="1" t="s">
        <v>99</v>
      </c>
      <c r="H37" s="10" t="s">
        <v>262</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304"/>
      <c r="P37" s="305"/>
      <c r="Q37" s="305"/>
      <c r="R37" s="305"/>
      <c r="S37" s="305"/>
      <c r="T37" s="305"/>
      <c r="U37" s="305"/>
      <c r="V37" s="305"/>
      <c r="W37" s="305"/>
      <c r="X37" s="305"/>
      <c r="Y37" s="305"/>
      <c r="Z37" s="305"/>
      <c r="AA37" s="283" t="e">
        <f t="shared" ca="1" si="0"/>
        <v>#NAME?</v>
      </c>
      <c r="AB37" s="306" t="e">
        <f t="shared" ca="1" si="1"/>
        <v>#NAME?</v>
      </c>
      <c r="AC37" s="263"/>
      <c r="AD37" s="305"/>
      <c r="AE37" s="306" t="str">
        <f t="shared" si="2"/>
        <v/>
      </c>
      <c r="AF37" s="307" t="e">
        <f t="shared" ca="1" si="3"/>
        <v>#NAME?</v>
      </c>
      <c r="AG37" s="305">
        <v>83490.59</v>
      </c>
      <c r="AH37" s="306" t="str">
        <f t="shared" ca="1" si="5"/>
        <v/>
      </c>
      <c r="AI37" s="308" t="e">
        <f t="shared" ca="1" si="6"/>
        <v>#NAME?</v>
      </c>
      <c r="AJ37" s="371">
        <f t="shared" ca="1" si="7"/>
        <v>0</v>
      </c>
      <c r="AK37" s="372">
        <f t="shared" ca="1" si="8"/>
        <v>0</v>
      </c>
      <c r="AL37" s="373">
        <f t="shared" ca="1" si="9"/>
        <v>0</v>
      </c>
      <c r="AM37" s="374">
        <f t="shared" ca="1" si="10"/>
        <v>0</v>
      </c>
      <c r="AN37" s="375">
        <f t="shared" ca="1" si="11"/>
        <v>0</v>
      </c>
    </row>
    <row r="38" spans="1:40" x14ac:dyDescent="0.2">
      <c r="A38" s="1" t="s">
        <v>105</v>
      </c>
      <c r="C38" s="24" t="s">
        <v>101</v>
      </c>
      <c r="D38" s="1" t="s">
        <v>106</v>
      </c>
      <c r="F38" s="1" t="s">
        <v>98</v>
      </c>
      <c r="H38" s="10" t="s">
        <v>789</v>
      </c>
      <c r="I38" s="25" t="e">
        <f ca="1">_xll.EVPRO($B$1,$H38,"STYLE")</f>
        <v>#NAME?</v>
      </c>
      <c r="J38" s="25" t="e">
        <f ca="1">_xll.EVPRO($B$1,$H38,"CALC")</f>
        <v>#NAME?</v>
      </c>
      <c r="K38" s="64" t="e">
        <f t="shared" ca="1" si="4"/>
        <v>#NAME?</v>
      </c>
      <c r="L38" s="24" t="e">
        <f ca="1">_xll.EVPRO($B$1,H38,"JDEID")</f>
        <v>#NAME?</v>
      </c>
      <c r="M38" s="24" t="e">
        <f ca="1">IF(AND(I38="N",J38="N"),_xll.EVPRO($B$1,H38,"PSFTID"),"")</f>
        <v>#NAME?</v>
      </c>
      <c r="N38" s="24" t="e">
        <f ca="1">IF(_xll.EVDES(H38,$B$1)="#NODATA","",_xll.EVDES(H38,$B$1))</f>
        <v>#NAME?</v>
      </c>
      <c r="O38" s="304">
        <v>964</v>
      </c>
      <c r="P38" s="305"/>
      <c r="Q38" s="305"/>
      <c r="R38" s="305"/>
      <c r="S38" s="305"/>
      <c r="T38" s="305"/>
      <c r="U38" s="305"/>
      <c r="V38" s="305"/>
      <c r="W38" s="305"/>
      <c r="X38" s="305"/>
      <c r="Y38" s="305"/>
      <c r="Z38" s="305"/>
      <c r="AA38" s="283" t="e">
        <f t="shared" ca="1" si="0"/>
        <v>#NAME?</v>
      </c>
      <c r="AB38" s="306" t="e">
        <f t="shared" ca="1" si="1"/>
        <v>#NAME?</v>
      </c>
      <c r="AC38" s="263"/>
      <c r="AD38" s="305"/>
      <c r="AE38" s="306" t="str">
        <f t="shared" si="2"/>
        <v/>
      </c>
      <c r="AF38" s="307" t="e">
        <f t="shared" ca="1" si="3"/>
        <v>#NAME?</v>
      </c>
      <c r="AG38" s="305">
        <v>8454</v>
      </c>
      <c r="AH38" s="306" t="str">
        <f t="shared" ca="1" si="5"/>
        <v/>
      </c>
      <c r="AI38" s="308" t="e">
        <f t="shared" ca="1" si="6"/>
        <v>#NAME?</v>
      </c>
      <c r="AJ38" s="371">
        <f t="shared" ca="1" si="7"/>
        <v>0</v>
      </c>
      <c r="AK38" s="372">
        <f t="shared" ca="1" si="8"/>
        <v>0</v>
      </c>
      <c r="AL38" s="373">
        <f t="shared" ca="1" si="9"/>
        <v>0</v>
      </c>
      <c r="AM38" s="374">
        <f t="shared" ca="1" si="10"/>
        <v>0</v>
      </c>
      <c r="AN38" s="375">
        <f t="shared" ca="1" si="11"/>
        <v>0</v>
      </c>
    </row>
    <row r="39" spans="1:40" x14ac:dyDescent="0.2">
      <c r="A39" s="1" t="s">
        <v>104</v>
      </c>
      <c r="C39" s="24" t="s">
        <v>101</v>
      </c>
      <c r="D39" s="1" t="s">
        <v>106</v>
      </c>
      <c r="F39" s="1" t="s">
        <v>98</v>
      </c>
      <c r="H39" s="10" t="s">
        <v>790</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295"/>
      <c r="P39" s="296"/>
      <c r="Q39" s="296"/>
      <c r="R39" s="296"/>
      <c r="S39" s="296"/>
      <c r="T39" s="296"/>
      <c r="U39" s="296"/>
      <c r="V39" s="296"/>
      <c r="W39" s="296"/>
      <c r="X39" s="296"/>
      <c r="Y39" s="296"/>
      <c r="Z39" s="296"/>
      <c r="AA39" s="296" t="e">
        <f t="shared" ca="1" si="0"/>
        <v>#NAME?</v>
      </c>
      <c r="AB39" s="297" t="e">
        <f t="shared" ca="1" si="1"/>
        <v>#NAME?</v>
      </c>
      <c r="AC39" s="263"/>
      <c r="AD39" s="296"/>
      <c r="AE39" s="297" t="str">
        <f t="shared" si="2"/>
        <v/>
      </c>
      <c r="AF39" s="298" t="e">
        <f t="shared" ca="1" si="3"/>
        <v>#NAME?</v>
      </c>
      <c r="AG39" s="296">
        <v>29805.4</v>
      </c>
      <c r="AH39" s="297" t="str">
        <f t="shared" ca="1" si="5"/>
        <v/>
      </c>
      <c r="AI39" s="299" t="e">
        <f t="shared" ca="1" si="6"/>
        <v>#NAME?</v>
      </c>
      <c r="AJ39" s="381">
        <f t="shared" ca="1" si="7"/>
        <v>0</v>
      </c>
      <c r="AK39" s="382">
        <f t="shared" ca="1" si="8"/>
        <v>0</v>
      </c>
      <c r="AL39" s="383">
        <f t="shared" ca="1" si="9"/>
        <v>0</v>
      </c>
      <c r="AM39" s="384">
        <f t="shared" ca="1" si="10"/>
        <v>0</v>
      </c>
      <c r="AN39" s="385">
        <f t="shared" ca="1" si="11"/>
        <v>0</v>
      </c>
    </row>
    <row r="40" spans="1:40" x14ac:dyDescent="0.2">
      <c r="A40" s="1" t="s">
        <v>100</v>
      </c>
      <c r="C40" s="8" t="s">
        <v>101</v>
      </c>
      <c r="D40" s="1" t="s">
        <v>106</v>
      </c>
      <c r="F40" s="1" t="s">
        <v>98</v>
      </c>
      <c r="H40" s="10" t="s">
        <v>265</v>
      </c>
      <c r="I40" s="447" t="e">
        <f ca="1">_xll.EVPRO($B$1,$H40,"STYLE")</f>
        <v>#NAME?</v>
      </c>
      <c r="J40" s="447" t="e">
        <f ca="1">_xll.EVPRO($B$1,$H40,"CALC")</f>
        <v>#NAME?</v>
      </c>
      <c r="K40" s="448" t="e">
        <f t="shared" ca="1" si="4"/>
        <v>#NAME?</v>
      </c>
      <c r="L40" s="151" t="e">
        <f ca="1">_xll.EVPRO($B$1,H40,"JDEID")</f>
        <v>#NAME?</v>
      </c>
      <c r="M40" s="151" t="e">
        <f ca="1">IF(AND(I40="N",J40="N"),_xll.EVPRO($B$1,H40,"PSFTID"),"")</f>
        <v>#NAME?</v>
      </c>
      <c r="N40" s="151" t="e">
        <f ca="1">IF(_xll.EVDES(H40,$B$1)="#NODATA","",_xll.EVDES(H40,$B$1))</f>
        <v>#NAME?</v>
      </c>
      <c r="O40" s="202">
        <v>8277.2099999999991</v>
      </c>
      <c r="P40" s="120"/>
      <c r="Q40" s="120"/>
      <c r="R40" s="120"/>
      <c r="S40" s="120"/>
      <c r="T40" s="120"/>
      <c r="U40" s="120"/>
      <c r="V40" s="120"/>
      <c r="W40" s="120"/>
      <c r="X40" s="120"/>
      <c r="Y40" s="120"/>
      <c r="Z40" s="120"/>
      <c r="AA40" s="120" t="e">
        <f t="shared" ca="1" si="0"/>
        <v>#NAME?</v>
      </c>
      <c r="AB40" s="121" t="e">
        <f t="shared" ca="1" si="1"/>
        <v>#NAME?</v>
      </c>
      <c r="AC40" s="123"/>
      <c r="AD40" s="120"/>
      <c r="AE40" s="121" t="str">
        <f t="shared" si="2"/>
        <v/>
      </c>
      <c r="AF40" s="122" t="e">
        <f t="shared" ca="1" si="3"/>
        <v>#NAME?</v>
      </c>
      <c r="AG40" s="120">
        <v>240820.22</v>
      </c>
      <c r="AH40" s="121" t="str">
        <f t="shared" ca="1" si="5"/>
        <v/>
      </c>
      <c r="AI40" s="264" t="e">
        <f t="shared" ca="1" si="6"/>
        <v>#NAME?</v>
      </c>
      <c r="AJ40" s="332">
        <f t="shared" ca="1" si="7"/>
        <v>0</v>
      </c>
      <c r="AK40" s="333">
        <f t="shared" ca="1" si="8"/>
        <v>0</v>
      </c>
      <c r="AL40" s="335">
        <f t="shared" ca="1" si="9"/>
        <v>0</v>
      </c>
      <c r="AM40" s="377">
        <f t="shared" ca="1" si="10"/>
        <v>0</v>
      </c>
      <c r="AN40" s="378">
        <f t="shared" ca="1" si="11"/>
        <v>0</v>
      </c>
    </row>
    <row r="41" spans="1:40" x14ac:dyDescent="0.2">
      <c r="A41" s="1" t="s">
        <v>102</v>
      </c>
      <c r="C41" s="23" t="s">
        <v>101</v>
      </c>
      <c r="D41" s="1" t="s">
        <v>106</v>
      </c>
      <c r="F41" s="1" t="s">
        <v>98</v>
      </c>
      <c r="H41" s="10" t="s">
        <v>266</v>
      </c>
      <c r="I41" s="447" t="e">
        <f ca="1">_xll.EVPRO($B$1,$H41,"STYLE")</f>
        <v>#NAME?</v>
      </c>
      <c r="J41" s="447" t="e">
        <f ca="1">_xll.EVPRO($B$1,$H41,"CALC")</f>
        <v>#NAME?</v>
      </c>
      <c r="K41" s="448" t="e">
        <f t="shared" ca="1" si="4"/>
        <v>#NAME?</v>
      </c>
      <c r="L41" s="151" t="e">
        <f ca="1">_xll.EVPRO($B$1,H41,"JDEID")</f>
        <v>#NAME?</v>
      </c>
      <c r="M41" s="151" t="e">
        <f ca="1">IF(AND(I41="N",J41="N"),_xll.EVPRO($B$1,H41,"PSFTID"),"")</f>
        <v>#NAME?</v>
      </c>
      <c r="N41" s="151" t="e">
        <f ca="1">IF(_xll.EVDES(H41,$B$1)="#NODATA","",_xll.EVDES(H41,$B$1))</f>
        <v>#NAME?</v>
      </c>
      <c r="O41" s="309"/>
      <c r="P41" s="35"/>
      <c r="Q41" s="35"/>
      <c r="R41" s="35"/>
      <c r="S41" s="35"/>
      <c r="T41" s="35"/>
      <c r="U41" s="35"/>
      <c r="V41" s="35"/>
      <c r="W41" s="35"/>
      <c r="X41" s="35"/>
      <c r="Y41" s="35"/>
      <c r="Z41" s="35"/>
      <c r="AA41" s="288" t="e">
        <f t="shared" ca="1" si="0"/>
        <v>#NAME?</v>
      </c>
      <c r="AB41" s="36" t="e">
        <f t="shared" ca="1" si="1"/>
        <v>#NAME?</v>
      </c>
      <c r="AD41" s="35"/>
      <c r="AE41" s="36" t="str">
        <f t="shared" si="2"/>
        <v/>
      </c>
      <c r="AF41" s="118" t="e">
        <f t="shared" ca="1" si="3"/>
        <v>#NAME?</v>
      </c>
      <c r="AG41" s="35"/>
      <c r="AH41" s="36" t="str">
        <f t="shared" si="5"/>
        <v/>
      </c>
      <c r="AI41" s="310" t="e">
        <f t="shared" ca="1" si="6"/>
        <v>#NAME?</v>
      </c>
      <c r="AJ41" s="325">
        <f t="shared" ca="1" si="7"/>
        <v>0</v>
      </c>
      <c r="AK41" s="326">
        <f t="shared" ca="1" si="8"/>
        <v>0</v>
      </c>
      <c r="AL41" s="328">
        <f t="shared" ca="1" si="9"/>
        <v>0</v>
      </c>
      <c r="AM41" s="362">
        <f t="shared" ca="1" si="10"/>
        <v>0</v>
      </c>
      <c r="AN41" s="376">
        <f t="shared" ca="1" si="11"/>
        <v>0</v>
      </c>
    </row>
    <row r="42" spans="1:40" x14ac:dyDescent="0.2">
      <c r="A42" s="1" t="s">
        <v>102</v>
      </c>
      <c r="C42" s="135" t="s">
        <v>101</v>
      </c>
      <c r="D42" s="1" t="s">
        <v>107</v>
      </c>
      <c r="F42" s="1" t="s">
        <v>99</v>
      </c>
      <c r="H42" s="10" t="s">
        <v>267</v>
      </c>
      <c r="I42" s="25" t="e">
        <f ca="1">_xll.EVPRO($B$1,$H42,"STYLE")</f>
        <v>#NAME?</v>
      </c>
      <c r="J42" s="25" t="e">
        <f ca="1">_xll.EVPRO($B$1,$H42,"CALC")</f>
        <v>#NAME?</v>
      </c>
      <c r="K42" s="64" t="e">
        <f t="shared" ca="1" si="4"/>
        <v>#NAME?</v>
      </c>
      <c r="L42" s="24" t="e">
        <f ca="1">_xll.EVPRO($B$1,H42,"JDEID")</f>
        <v>#NAME?</v>
      </c>
      <c r="M42" s="24" t="e">
        <f ca="1">IF(AND(I42="N",J42="N"),_xll.EVPRO($B$1,H42,"PSFTID"),"")</f>
        <v>#NAME?</v>
      </c>
      <c r="N42" s="24" t="e">
        <f ca="1">IF(_xll.EVDES(H42,$B$1)="#NODATA","",_xll.EVDES(H42,$B$1))</f>
        <v>#NAME?</v>
      </c>
      <c r="O42" s="304"/>
      <c r="P42" s="305"/>
      <c r="Q42" s="305"/>
      <c r="R42" s="305"/>
      <c r="S42" s="305"/>
      <c r="T42" s="305"/>
      <c r="U42" s="305"/>
      <c r="V42" s="305"/>
      <c r="W42" s="305"/>
      <c r="X42" s="305"/>
      <c r="Y42" s="305"/>
      <c r="Z42" s="305"/>
      <c r="AA42" s="283" t="e">
        <f t="shared" ca="1" si="0"/>
        <v>#NAME?</v>
      </c>
      <c r="AB42" s="306" t="e">
        <f t="shared" ca="1" si="1"/>
        <v>#NAME?</v>
      </c>
      <c r="AC42" s="263"/>
      <c r="AD42" s="305"/>
      <c r="AE42" s="306" t="str">
        <f t="shared" si="2"/>
        <v/>
      </c>
      <c r="AF42" s="307" t="e">
        <f t="shared" ca="1" si="3"/>
        <v>#NAME?</v>
      </c>
      <c r="AG42" s="305">
        <v>2785</v>
      </c>
      <c r="AH42" s="306" t="str">
        <f t="shared" ca="1" si="5"/>
        <v/>
      </c>
      <c r="AI42" s="308" t="e">
        <f t="shared" ca="1" si="6"/>
        <v>#NAME?</v>
      </c>
      <c r="AJ42" s="371">
        <f t="shared" ca="1" si="7"/>
        <v>0</v>
      </c>
      <c r="AK42" s="372">
        <f t="shared" ca="1" si="8"/>
        <v>0</v>
      </c>
      <c r="AL42" s="373">
        <f t="shared" ca="1" si="9"/>
        <v>0</v>
      </c>
      <c r="AM42" s="374">
        <f t="shared" ca="1" si="10"/>
        <v>0</v>
      </c>
      <c r="AN42" s="375">
        <f t="shared" ca="1" si="11"/>
        <v>0</v>
      </c>
    </row>
    <row r="43" spans="1:40" x14ac:dyDescent="0.2">
      <c r="A43" s="1" t="s">
        <v>108</v>
      </c>
      <c r="C43" s="23" t="s">
        <v>101</v>
      </c>
      <c r="D43" s="1" t="s">
        <v>106</v>
      </c>
      <c r="F43" s="1" t="s">
        <v>98</v>
      </c>
      <c r="H43" s="10" t="s">
        <v>268</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304"/>
      <c r="P43" s="305"/>
      <c r="Q43" s="305"/>
      <c r="R43" s="305"/>
      <c r="S43" s="305"/>
      <c r="T43" s="305"/>
      <c r="U43" s="305"/>
      <c r="V43" s="305"/>
      <c r="W43" s="305"/>
      <c r="X43" s="305"/>
      <c r="Y43" s="305"/>
      <c r="Z43" s="305"/>
      <c r="AA43" s="283" t="e">
        <f t="shared" ca="1" si="0"/>
        <v>#NAME?</v>
      </c>
      <c r="AB43" s="306" t="e">
        <f t="shared" ca="1" si="1"/>
        <v>#NAME?</v>
      </c>
      <c r="AC43" s="263"/>
      <c r="AD43" s="305"/>
      <c r="AE43" s="306" t="str">
        <f t="shared" si="2"/>
        <v/>
      </c>
      <c r="AF43" s="307" t="e">
        <f t="shared" ca="1" si="3"/>
        <v>#NAME?</v>
      </c>
      <c r="AG43" s="305">
        <v>3434</v>
      </c>
      <c r="AH43" s="306" t="str">
        <f t="shared" ca="1" si="5"/>
        <v/>
      </c>
      <c r="AI43" s="308" t="e">
        <f t="shared" ca="1" si="6"/>
        <v>#NAME?</v>
      </c>
      <c r="AJ43" s="371">
        <f t="shared" ca="1" si="7"/>
        <v>0</v>
      </c>
      <c r="AK43" s="372">
        <f t="shared" ca="1" si="8"/>
        <v>0</v>
      </c>
      <c r="AL43" s="373">
        <f t="shared" ca="1" si="9"/>
        <v>0</v>
      </c>
      <c r="AM43" s="374">
        <f t="shared" ca="1" si="10"/>
        <v>0</v>
      </c>
      <c r="AN43" s="375">
        <f t="shared" ca="1" si="11"/>
        <v>0</v>
      </c>
    </row>
    <row r="44" spans="1:40" x14ac:dyDescent="0.2">
      <c r="A44" s="1" t="s">
        <v>108</v>
      </c>
      <c r="C44" s="135" t="s">
        <v>101</v>
      </c>
      <c r="D44" s="1" t="s">
        <v>107</v>
      </c>
      <c r="F44" s="1" t="s">
        <v>99</v>
      </c>
      <c r="H44" s="10" t="s">
        <v>269</v>
      </c>
      <c r="I44" s="25" t="e">
        <f ca="1">_xll.EVPRO($B$1,$H44,"STYLE")</f>
        <v>#NAME?</v>
      </c>
      <c r="J44" s="25" t="e">
        <f ca="1">_xll.EVPRO($B$1,$H44,"CALC")</f>
        <v>#NAME?</v>
      </c>
      <c r="K44" s="64" t="e">
        <f t="shared" ca="1" si="4"/>
        <v>#NAME?</v>
      </c>
      <c r="L44" s="24" t="e">
        <f ca="1">_xll.EVPRO($B$1,H44,"JDEID")</f>
        <v>#NAME?</v>
      </c>
      <c r="M44" s="24" t="e">
        <f ca="1">IF(AND(I44="N",J44="N"),_xll.EVPRO($B$1,H44,"PSFTID"),"")</f>
        <v>#NAME?</v>
      </c>
      <c r="N44" s="24" t="e">
        <f ca="1">IF(_xll.EVDES(H44,$B$1)="#NODATA","",_xll.EVDES(H44,$B$1))</f>
        <v>#NAME?</v>
      </c>
      <c r="O44" s="304"/>
      <c r="P44" s="305"/>
      <c r="Q44" s="305"/>
      <c r="R44" s="305"/>
      <c r="S44" s="305"/>
      <c r="T44" s="305"/>
      <c r="U44" s="305"/>
      <c r="V44" s="305"/>
      <c r="W44" s="305"/>
      <c r="X44" s="305"/>
      <c r="Y44" s="305"/>
      <c r="Z44" s="305"/>
      <c r="AA44" s="283" t="e">
        <f t="shared" ca="1" si="0"/>
        <v>#NAME?</v>
      </c>
      <c r="AB44" s="306" t="e">
        <f t="shared" ca="1" si="1"/>
        <v>#NAME?</v>
      </c>
      <c r="AC44" s="263"/>
      <c r="AD44" s="305"/>
      <c r="AE44" s="306" t="str">
        <f t="shared" si="2"/>
        <v/>
      </c>
      <c r="AF44" s="307" t="e">
        <f t="shared" ca="1" si="3"/>
        <v>#NAME?</v>
      </c>
      <c r="AG44" s="305">
        <v>14820.79</v>
      </c>
      <c r="AH44" s="306" t="str">
        <f t="shared" ca="1" si="5"/>
        <v/>
      </c>
      <c r="AI44" s="308" t="e">
        <f t="shared" ca="1" si="6"/>
        <v>#NAME?</v>
      </c>
      <c r="AJ44" s="371">
        <f t="shared" ca="1" si="7"/>
        <v>0</v>
      </c>
      <c r="AK44" s="372">
        <f t="shared" ca="1" si="8"/>
        <v>0</v>
      </c>
      <c r="AL44" s="373">
        <f t="shared" ca="1" si="9"/>
        <v>0</v>
      </c>
      <c r="AM44" s="374">
        <f t="shared" ca="1" si="10"/>
        <v>0</v>
      </c>
      <c r="AN44" s="375">
        <f t="shared" ca="1" si="11"/>
        <v>0</v>
      </c>
    </row>
    <row r="45" spans="1:40" x14ac:dyDescent="0.2">
      <c r="H45" s="10" t="s">
        <v>791</v>
      </c>
      <c r="I45" s="25" t="e">
        <f ca="1">_xll.EVPRO($B$1,$H45,"STYLE")</f>
        <v>#NAME?</v>
      </c>
      <c r="J45" s="25" t="e">
        <f ca="1">_xll.EVPRO($B$1,$H45,"CALC")</f>
        <v>#NAME?</v>
      </c>
      <c r="K45" s="64" t="e">
        <f t="shared" ca="1" si="4"/>
        <v>#NAME?</v>
      </c>
      <c r="L45" s="24" t="e">
        <f ca="1">_xll.EVPRO($B$1,H45,"JDEID")</f>
        <v>#NAME?</v>
      </c>
      <c r="M45" s="24" t="e">
        <f ca="1">IF(AND(I45="N",J45="N"),_xll.EVPRO($B$1,H45,"PSFTID"),"")</f>
        <v>#NAME?</v>
      </c>
      <c r="N45" s="24" t="e">
        <f ca="1">IF(_xll.EVDES(H45,$B$1)="#NODATA","",_xll.EVDES(H45,$B$1))</f>
        <v>#NAME?</v>
      </c>
      <c r="O45" s="295"/>
      <c r="P45" s="296"/>
      <c r="Q45" s="296"/>
      <c r="R45" s="296"/>
      <c r="S45" s="296"/>
      <c r="T45" s="296"/>
      <c r="U45" s="296"/>
      <c r="V45" s="296"/>
      <c r="W45" s="296"/>
      <c r="X45" s="296"/>
      <c r="Y45" s="296"/>
      <c r="Z45" s="296"/>
      <c r="AA45" s="296" t="e">
        <f t="shared" ca="1" si="0"/>
        <v>#NAME?</v>
      </c>
      <c r="AB45" s="297" t="e">
        <f t="shared" ca="1" si="1"/>
        <v>#NAME?</v>
      </c>
      <c r="AC45" s="263"/>
      <c r="AD45" s="296"/>
      <c r="AE45" s="297" t="str">
        <f t="shared" si="2"/>
        <v/>
      </c>
      <c r="AF45" s="298" t="e">
        <f t="shared" ca="1" si="3"/>
        <v>#NAME?</v>
      </c>
      <c r="AG45" s="296">
        <v>12576.96</v>
      </c>
      <c r="AH45" s="297" t="str">
        <f t="shared" ca="1" si="5"/>
        <v/>
      </c>
      <c r="AI45" s="299" t="e">
        <f t="shared" ca="1" si="6"/>
        <v>#NAME?</v>
      </c>
      <c r="AJ45" s="381">
        <f t="shared" ca="1" si="7"/>
        <v>0</v>
      </c>
      <c r="AK45" s="382">
        <f t="shared" ca="1" si="8"/>
        <v>0</v>
      </c>
      <c r="AL45" s="383">
        <f t="shared" ca="1" si="9"/>
        <v>0</v>
      </c>
      <c r="AM45" s="384">
        <f t="shared" ca="1" si="10"/>
        <v>0</v>
      </c>
      <c r="AN45" s="385">
        <f t="shared" ca="1" si="11"/>
        <v>0</v>
      </c>
    </row>
    <row r="46" spans="1:40" x14ac:dyDescent="0.2">
      <c r="H46" s="10" t="s">
        <v>272</v>
      </c>
      <c r="I46" s="447" t="e">
        <f ca="1">_xll.EVPRO($B$1,$H46,"STYLE")</f>
        <v>#NAME?</v>
      </c>
      <c r="J46" s="447" t="e">
        <f ca="1">_xll.EVPRO($B$1,$H46,"CALC")</f>
        <v>#NAME?</v>
      </c>
      <c r="K46" s="448" t="e">
        <f t="shared" ca="1" si="4"/>
        <v>#NAME?</v>
      </c>
      <c r="L46" s="151" t="e">
        <f ca="1">_xll.EVPRO($B$1,H46,"JDEID")</f>
        <v>#NAME?</v>
      </c>
      <c r="M46" s="151" t="e">
        <f ca="1">IF(AND(I46="N",J46="N"),_xll.EVPRO($B$1,H46,"PSFTID"),"")</f>
        <v>#NAME?</v>
      </c>
      <c r="N46" s="151" t="e">
        <f ca="1">IF(_xll.EVDES(H46,$B$1)="#NODATA","",_xll.EVDES(H46,$B$1))</f>
        <v>#NAME?</v>
      </c>
      <c r="O46" s="202"/>
      <c r="P46" s="120"/>
      <c r="Q46" s="120"/>
      <c r="R46" s="120"/>
      <c r="S46" s="120"/>
      <c r="T46" s="120"/>
      <c r="U46" s="120"/>
      <c r="V46" s="120"/>
      <c r="W46" s="120"/>
      <c r="X46" s="120"/>
      <c r="Y46" s="120"/>
      <c r="Z46" s="120"/>
      <c r="AA46" s="120" t="e">
        <f t="shared" ca="1" si="0"/>
        <v>#NAME?</v>
      </c>
      <c r="AB46" s="121" t="e">
        <f t="shared" ca="1" si="1"/>
        <v>#NAME?</v>
      </c>
      <c r="AC46" s="123"/>
      <c r="AD46" s="120"/>
      <c r="AE46" s="121" t="str">
        <f t="shared" si="2"/>
        <v/>
      </c>
      <c r="AF46" s="122" t="e">
        <f t="shared" ca="1" si="3"/>
        <v>#NAME?</v>
      </c>
      <c r="AG46" s="120">
        <v>33616.75</v>
      </c>
      <c r="AH46" s="121" t="str">
        <f t="shared" ca="1" si="5"/>
        <v/>
      </c>
      <c r="AI46" s="264" t="e">
        <f t="shared" ca="1" si="6"/>
        <v>#NAME?</v>
      </c>
      <c r="AJ46" s="332">
        <f t="shared" ca="1" si="7"/>
        <v>0</v>
      </c>
      <c r="AK46" s="333">
        <f t="shared" ca="1" si="8"/>
        <v>0</v>
      </c>
      <c r="AL46" s="335">
        <f t="shared" ca="1" si="9"/>
        <v>0</v>
      </c>
      <c r="AM46" s="377">
        <f t="shared" ca="1" si="10"/>
        <v>0</v>
      </c>
      <c r="AN46" s="378">
        <f t="shared" ca="1" si="11"/>
        <v>0</v>
      </c>
    </row>
    <row r="47" spans="1:40" x14ac:dyDescent="0.2">
      <c r="A47" s="4" t="e">
        <f ca="1">_xll.EVDRE($B$1,A50:B57,A60:B66)</f>
        <v>#NAME?</v>
      </c>
      <c r="H47" s="10" t="s">
        <v>486</v>
      </c>
      <c r="I47" s="25" t="e">
        <f ca="1">_xll.EVPRO($B$1,$H47,"STYLE")</f>
        <v>#NAME?</v>
      </c>
      <c r="J47" s="25" t="e">
        <f ca="1">_xll.EVPRO($B$1,$H47,"CALC")</f>
        <v>#NAME?</v>
      </c>
      <c r="K47" s="64" t="e">
        <f t="shared" ca="1" si="4"/>
        <v>#NAME?</v>
      </c>
      <c r="L47" s="24" t="e">
        <f ca="1">_xll.EVPRO($B$1,H47,"JDEID")</f>
        <v>#NAME?</v>
      </c>
      <c r="M47" s="24" t="e">
        <f ca="1">IF(AND(I47="N",J47="N"),_xll.EVPRO($B$1,H47,"PSFTID"),"")</f>
        <v>#NAME?</v>
      </c>
      <c r="N47" s="24" t="e">
        <f ca="1">IF(_xll.EVDES(H47,$B$1)="#NODATA","",_xll.EVDES(H47,$B$1))</f>
        <v>#NAME?</v>
      </c>
      <c r="O47" s="302"/>
      <c r="P47" s="44"/>
      <c r="Q47" s="44"/>
      <c r="R47" s="44"/>
      <c r="S47" s="44"/>
      <c r="T47" s="44"/>
      <c r="U47" s="44"/>
      <c r="V47" s="44"/>
      <c r="W47" s="44"/>
      <c r="X47" s="44"/>
      <c r="Y47" s="44"/>
      <c r="Z47" s="44"/>
      <c r="AA47" s="44" t="e">
        <f t="shared" ca="1" si="0"/>
        <v>#NAME?</v>
      </c>
      <c r="AB47" s="45" t="e">
        <f t="shared" ca="1" si="1"/>
        <v>#NAME?</v>
      </c>
      <c r="AD47" s="44"/>
      <c r="AE47" s="45" t="str">
        <f t="shared" si="2"/>
        <v/>
      </c>
      <c r="AF47" s="134" t="e">
        <f t="shared" ca="1" si="3"/>
        <v>#NAME?</v>
      </c>
      <c r="AG47" s="44"/>
      <c r="AH47" s="45" t="str">
        <f t="shared" si="5"/>
        <v/>
      </c>
      <c r="AI47" s="303" t="e">
        <f t="shared" ca="1" si="6"/>
        <v>#NAME?</v>
      </c>
      <c r="AJ47" s="392">
        <f t="shared" ca="1" si="7"/>
        <v>0</v>
      </c>
      <c r="AK47" s="393">
        <f t="shared" ca="1" si="8"/>
        <v>0</v>
      </c>
      <c r="AL47" s="394">
        <f t="shared" ca="1" si="9"/>
        <v>0</v>
      </c>
      <c r="AM47" s="395">
        <f t="shared" ca="1" si="10"/>
        <v>0</v>
      </c>
      <c r="AN47" s="396">
        <f t="shared" ca="1" si="11"/>
        <v>0</v>
      </c>
    </row>
    <row r="48" spans="1:40" x14ac:dyDescent="0.2">
      <c r="H48" s="10" t="s">
        <v>273</v>
      </c>
      <c r="I48" s="447" t="e">
        <f ca="1">_xll.EVPRO($B$1,$H48,"STYLE")</f>
        <v>#NAME?</v>
      </c>
      <c r="J48" s="447" t="e">
        <f ca="1">_xll.EVPRO($B$1,$H48,"CALC")</f>
        <v>#NAME?</v>
      </c>
      <c r="K48" s="448" t="e">
        <f t="shared" ca="1" si="4"/>
        <v>#NAME?</v>
      </c>
      <c r="L48" s="151" t="e">
        <f ca="1">_xll.EVPRO($B$1,H48,"JDEID")</f>
        <v>#NAME?</v>
      </c>
      <c r="M48" s="151" t="e">
        <f ca="1">IF(AND(I48="N",J48="N"),_xll.EVPRO($B$1,H48,"PSFTID"),"")</f>
        <v>#NAME?</v>
      </c>
      <c r="N48" s="151" t="e">
        <f ca="1">IF(_xll.EVDES(H48,$B$1)="#NODATA","",_xll.EVDES(H48,$B$1))</f>
        <v>#NAME?</v>
      </c>
      <c r="O48" s="202">
        <v>8277.2099999999991</v>
      </c>
      <c r="P48" s="120"/>
      <c r="Q48" s="120"/>
      <c r="R48" s="120"/>
      <c r="S48" s="120"/>
      <c r="T48" s="120"/>
      <c r="U48" s="120"/>
      <c r="V48" s="120"/>
      <c r="W48" s="120"/>
      <c r="X48" s="120"/>
      <c r="Y48" s="120"/>
      <c r="Z48" s="120"/>
      <c r="AA48" s="120" t="e">
        <f t="shared" ca="1" si="0"/>
        <v>#NAME?</v>
      </c>
      <c r="AB48" s="121" t="e">
        <f t="shared" ca="1" si="1"/>
        <v>#NAME?</v>
      </c>
      <c r="AC48" s="123"/>
      <c r="AD48" s="120"/>
      <c r="AE48" s="121" t="str">
        <f t="shared" si="2"/>
        <v/>
      </c>
      <c r="AF48" s="122" t="e">
        <f t="shared" ca="1" si="3"/>
        <v>#NAME?</v>
      </c>
      <c r="AG48" s="120">
        <v>274436.96999999997</v>
      </c>
      <c r="AH48" s="121" t="str">
        <f t="shared" ca="1" si="5"/>
        <v/>
      </c>
      <c r="AI48" s="264" t="e">
        <f t="shared" ca="1" si="6"/>
        <v>#NAME?</v>
      </c>
      <c r="AJ48" s="332">
        <f t="shared" ca="1" si="7"/>
        <v>0</v>
      </c>
      <c r="AK48" s="333">
        <f t="shared" ca="1" si="8"/>
        <v>0</v>
      </c>
      <c r="AL48" s="335">
        <f t="shared" ca="1" si="9"/>
        <v>0</v>
      </c>
      <c r="AM48" s="377">
        <f t="shared" ca="1" si="10"/>
        <v>0</v>
      </c>
      <c r="AN48" s="378">
        <f t="shared" ca="1" si="11"/>
        <v>0</v>
      </c>
    </row>
    <row r="49" spans="1:40" x14ac:dyDescent="0.2">
      <c r="A49" s="3" t="s">
        <v>0</v>
      </c>
      <c r="B49" s="5" t="s">
        <v>1</v>
      </c>
      <c r="H49" s="10" t="s">
        <v>279</v>
      </c>
      <c r="I49" s="447" t="e">
        <f ca="1">_xll.EVPRO($B$1,$H49,"STYLE")</f>
        <v>#NAME?</v>
      </c>
      <c r="J49" s="447" t="e">
        <f ca="1">_xll.EVPRO($B$1,$H49,"CALC")</f>
        <v>#NAME?</v>
      </c>
      <c r="K49" s="448" t="e">
        <f t="shared" ca="1" si="4"/>
        <v>#NAME?</v>
      </c>
      <c r="L49" s="151" t="e">
        <f ca="1">_xll.EVPRO($B$1,H49,"JDEID")</f>
        <v>#NAME?</v>
      </c>
      <c r="M49" s="151" t="e">
        <f ca="1">IF(AND(I49="N",J49="N"),_xll.EVPRO($B$1,H49,"PSFTID"),"")</f>
        <v>#NAME?</v>
      </c>
      <c r="N49" s="151" t="e">
        <f ca="1">IF(_xll.EVDES(H49,$B$1)="#NODATA","",_xll.EVDES(H49,$B$1))</f>
        <v>#NAME?</v>
      </c>
      <c r="O49" s="309"/>
      <c r="P49" s="35"/>
      <c r="Q49" s="35"/>
      <c r="R49" s="35"/>
      <c r="S49" s="35"/>
      <c r="T49" s="35"/>
      <c r="U49" s="35"/>
      <c r="V49" s="35"/>
      <c r="W49" s="35"/>
      <c r="X49" s="35"/>
      <c r="Y49" s="35"/>
      <c r="Z49" s="35"/>
      <c r="AA49" s="288" t="e">
        <f t="shared" ca="1" si="0"/>
        <v>#NAME?</v>
      </c>
      <c r="AB49" s="36" t="e">
        <f t="shared" ca="1" si="1"/>
        <v>#NAME?</v>
      </c>
      <c r="AD49" s="35"/>
      <c r="AE49" s="36" t="str">
        <f t="shared" si="2"/>
        <v/>
      </c>
      <c r="AF49" s="118" t="e">
        <f t="shared" ca="1" si="3"/>
        <v>#NAME?</v>
      </c>
      <c r="AG49" s="35"/>
      <c r="AH49" s="36" t="str">
        <f t="shared" si="5"/>
        <v/>
      </c>
      <c r="AI49" s="310" t="e">
        <f t="shared" ca="1" si="6"/>
        <v>#NAME?</v>
      </c>
      <c r="AJ49" s="325">
        <f t="shared" ca="1" si="7"/>
        <v>0</v>
      </c>
      <c r="AK49" s="326">
        <f t="shared" ca="1" si="8"/>
        <v>0</v>
      </c>
      <c r="AL49" s="328">
        <f t="shared" ca="1" si="9"/>
        <v>0</v>
      </c>
      <c r="AM49" s="362">
        <f t="shared" ca="1" si="10"/>
        <v>0</v>
      </c>
      <c r="AN49" s="376">
        <f t="shared" ca="1" si="11"/>
        <v>0</v>
      </c>
    </row>
    <row r="50" spans="1:40" x14ac:dyDescent="0.2">
      <c r="A50" s="6" t="s">
        <v>2</v>
      </c>
      <c r="B50" s="7" t="e">
        <f ca="1">_xll.EVRNG($B$2:$B$10)</f>
        <v>#NAME?</v>
      </c>
      <c r="H50" s="10" t="s">
        <v>274</v>
      </c>
      <c r="I50" s="25" t="e">
        <f ca="1">_xll.EVPRO($B$1,$H50,"STYLE")</f>
        <v>#NAME?</v>
      </c>
      <c r="J50" s="25" t="e">
        <f ca="1">_xll.EVPRO($B$1,$H50,"CALC")</f>
        <v>#NAME?</v>
      </c>
      <c r="K50" s="64" t="e">
        <f t="shared" ca="1" si="4"/>
        <v>#NAME?</v>
      </c>
      <c r="L50" s="24" t="e">
        <f ca="1">_xll.EVPRO($B$1,H50,"JDEID")</f>
        <v>#NAME?</v>
      </c>
      <c r="M50" s="24" t="e">
        <f ca="1">IF(AND(I50="N",J50="N"),_xll.EVPRO($B$1,H50,"PSFTID"),"")</f>
        <v>#NAME?</v>
      </c>
      <c r="N50" s="24" t="e">
        <f ca="1">IF(_xll.EVDES(H50,$B$1)="#NODATA","",_xll.EVDES(H50,$B$1))</f>
        <v>#NAME?</v>
      </c>
      <c r="O50" s="304">
        <v>945</v>
      </c>
      <c r="P50" s="305"/>
      <c r="Q50" s="305"/>
      <c r="R50" s="305"/>
      <c r="S50" s="305"/>
      <c r="T50" s="305"/>
      <c r="U50" s="305"/>
      <c r="V50" s="305"/>
      <c r="W50" s="305"/>
      <c r="X50" s="305"/>
      <c r="Y50" s="305"/>
      <c r="Z50" s="305"/>
      <c r="AA50" s="283" t="e">
        <f t="shared" ca="1" si="0"/>
        <v>#NAME?</v>
      </c>
      <c r="AB50" s="306" t="e">
        <f t="shared" ca="1" si="1"/>
        <v>#NAME?</v>
      </c>
      <c r="AC50" s="263"/>
      <c r="AD50" s="305"/>
      <c r="AE50" s="306" t="str">
        <f t="shared" si="2"/>
        <v/>
      </c>
      <c r="AF50" s="307" t="e">
        <f t="shared" ca="1" si="3"/>
        <v>#NAME?</v>
      </c>
      <c r="AG50" s="305">
        <v>22841.23</v>
      </c>
      <c r="AH50" s="306" t="str">
        <f t="shared" ca="1" si="5"/>
        <v/>
      </c>
      <c r="AI50" s="308" t="e">
        <f t="shared" ca="1" si="6"/>
        <v>#NAME?</v>
      </c>
      <c r="AJ50" s="371">
        <f t="shared" ca="1" si="7"/>
        <v>0</v>
      </c>
      <c r="AK50" s="372">
        <f t="shared" ca="1" si="8"/>
        <v>0</v>
      </c>
      <c r="AL50" s="373">
        <f t="shared" ca="1" si="9"/>
        <v>0</v>
      </c>
      <c r="AM50" s="374">
        <f t="shared" ca="1" si="10"/>
        <v>0</v>
      </c>
      <c r="AN50" s="375">
        <f t="shared" ca="1" si="11"/>
        <v>0</v>
      </c>
    </row>
    <row r="51" spans="1:40" x14ac:dyDescent="0.2">
      <c r="A51" s="6" t="s">
        <v>3</v>
      </c>
      <c r="B51" s="7" t="e">
        <f ca="1">_xll.EVRNG($O$16:$AN$18)</f>
        <v>#NAME?</v>
      </c>
      <c r="H51" s="10" t="s">
        <v>275</v>
      </c>
      <c r="I51" s="25" t="e">
        <f ca="1">_xll.EVPRO($B$1,$H51,"STYLE")</f>
        <v>#NAME?</v>
      </c>
      <c r="J51" s="25" t="e">
        <f ca="1">_xll.EVPRO($B$1,$H51,"CALC")</f>
        <v>#NAME?</v>
      </c>
      <c r="K51" s="64" t="e">
        <f t="shared" ca="1" si="4"/>
        <v>#NAME?</v>
      </c>
      <c r="L51" s="24" t="e">
        <f ca="1">_xll.EVPRO($B$1,H51,"JDEID")</f>
        <v>#NAME?</v>
      </c>
      <c r="M51" s="24" t="e">
        <f ca="1">IF(AND(I51="N",J51="N"),_xll.EVPRO($B$1,H51,"PSFTID"),"")</f>
        <v>#NAME?</v>
      </c>
      <c r="N51" s="24" t="e">
        <f ca="1">IF(_xll.EVDES(H51,$B$1)="#NODATA","",_xll.EVDES(H51,$B$1))</f>
        <v>#NAME?</v>
      </c>
      <c r="O51" s="304">
        <v>1000</v>
      </c>
      <c r="P51" s="305"/>
      <c r="Q51" s="305"/>
      <c r="R51" s="305"/>
      <c r="S51" s="305"/>
      <c r="T51" s="305"/>
      <c r="U51" s="305"/>
      <c r="V51" s="305"/>
      <c r="W51" s="305"/>
      <c r="X51" s="305"/>
      <c r="Y51" s="305"/>
      <c r="Z51" s="305"/>
      <c r="AA51" s="283" t="e">
        <f t="shared" ca="1" si="0"/>
        <v>#NAME?</v>
      </c>
      <c r="AB51" s="306" t="e">
        <f t="shared" ca="1" si="1"/>
        <v>#NAME?</v>
      </c>
      <c r="AC51" s="263"/>
      <c r="AD51" s="305"/>
      <c r="AE51" s="306" t="str">
        <f t="shared" si="2"/>
        <v/>
      </c>
      <c r="AF51" s="307" t="e">
        <f t="shared" ca="1" si="3"/>
        <v>#NAME?</v>
      </c>
      <c r="AG51" s="305">
        <v>60377.72</v>
      </c>
      <c r="AH51" s="306" t="str">
        <f t="shared" ca="1" si="5"/>
        <v/>
      </c>
      <c r="AI51" s="308" t="e">
        <f t="shared" ca="1" si="6"/>
        <v>#NAME?</v>
      </c>
      <c r="AJ51" s="371">
        <f t="shared" ca="1" si="7"/>
        <v>0</v>
      </c>
      <c r="AK51" s="372">
        <f t="shared" ca="1" si="8"/>
        <v>0</v>
      </c>
      <c r="AL51" s="373">
        <f t="shared" ca="1" si="9"/>
        <v>0</v>
      </c>
      <c r="AM51" s="374">
        <f t="shared" ca="1" si="10"/>
        <v>0</v>
      </c>
      <c r="AN51" s="375">
        <f t="shared" ca="1" si="11"/>
        <v>0</v>
      </c>
    </row>
    <row r="52" spans="1:40" x14ac:dyDescent="0.2">
      <c r="A52" s="6" t="s">
        <v>4</v>
      </c>
      <c r="B52" s="7" t="e">
        <f ca="1">_xll.EVRNG(H60:H68)</f>
        <v>#NAME?</v>
      </c>
      <c r="H52" s="10" t="s">
        <v>282</v>
      </c>
      <c r="I52" s="25" t="e">
        <f ca="1">_xll.EVPRO($B$1,$H52,"STYLE")</f>
        <v>#NAME?</v>
      </c>
      <c r="J52" s="25" t="e">
        <f ca="1">_xll.EVPRO($B$1,$H52,"CALC")</f>
        <v>#NAME?</v>
      </c>
      <c r="K52" s="64" t="e">
        <f t="shared" ca="1" si="4"/>
        <v>#NAME?</v>
      </c>
      <c r="L52" s="24" t="e">
        <f ca="1">_xll.EVPRO($B$1,H52,"JDEID")</f>
        <v>#NAME?</v>
      </c>
      <c r="M52" s="24" t="e">
        <f ca="1">IF(AND(I52="N",J52="N"),_xll.EVPRO($B$1,H52,"PSFTID"),"")</f>
        <v>#NAME?</v>
      </c>
      <c r="N52" s="24" t="e">
        <f ca="1">IF(_xll.EVDES(H52,$B$1)="#NODATA","",_xll.EVDES(H52,$B$1))</f>
        <v>#NAME?</v>
      </c>
      <c r="O52" s="304">
        <v>1857.85</v>
      </c>
      <c r="P52" s="305"/>
      <c r="Q52" s="305"/>
      <c r="R52" s="305"/>
      <c r="S52" s="305"/>
      <c r="T52" s="305"/>
      <c r="U52" s="305"/>
      <c r="V52" s="305"/>
      <c r="W52" s="305"/>
      <c r="X52" s="305"/>
      <c r="Y52" s="305"/>
      <c r="Z52" s="305"/>
      <c r="AA52" s="283" t="e">
        <f t="shared" ca="1" si="0"/>
        <v>#NAME?</v>
      </c>
      <c r="AB52" s="306" t="e">
        <f t="shared" ca="1" si="1"/>
        <v>#NAME?</v>
      </c>
      <c r="AC52" s="263"/>
      <c r="AD52" s="305"/>
      <c r="AE52" s="306" t="str">
        <f t="shared" si="2"/>
        <v/>
      </c>
      <c r="AF52" s="307" t="e">
        <f t="shared" ca="1" si="3"/>
        <v>#NAME?</v>
      </c>
      <c r="AG52" s="305">
        <v>61675.02</v>
      </c>
      <c r="AH52" s="306" t="str">
        <f t="shared" ca="1" si="5"/>
        <v/>
      </c>
      <c r="AI52" s="308" t="e">
        <f t="shared" ca="1" si="6"/>
        <v>#NAME?</v>
      </c>
      <c r="AJ52" s="371">
        <f t="shared" ca="1" si="7"/>
        <v>0</v>
      </c>
      <c r="AK52" s="372">
        <f t="shared" ca="1" si="8"/>
        <v>0</v>
      </c>
      <c r="AL52" s="373">
        <f t="shared" ca="1" si="9"/>
        <v>0</v>
      </c>
      <c r="AM52" s="374">
        <f t="shared" ca="1" si="10"/>
        <v>0</v>
      </c>
      <c r="AN52" s="375">
        <f t="shared" ca="1" si="11"/>
        <v>0</v>
      </c>
    </row>
    <row r="53" spans="1:40" x14ac:dyDescent="0.2">
      <c r="A53" s="6" t="s">
        <v>5</v>
      </c>
      <c r="B53" s="7"/>
      <c r="F53" s="136"/>
      <c r="H53" s="10" t="s">
        <v>283</v>
      </c>
      <c r="I53" s="25" t="e">
        <f ca="1">_xll.EVPRO($B$1,$H53,"STYLE")</f>
        <v>#NAME?</v>
      </c>
      <c r="J53" s="25" t="e">
        <f ca="1">_xll.EVPRO($B$1,$H53,"CALC")</f>
        <v>#NAME?</v>
      </c>
      <c r="K53" s="64" t="e">
        <f t="shared" ca="1" si="4"/>
        <v>#NAME?</v>
      </c>
      <c r="L53" s="24" t="e">
        <f ca="1">_xll.EVPRO($B$1,H53,"JDEID")</f>
        <v>#NAME?</v>
      </c>
      <c r="M53" s="24" t="e">
        <f ca="1">IF(AND(I53="N",J53="N"),_xll.EVPRO($B$1,H53,"PSFTID"),"")</f>
        <v>#NAME?</v>
      </c>
      <c r="N53" s="24" t="e">
        <f ca="1">IF(_xll.EVDES(H53,$B$1)="#NODATA","",_xll.EVDES(H53,$B$1))</f>
        <v>#NAME?</v>
      </c>
      <c r="O53" s="304"/>
      <c r="P53" s="305"/>
      <c r="Q53" s="305"/>
      <c r="R53" s="305"/>
      <c r="S53" s="305"/>
      <c r="T53" s="305"/>
      <c r="U53" s="305"/>
      <c r="V53" s="305"/>
      <c r="W53" s="305"/>
      <c r="X53" s="305"/>
      <c r="Y53" s="305"/>
      <c r="Z53" s="305"/>
      <c r="AA53" s="283" t="e">
        <f t="shared" ca="1" si="0"/>
        <v>#NAME?</v>
      </c>
      <c r="AB53" s="306" t="e">
        <f t="shared" ca="1" si="1"/>
        <v>#NAME?</v>
      </c>
      <c r="AC53" s="263"/>
      <c r="AD53" s="305"/>
      <c r="AE53" s="306" t="str">
        <f t="shared" si="2"/>
        <v/>
      </c>
      <c r="AF53" s="307" t="e">
        <f t="shared" ca="1" si="3"/>
        <v>#NAME?</v>
      </c>
      <c r="AG53" s="305">
        <v>4334.91</v>
      </c>
      <c r="AH53" s="306" t="str">
        <f t="shared" ca="1" si="5"/>
        <v/>
      </c>
      <c r="AI53" s="308" t="e">
        <f t="shared" ca="1" si="6"/>
        <v>#NAME?</v>
      </c>
      <c r="AJ53" s="371">
        <f t="shared" ca="1" si="7"/>
        <v>0</v>
      </c>
      <c r="AK53" s="372">
        <f t="shared" ca="1" si="8"/>
        <v>0</v>
      </c>
      <c r="AL53" s="373">
        <f t="shared" ca="1" si="9"/>
        <v>0</v>
      </c>
      <c r="AM53" s="374">
        <f t="shared" ca="1" si="10"/>
        <v>0</v>
      </c>
      <c r="AN53" s="375">
        <f t="shared" ca="1" si="11"/>
        <v>0</v>
      </c>
    </row>
    <row r="54" spans="1:40" x14ac:dyDescent="0.2">
      <c r="A54" s="6" t="s">
        <v>6</v>
      </c>
      <c r="B54" s="7"/>
      <c r="F54" s="136"/>
      <c r="H54" s="10" t="s">
        <v>473</v>
      </c>
      <c r="I54" s="25" t="e">
        <f ca="1">_xll.EVPRO($B$1,$H54,"STYLE")</f>
        <v>#NAME?</v>
      </c>
      <c r="J54" s="25" t="e">
        <f ca="1">_xll.EVPRO($B$1,$H54,"CALC")</f>
        <v>#NAME?</v>
      </c>
      <c r="K54" s="64" t="e">
        <f t="shared" ca="1" si="4"/>
        <v>#NAME?</v>
      </c>
      <c r="L54" s="24" t="e">
        <f ca="1">_xll.EVPRO($B$1,H54,"JDEID")</f>
        <v>#NAME?</v>
      </c>
      <c r="M54" s="24" t="e">
        <f ca="1">IF(AND(I54="N",J54="N"),_xll.EVPRO($B$1,H54,"PSFTID"),"")</f>
        <v>#NAME?</v>
      </c>
      <c r="N54" s="24" t="e">
        <f ca="1">IF(_xll.EVDES(H54,$B$1)="#NODATA","",_xll.EVDES(H54,$B$1))</f>
        <v>#NAME?</v>
      </c>
      <c r="O54" s="295"/>
      <c r="P54" s="296"/>
      <c r="Q54" s="296"/>
      <c r="R54" s="296"/>
      <c r="S54" s="296"/>
      <c r="T54" s="296"/>
      <c r="U54" s="296"/>
      <c r="V54" s="296"/>
      <c r="W54" s="296"/>
      <c r="X54" s="296"/>
      <c r="Y54" s="296"/>
      <c r="Z54" s="296"/>
      <c r="AA54" s="296" t="e">
        <f t="shared" ca="1" si="0"/>
        <v>#NAME?</v>
      </c>
      <c r="AB54" s="297" t="e">
        <f t="shared" ca="1" si="1"/>
        <v>#NAME?</v>
      </c>
      <c r="AC54" s="263"/>
      <c r="AD54" s="296"/>
      <c r="AE54" s="297" t="str">
        <f t="shared" si="2"/>
        <v/>
      </c>
      <c r="AF54" s="298" t="e">
        <f t="shared" ca="1" si="3"/>
        <v>#NAME?</v>
      </c>
      <c r="AG54" s="296"/>
      <c r="AH54" s="297" t="str">
        <f t="shared" si="5"/>
        <v/>
      </c>
      <c r="AI54" s="299" t="e">
        <f t="shared" ca="1" si="6"/>
        <v>#NAME?</v>
      </c>
      <c r="AJ54" s="381">
        <f t="shared" ca="1" si="7"/>
        <v>0</v>
      </c>
      <c r="AK54" s="382">
        <f t="shared" ca="1" si="8"/>
        <v>0</v>
      </c>
      <c r="AL54" s="383">
        <f t="shared" ca="1" si="9"/>
        <v>0</v>
      </c>
      <c r="AM54" s="384">
        <f t="shared" ca="1" si="10"/>
        <v>0</v>
      </c>
      <c r="AN54" s="385">
        <f t="shared" ca="1" si="11"/>
        <v>0</v>
      </c>
    </row>
    <row r="55" spans="1:40" x14ac:dyDescent="0.2">
      <c r="A55" s="6" t="s">
        <v>7</v>
      </c>
      <c r="B55" s="7" t="e">
        <f ca="1">_xll.EVRNG(A69:F77)</f>
        <v>#NAME?</v>
      </c>
      <c r="F55" s="136"/>
      <c r="H55" s="10" t="s">
        <v>277</v>
      </c>
      <c r="I55" s="447" t="e">
        <f ca="1">_xll.EVPRO($B$1,$H55,"STYLE")</f>
        <v>#NAME?</v>
      </c>
      <c r="J55" s="447" t="e">
        <f ca="1">_xll.EVPRO($B$1,$H55,"CALC")</f>
        <v>#NAME?</v>
      </c>
      <c r="K55" s="448" t="e">
        <f t="shared" ca="1" si="4"/>
        <v>#NAME?</v>
      </c>
      <c r="L55" s="151" t="e">
        <f ca="1">_xll.EVPRO($B$1,H55,"JDEID")</f>
        <v>#NAME?</v>
      </c>
      <c r="M55" s="151" t="e">
        <f ca="1">IF(AND(I55="N",J55="N"),_xll.EVPRO($B$1,H55,"PSFTID"),"")</f>
        <v>#NAME?</v>
      </c>
      <c r="N55" s="151" t="e">
        <f ca="1">IF(_xll.EVDES(H55,$B$1)="#NODATA","",_xll.EVDES(H55,$B$1))</f>
        <v>#NAME?</v>
      </c>
      <c r="O55" s="203">
        <v>3802.85</v>
      </c>
      <c r="P55" s="33"/>
      <c r="Q55" s="33"/>
      <c r="R55" s="33"/>
      <c r="S55" s="33"/>
      <c r="T55" s="33"/>
      <c r="U55" s="33"/>
      <c r="V55" s="33"/>
      <c r="W55" s="33"/>
      <c r="X55" s="33"/>
      <c r="Y55" s="33"/>
      <c r="Z55" s="33"/>
      <c r="AA55" s="33" t="e">
        <f t="shared" ca="1" si="0"/>
        <v>#NAME?</v>
      </c>
      <c r="AB55" s="34" t="e">
        <f t="shared" ca="1" si="1"/>
        <v>#NAME?</v>
      </c>
      <c r="AC55" s="32"/>
      <c r="AD55" s="33"/>
      <c r="AE55" s="34" t="str">
        <f t="shared" si="2"/>
        <v/>
      </c>
      <c r="AF55" s="54" t="e">
        <f t="shared" ca="1" si="3"/>
        <v>#NAME?</v>
      </c>
      <c r="AG55" s="33">
        <v>149228.88</v>
      </c>
      <c r="AH55" s="34" t="str">
        <f t="shared" ca="1" si="5"/>
        <v/>
      </c>
      <c r="AI55" s="265" t="e">
        <f t="shared" ca="1" si="6"/>
        <v>#NAME?</v>
      </c>
      <c r="AJ55" s="344">
        <f t="shared" ca="1" si="7"/>
        <v>0</v>
      </c>
      <c r="AK55" s="345">
        <f t="shared" ca="1" si="8"/>
        <v>0</v>
      </c>
      <c r="AL55" s="347">
        <f t="shared" ca="1" si="9"/>
        <v>0</v>
      </c>
      <c r="AM55" s="379">
        <f t="shared" ca="1" si="10"/>
        <v>0</v>
      </c>
      <c r="AN55" s="380">
        <f t="shared" ca="1" si="11"/>
        <v>0</v>
      </c>
    </row>
    <row r="56" spans="1:40" x14ac:dyDescent="0.2">
      <c r="A56" s="6" t="s">
        <v>47</v>
      </c>
      <c r="B56" s="7" t="e">
        <f ca="1">_xll.EVRNG($A$125:$B$130)</f>
        <v>#NAME?</v>
      </c>
      <c r="H56" s="10" t="s">
        <v>280</v>
      </c>
      <c r="I56" s="447" t="e">
        <f ca="1">_xll.EVPRO($B$1,$H56,"STYLE")</f>
        <v>#NAME?</v>
      </c>
      <c r="J56" s="447" t="e">
        <f ca="1">_xll.EVPRO($B$1,$H56,"CALC")</f>
        <v>#NAME?</v>
      </c>
      <c r="K56" s="448" t="e">
        <f t="shared" ca="1" si="4"/>
        <v>#NAME?</v>
      </c>
      <c r="L56" s="151" t="e">
        <f ca="1">_xll.EVPRO($B$1,H56,"JDEID")</f>
        <v>#NAME?</v>
      </c>
      <c r="M56" s="151" t="e">
        <f ca="1">IF(AND(I56="N",J56="N"),_xll.EVPRO($B$1,H56,"PSFTID"),"")</f>
        <v>#NAME?</v>
      </c>
      <c r="N56" s="151" t="e">
        <f ca="1">IF(_xll.EVDES(H56,$B$1)="#NODATA","",_xll.EVDES(H56,$B$1))</f>
        <v>#NAME?</v>
      </c>
      <c r="O56" s="202">
        <v>12080.06</v>
      </c>
      <c r="P56" s="120"/>
      <c r="Q56" s="120"/>
      <c r="R56" s="120"/>
      <c r="S56" s="120"/>
      <c r="T56" s="120"/>
      <c r="U56" s="120"/>
      <c r="V56" s="120"/>
      <c r="W56" s="120"/>
      <c r="X56" s="120"/>
      <c r="Y56" s="120"/>
      <c r="Z56" s="120"/>
      <c r="AA56" s="120" t="e">
        <f t="shared" ca="1" si="0"/>
        <v>#NAME?</v>
      </c>
      <c r="AB56" s="121" t="e">
        <f t="shared" ca="1" si="1"/>
        <v>#NAME?</v>
      </c>
      <c r="AC56" s="123"/>
      <c r="AD56" s="120"/>
      <c r="AE56" s="121" t="str">
        <f t="shared" si="2"/>
        <v/>
      </c>
      <c r="AF56" s="122" t="e">
        <f t="shared" ca="1" si="3"/>
        <v>#NAME?</v>
      </c>
      <c r="AG56" s="120">
        <v>423665.85</v>
      </c>
      <c r="AH56" s="121" t="str">
        <f t="shared" ca="1" si="5"/>
        <v/>
      </c>
      <c r="AI56" s="264" t="e">
        <f t="shared" ca="1" si="6"/>
        <v>#NAME?</v>
      </c>
      <c r="AJ56" s="332">
        <f t="shared" ca="1" si="7"/>
        <v>0</v>
      </c>
      <c r="AK56" s="333">
        <f t="shared" ca="1" si="8"/>
        <v>0</v>
      </c>
      <c r="AL56" s="335">
        <f t="shared" ca="1" si="9"/>
        <v>0</v>
      </c>
      <c r="AM56" s="377">
        <f t="shared" ca="1" si="10"/>
        <v>0</v>
      </c>
      <c r="AN56" s="378">
        <f t="shared" ca="1" si="11"/>
        <v>0</v>
      </c>
    </row>
    <row r="57" spans="1:40" x14ac:dyDescent="0.2">
      <c r="A57" s="6" t="s">
        <v>8</v>
      </c>
      <c r="B57" s="7"/>
      <c r="O57" s="144"/>
      <c r="P57" s="147"/>
      <c r="Q57" s="147"/>
      <c r="R57" s="147"/>
      <c r="S57" s="147"/>
      <c r="T57" s="147"/>
      <c r="U57" s="147"/>
      <c r="V57" s="147"/>
      <c r="W57" s="147"/>
      <c r="X57" s="147"/>
      <c r="Y57" s="147"/>
      <c r="Z57" s="147"/>
      <c r="AA57" s="147"/>
      <c r="AB57" s="51"/>
      <c r="AD57" s="50"/>
      <c r="AF57" s="51"/>
      <c r="AI57" s="51"/>
    </row>
    <row r="58" spans="1:40" x14ac:dyDescent="0.2">
      <c r="G58" s="13"/>
      <c r="H58" s="1" t="s">
        <v>281</v>
      </c>
      <c r="I58" s="11" t="e">
        <f ca="1">_xll.EVPRO($B$1,$H58,"STYLE")</f>
        <v>#NAME?</v>
      </c>
      <c r="J58" s="11" t="e">
        <f ca="1">_xll.EVPRO($B$1,$H58,"CALC")</f>
        <v>#NAME?</v>
      </c>
      <c r="N58" s="37" t="e">
        <f ca="1">IF(_xll.EVDES(H58,$B$1)="#NODATA","",_xll.EVDES(H58,$B$1))</f>
        <v>#NAME?</v>
      </c>
      <c r="O58" s="50"/>
      <c r="AB58" s="149"/>
      <c r="AD58" s="148"/>
      <c r="AE58" s="150"/>
      <c r="AF58" s="51"/>
      <c r="AH58" s="150"/>
      <c r="AI58" s="51"/>
    </row>
    <row r="59" spans="1:40" x14ac:dyDescent="0.2">
      <c r="A59" s="3" t="s">
        <v>9</v>
      </c>
      <c r="B59" s="5" t="s">
        <v>10</v>
      </c>
      <c r="H59" s="1" t="s">
        <v>284</v>
      </c>
      <c r="I59" s="11" t="e">
        <f ca="1">_xll.EVPRO($B$1,$H59,"STYLE")</f>
        <v>#NAME?</v>
      </c>
      <c r="J59" s="11" t="e">
        <f ca="1">_xll.EVPRO($B$1,$H59,"CALC")</f>
        <v>#NAME?</v>
      </c>
      <c r="N59" s="8" t="e">
        <f ca="1">IF(_xll.EVDES(H59,$B$1)="#NODATA","",_xll.EVDES(H59,$B$1))</f>
        <v>#NAME?</v>
      </c>
      <c r="O59" s="50"/>
      <c r="AB59" s="51"/>
      <c r="AD59" s="50"/>
      <c r="AF59" s="51"/>
      <c r="AI59" s="51"/>
    </row>
    <row r="60" spans="1:40" x14ac:dyDescent="0.2">
      <c r="A60" s="6" t="s">
        <v>11</v>
      </c>
      <c r="B60" s="7" t="s">
        <v>21</v>
      </c>
      <c r="H60" s="10" t="s">
        <v>285</v>
      </c>
      <c r="I60" s="25" t="e">
        <f ca="1">_xll.EVPRO($B$1,$H60,"STYLE")</f>
        <v>#NAME?</v>
      </c>
      <c r="J60" s="25" t="e">
        <f ca="1">_xll.EVPRO($B$1,$H60,"CALC")</f>
        <v>#NAME?</v>
      </c>
      <c r="K60" s="64" t="e">
        <f ca="1">IF(AND(I60&gt;="T5"),"&gt;","")</f>
        <v>#NAME?</v>
      </c>
      <c r="L60" s="24" t="e">
        <f ca="1">_xll.EVPRO($B$1,H60,"JDEID")</f>
        <v>#NAME?</v>
      </c>
      <c r="M60" s="24" t="e">
        <f ca="1">IF(AND(I60="N",J60="N"),_xll.EVPRO($B$1,H60,"PSFTID"),"")</f>
        <v>#NAME?</v>
      </c>
      <c r="N60" s="24" t="e">
        <f ca="1">IF(_xll.EVDES(H60,$B$1)="#NODATA","",_xll.EVDES(H60,$B$1))</f>
        <v>#NAME?</v>
      </c>
      <c r="O60" s="304">
        <v>1688.51</v>
      </c>
      <c r="P60" s="305"/>
      <c r="Q60" s="305"/>
      <c r="R60" s="305"/>
      <c r="S60" s="305"/>
      <c r="T60" s="305"/>
      <c r="U60" s="305"/>
      <c r="V60" s="305"/>
      <c r="W60" s="305"/>
      <c r="X60" s="305"/>
      <c r="Y60" s="305"/>
      <c r="Z60" s="305"/>
      <c r="AA60" s="283" t="e">
        <f t="shared" ref="AA60:AA68" ca="1" si="12">IF($I60="B1","",SUM(O60:Z60))</f>
        <v>#NAME?</v>
      </c>
      <c r="AB60" s="306" t="e">
        <f ca="1">IF(AA60=0,"",IFERROR(AA60/_xll.EVGTS($B$1,1,_xll.EVPRO($B$1,$H60,"COSBASIS"),$B$3,$B$5,$B$6,$B$7,$B$9,AA$16,AA$17,AA$11),""))</f>
        <v>#NAME?</v>
      </c>
      <c r="AC60" s="263"/>
      <c r="AD60" s="305"/>
      <c r="AE60" s="306" t="str">
        <f>IF(AD60=0,"",IFERROR(AD60/_xll.EVGTS($B$1,1,_xll.EVPRO($B$1,$H60,"COSBASIS"),$B$3,$B$5,$B$6,$B$7,$B$9,AD$16,AD$17,AD$18),""))</f>
        <v/>
      </c>
      <c r="AF60" s="307" t="e">
        <f t="shared" ref="AF60:AF68" ca="1" si="13">IF(AND($AA60="",AD60=""),"",$AA60-AD60)</f>
        <v>#NAME?</v>
      </c>
      <c r="AG60" s="305">
        <v>49249.19</v>
      </c>
      <c r="AH60" s="306" t="str">
        <f ca="1">IF(AG60=0,"",IFERROR(AG60/_xll.EVGTS($B$1,1,_xll.EVPRO($B$1,$H60,"COSBASIS"),$B$3,$B$5,$B$6,$B$7,$B$9,AG$16,AG$17,AG$18),""))</f>
        <v/>
      </c>
      <c r="AI60" s="308" t="e">
        <f ca="1">IF(AND($AA60="",AG60=""),"",$AA60-AG60)</f>
        <v>#NAME?</v>
      </c>
      <c r="AJ60" s="371">
        <f ca="1">IFERROR(AA60/AA$20,0)</f>
        <v>0</v>
      </c>
      <c r="AK60" s="372">
        <f ca="1">IFERROR(AD60/AD$20,0)</f>
        <v>0</v>
      </c>
      <c r="AL60" s="373">
        <f ca="1">IFERROR(AG60/AG$20,0)</f>
        <v>0</v>
      </c>
      <c r="AM60" s="374">
        <f ca="1">+IFERROR(ROUND(($AB60-AE60)*100,2)&amp;" pts.",0)</f>
        <v>0</v>
      </c>
      <c r="AN60" s="375">
        <f ca="1">+IFERROR(ROUND(($AB60-AH60)*100,2)&amp;" pts.",0)</f>
        <v>0</v>
      </c>
    </row>
    <row r="61" spans="1:40" x14ac:dyDescent="0.2">
      <c r="A61" s="6" t="s">
        <v>12</v>
      </c>
      <c r="B61" s="7" t="s">
        <v>22</v>
      </c>
      <c r="H61" s="10" t="s">
        <v>636</v>
      </c>
      <c r="I61" s="25" t="e">
        <f ca="1">_xll.EVPRO($B$1,$H61,"STYLE")</f>
        <v>#NAME?</v>
      </c>
      <c r="J61" s="25" t="e">
        <f ca="1">_xll.EVPRO($B$1,$H61,"CALC")</f>
        <v>#NAME?</v>
      </c>
      <c r="K61" s="64" t="e">
        <f t="shared" ref="K61:K68" ca="1" si="14">IF(AND(I61&gt;="T5"),"&gt;","")</f>
        <v>#NAME?</v>
      </c>
      <c r="L61" s="24" t="e">
        <f ca="1">_xll.EVPRO($B$1,H61,"JDEID")</f>
        <v>#NAME?</v>
      </c>
      <c r="M61" s="24" t="e">
        <f ca="1">IF(AND(I61="N",J61="N"),_xll.EVPRO($B$1,H61,"PSFTID"),"")</f>
        <v>#NAME?</v>
      </c>
      <c r="N61" s="24" t="e">
        <f ca="1">IF(_xll.EVDES(H61,$B$1)="#NODATA","",_xll.EVDES(H61,$B$1))</f>
        <v>#NAME?</v>
      </c>
      <c r="O61" s="295"/>
      <c r="P61" s="296"/>
      <c r="Q61" s="296"/>
      <c r="R61" s="296"/>
      <c r="S61" s="296"/>
      <c r="T61" s="296"/>
      <c r="U61" s="296"/>
      <c r="V61" s="296"/>
      <c r="W61" s="296"/>
      <c r="X61" s="296"/>
      <c r="Y61" s="296"/>
      <c r="Z61" s="296"/>
      <c r="AA61" s="296" t="e">
        <f t="shared" ca="1" si="12"/>
        <v>#NAME?</v>
      </c>
      <c r="AB61" s="297" t="e">
        <f ca="1">IF(AA61=0,"",IFERROR(AA61/_xll.EVGTS($B$1,1,_xll.EVPRO($B$1,$H61,"COSBASIS"),$B$3,$B$5,$B$6,$B$7,$B$9,AA$16,AA$17,AA$11),""))</f>
        <v>#NAME?</v>
      </c>
      <c r="AC61" s="263"/>
      <c r="AD61" s="296"/>
      <c r="AE61" s="297" t="str">
        <f>IF(AD61=0,"",IFERROR(AD61/_xll.EVGTS($B$1,1,_xll.EVPRO($B$1,$H61,"COSBASIS"),$B$3,$B$5,$B$6,$B$7,$B$9,AD$16,AD$17,AD$18),""))</f>
        <v/>
      </c>
      <c r="AF61" s="298" t="e">
        <f t="shared" ca="1" si="13"/>
        <v>#NAME?</v>
      </c>
      <c r="AG61" s="296">
        <v>6040.4</v>
      </c>
      <c r="AH61" s="297" t="str">
        <f ca="1">IF(AG61=0,"",IFERROR(AG61/_xll.EVGTS($B$1,1,_xll.EVPRO($B$1,$H61,"COSBASIS"),$B$3,$B$5,$B$6,$B$7,$B$9,AG$16,AG$17,AG$18),""))</f>
        <v/>
      </c>
      <c r="AI61" s="299" t="e">
        <f t="shared" ref="AI61:AI68" ca="1" si="15">IF(AND($AA61="",AG61=""),"",$AA61-AG61)</f>
        <v>#NAME?</v>
      </c>
      <c r="AJ61" s="381">
        <f t="shared" ref="AJ61:AJ68" ca="1" si="16">IFERROR(AA61/AA$20,0)</f>
        <v>0</v>
      </c>
      <c r="AK61" s="382">
        <f t="shared" ref="AK61:AK68" ca="1" si="17">IFERROR(AD61/AD$20,0)</f>
        <v>0</v>
      </c>
      <c r="AL61" s="383">
        <f t="shared" ref="AL61:AL68" ca="1" si="18">IFERROR(AG61/AG$20,0)</f>
        <v>0</v>
      </c>
      <c r="AM61" s="384">
        <f t="shared" ref="AM61:AM68" ca="1" si="19">+IFERROR(ROUND(($AB61-AE61)*100,2)&amp;" pts.",0)</f>
        <v>0</v>
      </c>
      <c r="AN61" s="385">
        <f t="shared" ref="AN61:AN68" ca="1" si="20">+IFERROR(ROUND(($AB61-AH61)*100,2)&amp;" pts.",0)</f>
        <v>0</v>
      </c>
    </row>
    <row r="62" spans="1:40" x14ac:dyDescent="0.2">
      <c r="A62" s="6" t="s">
        <v>13</v>
      </c>
      <c r="B62" s="7" t="e">
        <f ca="1">"DEP(COS_FB) AND "&amp;$E$6&amp;"=Y,COS_FB,COSOTH,DEP(COS_OTHR) AND "&amp;$E$6&amp;"=Y,COS_OTHR,500001"</f>
        <v>#NAME?</v>
      </c>
      <c r="H62" s="10" t="s">
        <v>286</v>
      </c>
      <c r="I62" s="447" t="e">
        <f ca="1">_xll.EVPRO($B$1,$H62,"STYLE")</f>
        <v>#NAME?</v>
      </c>
      <c r="J62" s="447" t="e">
        <f ca="1">_xll.EVPRO($B$1,$H62,"CALC")</f>
        <v>#NAME?</v>
      </c>
      <c r="K62" s="448" t="e">
        <f t="shared" ca="1" si="14"/>
        <v>#NAME?</v>
      </c>
      <c r="L62" s="151" t="e">
        <f ca="1">_xll.EVPRO($B$1,H62,"JDEID")</f>
        <v>#NAME?</v>
      </c>
      <c r="M62" s="151" t="e">
        <f ca="1">IF(AND(I62="N",J62="N"),_xll.EVPRO($B$1,H62,"PSFTID"),"")</f>
        <v>#NAME?</v>
      </c>
      <c r="N62" s="151" t="e">
        <f ca="1">IF(_xll.EVDES(H62,$B$1)="#NODATA","",_xll.EVDES(H62,$B$1))</f>
        <v>#NAME?</v>
      </c>
      <c r="O62" s="202">
        <v>1688.51</v>
      </c>
      <c r="P62" s="120"/>
      <c r="Q62" s="120"/>
      <c r="R62" s="120"/>
      <c r="S62" s="120"/>
      <c r="T62" s="120"/>
      <c r="U62" s="120"/>
      <c r="V62" s="120"/>
      <c r="W62" s="120"/>
      <c r="X62" s="120"/>
      <c r="Y62" s="120"/>
      <c r="Z62" s="120"/>
      <c r="AA62" s="120" t="e">
        <f t="shared" ca="1" si="12"/>
        <v>#NAME?</v>
      </c>
      <c r="AB62" s="121" t="e">
        <f ca="1">IF(AA62=0,"",IFERROR(AA62/_xll.EVGTS($B$1,1,_xll.EVPRO($B$1,$H62,"COSBASIS"),$B$3,$B$5,$B$6,$B$7,$B$9,AA$16,AA$17,AA$11),""))</f>
        <v>#NAME?</v>
      </c>
      <c r="AC62" s="123"/>
      <c r="AD62" s="120"/>
      <c r="AE62" s="121" t="str">
        <f>IF(AD62=0,"",IFERROR(AD62/_xll.EVGTS($B$1,1,_xll.EVPRO($B$1,$H62,"COSBASIS"),$B$3,$B$5,$B$6,$B$7,$B$9,AD$16,AD$17,AD$18),""))</f>
        <v/>
      </c>
      <c r="AF62" s="122" t="e">
        <f t="shared" ca="1" si="13"/>
        <v>#NAME?</v>
      </c>
      <c r="AG62" s="120">
        <v>55289.59</v>
      </c>
      <c r="AH62" s="121" t="str">
        <f ca="1">IF(AG62=0,"",IFERROR(AG62/_xll.EVGTS($B$1,1,_xll.EVPRO($B$1,$H62,"COSBASIS"),$B$3,$B$5,$B$6,$B$7,$B$9,AG$16,AG$17,AG$18),""))</f>
        <v/>
      </c>
      <c r="AI62" s="264" t="e">
        <f t="shared" ca="1" si="15"/>
        <v>#NAME?</v>
      </c>
      <c r="AJ62" s="332">
        <f t="shared" ca="1" si="16"/>
        <v>0</v>
      </c>
      <c r="AK62" s="333">
        <f t="shared" ca="1" si="17"/>
        <v>0</v>
      </c>
      <c r="AL62" s="335">
        <f t="shared" ca="1" si="18"/>
        <v>0</v>
      </c>
      <c r="AM62" s="377">
        <f t="shared" ca="1" si="19"/>
        <v>0</v>
      </c>
      <c r="AN62" s="378">
        <f t="shared" ca="1" si="20"/>
        <v>0</v>
      </c>
    </row>
    <row r="63" spans="1:40" x14ac:dyDescent="0.2">
      <c r="A63" s="6" t="s">
        <v>14</v>
      </c>
      <c r="B63" s="7"/>
      <c r="H63" s="10" t="s">
        <v>287</v>
      </c>
      <c r="I63" s="447" t="e">
        <f ca="1">_xll.EVPRO($B$1,$H63,"STYLE")</f>
        <v>#NAME?</v>
      </c>
      <c r="J63" s="447" t="e">
        <f ca="1">_xll.EVPRO($B$1,$H63,"CALC")</f>
        <v>#NAME?</v>
      </c>
      <c r="K63" s="448" t="e">
        <f t="shared" ca="1" si="14"/>
        <v>#NAME?</v>
      </c>
      <c r="L63" s="151" t="e">
        <f ca="1">_xll.EVPRO($B$1,H63,"JDEID")</f>
        <v>#NAME?</v>
      </c>
      <c r="M63" s="151" t="e">
        <f ca="1">IF(AND(I63="N",J63="N"),_xll.EVPRO($B$1,H63,"PSFTID"),"")</f>
        <v>#NAME?</v>
      </c>
      <c r="N63" s="151" t="e">
        <f ca="1">IF(_xll.EVDES(H63,$B$1)="#NODATA","",_xll.EVDES(H63,$B$1))</f>
        <v>#NAME?</v>
      </c>
      <c r="O63" s="309"/>
      <c r="P63" s="35"/>
      <c r="Q63" s="35"/>
      <c r="R63" s="35"/>
      <c r="S63" s="35"/>
      <c r="T63" s="35"/>
      <c r="U63" s="35"/>
      <c r="V63" s="35"/>
      <c r="W63" s="35"/>
      <c r="X63" s="35"/>
      <c r="Y63" s="35"/>
      <c r="Z63" s="35"/>
      <c r="AA63" s="288" t="e">
        <f t="shared" ca="1" si="12"/>
        <v>#NAME?</v>
      </c>
      <c r="AB63" s="36" t="e">
        <f ca="1">IF(AA63=0,"",IFERROR(AA63/_xll.EVGTS($B$1,1,_xll.EVPRO($B$1,$H63,"COSBASIS"),$B$3,$B$5,$B$6,$B$7,$B$9,AA$16,AA$17,AA$11),""))</f>
        <v>#NAME?</v>
      </c>
      <c r="AD63" s="35"/>
      <c r="AE63" s="36" t="str">
        <f>IF(AD63=0,"",IFERROR(AD63/_xll.EVGTS($B$1,1,_xll.EVPRO($B$1,$H63,"COSBASIS"),$B$3,$B$5,$B$6,$B$7,$B$9,AD$16,AD$17,AD$18),""))</f>
        <v/>
      </c>
      <c r="AF63" s="118" t="e">
        <f t="shared" ca="1" si="13"/>
        <v>#NAME?</v>
      </c>
      <c r="AG63" s="35"/>
      <c r="AH63" s="36" t="str">
        <f>IF(AG63=0,"",IFERROR(AG63/_xll.EVGTS($B$1,1,_xll.EVPRO($B$1,$H63,"COSBASIS"),$B$3,$B$5,$B$6,$B$7,$B$9,AG$16,AG$17,AG$18),""))</f>
        <v/>
      </c>
      <c r="AI63" s="310" t="e">
        <f t="shared" ca="1" si="15"/>
        <v>#NAME?</v>
      </c>
      <c r="AJ63" s="325">
        <f t="shared" ca="1" si="16"/>
        <v>0</v>
      </c>
      <c r="AK63" s="326">
        <f t="shared" ca="1" si="17"/>
        <v>0</v>
      </c>
      <c r="AL63" s="328">
        <f t="shared" ca="1" si="18"/>
        <v>0</v>
      </c>
      <c r="AM63" s="362">
        <f t="shared" ca="1" si="19"/>
        <v>0</v>
      </c>
      <c r="AN63" s="376">
        <f t="shared" ca="1" si="20"/>
        <v>0</v>
      </c>
    </row>
    <row r="64" spans="1:40" x14ac:dyDescent="0.2">
      <c r="A64" s="6" t="s">
        <v>15</v>
      </c>
      <c r="B64" s="7"/>
      <c r="H64" s="10" t="s">
        <v>637</v>
      </c>
      <c r="I64" s="25" t="e">
        <f ca="1">_xll.EVPRO($B$1,$H64,"STYLE")</f>
        <v>#NAME?</v>
      </c>
      <c r="J64" s="25" t="e">
        <f ca="1">_xll.EVPRO($B$1,$H64,"CALC")</f>
        <v>#NAME?</v>
      </c>
      <c r="K64" s="64" t="e">
        <f t="shared" ca="1" si="14"/>
        <v>#NAME?</v>
      </c>
      <c r="L64" s="24" t="e">
        <f ca="1">_xll.EVPRO($B$1,H64,"JDEID")</f>
        <v>#NAME?</v>
      </c>
      <c r="M64" s="24" t="e">
        <f ca="1">IF(AND(I64="N",J64="N"),_xll.EVPRO($B$1,H64,"PSFTID"),"")</f>
        <v>#NAME?</v>
      </c>
      <c r="N64" s="24" t="e">
        <f ca="1">IF(_xll.EVDES(H64,$B$1)="#NODATA","",_xll.EVDES(H64,$B$1))</f>
        <v>#NAME?</v>
      </c>
      <c r="O64" s="304"/>
      <c r="P64" s="305"/>
      <c r="Q64" s="305"/>
      <c r="R64" s="305"/>
      <c r="S64" s="305"/>
      <c r="T64" s="305"/>
      <c r="U64" s="305"/>
      <c r="V64" s="305"/>
      <c r="W64" s="305"/>
      <c r="X64" s="305"/>
      <c r="Y64" s="305"/>
      <c r="Z64" s="305"/>
      <c r="AA64" s="283" t="e">
        <f t="shared" ca="1" si="12"/>
        <v>#NAME?</v>
      </c>
      <c r="AB64" s="306" t="e">
        <f ca="1">IF(AA64=0,"",IFERROR(AA64/_xll.EVGTS($B$1,1,_xll.EVPRO($B$1,$H64,"COSBASIS"),$B$3,$B$5,$B$6,$B$7,$B$9,AA$16,AA$17,AA$11),""))</f>
        <v>#NAME?</v>
      </c>
      <c r="AC64" s="263"/>
      <c r="AD64" s="305"/>
      <c r="AE64" s="306" t="str">
        <f>IF(AD64=0,"",IFERROR(AD64/_xll.EVGTS($B$1,1,_xll.EVPRO($B$1,$H64,"COSBASIS"),$B$3,$B$5,$B$6,$B$7,$B$9,AD$16,AD$17,AD$18),""))</f>
        <v/>
      </c>
      <c r="AF64" s="307" t="e">
        <f t="shared" ca="1" si="13"/>
        <v>#NAME?</v>
      </c>
      <c r="AG64" s="305"/>
      <c r="AH64" s="306" t="str">
        <f>IF(AG64=0,"",IFERROR(AG64/_xll.EVGTS($B$1,1,_xll.EVPRO($B$1,$H64,"COSBASIS"),$B$3,$B$5,$B$6,$B$7,$B$9,AG$16,AG$17,AG$18),""))</f>
        <v/>
      </c>
      <c r="AI64" s="308" t="e">
        <f t="shared" ca="1" si="15"/>
        <v>#NAME?</v>
      </c>
      <c r="AJ64" s="371">
        <f t="shared" ca="1" si="16"/>
        <v>0</v>
      </c>
      <c r="AK64" s="372">
        <f t="shared" ca="1" si="17"/>
        <v>0</v>
      </c>
      <c r="AL64" s="373">
        <f t="shared" ca="1" si="18"/>
        <v>0</v>
      </c>
      <c r="AM64" s="374">
        <f t="shared" ca="1" si="19"/>
        <v>0</v>
      </c>
      <c r="AN64" s="375">
        <f t="shared" ca="1" si="20"/>
        <v>0</v>
      </c>
    </row>
    <row r="65" spans="1:40" x14ac:dyDescent="0.2">
      <c r="A65" s="6" t="s">
        <v>16</v>
      </c>
      <c r="B65" s="7"/>
      <c r="H65" s="10" t="s">
        <v>638</v>
      </c>
      <c r="I65" s="25" t="e">
        <f ca="1">_xll.EVPRO($B$1,$H65,"STYLE")</f>
        <v>#NAME?</v>
      </c>
      <c r="J65" s="25" t="e">
        <f ca="1">_xll.EVPRO($B$1,$H65,"CALC")</f>
        <v>#NAME?</v>
      </c>
      <c r="K65" s="64" t="e">
        <f t="shared" ca="1" si="14"/>
        <v>#NAME?</v>
      </c>
      <c r="L65" s="24" t="e">
        <f ca="1">_xll.EVPRO($B$1,H65,"JDEID")</f>
        <v>#NAME?</v>
      </c>
      <c r="M65" s="24" t="e">
        <f ca="1">IF(AND(I65="N",J65="N"),_xll.EVPRO($B$1,H65,"PSFTID"),"")</f>
        <v>#NAME?</v>
      </c>
      <c r="N65" s="24" t="e">
        <f ca="1">IF(_xll.EVDES(H65,$B$1)="#NODATA","",_xll.EVDES(H65,$B$1))</f>
        <v>#NAME?</v>
      </c>
      <c r="O65" s="304"/>
      <c r="P65" s="305"/>
      <c r="Q65" s="305"/>
      <c r="R65" s="305"/>
      <c r="S65" s="305"/>
      <c r="T65" s="305"/>
      <c r="U65" s="305"/>
      <c r="V65" s="305"/>
      <c r="W65" s="305"/>
      <c r="X65" s="305"/>
      <c r="Y65" s="305"/>
      <c r="Z65" s="305"/>
      <c r="AA65" s="283" t="e">
        <f t="shared" ca="1" si="12"/>
        <v>#NAME?</v>
      </c>
      <c r="AB65" s="306" t="e">
        <f ca="1">IF(AA65=0,"",IFERROR(AA65/_xll.EVGTS($B$1,1,_xll.EVPRO($B$1,$H65,"COSBASIS"),$B$3,$B$5,$B$6,$B$7,$B$9,AA$16,AA$17,AA$11),""))</f>
        <v>#NAME?</v>
      </c>
      <c r="AC65" s="263"/>
      <c r="AD65" s="305"/>
      <c r="AE65" s="306" t="str">
        <f>IF(AD65=0,"",IFERROR(AD65/_xll.EVGTS($B$1,1,_xll.EVPRO($B$1,$H65,"COSBASIS"),$B$3,$B$5,$B$6,$B$7,$B$9,AD$16,AD$17,AD$18),""))</f>
        <v/>
      </c>
      <c r="AF65" s="307" t="e">
        <f t="shared" ca="1" si="13"/>
        <v>#NAME?</v>
      </c>
      <c r="AG65" s="305"/>
      <c r="AH65" s="306" t="str">
        <f>IF(AG65=0,"",IFERROR(AG65/_xll.EVGTS($B$1,1,_xll.EVPRO($B$1,$H65,"COSBASIS"),$B$3,$B$5,$B$6,$B$7,$B$9,AG$16,AG$17,AG$18),""))</f>
        <v/>
      </c>
      <c r="AI65" s="308" t="e">
        <f t="shared" ca="1" si="15"/>
        <v>#NAME?</v>
      </c>
      <c r="AJ65" s="371">
        <f t="shared" ca="1" si="16"/>
        <v>0</v>
      </c>
      <c r="AK65" s="372">
        <f t="shared" ca="1" si="17"/>
        <v>0</v>
      </c>
      <c r="AL65" s="373">
        <f t="shared" ca="1" si="18"/>
        <v>0</v>
      </c>
      <c r="AM65" s="374">
        <f t="shared" ca="1" si="19"/>
        <v>0</v>
      </c>
      <c r="AN65" s="375">
        <f t="shared" ca="1" si="20"/>
        <v>0</v>
      </c>
    </row>
    <row r="66" spans="1:40" x14ac:dyDescent="0.2">
      <c r="A66" s="6" t="s">
        <v>17</v>
      </c>
      <c r="B66" s="7"/>
      <c r="H66" s="10" t="s">
        <v>639</v>
      </c>
      <c r="I66" s="25" t="e">
        <f ca="1">_xll.EVPRO($B$1,$H66,"STYLE")</f>
        <v>#NAME?</v>
      </c>
      <c r="J66" s="25" t="e">
        <f ca="1">_xll.EVPRO($B$1,$H66,"CALC")</f>
        <v>#NAME?</v>
      </c>
      <c r="K66" s="64" t="e">
        <f t="shared" ca="1" si="14"/>
        <v>#NAME?</v>
      </c>
      <c r="L66" s="24" t="e">
        <f ca="1">_xll.EVPRO($B$1,H66,"JDEID")</f>
        <v>#NAME?</v>
      </c>
      <c r="M66" s="24" t="e">
        <f ca="1">IF(AND(I66="N",J66="N"),_xll.EVPRO($B$1,H66,"PSFTID"),"")</f>
        <v>#NAME?</v>
      </c>
      <c r="N66" s="24" t="e">
        <f ca="1">IF(_xll.EVDES(H66,$B$1)="#NODATA","",_xll.EVDES(H66,$B$1))</f>
        <v>#NAME?</v>
      </c>
      <c r="O66" s="295"/>
      <c r="P66" s="296"/>
      <c r="Q66" s="296"/>
      <c r="R66" s="296"/>
      <c r="S66" s="296"/>
      <c r="T66" s="296"/>
      <c r="U66" s="296"/>
      <c r="V66" s="296"/>
      <c r="W66" s="296"/>
      <c r="X66" s="296"/>
      <c r="Y66" s="296"/>
      <c r="Z66" s="296"/>
      <c r="AA66" s="296" t="e">
        <f t="shared" ca="1" si="12"/>
        <v>#NAME?</v>
      </c>
      <c r="AB66" s="297" t="e">
        <f ca="1">IF(AA66=0,"",IFERROR(AA66/_xll.EVGTS($B$1,1,_xll.EVPRO($B$1,$H66,"COSBASIS"),$B$3,$B$5,$B$6,$B$7,$B$9,AA$16,AA$17,AA$11),""))</f>
        <v>#NAME?</v>
      </c>
      <c r="AC66" s="263"/>
      <c r="AD66" s="296"/>
      <c r="AE66" s="297" t="str">
        <f>IF(AD66=0,"",IFERROR(AD66/_xll.EVGTS($B$1,1,_xll.EVPRO($B$1,$H66,"COSBASIS"),$B$3,$B$5,$B$6,$B$7,$B$9,AD$16,AD$17,AD$18),""))</f>
        <v/>
      </c>
      <c r="AF66" s="298" t="e">
        <f t="shared" ca="1" si="13"/>
        <v>#NAME?</v>
      </c>
      <c r="AG66" s="296"/>
      <c r="AH66" s="297" t="str">
        <f>IF(AG66=0,"",IFERROR(AG66/_xll.EVGTS($B$1,1,_xll.EVPRO($B$1,$H66,"COSBASIS"),$B$3,$B$5,$B$6,$B$7,$B$9,AG$16,AG$17,AG$18),""))</f>
        <v/>
      </c>
      <c r="AI66" s="299" t="e">
        <f t="shared" ca="1" si="15"/>
        <v>#NAME?</v>
      </c>
      <c r="AJ66" s="381">
        <f t="shared" ca="1" si="16"/>
        <v>0</v>
      </c>
      <c r="AK66" s="382">
        <f t="shared" ca="1" si="17"/>
        <v>0</v>
      </c>
      <c r="AL66" s="383">
        <f t="shared" ca="1" si="18"/>
        <v>0</v>
      </c>
      <c r="AM66" s="384">
        <f t="shared" ca="1" si="19"/>
        <v>0</v>
      </c>
      <c r="AN66" s="385">
        <f t="shared" ca="1" si="20"/>
        <v>0</v>
      </c>
    </row>
    <row r="67" spans="1:40" x14ac:dyDescent="0.2">
      <c r="H67" s="10" t="s">
        <v>288</v>
      </c>
      <c r="I67" s="447" t="e">
        <f ca="1">_xll.EVPRO($B$1,$H67,"STYLE")</f>
        <v>#NAME?</v>
      </c>
      <c r="J67" s="447" t="e">
        <f ca="1">_xll.EVPRO($B$1,$H67,"CALC")</f>
        <v>#NAME?</v>
      </c>
      <c r="K67" s="448" t="e">
        <f t="shared" ca="1" si="14"/>
        <v>#NAME?</v>
      </c>
      <c r="L67" s="151" t="e">
        <f ca="1">_xll.EVPRO($B$1,H67,"JDEID")</f>
        <v>#NAME?</v>
      </c>
      <c r="M67" s="151" t="e">
        <f ca="1">IF(AND(I67="N",J67="N"),_xll.EVPRO($B$1,H67,"PSFTID"),"")</f>
        <v>#NAME?</v>
      </c>
      <c r="N67" s="151" t="e">
        <f ca="1">IF(_xll.EVDES(H67,$B$1)="#NODATA","",_xll.EVDES(H67,$B$1))</f>
        <v>#NAME?</v>
      </c>
      <c r="O67" s="203"/>
      <c r="P67" s="33"/>
      <c r="Q67" s="33"/>
      <c r="R67" s="33"/>
      <c r="S67" s="33"/>
      <c r="T67" s="33"/>
      <c r="U67" s="33"/>
      <c r="V67" s="33"/>
      <c r="W67" s="33"/>
      <c r="X67" s="33"/>
      <c r="Y67" s="33"/>
      <c r="Z67" s="33"/>
      <c r="AA67" s="33" t="e">
        <f t="shared" ca="1" si="12"/>
        <v>#NAME?</v>
      </c>
      <c r="AB67" s="34" t="e">
        <f ca="1">IF(AA67=0,"",IFERROR(AA67/_xll.EVGTS($B$1,1,_xll.EVPRO($B$1,$H67,"COSBASIS"),$B$3,$B$5,$B$6,$B$7,$B$9,AA$16,AA$17,AA$11),""))</f>
        <v>#NAME?</v>
      </c>
      <c r="AC67" s="32"/>
      <c r="AD67" s="33"/>
      <c r="AE67" s="34" t="str">
        <f>IF(AD67=0,"",IFERROR(AD67/_xll.EVGTS($B$1,1,_xll.EVPRO($B$1,$H67,"COSBASIS"),$B$3,$B$5,$B$6,$B$7,$B$9,AD$16,AD$17,AD$18),""))</f>
        <v/>
      </c>
      <c r="AF67" s="54" t="e">
        <f t="shared" ca="1" si="13"/>
        <v>#NAME?</v>
      </c>
      <c r="AG67" s="33"/>
      <c r="AH67" s="34" t="str">
        <f>IF(AG67=0,"",IFERROR(AG67/_xll.EVGTS($B$1,1,_xll.EVPRO($B$1,$H67,"COSBASIS"),$B$3,$B$5,$B$6,$B$7,$B$9,AG$16,AG$17,AG$18),""))</f>
        <v/>
      </c>
      <c r="AI67" s="265" t="e">
        <f t="shared" ca="1" si="15"/>
        <v>#NAME?</v>
      </c>
      <c r="AJ67" s="344">
        <f t="shared" ca="1" si="16"/>
        <v>0</v>
      </c>
      <c r="AK67" s="345">
        <f t="shared" ca="1" si="17"/>
        <v>0</v>
      </c>
      <c r="AL67" s="347">
        <f t="shared" ca="1" si="18"/>
        <v>0</v>
      </c>
      <c r="AM67" s="379">
        <f t="shared" ca="1" si="19"/>
        <v>0</v>
      </c>
      <c r="AN67" s="380">
        <f t="shared" ca="1" si="20"/>
        <v>0</v>
      </c>
    </row>
    <row r="68" spans="1:40" x14ac:dyDescent="0.2">
      <c r="A68" s="20" t="s">
        <v>92</v>
      </c>
      <c r="B68" s="21" t="s">
        <v>93</v>
      </c>
      <c r="C68" s="21" t="s">
        <v>94</v>
      </c>
      <c r="D68" s="21" t="s">
        <v>95</v>
      </c>
      <c r="E68" s="21" t="s">
        <v>96</v>
      </c>
      <c r="F68" s="22" t="s">
        <v>97</v>
      </c>
      <c r="H68" s="10" t="s">
        <v>289</v>
      </c>
      <c r="I68" s="447" t="e">
        <f ca="1">_xll.EVPRO($B$1,$H68,"STYLE")</f>
        <v>#NAME?</v>
      </c>
      <c r="J68" s="447" t="e">
        <f ca="1">_xll.EVPRO($B$1,$H68,"CALC")</f>
        <v>#NAME?</v>
      </c>
      <c r="K68" s="448" t="e">
        <f t="shared" ca="1" si="14"/>
        <v>#NAME?</v>
      </c>
      <c r="L68" s="151" t="e">
        <f ca="1">_xll.EVPRO($B$1,H68,"JDEID")</f>
        <v>#NAME?</v>
      </c>
      <c r="M68" s="151" t="e">
        <f ca="1">IF(AND(I68="N",J68="N"),_xll.EVPRO($B$1,H68,"PSFTID"),"")</f>
        <v>#NAME?</v>
      </c>
      <c r="N68" s="151" t="e">
        <f ca="1">IF(_xll.EVDES(H68,$B$1)="#NODATA","",_xll.EVDES(H68,$B$1))</f>
        <v>#NAME?</v>
      </c>
      <c r="O68" s="202">
        <v>1688.51</v>
      </c>
      <c r="P68" s="120"/>
      <c r="Q68" s="120"/>
      <c r="R68" s="120"/>
      <c r="S68" s="120"/>
      <c r="T68" s="120"/>
      <c r="U68" s="120"/>
      <c r="V68" s="120"/>
      <c r="W68" s="120"/>
      <c r="X68" s="120"/>
      <c r="Y68" s="120"/>
      <c r="Z68" s="120"/>
      <c r="AA68" s="120" t="e">
        <f t="shared" ca="1" si="12"/>
        <v>#NAME?</v>
      </c>
      <c r="AB68" s="121" t="e">
        <f ca="1">IF(AA68=0,"",IFERROR(AA68/_xll.EVGTS($B$1,1,_xll.EVPRO($B$1,$H68,"COSBASIS"),$B$3,$B$5,$B$6,$B$7,$B$9,AA$16,AA$17,AA$11),""))</f>
        <v>#NAME?</v>
      </c>
      <c r="AC68" s="123"/>
      <c r="AD68" s="120"/>
      <c r="AE68" s="121" t="str">
        <f>IF(AD68=0,"",IFERROR(AD68/_xll.EVGTS($B$1,1,_xll.EVPRO($B$1,$H68,"COSBASIS"),$B$3,$B$5,$B$6,$B$7,$B$9,AD$16,AD$17,AD$18),""))</f>
        <v/>
      </c>
      <c r="AF68" s="122" t="e">
        <f t="shared" ca="1" si="13"/>
        <v>#NAME?</v>
      </c>
      <c r="AG68" s="120">
        <v>55289.59</v>
      </c>
      <c r="AH68" s="121" t="str">
        <f ca="1">IF(AG68=0,"",IFERROR(AG68/_xll.EVGTS($B$1,1,_xll.EVPRO($B$1,$H68,"COSBASIS"),$B$3,$B$5,$B$6,$B$7,$B$9,AG$16,AG$17,AG$18),""))</f>
        <v/>
      </c>
      <c r="AI68" s="264" t="e">
        <f t="shared" ca="1" si="15"/>
        <v>#NAME?</v>
      </c>
      <c r="AJ68" s="332">
        <f t="shared" ca="1" si="16"/>
        <v>0</v>
      </c>
      <c r="AK68" s="333">
        <f t="shared" ca="1" si="17"/>
        <v>0</v>
      </c>
      <c r="AL68" s="335">
        <f t="shared" ca="1" si="18"/>
        <v>0</v>
      </c>
      <c r="AM68" s="377">
        <f t="shared" ca="1" si="19"/>
        <v>0</v>
      </c>
      <c r="AN68" s="378">
        <f t="shared" ca="1" si="20"/>
        <v>0</v>
      </c>
    </row>
    <row r="69" spans="1:40" x14ac:dyDescent="0.2">
      <c r="H69" s="133" t="s">
        <v>175</v>
      </c>
      <c r="I69" s="26" t="e">
        <f ca="1">_xll.EVPRO($B$1,$H69,"STYLE")</f>
        <v>#NAME?</v>
      </c>
      <c r="J69" s="26" t="e">
        <f ca="1">_xll.EVPRO($B$1,$H69,"CALC")</f>
        <v>#NAME?</v>
      </c>
      <c r="K69" s="65" t="e">
        <f ca="1">IF(AND(I69&gt;="T5"),"&gt;","")</f>
        <v>#NAME?</v>
      </c>
      <c r="L69" s="65"/>
      <c r="M69" s="65"/>
      <c r="N69" s="23" t="e">
        <f ca="1">IF(_xll.EVDES(H69,$B$1)="#NODATA","",_xll.EVDES(H69,$B$1))</f>
        <v>#NAME?</v>
      </c>
      <c r="O69" s="44"/>
      <c r="P69" s="44"/>
      <c r="Q69" s="44"/>
      <c r="R69" s="44"/>
      <c r="S69" s="44"/>
      <c r="T69" s="44"/>
      <c r="U69" s="44"/>
      <c r="V69" s="44"/>
      <c r="W69" s="44"/>
      <c r="X69" s="44"/>
      <c r="Y69" s="44"/>
      <c r="Z69" s="44"/>
      <c r="AA69" s="44"/>
      <c r="AB69" s="45" t="str">
        <f>IF(O69=0,"",IFERROR(O69/_xll.EVGTS($B$1,1,INDEX(#REF!,MATCH($H69,#REF!,0)),$B$3,$B$5,$B$6,$B$7,$B$9,O$16,O$17,O$18),""))</f>
        <v/>
      </c>
      <c r="AD69" s="44"/>
      <c r="AE69" s="45" t="str">
        <f>IF(AD69=0,"",IFERROR(AD69/_xll.EVGTS($B$1,1,INDEX(#REF!,MATCH($H69,#REF!,0)),$B$3,$B$5,$B$6,$B$7,$B$9,AD$16,AD$17,AD$18),""))</f>
        <v/>
      </c>
      <c r="AF69" s="134" t="str">
        <f t="shared" ref="AF69:AF70" si="21">IF(AND($AA69="",AD69=""),"",$AA69-AD69)</f>
        <v/>
      </c>
      <c r="AG69" s="44"/>
      <c r="AH69" s="45" t="str">
        <f>IF(AG69=0,"",IFERROR(AG69/_xll.EVGTS($B$1,1,INDEX(#REF!,MATCH($H69,#REF!,0)),$B$3,$B$5,$B$6,$B$7,$B$9,AG$16,AG$17,AG$18),""))</f>
        <v/>
      </c>
      <c r="AI69" s="134" t="str">
        <f>IF(AND($AA69="",AG69=""),"",$AA69-AG69)</f>
        <v/>
      </c>
      <c r="AJ69" s="392">
        <f ca="1">IFERROR(AA69/AA$20,0)</f>
        <v>0</v>
      </c>
      <c r="AK69" s="393">
        <f ca="1">IFERROR(AD69/AD$20,0)</f>
        <v>0</v>
      </c>
      <c r="AL69" s="394">
        <f ca="1">IFERROR(AG69/AG$20,0)</f>
        <v>0</v>
      </c>
      <c r="AM69" s="395">
        <f>+IFERROR(ROUND(($AB69-AE69)*100,2)&amp;" pts.",0)</f>
        <v>0</v>
      </c>
      <c r="AN69" s="396">
        <f>+IFERROR(ROUND(($AB69-AH69)*100,2)&amp;" pts.",0)</f>
        <v>0</v>
      </c>
    </row>
    <row r="70" spans="1:40" x14ac:dyDescent="0.2">
      <c r="A70" s="1" t="s">
        <v>209</v>
      </c>
      <c r="B70" s="1" t="s">
        <v>21</v>
      </c>
      <c r="C70" s="70"/>
      <c r="D70" s="1" t="s">
        <v>590</v>
      </c>
      <c r="F70" s="1" t="s">
        <v>99</v>
      </c>
      <c r="H70" s="133" t="s">
        <v>292</v>
      </c>
      <c r="I70" s="26" t="e">
        <f ca="1">_xll.EVPRO($B$1,$H70,"STYLE")</f>
        <v>#NAME?</v>
      </c>
      <c r="J70" s="26" t="e">
        <f ca="1">_xll.EVPRO($B$1,$H70,"CALC")</f>
        <v>#NAME?</v>
      </c>
      <c r="K70" s="65" t="e">
        <f ca="1">IF(AND(I70&gt;="T5"),"&gt;","")</f>
        <v>#NAME?</v>
      </c>
      <c r="L70" s="65"/>
      <c r="M70" s="65"/>
      <c r="N70" s="23" t="e">
        <f ca="1">IF(_xll.EVDES(H70,$B$1)="#NODATA","",_xll.EVDES(H70,$B$1))</f>
        <v>#NAME?</v>
      </c>
      <c r="O70" s="145">
        <f t="shared" ref="O70:Z70" si="22">SUMIF($H$35:$H$68,"400000",O35:O68)-SUMIF($H$35:$H$68,"500001",O35:O68)</f>
        <v>10391.549999999999</v>
      </c>
      <c r="P70" s="145">
        <f t="shared" si="22"/>
        <v>0</v>
      </c>
      <c r="Q70" s="145">
        <f t="shared" si="22"/>
        <v>0</v>
      </c>
      <c r="R70" s="145">
        <f t="shared" si="22"/>
        <v>0</v>
      </c>
      <c r="S70" s="145">
        <f t="shared" si="22"/>
        <v>0</v>
      </c>
      <c r="T70" s="145">
        <f t="shared" si="22"/>
        <v>0</v>
      </c>
      <c r="U70" s="145">
        <f t="shared" si="22"/>
        <v>0</v>
      </c>
      <c r="V70" s="145">
        <f t="shared" si="22"/>
        <v>0</v>
      </c>
      <c r="W70" s="145">
        <f t="shared" si="22"/>
        <v>0</v>
      </c>
      <c r="X70" s="145">
        <f t="shared" si="22"/>
        <v>0</v>
      </c>
      <c r="Y70" s="145">
        <f t="shared" si="22"/>
        <v>0</v>
      </c>
      <c r="Z70" s="145">
        <f t="shared" si="22"/>
        <v>0</v>
      </c>
      <c r="AA70" s="145" t="e">
        <f ca="1">IF($I70="B1","",SUM(O70:Z70))</f>
        <v>#NAME?</v>
      </c>
      <c r="AB70" s="121" t="str">
        <f ca="1">IF(O70=0,"",IFERROR(O70/O$19,""))</f>
        <v/>
      </c>
      <c r="AD70" s="145">
        <f>SUMIF($H$35:$H$68,"400000",AD35:AD68)-SUMIF($H$35:$H$68,"500001",AD35:AD68)</f>
        <v>0</v>
      </c>
      <c r="AE70" s="121" t="str">
        <f>IF(AD70=0,"",IFERROR(AD70/AD$19,""))</f>
        <v/>
      </c>
      <c r="AF70" s="146" t="e">
        <f t="shared" ca="1" si="21"/>
        <v>#NAME?</v>
      </c>
      <c r="AG70" s="145">
        <f>SUMIF($H$35:$H$68,"400000",AG35:AG68)-SUMIF($H$35:$H$68,"500001",AG35:AG68)</f>
        <v>368376.26</v>
      </c>
      <c r="AH70" s="121" t="str">
        <f ca="1">IF(AG70=0,"",IFERROR(AG70/AG$19,""))</f>
        <v/>
      </c>
      <c r="AI70" s="146" t="e">
        <f ca="1">IF(AND($AA70="",AG70=""),"",$AA70-AG70)</f>
        <v>#NAME?</v>
      </c>
      <c r="AJ70" s="364">
        <f ca="1">IFERROR(AA70/AA$20,0)</f>
        <v>0</v>
      </c>
      <c r="AK70" s="365">
        <f ca="1">IFERROR(AD70/AD$20,0)</f>
        <v>0</v>
      </c>
      <c r="AL70" s="366">
        <f ca="1">IFERROR(AG70/AG$20,0)</f>
        <v>0</v>
      </c>
      <c r="AM70" s="367">
        <f ca="1">+IFERROR(ROUND(($AB70-AE70)*100,2)&amp;" pts.",0)</f>
        <v>0</v>
      </c>
      <c r="AN70" s="409">
        <f ca="1">+IFERROR(ROUND(($AB70-AH70)*100,2)&amp;" pts.",0)</f>
        <v>0</v>
      </c>
    </row>
    <row r="71" spans="1:40" x14ac:dyDescent="0.2">
      <c r="A71" s="1" t="s">
        <v>105</v>
      </c>
      <c r="C71" s="24" t="s">
        <v>101</v>
      </c>
      <c r="D71" s="1" t="s">
        <v>106</v>
      </c>
      <c r="F71" s="1" t="s">
        <v>98</v>
      </c>
      <c r="O71" s="144"/>
      <c r="P71" s="147"/>
      <c r="Q71" s="147"/>
      <c r="R71" s="147"/>
      <c r="S71" s="147"/>
      <c r="T71" s="147"/>
      <c r="U71" s="147"/>
      <c r="V71" s="147"/>
      <c r="W71" s="147"/>
      <c r="X71" s="147"/>
      <c r="Y71" s="147"/>
      <c r="Z71" s="147"/>
      <c r="AA71" s="147"/>
      <c r="AB71" s="51"/>
      <c r="AD71" s="50"/>
      <c r="AF71" s="51"/>
      <c r="AI71" s="51"/>
    </row>
    <row r="72" spans="1:40" x14ac:dyDescent="0.2">
      <c r="A72" s="1" t="s">
        <v>104</v>
      </c>
      <c r="C72" s="24" t="s">
        <v>101</v>
      </c>
      <c r="D72" s="1" t="s">
        <v>106</v>
      </c>
      <c r="F72" s="1" t="s">
        <v>98</v>
      </c>
      <c r="H72" s="1" t="s">
        <v>73</v>
      </c>
      <c r="I72" s="11" t="e">
        <f ca="1">_xll.EVPRO($B$1,$H72,"STYLE")</f>
        <v>#NAME?</v>
      </c>
      <c r="J72" s="11" t="e">
        <f ca="1">_xll.EVPRO($B$1,$H72,"CALC")</f>
        <v>#NAME?</v>
      </c>
      <c r="N72" s="37" t="e">
        <f ca="1">IF(_xll.EVDES(H72,$B$1)="#NODATA","",_xll.EVDES(H72,$B$1))</f>
        <v>#NAME?</v>
      </c>
      <c r="O72" s="50"/>
      <c r="AB72" s="149"/>
      <c r="AD72" s="148"/>
      <c r="AE72" s="150"/>
      <c r="AF72" s="51"/>
      <c r="AH72" s="150"/>
      <c r="AI72" s="51"/>
    </row>
    <row r="73" spans="1:40" x14ac:dyDescent="0.2">
      <c r="A73" s="1" t="s">
        <v>100</v>
      </c>
      <c r="C73" s="8" t="s">
        <v>101</v>
      </c>
      <c r="D73" s="1" t="s">
        <v>106</v>
      </c>
      <c r="F73" s="1" t="s">
        <v>98</v>
      </c>
      <c r="H73" s="1" t="s">
        <v>74</v>
      </c>
      <c r="I73" s="11" t="e">
        <f ca="1">_xll.EVPRO($B$1,$H73,"STYLE")</f>
        <v>#NAME?</v>
      </c>
      <c r="J73" s="11" t="e">
        <f ca="1">_xll.EVPRO($B$1,$H73,"CALC")</f>
        <v>#NAME?</v>
      </c>
      <c r="N73" s="8" t="e">
        <f ca="1">IF(_xll.EVDES(H73,$B$1)="#NODATA","",_xll.EVDES(H73,$B$1))</f>
        <v>#NAME?</v>
      </c>
      <c r="O73" s="40"/>
      <c r="P73" s="43"/>
      <c r="Q73" s="43"/>
      <c r="R73" s="43"/>
      <c r="S73" s="43"/>
      <c r="T73" s="43"/>
      <c r="U73" s="43"/>
      <c r="V73" s="43"/>
      <c r="W73" s="43"/>
      <c r="X73" s="43"/>
      <c r="Y73" s="43"/>
      <c r="Z73" s="43"/>
      <c r="AA73" s="43"/>
      <c r="AB73" s="41"/>
      <c r="AD73" s="40"/>
      <c r="AE73" s="43"/>
      <c r="AF73" s="41"/>
      <c r="AG73" s="43"/>
      <c r="AH73" s="43"/>
      <c r="AI73" s="41"/>
    </row>
    <row r="74" spans="1:40" hidden="1" x14ac:dyDescent="0.2">
      <c r="A74" s="1" t="s">
        <v>102</v>
      </c>
      <c r="C74" s="23" t="s">
        <v>101</v>
      </c>
      <c r="D74" s="1" t="s">
        <v>106</v>
      </c>
      <c r="F74" s="1" t="s">
        <v>98</v>
      </c>
      <c r="H74" s="10" t="s">
        <v>667</v>
      </c>
      <c r="I74" s="25" t="e">
        <f ca="1">_xll.EVPRO($B$1,$H74,"STYLE")</f>
        <v>#NAME?</v>
      </c>
      <c r="J74" s="25" t="e">
        <f ca="1">_xll.EVPRO($B$1,$H74,"CALC")</f>
        <v>#NAME?</v>
      </c>
      <c r="K74" s="64" t="e">
        <f ca="1">IF(AND(I74&gt;="T3"),"&gt;","")</f>
        <v>#NAME?</v>
      </c>
      <c r="L74" s="24" t="e">
        <f ca="1">_xll.EVPRO($B$1,H74,"JDEID")</f>
        <v>#NAME?</v>
      </c>
      <c r="M74" s="24" t="e">
        <f ca="1">IF(AND(I74="N",J74="N"),_xll.EVPRO($B$1,H74,"PSFTID"),"")</f>
        <v>#NAME?</v>
      </c>
      <c r="N74" s="24" t="e">
        <f ca="1">IF(_xll.EVDES(H74,$B$1)="#NODATA","",_xll.EVDES(H74,$B$1))</f>
        <v>#NAME?</v>
      </c>
      <c r="O74" s="35"/>
      <c r="P74" s="35"/>
      <c r="Q74" s="35"/>
      <c r="R74" s="35"/>
      <c r="S74" s="35"/>
      <c r="T74" s="35"/>
      <c r="U74" s="35"/>
      <c r="V74" s="35"/>
      <c r="W74" s="35"/>
      <c r="X74" s="35"/>
      <c r="Y74" s="35"/>
      <c r="Z74" s="35"/>
      <c r="AA74" s="283" t="e">
        <f t="shared" ref="AA74:AA82" ca="1" si="23">IF($I74="B1","",SUM(O74:Z74))</f>
        <v>#NAME?</v>
      </c>
      <c r="AB74" s="36" t="e">
        <f t="shared" ref="AB74:AB82" ca="1" si="24">IF(AA74=0,"",IFERROR(AA74/AA$19,""))</f>
        <v>#NAME?</v>
      </c>
      <c r="AD74" s="35"/>
      <c r="AE74" s="36" t="str">
        <f t="shared" ref="AE74:AE82" si="25">IF(AD74=0,"",IFERROR(AD74/AD$19,""))</f>
        <v/>
      </c>
      <c r="AF74" s="118" t="e">
        <f t="shared" ref="AF74:AF82" ca="1" si="26">IF(AND($AA74="",AD74=""),"",$AA74-AD74)</f>
        <v>#NAME?</v>
      </c>
      <c r="AG74" s="35"/>
      <c r="AH74" s="36" t="str">
        <f>IF(AG74=0,"",IFERROR(AG74/AG$19,""))</f>
        <v/>
      </c>
      <c r="AI74" s="118" t="e">
        <f ca="1">IF(AND($AA74="",AG74=""),"",$AA74-AG74)</f>
        <v>#NAME?</v>
      </c>
      <c r="AJ74" s="371">
        <f ca="1">IFERROR(AA74/AA$20,0)</f>
        <v>0</v>
      </c>
      <c r="AK74" s="372">
        <f ca="1">IFERROR(AD74/AD$20,0)</f>
        <v>0</v>
      </c>
      <c r="AL74" s="373">
        <f ca="1">IFERROR(AG74/AG$20,0)</f>
        <v>0</v>
      </c>
      <c r="AM74" s="374">
        <f ca="1">+IFERROR(ROUND(($AB74-AE74)*100,2)&amp;" pts.",0)</f>
        <v>0</v>
      </c>
      <c r="AN74" s="375">
        <f ca="1">+IFERROR(ROUND(($AB74-AH74)*100,2)&amp;" pts.",0)</f>
        <v>0</v>
      </c>
    </row>
    <row r="75" spans="1:40" hidden="1" x14ac:dyDescent="0.2">
      <c r="A75" s="1" t="s">
        <v>102</v>
      </c>
      <c r="C75" s="135" t="s">
        <v>101</v>
      </c>
      <c r="D75" s="1" t="s">
        <v>107</v>
      </c>
      <c r="F75" s="1" t="s">
        <v>99</v>
      </c>
      <c r="H75" s="10"/>
      <c r="I75" s="25" t="e">
        <f ca="1">_xll.EVPRO($B$1,$H75,"STYLE")</f>
        <v>#NAME?</v>
      </c>
      <c r="J75" s="25" t="e">
        <f ca="1">_xll.EVPRO($B$1,$H75,"CALC")</f>
        <v>#NAME?</v>
      </c>
      <c r="K75" s="64" t="e">
        <f ca="1">IF(AND(I75&gt;="T3"),"&gt;","")</f>
        <v>#NAME?</v>
      </c>
      <c r="L75" s="24" t="e">
        <f ca="1">_xll.EVPRO($B$1,H75,"JDEID")</f>
        <v>#NAME?</v>
      </c>
      <c r="M75" s="24" t="e">
        <f ca="1">IF(AND(I75="N",J75="N"),_xll.EVPRO($B$1,H75,"PSFTID"),"")</f>
        <v>#NAME?</v>
      </c>
      <c r="N75" s="24" t="e">
        <f ca="1">IF(_xll.EVDES(H75,$B$1)="#NODATA","",_xll.EVDES(H75,$B$1))</f>
        <v>#NAME?</v>
      </c>
      <c r="O75" s="35"/>
      <c r="P75" s="35"/>
      <c r="Q75" s="35"/>
      <c r="R75" s="35"/>
      <c r="S75" s="35"/>
      <c r="T75" s="35"/>
      <c r="U75" s="35"/>
      <c r="V75" s="35"/>
      <c r="W75" s="35"/>
      <c r="X75" s="35"/>
      <c r="Y75" s="35"/>
      <c r="Z75" s="35"/>
      <c r="AA75" s="283" t="e">
        <f t="shared" ca="1" si="23"/>
        <v>#NAME?</v>
      </c>
      <c r="AB75" s="36" t="e">
        <f t="shared" ca="1" si="24"/>
        <v>#NAME?</v>
      </c>
      <c r="AD75" s="35"/>
      <c r="AE75" s="36" t="str">
        <f t="shared" si="25"/>
        <v/>
      </c>
      <c r="AF75" s="118" t="e">
        <f t="shared" ca="1" si="26"/>
        <v>#NAME?</v>
      </c>
      <c r="AG75" s="35"/>
      <c r="AH75" s="36" t="str">
        <f>IF(AG75=0,"",IFERROR(AG75/AG$19,""))</f>
        <v/>
      </c>
      <c r="AI75" s="118" t="e">
        <f ca="1">IF(AND($AA75="",AG75=""),"",$AA75-AG75)</f>
        <v>#NAME?</v>
      </c>
      <c r="AJ75" s="371">
        <f ca="1">IFERROR(AA75/AA$20,0)</f>
        <v>0</v>
      </c>
      <c r="AK75" s="372">
        <f ca="1">IFERROR(AD75/AD$20,0)</f>
        <v>0</v>
      </c>
      <c r="AL75" s="373">
        <f ca="1">IFERROR(AG75/AG$20,0)</f>
        <v>0</v>
      </c>
      <c r="AM75" s="374">
        <f ca="1">+IFERROR(ROUND(($AB75-AE75)*100,2)&amp;" pts.",0)</f>
        <v>0</v>
      </c>
      <c r="AN75" s="375">
        <f ca="1">+IFERROR(ROUND(($AB75-AH75)*100,2)&amp;" pts.",0)</f>
        <v>0</v>
      </c>
    </row>
    <row r="76" spans="1:40" x14ac:dyDescent="0.2">
      <c r="A76" s="1" t="s">
        <v>108</v>
      </c>
      <c r="C76" s="23" t="s">
        <v>101</v>
      </c>
      <c r="D76" s="1" t="s">
        <v>106</v>
      </c>
      <c r="F76" s="1" t="s">
        <v>98</v>
      </c>
      <c r="H76" s="10" t="s">
        <v>75</v>
      </c>
      <c r="I76" s="26" t="e">
        <f ca="1">_xll.EVPRO($B$1,$H76,"STYLE")</f>
        <v>#NAME?</v>
      </c>
      <c r="J76" s="26" t="e">
        <f ca="1">_xll.EVPRO($B$1,$H76,"CALC")</f>
        <v>#NAME?</v>
      </c>
      <c r="K76" s="65" t="e">
        <f ca="1">IF(AND(I76&gt;="T3"),"&gt;","")</f>
        <v>#NAME?</v>
      </c>
      <c r="L76" s="23" t="e">
        <f ca="1">_xll.EVPRO($B$1,H76,"JDEID")</f>
        <v>#NAME?</v>
      </c>
      <c r="M76" s="24" t="e">
        <f ca="1">IF(AND(I76="N",J76="N"),_xll.EVPRO($B$1,H76,"PSFTID"),"")</f>
        <v>#NAME?</v>
      </c>
      <c r="N76" s="23" t="e">
        <f ca="1">IF(_xll.EVDES(H76,$B$1)="#NODATA","",_xll.EVDES(H76,$B$1))</f>
        <v>#NAME?</v>
      </c>
      <c r="O76" s="35"/>
      <c r="P76" s="35"/>
      <c r="Q76" s="35"/>
      <c r="R76" s="35"/>
      <c r="S76" s="35"/>
      <c r="T76" s="35"/>
      <c r="U76" s="35"/>
      <c r="V76" s="35"/>
      <c r="W76" s="35"/>
      <c r="X76" s="35"/>
      <c r="Y76" s="35"/>
      <c r="Z76" s="35"/>
      <c r="AA76" s="283" t="e">
        <f t="shared" ca="1" si="23"/>
        <v>#NAME?</v>
      </c>
      <c r="AB76" s="36" t="e">
        <f t="shared" ca="1" si="24"/>
        <v>#NAME?</v>
      </c>
      <c r="AD76" s="35"/>
      <c r="AE76" s="36" t="str">
        <f t="shared" si="25"/>
        <v/>
      </c>
      <c r="AF76" s="118" t="e">
        <f t="shared" ca="1" si="26"/>
        <v>#NAME?</v>
      </c>
      <c r="AG76" s="35"/>
      <c r="AH76" s="36" t="str">
        <f>IF(AG76=0,"",IFERROR(AG76/AG$19,""))</f>
        <v/>
      </c>
      <c r="AI76" s="118" t="e">
        <f ca="1">IF(AND($AA76="",AG76=""),"",$AA76-AG76)</f>
        <v>#NAME?</v>
      </c>
      <c r="AJ76" s="371">
        <f ca="1">IFERROR(AA76/AA$20,0)</f>
        <v>0</v>
      </c>
      <c r="AK76" s="372">
        <f ca="1">IFERROR(AD76/AD$20,0)</f>
        <v>0</v>
      </c>
      <c r="AL76" s="373">
        <f ca="1">IFERROR(AG76/AG$20,0)</f>
        <v>0</v>
      </c>
      <c r="AM76" s="374">
        <f ca="1">+IFERROR(ROUND(($AB76-AE76)*100,2)&amp;" pts.",0)</f>
        <v>0</v>
      </c>
      <c r="AN76" s="375">
        <f ca="1">+IFERROR(ROUND(($AB76-AH76)*100,2)&amp;" pts.",0)</f>
        <v>0</v>
      </c>
    </row>
    <row r="77" spans="1:40" x14ac:dyDescent="0.2">
      <c r="A77" s="1" t="s">
        <v>108</v>
      </c>
      <c r="C77" s="135" t="s">
        <v>101</v>
      </c>
      <c r="D77" s="1" t="s">
        <v>107</v>
      </c>
      <c r="F77" s="1" t="s">
        <v>99</v>
      </c>
      <c r="H77" s="10" t="s">
        <v>861</v>
      </c>
      <c r="I77" s="25" t="e">
        <f ca="1">_xll.EVPRO($B$1,$H77,"STYLE")</f>
        <v>#NAME?</v>
      </c>
      <c r="J77" s="25" t="e">
        <f ca="1">_xll.EVPRO($B$1,$H77,"CALC")</f>
        <v>#NAME?</v>
      </c>
      <c r="K77" s="64" t="e">
        <f ca="1">IF(AND(I77&gt;="T3"),"&gt;","")</f>
        <v>#NAME?</v>
      </c>
      <c r="L77" s="24" t="e">
        <f ca="1">_xll.EVPRO($B$1,H77,"JDEID")</f>
        <v>#NAME?</v>
      </c>
      <c r="M77" s="24" t="e">
        <f ca="1">IF(AND(I77="N",J77="N"),_xll.EVPRO($B$1,H77,"PSFTID"),"")</f>
        <v>#NAME?</v>
      </c>
      <c r="N77" s="24" t="e">
        <f ca="1">IF(_xll.EVDES(H77,$B$1)="#NODATA","",_xll.EVDES(H77,$B$1))</f>
        <v>#NAME?</v>
      </c>
      <c r="O77" s="44">
        <v>1147.5999999999999</v>
      </c>
      <c r="P77" s="44"/>
      <c r="Q77" s="44"/>
      <c r="R77" s="44"/>
      <c r="S77" s="44"/>
      <c r="T77" s="44"/>
      <c r="U77" s="44"/>
      <c r="V77" s="44"/>
      <c r="W77" s="44"/>
      <c r="X77" s="44"/>
      <c r="Y77" s="44"/>
      <c r="Z77" s="44"/>
      <c r="AA77" s="296" t="e">
        <f t="shared" ca="1" si="23"/>
        <v>#NAME?</v>
      </c>
      <c r="AB77" s="45" t="e">
        <f t="shared" ca="1" si="24"/>
        <v>#NAME?</v>
      </c>
      <c r="AD77" s="44"/>
      <c r="AE77" s="45" t="str">
        <f t="shared" si="25"/>
        <v/>
      </c>
      <c r="AF77" s="134" t="e">
        <f t="shared" ca="1" si="26"/>
        <v>#NAME?</v>
      </c>
      <c r="AG77" s="44">
        <v>34600.11</v>
      </c>
      <c r="AH77" s="45" t="str">
        <f ca="1">IF(AG77=0,"",IFERROR(AG77/AG$19,""))</f>
        <v/>
      </c>
      <c r="AI77" s="134" t="e">
        <f ca="1">IF(AND($AA77="",AG77=""),"",$AA77-AG77)</f>
        <v>#NAME?</v>
      </c>
      <c r="AJ77" s="381">
        <f ca="1">IFERROR(AA77/AA$20,0)</f>
        <v>0</v>
      </c>
      <c r="AK77" s="382">
        <f ca="1">IFERROR(AD77/AD$20,0)</f>
        <v>0</v>
      </c>
      <c r="AL77" s="383">
        <f ca="1">IFERROR(AG77/AG$20,0)</f>
        <v>0</v>
      </c>
      <c r="AM77" s="384">
        <f ca="1">+IFERROR(ROUND(($AB77-AE77)*100,2)&amp;" pts.",0)</f>
        <v>0</v>
      </c>
      <c r="AN77" s="385">
        <f ca="1">+IFERROR(ROUND(($AB77-AH77)*100,2)&amp;" pts.",0)</f>
        <v>0</v>
      </c>
    </row>
    <row r="78" spans="1:40" x14ac:dyDescent="0.2">
      <c r="H78" s="10" t="s">
        <v>849</v>
      </c>
      <c r="I78" s="447" t="e">
        <f ca="1">_xll.EVPRO($B$1,$H78,"STYLE")</f>
        <v>#NAME?</v>
      </c>
      <c r="J78" s="447" t="e">
        <f ca="1">_xll.EVPRO($B$1,$H78,"CALC")</f>
        <v>#NAME?</v>
      </c>
      <c r="K78" s="448" t="e">
        <f t="shared" ref="K78:K82" ca="1" si="27">IF(AND(I78&gt;="T3"),"&gt;","")</f>
        <v>#NAME?</v>
      </c>
      <c r="L78" s="151" t="e">
        <f ca="1">_xll.EVPRO($B$1,H78,"JDEID")</f>
        <v>#NAME?</v>
      </c>
      <c r="M78" s="151" t="e">
        <f ca="1">IF(AND(I78="N",J78="N"),_xll.EVPRO($B$1,H78,"PSFTID"),"")</f>
        <v>#NAME?</v>
      </c>
      <c r="N78" s="151" t="e">
        <f ca="1">IF(_xll.EVDES(H78,$B$1)="#NODATA","",_xll.EVDES(H78,$B$1))</f>
        <v>#NAME?</v>
      </c>
      <c r="O78" s="120">
        <v>1147.5999999999999</v>
      </c>
      <c r="P78" s="120"/>
      <c r="Q78" s="120"/>
      <c r="R78" s="120"/>
      <c r="S78" s="120"/>
      <c r="T78" s="120"/>
      <c r="U78" s="120"/>
      <c r="V78" s="120"/>
      <c r="W78" s="120"/>
      <c r="X78" s="120"/>
      <c r="Y78" s="120"/>
      <c r="Z78" s="120"/>
      <c r="AA78" s="120" t="e">
        <f t="shared" ca="1" si="23"/>
        <v>#NAME?</v>
      </c>
      <c r="AB78" s="121" t="e">
        <f t="shared" ca="1" si="24"/>
        <v>#NAME?</v>
      </c>
      <c r="AC78" s="123"/>
      <c r="AD78" s="120"/>
      <c r="AE78" s="121" t="str">
        <f t="shared" si="25"/>
        <v/>
      </c>
      <c r="AF78" s="122" t="e">
        <f t="shared" ca="1" si="26"/>
        <v>#NAME?</v>
      </c>
      <c r="AG78" s="120">
        <v>34600.11</v>
      </c>
      <c r="AH78" s="121" t="str">
        <f t="shared" ref="AH78:AH82" ca="1" si="28">IF(AG78=0,"",IFERROR(AG78/AG$19,""))</f>
        <v/>
      </c>
      <c r="AI78" s="122" t="e">
        <f t="shared" ref="AI78:AI82" ca="1" si="29">IF(AND($AA78="",AG78=""),"",$AA78-AG78)</f>
        <v>#NAME?</v>
      </c>
      <c r="AJ78" s="332">
        <f t="shared" ref="AJ78:AJ82" ca="1" si="30">IFERROR(AA78/AA$20,0)</f>
        <v>0</v>
      </c>
      <c r="AK78" s="333">
        <f t="shared" ref="AK78:AK82" ca="1" si="31">IFERROR(AD78/AD$20,0)</f>
        <v>0</v>
      </c>
      <c r="AL78" s="335">
        <f t="shared" ref="AL78:AL82" ca="1" si="32">IFERROR(AG78/AG$20,0)</f>
        <v>0</v>
      </c>
      <c r="AM78" s="377">
        <f t="shared" ref="AM78:AM82" ca="1" si="33">+IFERROR(ROUND(($AB78-AE78)*100,2)&amp;" pts.",0)</f>
        <v>0</v>
      </c>
      <c r="AN78" s="378">
        <f t="shared" ref="AN78:AN82" ca="1" si="34">+IFERROR(ROUND(($AB78-AH78)*100,2)&amp;" pts.",0)</f>
        <v>0</v>
      </c>
    </row>
    <row r="79" spans="1:40" x14ac:dyDescent="0.2">
      <c r="C79" s="23"/>
      <c r="H79" s="10" t="s">
        <v>862</v>
      </c>
      <c r="I79" s="25" t="e">
        <f ca="1">_xll.EVPRO($B$1,$H79,"STYLE")</f>
        <v>#NAME?</v>
      </c>
      <c r="J79" s="25" t="e">
        <f ca="1">_xll.EVPRO($B$1,$H79,"CALC")</f>
        <v>#NAME?</v>
      </c>
      <c r="K79" s="64" t="e">
        <f t="shared" ca="1" si="27"/>
        <v>#NAME?</v>
      </c>
      <c r="L79" s="24" t="e">
        <f ca="1">_xll.EVPRO($B$1,H79,"JDEID")</f>
        <v>#NAME?</v>
      </c>
      <c r="M79" s="24" t="e">
        <f ca="1">IF(AND(I79="N",J79="N"),_xll.EVPRO($B$1,H79,"PSFTID"),"")</f>
        <v>#NAME?</v>
      </c>
      <c r="N79" s="24" t="e">
        <f ca="1">IF(_xll.EVDES(H79,$B$1)="#NODATA","",_xll.EVDES(H79,$B$1))</f>
        <v>#NAME?</v>
      </c>
      <c r="O79" s="44">
        <v>1534.94</v>
      </c>
      <c r="P79" s="44"/>
      <c r="Q79" s="44"/>
      <c r="R79" s="44"/>
      <c r="S79" s="44"/>
      <c r="T79" s="44"/>
      <c r="U79" s="44"/>
      <c r="V79" s="44"/>
      <c r="W79" s="44"/>
      <c r="X79" s="44"/>
      <c r="Y79" s="44"/>
      <c r="Z79" s="44"/>
      <c r="AA79" s="44" t="e">
        <f t="shared" ca="1" si="23"/>
        <v>#NAME?</v>
      </c>
      <c r="AB79" s="45" t="e">
        <f t="shared" ca="1" si="24"/>
        <v>#NAME?</v>
      </c>
      <c r="AD79" s="44"/>
      <c r="AE79" s="45" t="str">
        <f t="shared" si="25"/>
        <v/>
      </c>
      <c r="AF79" s="134" t="e">
        <f t="shared" ca="1" si="26"/>
        <v>#NAME?</v>
      </c>
      <c r="AG79" s="44">
        <v>53909.63</v>
      </c>
      <c r="AH79" s="45" t="str">
        <f t="shared" ca="1" si="28"/>
        <v/>
      </c>
      <c r="AI79" s="134" t="e">
        <f t="shared" ca="1" si="29"/>
        <v>#NAME?</v>
      </c>
      <c r="AJ79" s="392">
        <f t="shared" ca="1" si="30"/>
        <v>0</v>
      </c>
      <c r="AK79" s="393">
        <f t="shared" ca="1" si="31"/>
        <v>0</v>
      </c>
      <c r="AL79" s="394">
        <f t="shared" ca="1" si="32"/>
        <v>0</v>
      </c>
      <c r="AM79" s="395">
        <f t="shared" ca="1" si="33"/>
        <v>0</v>
      </c>
      <c r="AN79" s="396">
        <f t="shared" ca="1" si="34"/>
        <v>0</v>
      </c>
    </row>
    <row r="80" spans="1:40" x14ac:dyDescent="0.2">
      <c r="A80" s="4" t="e">
        <f ca="1">_xll.EVDRE($B$1,A83:B90,A93:B99)</f>
        <v>#NAME?</v>
      </c>
      <c r="H80" s="10" t="s">
        <v>863</v>
      </c>
      <c r="I80" s="25" t="e">
        <f ca="1">_xll.EVPRO($B$1,$H80,"STYLE")</f>
        <v>#NAME?</v>
      </c>
      <c r="J80" s="25" t="e">
        <f ca="1">_xll.EVPRO($B$1,$H80,"CALC")</f>
        <v>#NAME?</v>
      </c>
      <c r="K80" s="64" t="e">
        <f t="shared" ca="1" si="27"/>
        <v>#NAME?</v>
      </c>
      <c r="L80" s="24" t="e">
        <f ca="1">_xll.EVPRO($B$1,H80,"JDEID")</f>
        <v>#NAME?</v>
      </c>
      <c r="M80" s="24" t="e">
        <f ca="1">IF(AND(I80="N",J80="N"),_xll.EVPRO($B$1,H80,"PSFTID"),"")</f>
        <v>#NAME?</v>
      </c>
      <c r="N80" s="24" t="e">
        <f ca="1">IF(_xll.EVDES(H80,$B$1)="#NODATA","",_xll.EVDES(H80,$B$1))</f>
        <v>#NAME?</v>
      </c>
      <c r="O80" s="44"/>
      <c r="P80" s="44"/>
      <c r="Q80" s="44"/>
      <c r="R80" s="44"/>
      <c r="S80" s="44"/>
      <c r="T80" s="44"/>
      <c r="U80" s="44"/>
      <c r="V80" s="44"/>
      <c r="W80" s="44"/>
      <c r="X80" s="44"/>
      <c r="Y80" s="44"/>
      <c r="Z80" s="44"/>
      <c r="AA80" s="296" t="e">
        <f t="shared" ca="1" si="23"/>
        <v>#NAME?</v>
      </c>
      <c r="AB80" s="45" t="e">
        <f t="shared" ca="1" si="24"/>
        <v>#NAME?</v>
      </c>
      <c r="AD80" s="44"/>
      <c r="AE80" s="45" t="str">
        <f t="shared" si="25"/>
        <v/>
      </c>
      <c r="AF80" s="134" t="e">
        <f t="shared" ca="1" si="26"/>
        <v>#NAME?</v>
      </c>
      <c r="AG80" s="44">
        <v>758.29</v>
      </c>
      <c r="AH80" s="45" t="str">
        <f t="shared" ca="1" si="28"/>
        <v/>
      </c>
      <c r="AI80" s="134" t="e">
        <f t="shared" ca="1" si="29"/>
        <v>#NAME?</v>
      </c>
      <c r="AJ80" s="381">
        <f t="shared" ca="1" si="30"/>
        <v>0</v>
      </c>
      <c r="AK80" s="382">
        <f t="shared" ca="1" si="31"/>
        <v>0</v>
      </c>
      <c r="AL80" s="383">
        <f t="shared" ca="1" si="32"/>
        <v>0</v>
      </c>
      <c r="AM80" s="384">
        <f t="shared" ca="1" si="33"/>
        <v>0</v>
      </c>
      <c r="AN80" s="385">
        <f t="shared" ca="1" si="34"/>
        <v>0</v>
      </c>
    </row>
    <row r="81" spans="1:40" x14ac:dyDescent="0.2">
      <c r="H81" s="10" t="s">
        <v>851</v>
      </c>
      <c r="I81" s="447" t="e">
        <f ca="1">_xll.EVPRO($B$1,$H81,"STYLE")</f>
        <v>#NAME?</v>
      </c>
      <c r="J81" s="447" t="e">
        <f ca="1">_xll.EVPRO($B$1,$H81,"CALC")</f>
        <v>#NAME?</v>
      </c>
      <c r="K81" s="448" t="e">
        <f t="shared" ca="1" si="27"/>
        <v>#NAME?</v>
      </c>
      <c r="L81" s="151" t="e">
        <f ca="1">_xll.EVPRO($B$1,H81,"JDEID")</f>
        <v>#NAME?</v>
      </c>
      <c r="M81" s="151" t="e">
        <f ca="1">IF(AND(I81="N",J81="N"),_xll.EVPRO($B$1,H81,"PSFTID"),"")</f>
        <v>#NAME?</v>
      </c>
      <c r="N81" s="151" t="e">
        <f ca="1">IF(_xll.EVDES(H81,$B$1)="#NODATA","",_xll.EVDES(H81,$B$1))</f>
        <v>#NAME?</v>
      </c>
      <c r="O81" s="33">
        <v>2682.54</v>
      </c>
      <c r="P81" s="33"/>
      <c r="Q81" s="33"/>
      <c r="R81" s="33"/>
      <c r="S81" s="33"/>
      <c r="T81" s="33"/>
      <c r="U81" s="33"/>
      <c r="V81" s="33"/>
      <c r="W81" s="33"/>
      <c r="X81" s="33"/>
      <c r="Y81" s="33"/>
      <c r="Z81" s="33"/>
      <c r="AA81" s="33" t="e">
        <f t="shared" ca="1" si="23"/>
        <v>#NAME?</v>
      </c>
      <c r="AB81" s="34" t="e">
        <f t="shared" ca="1" si="24"/>
        <v>#NAME?</v>
      </c>
      <c r="AC81" s="32"/>
      <c r="AD81" s="33"/>
      <c r="AE81" s="34" t="str">
        <f t="shared" si="25"/>
        <v/>
      </c>
      <c r="AF81" s="54" t="e">
        <f t="shared" ca="1" si="26"/>
        <v>#NAME?</v>
      </c>
      <c r="AG81" s="33">
        <v>89268.03</v>
      </c>
      <c r="AH81" s="34" t="str">
        <f t="shared" ca="1" si="28"/>
        <v/>
      </c>
      <c r="AI81" s="54" t="e">
        <f t="shared" ca="1" si="29"/>
        <v>#NAME?</v>
      </c>
      <c r="AJ81" s="344">
        <f t="shared" ca="1" si="30"/>
        <v>0</v>
      </c>
      <c r="AK81" s="345">
        <f t="shared" ca="1" si="31"/>
        <v>0</v>
      </c>
      <c r="AL81" s="347">
        <f t="shared" ca="1" si="32"/>
        <v>0</v>
      </c>
      <c r="AM81" s="379">
        <f t="shared" ca="1" si="33"/>
        <v>0</v>
      </c>
      <c r="AN81" s="380">
        <f t="shared" ca="1" si="34"/>
        <v>0</v>
      </c>
    </row>
    <row r="82" spans="1:40" x14ac:dyDescent="0.2">
      <c r="A82" s="3" t="s">
        <v>0</v>
      </c>
      <c r="B82" s="5" t="s">
        <v>1</v>
      </c>
      <c r="H82" s="10" t="s">
        <v>76</v>
      </c>
      <c r="I82" s="447" t="e">
        <f ca="1">_xll.EVPRO($B$1,$H82,"STYLE")</f>
        <v>#NAME?</v>
      </c>
      <c r="J82" s="447" t="e">
        <f ca="1">_xll.EVPRO($B$1,$H82,"CALC")</f>
        <v>#NAME?</v>
      </c>
      <c r="K82" s="448" t="e">
        <f t="shared" ca="1" si="27"/>
        <v>#NAME?</v>
      </c>
      <c r="L82" s="151" t="e">
        <f ca="1">_xll.EVPRO($B$1,H82,"JDEID")</f>
        <v>#NAME?</v>
      </c>
      <c r="M82" s="151" t="e">
        <f ca="1">IF(AND(I82="N",J82="N"),_xll.EVPRO($B$1,H82,"PSFTID"),"")</f>
        <v>#NAME?</v>
      </c>
      <c r="N82" s="151" t="e">
        <f ca="1">IF(_xll.EVDES(H82,$B$1)="#NODATA","",_xll.EVDES(H82,$B$1))</f>
        <v>#NAME?</v>
      </c>
      <c r="O82" s="33">
        <v>2682.54</v>
      </c>
      <c r="P82" s="33"/>
      <c r="Q82" s="33"/>
      <c r="R82" s="33"/>
      <c r="S82" s="33"/>
      <c r="T82" s="33"/>
      <c r="U82" s="33"/>
      <c r="V82" s="33"/>
      <c r="W82" s="33"/>
      <c r="X82" s="33"/>
      <c r="Y82" s="33"/>
      <c r="Z82" s="33"/>
      <c r="AA82" s="33" t="e">
        <f t="shared" ca="1" si="23"/>
        <v>#NAME?</v>
      </c>
      <c r="AB82" s="34" t="e">
        <f t="shared" ca="1" si="24"/>
        <v>#NAME?</v>
      </c>
      <c r="AC82" s="32"/>
      <c r="AD82" s="33"/>
      <c r="AE82" s="34" t="str">
        <f t="shared" si="25"/>
        <v/>
      </c>
      <c r="AF82" s="54" t="e">
        <f t="shared" ca="1" si="26"/>
        <v>#NAME?</v>
      </c>
      <c r="AG82" s="33">
        <v>89268.03</v>
      </c>
      <c r="AH82" s="34" t="str">
        <f t="shared" ca="1" si="28"/>
        <v/>
      </c>
      <c r="AI82" s="54" t="e">
        <f t="shared" ca="1" si="29"/>
        <v>#NAME?</v>
      </c>
      <c r="AJ82" s="344">
        <f t="shared" ca="1" si="30"/>
        <v>0</v>
      </c>
      <c r="AK82" s="345">
        <f t="shared" ca="1" si="31"/>
        <v>0</v>
      </c>
      <c r="AL82" s="347">
        <f t="shared" ca="1" si="32"/>
        <v>0</v>
      </c>
      <c r="AM82" s="379">
        <f t="shared" ca="1" si="33"/>
        <v>0</v>
      </c>
      <c r="AN82" s="380">
        <f t="shared" ca="1" si="34"/>
        <v>0</v>
      </c>
    </row>
    <row r="83" spans="1:40" x14ac:dyDescent="0.2">
      <c r="A83" s="6" t="s">
        <v>2</v>
      </c>
      <c r="B83" s="7" t="e">
        <f ca="1">_xll.EVRNG($B$2:$B$10)</f>
        <v>#NAME?</v>
      </c>
      <c r="O83" s="38"/>
      <c r="P83" s="42"/>
      <c r="Q83" s="42"/>
      <c r="R83" s="42"/>
      <c r="S83" s="42"/>
      <c r="T83" s="42"/>
      <c r="U83" s="42"/>
      <c r="V83" s="42"/>
      <c r="W83" s="42"/>
      <c r="X83" s="42"/>
      <c r="Y83" s="42"/>
      <c r="Z83" s="42"/>
      <c r="AA83" s="42"/>
      <c r="AB83" s="39"/>
      <c r="AD83" s="38"/>
      <c r="AE83" s="42"/>
      <c r="AF83" s="39"/>
      <c r="AG83" s="38"/>
      <c r="AH83" s="42"/>
      <c r="AI83" s="39"/>
    </row>
    <row r="84" spans="1:40" x14ac:dyDescent="0.2">
      <c r="A84" s="6" t="s">
        <v>3</v>
      </c>
      <c r="B84" s="7" t="e">
        <f ca="1">_xll.EVRNG($O$16:$AN$18)</f>
        <v>#NAME?</v>
      </c>
      <c r="H84" s="1" t="s">
        <v>82</v>
      </c>
      <c r="I84" s="11" t="e">
        <f ca="1">_xll.EVPRO($B$1,$H84,"STYLE")</f>
        <v>#NAME?</v>
      </c>
      <c r="J84" s="11" t="e">
        <f ca="1">_xll.EVPRO($B$1,$H84,"CALC")</f>
        <v>#NAME?</v>
      </c>
      <c r="N84" s="37" t="e">
        <f ca="1">IF(_xll.EVDES(H84,$B$1)="#NODATA","",_xll.EVDES(H84,$B$1))</f>
        <v>#NAME?</v>
      </c>
      <c r="O84" s="40"/>
      <c r="P84" s="43"/>
      <c r="Q84" s="43"/>
      <c r="R84" s="43"/>
      <c r="S84" s="43"/>
      <c r="T84" s="43"/>
      <c r="U84" s="43"/>
      <c r="V84" s="43"/>
      <c r="W84" s="43"/>
      <c r="X84" s="43"/>
      <c r="Y84" s="43"/>
      <c r="Z84" s="43"/>
      <c r="AA84" s="43"/>
      <c r="AB84" s="41"/>
      <c r="AD84" s="40"/>
      <c r="AE84" s="43"/>
      <c r="AF84" s="41"/>
      <c r="AG84" s="40"/>
      <c r="AH84" s="43"/>
      <c r="AI84" s="41"/>
    </row>
    <row r="85" spans="1:40" x14ac:dyDescent="0.2">
      <c r="A85" s="6" t="s">
        <v>4</v>
      </c>
      <c r="B85" s="7" t="e">
        <f ca="1">_xll.EVRNG(H74:H75,H77:H82,H85:H90)</f>
        <v>#NAME?</v>
      </c>
      <c r="H85" s="10" t="s">
        <v>829</v>
      </c>
      <c r="I85" s="25" t="e">
        <f ca="1">_xll.EVPRO($B$1,$H85,"STYLE")</f>
        <v>#NAME?</v>
      </c>
      <c r="J85" s="25" t="e">
        <f ca="1">_xll.EVPRO($B$1,$H85,"CALC")</f>
        <v>#NAME?</v>
      </c>
      <c r="K85" s="64" t="e">
        <f ca="1">IF(AND(I85&lt;&gt;"B1",J85="Y"),"&gt;","")</f>
        <v>#NAME?</v>
      </c>
      <c r="L85" s="24" t="e">
        <f ca="1">_xll.EVPRO($B$1,H85,"JDEID")</f>
        <v>#NAME?</v>
      </c>
      <c r="M85" s="24" t="e">
        <f ca="1">IF(AND(I85="N",J85="N"),_xll.EVPRO($B$1,H85,"PSFTID"),"")</f>
        <v>#NAME?</v>
      </c>
      <c r="N85" s="24" t="e">
        <f ca="1">IF(_xll.EVDES(H85,$B$1)="#NODATA","",_xll.EVDES(H85,$B$1))</f>
        <v>#NAME?</v>
      </c>
      <c r="O85" s="19"/>
      <c r="P85" s="19"/>
      <c r="Q85" s="19"/>
      <c r="R85" s="19"/>
      <c r="S85" s="19"/>
      <c r="T85" s="19"/>
      <c r="U85" s="19"/>
      <c r="V85" s="19"/>
      <c r="W85" s="19"/>
      <c r="X85" s="19"/>
      <c r="Y85" s="19"/>
      <c r="Z85" s="19"/>
      <c r="AA85" s="283" t="e">
        <f t="shared" ref="AA85:AA91" ca="1" si="35">IF($I85="B1","",SUM(O85:Z85))</f>
        <v>#NAME?</v>
      </c>
      <c r="AB85" s="15" t="e">
        <f t="shared" ref="AB85:AB91" ca="1" si="36">IF(AA85=0,"",IFERROR(AA85/AA$19,""))</f>
        <v>#NAME?</v>
      </c>
      <c r="AD85" s="19"/>
      <c r="AE85" s="15" t="str">
        <f t="shared" ref="AE85:AE91" si="37">IF(AD85=0,"",IFERROR(AD85/AD$19,""))</f>
        <v/>
      </c>
      <c r="AF85" s="47" t="e">
        <f t="shared" ref="AF85:AF91" ca="1" si="38">IF(AND($AA85="",AD85=""),"",$AA85-AD85)</f>
        <v>#NAME?</v>
      </c>
      <c r="AG85" s="19">
        <v>1081.5</v>
      </c>
      <c r="AH85" s="15" t="str">
        <f ca="1">IF(AG85=0,"",IFERROR(AG85/AG$19,""))</f>
        <v/>
      </c>
      <c r="AI85" s="47" t="e">
        <f ca="1">IF(AND($AA85="",AG85=""),"",$AA85-AG85)</f>
        <v>#NAME?</v>
      </c>
      <c r="AJ85" s="371">
        <f ca="1">IFERROR(AA85/AA$20,0)</f>
        <v>0</v>
      </c>
      <c r="AK85" s="372">
        <f ca="1">IFERROR(AD85/AD$20,0)</f>
        <v>0</v>
      </c>
      <c r="AL85" s="373">
        <f ca="1">IFERROR(AG85/AG$20,0)</f>
        <v>0</v>
      </c>
      <c r="AM85" s="374">
        <f ca="1">+IFERROR(ROUND(($AB85-AE85)*100,2)&amp;" pts.",0)</f>
        <v>0</v>
      </c>
      <c r="AN85" s="375">
        <f ca="1">+IFERROR(ROUND(($AB85-AH85)*100,2)&amp;" pts.",0)</f>
        <v>0</v>
      </c>
    </row>
    <row r="86" spans="1:40" x14ac:dyDescent="0.2">
      <c r="A86" s="6" t="s">
        <v>5</v>
      </c>
      <c r="B86" s="7"/>
      <c r="H86" s="10" t="s">
        <v>832</v>
      </c>
      <c r="I86" s="25" t="e">
        <f ca="1">_xll.EVPRO($B$1,$H86,"STYLE")</f>
        <v>#NAME?</v>
      </c>
      <c r="J86" s="25" t="e">
        <f ca="1">_xll.EVPRO($B$1,$H86,"CALC")</f>
        <v>#NAME?</v>
      </c>
      <c r="K86" s="64" t="e">
        <f t="shared" ref="K86:K90" ca="1" si="39">IF(AND(I86&lt;&gt;"B1",J86="Y"),"&gt;","")</f>
        <v>#NAME?</v>
      </c>
      <c r="L86" s="24" t="e">
        <f ca="1">_xll.EVPRO($B$1,H86,"JDEID")</f>
        <v>#NAME?</v>
      </c>
      <c r="M86" s="24" t="e">
        <f ca="1">IF(AND(I86="N",J86="N"),_xll.EVPRO($B$1,H86,"PSFTID"),"")</f>
        <v>#NAME?</v>
      </c>
      <c r="N86" s="24" t="e">
        <f ca="1">IF(_xll.EVDES(H86,$B$1)="#NODATA","",_xll.EVDES(H86,$B$1))</f>
        <v>#NAME?</v>
      </c>
      <c r="O86" s="19"/>
      <c r="P86" s="19"/>
      <c r="Q86" s="19"/>
      <c r="R86" s="19"/>
      <c r="S86" s="19"/>
      <c r="T86" s="19"/>
      <c r="U86" s="19"/>
      <c r="V86" s="19"/>
      <c r="W86" s="19"/>
      <c r="X86" s="19"/>
      <c r="Y86" s="19"/>
      <c r="Z86" s="19"/>
      <c r="AA86" s="283" t="e">
        <f t="shared" ca="1" si="35"/>
        <v>#NAME?</v>
      </c>
      <c r="AB86" s="15" t="e">
        <f t="shared" ca="1" si="36"/>
        <v>#NAME?</v>
      </c>
      <c r="AD86" s="19"/>
      <c r="AE86" s="15" t="str">
        <f t="shared" si="37"/>
        <v/>
      </c>
      <c r="AF86" s="47" t="e">
        <f t="shared" ca="1" si="38"/>
        <v>#NAME?</v>
      </c>
      <c r="AG86" s="19">
        <v>4060.5</v>
      </c>
      <c r="AH86" s="15" t="str">
        <f t="shared" ref="AH86:AH90" ca="1" si="40">IF(AG86=0,"",IFERROR(AG86/AG$19,""))</f>
        <v/>
      </c>
      <c r="AI86" s="47" t="e">
        <f t="shared" ref="AI86:AI90" ca="1" si="41">IF(AND($AA86="",AG86=""),"",$AA86-AG86)</f>
        <v>#NAME?</v>
      </c>
      <c r="AJ86" s="371">
        <f t="shared" ref="AJ86:AJ90" ca="1" si="42">IFERROR(AA86/AA$20,0)</f>
        <v>0</v>
      </c>
      <c r="AK86" s="372">
        <f t="shared" ref="AK86:AK90" ca="1" si="43">IFERROR(AD86/AD$20,0)</f>
        <v>0</v>
      </c>
      <c r="AL86" s="373">
        <f t="shared" ref="AL86:AL90" ca="1" si="44">IFERROR(AG86/AG$20,0)</f>
        <v>0</v>
      </c>
      <c r="AM86" s="374">
        <f t="shared" ref="AM86:AM90" ca="1" si="45">+IFERROR(ROUND(($AB86-AE86)*100,2)&amp;" pts.",0)</f>
        <v>0</v>
      </c>
      <c r="AN86" s="375">
        <f t="shared" ref="AN86:AN90" ca="1" si="46">+IFERROR(ROUND(($AB86-AH86)*100,2)&amp;" pts.",0)</f>
        <v>0</v>
      </c>
    </row>
    <row r="87" spans="1:40" x14ac:dyDescent="0.2">
      <c r="A87" s="6" t="s">
        <v>6</v>
      </c>
      <c r="B87" s="7"/>
      <c r="H87" s="10" t="s">
        <v>857</v>
      </c>
      <c r="I87" s="25" t="e">
        <f ca="1">_xll.EVPRO($B$1,$H87,"STYLE")</f>
        <v>#NAME?</v>
      </c>
      <c r="J87" s="25" t="e">
        <f ca="1">_xll.EVPRO($B$1,$H87,"CALC")</f>
        <v>#NAME?</v>
      </c>
      <c r="K87" s="64" t="e">
        <f t="shared" ca="1" si="39"/>
        <v>#NAME?</v>
      </c>
      <c r="L87" s="24" t="e">
        <f ca="1">_xll.EVPRO($B$1,H87,"JDEID")</f>
        <v>#NAME?</v>
      </c>
      <c r="M87" s="24" t="e">
        <f ca="1">IF(AND(I87="N",J87="N"),_xll.EVPRO($B$1,H87,"PSFTID"),"")</f>
        <v>#NAME?</v>
      </c>
      <c r="N87" s="24" t="e">
        <f ca="1">IF(_xll.EVDES(H87,$B$1)="#NODATA","",_xll.EVDES(H87,$B$1))</f>
        <v>#NAME?</v>
      </c>
      <c r="O87" s="19"/>
      <c r="P87" s="19"/>
      <c r="Q87" s="19"/>
      <c r="R87" s="19"/>
      <c r="S87" s="19"/>
      <c r="T87" s="19"/>
      <c r="U87" s="19"/>
      <c r="V87" s="19"/>
      <c r="W87" s="19"/>
      <c r="X87" s="19"/>
      <c r="Y87" s="19"/>
      <c r="Z87" s="19"/>
      <c r="AA87" s="283" t="e">
        <f t="shared" ca="1" si="35"/>
        <v>#NAME?</v>
      </c>
      <c r="AB87" s="15" t="e">
        <f t="shared" ca="1" si="36"/>
        <v>#NAME?</v>
      </c>
      <c r="AD87" s="19"/>
      <c r="AE87" s="15" t="str">
        <f t="shared" si="37"/>
        <v/>
      </c>
      <c r="AF87" s="47" t="e">
        <f t="shared" ca="1" si="38"/>
        <v>#NAME?</v>
      </c>
      <c r="AG87" s="19">
        <v>14.96</v>
      </c>
      <c r="AH87" s="15" t="str">
        <f t="shared" ca="1" si="40"/>
        <v/>
      </c>
      <c r="AI87" s="47" t="e">
        <f t="shared" ca="1" si="41"/>
        <v>#NAME?</v>
      </c>
      <c r="AJ87" s="371">
        <f t="shared" ca="1" si="42"/>
        <v>0</v>
      </c>
      <c r="AK87" s="372">
        <f t="shared" ca="1" si="43"/>
        <v>0</v>
      </c>
      <c r="AL87" s="373">
        <f t="shared" ca="1" si="44"/>
        <v>0</v>
      </c>
      <c r="AM87" s="374">
        <f t="shared" ca="1" si="45"/>
        <v>0</v>
      </c>
      <c r="AN87" s="375">
        <f t="shared" ca="1" si="46"/>
        <v>0</v>
      </c>
    </row>
    <row r="88" spans="1:40" x14ac:dyDescent="0.2">
      <c r="A88" s="6" t="s">
        <v>7</v>
      </c>
      <c r="B88" s="7" t="e">
        <f ca="1">_xll.EVRNG(A102:F108)</f>
        <v>#NAME?</v>
      </c>
      <c r="H88" s="10" t="s">
        <v>858</v>
      </c>
      <c r="I88" s="25" t="e">
        <f ca="1">_xll.EVPRO($B$1,$H88,"STYLE")</f>
        <v>#NAME?</v>
      </c>
      <c r="J88" s="25" t="e">
        <f ca="1">_xll.EVPRO($B$1,$H88,"CALC")</f>
        <v>#NAME?</v>
      </c>
      <c r="K88" s="64" t="e">
        <f t="shared" ca="1" si="39"/>
        <v>#NAME?</v>
      </c>
      <c r="L88" s="24" t="e">
        <f ca="1">_xll.EVPRO($B$1,H88,"JDEID")</f>
        <v>#NAME?</v>
      </c>
      <c r="M88" s="24" t="e">
        <f ca="1">IF(AND(I88="N",J88="N"),_xll.EVPRO($B$1,H88,"PSFTID"),"")</f>
        <v>#NAME?</v>
      </c>
      <c r="N88" s="24" t="e">
        <f ca="1">IF(_xll.EVDES(H88,$B$1)="#NODATA","",_xll.EVDES(H88,$B$1))</f>
        <v>#NAME?</v>
      </c>
      <c r="O88" s="19"/>
      <c r="P88" s="19"/>
      <c r="Q88" s="19"/>
      <c r="R88" s="19"/>
      <c r="S88" s="19"/>
      <c r="T88" s="19"/>
      <c r="U88" s="19"/>
      <c r="V88" s="19"/>
      <c r="W88" s="19"/>
      <c r="X88" s="19"/>
      <c r="Y88" s="19"/>
      <c r="Z88" s="19"/>
      <c r="AA88" s="283" t="e">
        <f t="shared" ca="1" si="35"/>
        <v>#NAME?</v>
      </c>
      <c r="AB88" s="15" t="e">
        <f t="shared" ca="1" si="36"/>
        <v>#NAME?</v>
      </c>
      <c r="AD88" s="19"/>
      <c r="AE88" s="15" t="str">
        <f t="shared" si="37"/>
        <v/>
      </c>
      <c r="AF88" s="47" t="e">
        <f t="shared" ca="1" si="38"/>
        <v>#NAME?</v>
      </c>
      <c r="AG88" s="19">
        <v>73.599999999999994</v>
      </c>
      <c r="AH88" s="15" t="str">
        <f t="shared" ca="1" si="40"/>
        <v/>
      </c>
      <c r="AI88" s="47" t="e">
        <f t="shared" ca="1" si="41"/>
        <v>#NAME?</v>
      </c>
      <c r="AJ88" s="371">
        <f t="shared" ca="1" si="42"/>
        <v>0</v>
      </c>
      <c r="AK88" s="372">
        <f t="shared" ca="1" si="43"/>
        <v>0</v>
      </c>
      <c r="AL88" s="373">
        <f t="shared" ca="1" si="44"/>
        <v>0</v>
      </c>
      <c r="AM88" s="374">
        <f t="shared" ca="1" si="45"/>
        <v>0</v>
      </c>
      <c r="AN88" s="375">
        <f t="shared" ca="1" si="46"/>
        <v>0</v>
      </c>
    </row>
    <row r="89" spans="1:40" x14ac:dyDescent="0.2">
      <c r="A89" s="6" t="s">
        <v>47</v>
      </c>
      <c r="B89" s="7" t="e">
        <f ca="1">_xll.EVRNG($A$125:$B$130)</f>
        <v>#NAME?</v>
      </c>
      <c r="H89" s="10" t="s">
        <v>859</v>
      </c>
      <c r="I89" s="25" t="e">
        <f ca="1">_xll.EVPRO($B$1,$H89,"STYLE")</f>
        <v>#NAME?</v>
      </c>
      <c r="J89" s="25" t="e">
        <f ca="1">_xll.EVPRO($B$1,$H89,"CALC")</f>
        <v>#NAME?</v>
      </c>
      <c r="K89" s="64" t="e">
        <f t="shared" ca="1" si="39"/>
        <v>#NAME?</v>
      </c>
      <c r="L89" s="24" t="e">
        <f ca="1">_xll.EVPRO($B$1,H89,"JDEID")</f>
        <v>#NAME?</v>
      </c>
      <c r="M89" s="24" t="e">
        <f ca="1">IF(AND(I89="N",J89="N"),_xll.EVPRO($B$1,H89,"PSFTID"),"")</f>
        <v>#NAME?</v>
      </c>
      <c r="N89" s="24" t="e">
        <f ca="1">IF(_xll.EVDES(H89,$B$1)="#NODATA","",_xll.EVDES(H89,$B$1))</f>
        <v>#NAME?</v>
      </c>
      <c r="O89" s="19"/>
      <c r="P89" s="19"/>
      <c r="Q89" s="19"/>
      <c r="R89" s="19"/>
      <c r="S89" s="19"/>
      <c r="T89" s="19"/>
      <c r="U89" s="19"/>
      <c r="V89" s="19"/>
      <c r="W89" s="19"/>
      <c r="X89" s="19"/>
      <c r="Y89" s="19"/>
      <c r="Z89" s="19"/>
      <c r="AA89" s="283" t="e">
        <f t="shared" ca="1" si="35"/>
        <v>#NAME?</v>
      </c>
      <c r="AB89" s="15" t="e">
        <f t="shared" ca="1" si="36"/>
        <v>#NAME?</v>
      </c>
      <c r="AD89" s="19"/>
      <c r="AE89" s="15" t="str">
        <f t="shared" si="37"/>
        <v/>
      </c>
      <c r="AF89" s="47" t="e">
        <f t="shared" ca="1" si="38"/>
        <v>#NAME?</v>
      </c>
      <c r="AG89" s="19">
        <v>38.520000000000003</v>
      </c>
      <c r="AH89" s="15" t="str">
        <f t="shared" ca="1" si="40"/>
        <v/>
      </c>
      <c r="AI89" s="47" t="e">
        <f t="shared" ca="1" si="41"/>
        <v>#NAME?</v>
      </c>
      <c r="AJ89" s="371">
        <f t="shared" ca="1" si="42"/>
        <v>0</v>
      </c>
      <c r="AK89" s="372">
        <f t="shared" ca="1" si="43"/>
        <v>0</v>
      </c>
      <c r="AL89" s="373">
        <f t="shared" ca="1" si="44"/>
        <v>0</v>
      </c>
      <c r="AM89" s="374">
        <f t="shared" ca="1" si="45"/>
        <v>0</v>
      </c>
      <c r="AN89" s="375">
        <f t="shared" ca="1" si="46"/>
        <v>0</v>
      </c>
    </row>
    <row r="90" spans="1:40" x14ac:dyDescent="0.2">
      <c r="A90" s="6" t="s">
        <v>8</v>
      </c>
      <c r="B90" s="7"/>
      <c r="H90" s="10" t="s">
        <v>860</v>
      </c>
      <c r="I90" s="25" t="e">
        <f ca="1">_xll.EVPRO($B$1,$H90,"STYLE")</f>
        <v>#NAME?</v>
      </c>
      <c r="J90" s="25" t="e">
        <f ca="1">_xll.EVPRO($B$1,$H90,"CALC")</f>
        <v>#NAME?</v>
      </c>
      <c r="K90" s="64" t="e">
        <f t="shared" ca="1" si="39"/>
        <v>#NAME?</v>
      </c>
      <c r="L90" s="24" t="e">
        <f ca="1">_xll.EVPRO($B$1,H90,"JDEID")</f>
        <v>#NAME?</v>
      </c>
      <c r="M90" s="24" t="e">
        <f ca="1">IF(AND(I90="N",J90="N"),_xll.EVPRO($B$1,H90,"PSFTID"),"")</f>
        <v>#NAME?</v>
      </c>
      <c r="N90" s="24" t="e">
        <f ca="1">IF(_xll.EVDES(H90,$B$1)="#NODATA","",_xll.EVDES(H90,$B$1))</f>
        <v>#NAME?</v>
      </c>
      <c r="O90" s="19">
        <v>1009.74</v>
      </c>
      <c r="P90" s="19"/>
      <c r="Q90" s="19"/>
      <c r="R90" s="19"/>
      <c r="S90" s="19"/>
      <c r="T90" s="19"/>
      <c r="U90" s="19"/>
      <c r="V90" s="19"/>
      <c r="W90" s="19"/>
      <c r="X90" s="19"/>
      <c r="Y90" s="19"/>
      <c r="Z90" s="19">
        <v>792</v>
      </c>
      <c r="AA90" s="283" t="e">
        <f t="shared" ca="1" si="35"/>
        <v>#NAME?</v>
      </c>
      <c r="AB90" s="15" t="e">
        <f t="shared" ca="1" si="36"/>
        <v>#NAME?</v>
      </c>
      <c r="AD90" s="19"/>
      <c r="AE90" s="15" t="str">
        <f t="shared" si="37"/>
        <v/>
      </c>
      <c r="AF90" s="47" t="e">
        <f t="shared" ca="1" si="38"/>
        <v>#NAME?</v>
      </c>
      <c r="AG90" s="19">
        <v>30207.03</v>
      </c>
      <c r="AH90" s="15" t="str">
        <f t="shared" ca="1" si="40"/>
        <v/>
      </c>
      <c r="AI90" s="47" t="e">
        <f t="shared" ca="1" si="41"/>
        <v>#NAME?</v>
      </c>
      <c r="AJ90" s="371">
        <f t="shared" ca="1" si="42"/>
        <v>0</v>
      </c>
      <c r="AK90" s="372">
        <f t="shared" ca="1" si="43"/>
        <v>0</v>
      </c>
      <c r="AL90" s="373">
        <f t="shared" ca="1" si="44"/>
        <v>0</v>
      </c>
      <c r="AM90" s="374">
        <f t="shared" ca="1" si="45"/>
        <v>0</v>
      </c>
      <c r="AN90" s="375">
        <f t="shared" ca="1" si="46"/>
        <v>0</v>
      </c>
    </row>
    <row r="91" spans="1:40" x14ac:dyDescent="0.2">
      <c r="G91" s="13"/>
      <c r="H91" s="10" t="s">
        <v>79</v>
      </c>
      <c r="I91" s="25" t="e">
        <f ca="1">_xll.EVPRO($B$1,$H91,"STYLE")</f>
        <v>#NAME?</v>
      </c>
      <c r="J91" s="25" t="e">
        <f ca="1">_xll.EVPRO($B$1,$H91,"CALC")</f>
        <v>#NAME?</v>
      </c>
      <c r="K91" s="24"/>
      <c r="L91" s="24"/>
      <c r="M91" s="24"/>
      <c r="N91" s="23" t="e">
        <f ca="1">IF(_xll.EVDES(H91,$B$1)="#NODATA","",_xll.EVDES(H91,$B$1))</f>
        <v>#NAME?</v>
      </c>
      <c r="O91" s="30">
        <v>1009.74</v>
      </c>
      <c r="P91" s="30"/>
      <c r="Q91" s="30"/>
      <c r="R91" s="30"/>
      <c r="S91" s="30"/>
      <c r="T91" s="30"/>
      <c r="U91" s="30"/>
      <c r="V91" s="30"/>
      <c r="W91" s="30"/>
      <c r="X91" s="30"/>
      <c r="Y91" s="30"/>
      <c r="Z91" s="30">
        <v>792</v>
      </c>
      <c r="AA91" s="30" t="e">
        <f t="shared" ca="1" si="35"/>
        <v>#NAME?</v>
      </c>
      <c r="AB91" s="31" t="e">
        <f t="shared" ca="1" si="36"/>
        <v>#NAME?</v>
      </c>
      <c r="AD91" s="30"/>
      <c r="AE91" s="31" t="str">
        <f t="shared" si="37"/>
        <v/>
      </c>
      <c r="AF91" s="49" t="e">
        <f t="shared" ca="1" si="38"/>
        <v>#NAME?</v>
      </c>
      <c r="AG91" s="30">
        <v>35476.11</v>
      </c>
      <c r="AH91" s="31" t="str">
        <f ca="1">IF(AG91=0,"",IFERROR(AG91/AG$19,""))</f>
        <v/>
      </c>
      <c r="AI91" s="49" t="e">
        <f ca="1">IF(AND($AA91="",AG91=""),"",$AA91-AG91)</f>
        <v>#NAME?</v>
      </c>
      <c r="AJ91" s="387">
        <f ca="1">IFERROR(AA91/AA$20,0)</f>
        <v>0</v>
      </c>
      <c r="AK91" s="388">
        <f ca="1">IFERROR(AD91/AD$20,0)</f>
        <v>0</v>
      </c>
      <c r="AL91" s="389">
        <f ca="1">IFERROR(AG91/AG$20,0)</f>
        <v>0</v>
      </c>
      <c r="AM91" s="390">
        <f ca="1">+IFERROR(ROUND(($AB91-AE91)*100,2)&amp;" pts.",0)</f>
        <v>0</v>
      </c>
      <c r="AN91" s="408">
        <f ca="1">+IFERROR(ROUND(($AB91-AH91)*100,2)&amp;" pts.",0)</f>
        <v>0</v>
      </c>
    </row>
    <row r="92" spans="1:40" x14ac:dyDescent="0.2">
      <c r="A92" s="3" t="s">
        <v>9</v>
      </c>
      <c r="B92" s="5" t="s">
        <v>10</v>
      </c>
    </row>
    <row r="93" spans="1:40" x14ac:dyDescent="0.2">
      <c r="A93" s="6" t="s">
        <v>11</v>
      </c>
      <c r="B93" s="7" t="s">
        <v>21</v>
      </c>
      <c r="H93" s="10" t="s">
        <v>80</v>
      </c>
      <c r="I93" s="25" t="e">
        <f ca="1">_xll.EVPRO($B$1,$H93,"STYLE")</f>
        <v>#NAME?</v>
      </c>
      <c r="J93" s="25" t="e">
        <f ca="1">_xll.EVPRO($B$1,$H93,"CALC")</f>
        <v>#NAME?</v>
      </c>
      <c r="K93" s="23"/>
      <c r="L93" s="23"/>
      <c r="M93" s="23"/>
      <c r="N93" s="23" t="e">
        <f ca="1">IF(_xll.EVDES(H93,$B$1)="#NODATA","",_xll.EVDES(H93,$B$1))</f>
        <v>#NAME?</v>
      </c>
      <c r="O93" s="33">
        <v>3692.28</v>
      </c>
      <c r="P93" s="33"/>
      <c r="Q93" s="33"/>
      <c r="R93" s="33"/>
      <c r="S93" s="33"/>
      <c r="T93" s="33"/>
      <c r="U93" s="33"/>
      <c r="V93" s="33"/>
      <c r="W93" s="33"/>
      <c r="X93" s="33"/>
      <c r="Y93" s="33"/>
      <c r="Z93" s="33">
        <v>792</v>
      </c>
      <c r="AA93" s="33" t="e">
        <f ca="1">IF($I93="B1","",SUM(O93:Z93))</f>
        <v>#NAME?</v>
      </c>
      <c r="AB93" s="34" t="e">
        <f ca="1">IF(AA93=0,"",IFERROR(AA93/AA$19,""))</f>
        <v>#NAME?</v>
      </c>
      <c r="AD93" s="33"/>
      <c r="AE93" s="34" t="str">
        <f>IF(AD93=0,"",IFERROR(AD93/AD$19,""))</f>
        <v/>
      </c>
      <c r="AF93" s="55" t="e">
        <f ca="1">IF(AND($AA93="",AD93=""),"",$AA93-AD93)</f>
        <v>#NAME?</v>
      </c>
      <c r="AG93" s="56">
        <v>124744.14</v>
      </c>
      <c r="AH93" s="57" t="str">
        <f ca="1">IF(AG93=0,"",IFERROR(AG93/AG$19,""))</f>
        <v/>
      </c>
      <c r="AI93" s="55" t="e">
        <f ca="1">IF(AND($AA93="",AG93=""),"",$AA93-AG93)</f>
        <v>#NAME?</v>
      </c>
      <c r="AJ93" s="364">
        <f ca="1">IFERROR(AA93/AA$20,0)</f>
        <v>0</v>
      </c>
      <c r="AK93" s="365">
        <f ca="1">IFERROR(AD93/AD$20,0)</f>
        <v>0</v>
      </c>
      <c r="AL93" s="366">
        <f ca="1">IFERROR(AG93/AG$20,0)</f>
        <v>0</v>
      </c>
      <c r="AM93" s="367">
        <f ca="1">+IFERROR(ROUND(($AB93-AE93)*100,2)&amp;" pts.",0)</f>
        <v>0</v>
      </c>
      <c r="AN93" s="409">
        <f ca="1">+IFERROR(ROUND(($AB93-AH93)*100,2)&amp;" pts.",0)</f>
        <v>0</v>
      </c>
    </row>
    <row r="94" spans="1:40" ht="16" thickBot="1" x14ac:dyDescent="0.25">
      <c r="A94" s="6" t="s">
        <v>12</v>
      </c>
      <c r="B94" s="7" t="s">
        <v>22</v>
      </c>
      <c r="H94" s="10" t="s">
        <v>81</v>
      </c>
      <c r="I94" s="25" t="e">
        <f ca="1">_xll.EVPRO($B$1,$H94,"STYLE")</f>
        <v>#NAME?</v>
      </c>
      <c r="J94" s="25" t="e">
        <f ca="1">_xll.EVPRO($B$1,$H94,"CALC")</f>
        <v>#NAME?</v>
      </c>
      <c r="K94" s="23"/>
      <c r="L94" s="23"/>
      <c r="M94" s="23"/>
      <c r="N94" s="23" t="e">
        <f ca="1">IF(_xll.EVDES(H94,$B$1)="#NODATA","",_xll.EVDES(H94,$B$1))</f>
        <v>#NAME?</v>
      </c>
      <c r="O94" s="58">
        <v>6699.27</v>
      </c>
      <c r="P94" s="58"/>
      <c r="Q94" s="58"/>
      <c r="R94" s="58"/>
      <c r="S94" s="58"/>
      <c r="T94" s="58"/>
      <c r="U94" s="58"/>
      <c r="V94" s="58"/>
      <c r="W94" s="58"/>
      <c r="X94" s="58"/>
      <c r="Y94" s="58"/>
      <c r="Z94" s="58">
        <v>-792</v>
      </c>
      <c r="AA94" s="58" t="e">
        <f ca="1">IF($I94="B1","",SUM(O94:Z94))</f>
        <v>#NAME?</v>
      </c>
      <c r="AB94" s="59" t="e">
        <f ca="1">IF(AA94=0,"",IFERROR(AA94/AA$19,""))</f>
        <v>#NAME?</v>
      </c>
      <c r="AD94" s="58"/>
      <c r="AE94" s="59" t="str">
        <f>IF(AD94=0,"",IFERROR(AD94/AD$19,""))</f>
        <v/>
      </c>
      <c r="AF94" s="60" t="e">
        <f ca="1">IF(AND($AA94="",AD94=""),"",$AA94-AD94)</f>
        <v>#NAME?</v>
      </c>
      <c r="AG94" s="58">
        <v>243632.12</v>
      </c>
      <c r="AH94" s="59" t="str">
        <f ca="1">IF(AG94=0,"",IFERROR(AG94/AG$19,""))</f>
        <v/>
      </c>
      <c r="AI94" s="60" t="e">
        <f ca="1">IF(AND($AA94="",AG94=""),"",$AA94-AG94)</f>
        <v>#NAME?</v>
      </c>
      <c r="AJ94" s="402">
        <f ca="1">IFERROR(AA94/AA$20,0)</f>
        <v>0</v>
      </c>
      <c r="AK94" s="403">
        <f ca="1">IFERROR(AD94/AD$20,0)</f>
        <v>0</v>
      </c>
      <c r="AL94" s="404">
        <f ca="1">IFERROR(AG94/AG$20,0)</f>
        <v>0</v>
      </c>
      <c r="AM94" s="405">
        <f ca="1">+IFERROR(ROUND(($AB94-AE94)*100,2)&amp;" pts.",0)</f>
        <v>0</v>
      </c>
      <c r="AN94" s="410">
        <f ca="1">+IFERROR(ROUND(($AB94-AH94)*100,2)&amp;" pts.",0)</f>
        <v>0</v>
      </c>
    </row>
    <row r="95" spans="1:40" ht="16" thickTop="1" x14ac:dyDescent="0.2">
      <c r="A95" s="6" t="s">
        <v>13</v>
      </c>
      <c r="B95" s="7" t="s">
        <v>737</v>
      </c>
    </row>
    <row r="96" spans="1:40" x14ac:dyDescent="0.2">
      <c r="A96" s="6" t="s">
        <v>14</v>
      </c>
      <c r="B96" s="7"/>
      <c r="N96" s="24" t="e">
        <f ca="1">N93&amp;" - Check"</f>
        <v>#NAME?</v>
      </c>
      <c r="O96" s="124">
        <f t="shared" ref="O96:AA96" si="47">SUMIF($H$35:$H$94,"600000",O$35:O$94)+SUMIF($H$35:$H$94,"700000",O$35:O$94)-SUMIF($H$35:$H$94,"TOTDEPTEXP",O$35:O$94)</f>
        <v>0</v>
      </c>
      <c r="P96" s="124">
        <f t="shared" si="47"/>
        <v>0</v>
      </c>
      <c r="Q96" s="124">
        <f t="shared" si="47"/>
        <v>0</v>
      </c>
      <c r="R96" s="124">
        <f t="shared" si="47"/>
        <v>0</v>
      </c>
      <c r="S96" s="124">
        <f t="shared" si="47"/>
        <v>0</v>
      </c>
      <c r="T96" s="124">
        <f t="shared" si="47"/>
        <v>0</v>
      </c>
      <c r="U96" s="124">
        <f t="shared" si="47"/>
        <v>0</v>
      </c>
      <c r="V96" s="124">
        <f t="shared" si="47"/>
        <v>0</v>
      </c>
      <c r="W96" s="124">
        <f t="shared" si="47"/>
        <v>0</v>
      </c>
      <c r="X96" s="124">
        <f t="shared" si="47"/>
        <v>0</v>
      </c>
      <c r="Y96" s="124">
        <f t="shared" si="47"/>
        <v>0</v>
      </c>
      <c r="Z96" s="124">
        <f t="shared" si="47"/>
        <v>0</v>
      </c>
      <c r="AA96" s="124" t="e">
        <f t="shared" ca="1" si="47"/>
        <v>#NAME?</v>
      </c>
      <c r="AB96" s="15"/>
      <c r="AD96" s="124">
        <f>SUMIF($H$35:$H$94,"600000",AD$35:AD$94)+SUMIF($H$35:$H$94,"700000",AD$35:AD$94)-SUMIF($H$35:$H$94,"TOTDEPTEXP",AD$35:AD$94)</f>
        <v>0</v>
      </c>
      <c r="AE96" s="15"/>
      <c r="AF96" s="19"/>
      <c r="AG96" s="124">
        <f>SUMIF($H$35:$H$94,"600000",AG$35:AG$94)+SUMIF($H$35:$H$94,"700000",AG$35:AG$94)-SUMIF($H$35:$H$94,"TOTDEPTEXP",AG$35:AG$94)</f>
        <v>0</v>
      </c>
      <c r="AH96" s="15"/>
      <c r="AI96" s="19"/>
    </row>
    <row r="97" spans="1:35" x14ac:dyDescent="0.2">
      <c r="A97" s="6" t="s">
        <v>15</v>
      </c>
      <c r="B97" s="7"/>
      <c r="N97" s="24" t="e">
        <f ca="1">N94&amp;" - Check"</f>
        <v>#NAME?</v>
      </c>
      <c r="O97" s="124">
        <f t="shared" ref="O97:AA97" si="48">SUMIF($H$35:$H$94,"KPI_GP",O$35:O$94)-SUMIF($H$35:$H$94,"TOTDEPTEXP",O$35:O$94)-SUMIF($H$35:$H$94,"TOTDEPTPL",O$35:O$94)</f>
        <v>0</v>
      </c>
      <c r="P97" s="124">
        <f t="shared" si="48"/>
        <v>0</v>
      </c>
      <c r="Q97" s="124">
        <f t="shared" si="48"/>
        <v>0</v>
      </c>
      <c r="R97" s="124">
        <f t="shared" si="48"/>
        <v>0</v>
      </c>
      <c r="S97" s="124">
        <f t="shared" si="48"/>
        <v>0</v>
      </c>
      <c r="T97" s="124">
        <f t="shared" si="48"/>
        <v>0</v>
      </c>
      <c r="U97" s="124">
        <f t="shared" si="48"/>
        <v>0</v>
      </c>
      <c r="V97" s="124">
        <f t="shared" si="48"/>
        <v>0</v>
      </c>
      <c r="W97" s="124">
        <f t="shared" si="48"/>
        <v>0</v>
      </c>
      <c r="X97" s="124">
        <f t="shared" si="48"/>
        <v>0</v>
      </c>
      <c r="Y97" s="124">
        <f t="shared" si="48"/>
        <v>0</v>
      </c>
      <c r="Z97" s="124">
        <f t="shared" si="48"/>
        <v>0</v>
      </c>
      <c r="AA97" s="124" t="e">
        <f t="shared" ca="1" si="48"/>
        <v>#NAME?</v>
      </c>
      <c r="AB97" s="15"/>
      <c r="AD97" s="124">
        <f>SUMIF($H$35:$H$94,"KPI_GP",AD$35:AD$94)-SUMIF($H$35:$H$94,"TOTDEPTEXP",AD$35:AD$94)-SUMIF($H$35:$H$94,"TOTDEPTPL",AD$35:AD$94)</f>
        <v>0</v>
      </c>
      <c r="AE97" s="15"/>
      <c r="AF97" s="19"/>
      <c r="AG97" s="124">
        <f>SUMIF($H$35:$H$94,"KPI_GP",AG$35:AG$94)-SUMIF($H$35:$H$94,"TOTDEPTEXP",AG$35:AG$94)-SUMIF($H$35:$H$94,"TOTDEPTPL",AG$35:AG$94)</f>
        <v>0</v>
      </c>
      <c r="AH97" s="15"/>
      <c r="AI97" s="19"/>
    </row>
    <row r="98" spans="1:35" x14ac:dyDescent="0.2">
      <c r="A98" s="6" t="s">
        <v>16</v>
      </c>
      <c r="B98" s="7" t="s">
        <v>78</v>
      </c>
    </row>
    <row r="99" spans="1:35" x14ac:dyDescent="0.2">
      <c r="A99" s="6" t="s">
        <v>17</v>
      </c>
      <c r="B99" s="7"/>
      <c r="O99" s="147"/>
      <c r="P99" s="147"/>
      <c r="Q99" s="147"/>
      <c r="R99" s="147"/>
      <c r="S99" s="147"/>
      <c r="T99" s="147"/>
      <c r="U99" s="147"/>
      <c r="V99" s="147"/>
      <c r="W99" s="147"/>
      <c r="X99" s="147"/>
      <c r="Y99" s="147"/>
      <c r="Z99" s="147"/>
      <c r="AA99" s="147"/>
      <c r="AD99" s="147"/>
      <c r="AG99" s="147"/>
    </row>
    <row r="100" spans="1:35" ht="16" x14ac:dyDescent="0.2">
      <c r="N100" s="155" t="s">
        <v>802</v>
      </c>
      <c r="O100" s="147"/>
    </row>
    <row r="101" spans="1:35" x14ac:dyDescent="0.2">
      <c r="A101" s="20" t="s">
        <v>92</v>
      </c>
      <c r="B101" s="21" t="s">
        <v>93</v>
      </c>
      <c r="C101" s="21" t="s">
        <v>94</v>
      </c>
      <c r="D101" s="21" t="s">
        <v>95</v>
      </c>
      <c r="E101" s="21" t="s">
        <v>96</v>
      </c>
      <c r="F101" s="22" t="s">
        <v>97</v>
      </c>
      <c r="H101" s="11" t="s">
        <v>273</v>
      </c>
      <c r="I101" s="25" t="e">
        <f ca="1">_xll.EVPRO($B$1,$H101,"STYLE")</f>
        <v>#NAME?</v>
      </c>
      <c r="J101" s="25" t="e">
        <f ca="1">_xll.EVPRO($B$1,$H101,"CALC")</f>
        <v>#NAME?</v>
      </c>
      <c r="N101" s="455" t="e">
        <f ca="1">IF(_xll.EVDES(H101,$B$1)="#NODATA","",_xll.EVDES(H101,$B$1))</f>
        <v>#NAME?</v>
      </c>
      <c r="O101" s="456" t="e">
        <f ca="1">_xll.EVGET($B$1,$H101,$B$3,O$17,$B$5,$B$6,$B$7,O$18,$B$9,O$16)</f>
        <v>#NAME?</v>
      </c>
      <c r="P101" s="456" t="e">
        <f ca="1">_xll.EVGET($B$1,$H101,$B$3,P$17,$B$5,$B$6,$B$7,P$18,$B$9,P$16)</f>
        <v>#NAME?</v>
      </c>
      <c r="Q101" s="456" t="e">
        <f ca="1">_xll.EVGET($B$1,$H101,$B$3,Q$17,$B$5,$B$6,$B$7,Q$18,$B$9,Q$16)</f>
        <v>#NAME?</v>
      </c>
      <c r="R101" s="456" t="e">
        <f ca="1">_xll.EVGET($B$1,$H101,$B$3,R$17,$B$5,$B$6,$B$7,R$18,$B$9,R$16)</f>
        <v>#NAME?</v>
      </c>
      <c r="S101" s="456" t="e">
        <f ca="1">_xll.EVGET($B$1,$H101,$B$3,S$17,$B$5,$B$6,$B$7,S$18,$B$9,S$16)</f>
        <v>#NAME?</v>
      </c>
      <c r="T101" s="456" t="e">
        <f ca="1">_xll.EVGET($B$1,$H101,$B$3,T$17,$B$5,$B$6,$B$7,T$18,$B$9,T$16)</f>
        <v>#NAME?</v>
      </c>
      <c r="U101" s="456" t="e">
        <f ca="1">_xll.EVGET($B$1,$H101,$B$3,U$17,$B$5,$B$6,$B$7,U$18,$B$9,U$16)</f>
        <v>#NAME?</v>
      </c>
      <c r="V101" s="456" t="e">
        <f ca="1">_xll.EVGET($B$1,$H101,$B$3,V$17,$B$5,$B$6,$B$7,V$18,$B$9,V$16)</f>
        <v>#NAME?</v>
      </c>
      <c r="W101" s="456" t="e">
        <f ca="1">_xll.EVGET($B$1,$H101,$B$3,W$17,$B$5,$B$6,$B$7,W$18,$B$9,W$16)</f>
        <v>#NAME?</v>
      </c>
      <c r="X101" s="456" t="e">
        <f ca="1">_xll.EVGET($B$1,$H101,$B$3,X$17,$B$5,$B$6,$B$7,X$18,$B$9,X$16)</f>
        <v>#NAME?</v>
      </c>
      <c r="Y101" s="456" t="e">
        <f ca="1">_xll.EVGET($B$1,$H101,$B$3,Y$17,$B$5,$B$6,$B$7,Y$18,$B$9,Y$16)</f>
        <v>#NAME?</v>
      </c>
      <c r="Z101" s="456" t="e">
        <f ca="1">_xll.EVGET($B$1,$H101,$B$3,Z$17,$B$5,$B$6,$B$7,Z$18,$B$9,Z$16)</f>
        <v>#NAME?</v>
      </c>
      <c r="AA101" s="456" t="e">
        <f ca="1">_xll.EVGET($B$1,$H101,$B$3,AA$17,$B$5,$B$6,$B$7,AA$18,$B$9,AA$16)</f>
        <v>#NAME?</v>
      </c>
      <c r="AB101" s="456"/>
      <c r="AC101" s="456"/>
      <c r="AD101" s="456" t="e">
        <f ca="1">_xll.EVGET($B$1,$H101,$B$3,AD$17,$B$5,$B$6,$B$7,AD$18,$B$9,AD$16)</f>
        <v>#NAME?</v>
      </c>
      <c r="AE101" s="456"/>
      <c r="AF101" s="456"/>
      <c r="AG101" s="456" t="e">
        <f ca="1">_xll.EVGET($B$1,$H101,$B$3,AG$17,$B$5,$B$6,$B$7,AG$18,$B$9,AG$16)</f>
        <v>#NAME?</v>
      </c>
      <c r="AH101" s="456"/>
      <c r="AI101" s="456"/>
    </row>
    <row r="102" spans="1:35" x14ac:dyDescent="0.2">
      <c r="H102" s="11" t="s">
        <v>273</v>
      </c>
      <c r="I102" s="25" t="e">
        <f ca="1">_xll.EVPRO($B$1,$H102,"STYLE")</f>
        <v>#NAME?</v>
      </c>
      <c r="J102" s="25" t="e">
        <f ca="1">_xll.EVPRO($B$1,$H102,"CALC")</f>
        <v>#NAME?</v>
      </c>
      <c r="N102" s="457" t="s">
        <v>803</v>
      </c>
      <c r="O102" s="428">
        <f ca="1">IFERROR(_xll.EVGET($B$1,$H102,$B$3,O$17,$B$5,$G126,$B$7,O$18,$B$9,O$16)/O101,0)</f>
        <v>0</v>
      </c>
      <c r="P102" s="428">
        <f ca="1">IFERROR(_xll.EVGET($B$1,$H102,$B$3,P$17,$B$5,$G126,$B$7,P$18,$B$9,P$16)/P101,0)</f>
        <v>0</v>
      </c>
      <c r="Q102" s="428">
        <f ca="1">IFERROR(_xll.EVGET($B$1,$H102,$B$3,Q$17,$B$5,$G126,$B$7,Q$18,$B$9,Q$16)/Q101,0)</f>
        <v>0</v>
      </c>
      <c r="R102" s="428">
        <f ca="1">IFERROR(_xll.EVGET($B$1,$H102,$B$3,R$17,$B$5,$G126,$B$7,R$18,$B$9,R$16)/R101,0)</f>
        <v>0</v>
      </c>
      <c r="S102" s="428">
        <f ca="1">IFERROR(_xll.EVGET($B$1,$H102,$B$3,S$17,$B$5,$G126,$B$7,S$18,$B$9,S$16)/S101,0)</f>
        <v>0</v>
      </c>
      <c r="T102" s="428">
        <f ca="1">IFERROR(_xll.EVGET($B$1,$H102,$B$3,T$17,$B$5,$G126,$B$7,T$18,$B$9,T$16)/T101,0)</f>
        <v>0</v>
      </c>
      <c r="U102" s="428">
        <f ca="1">IFERROR(_xll.EVGET($B$1,$H102,$B$3,U$17,$B$5,$G126,$B$7,U$18,$B$9,U$16)/U101,0)</f>
        <v>0</v>
      </c>
      <c r="V102" s="428">
        <f ca="1">IFERROR(_xll.EVGET($B$1,$H102,$B$3,V$17,$B$5,$G126,$B$7,V$18,$B$9,V$16)/V101,0)</f>
        <v>0</v>
      </c>
      <c r="W102" s="428">
        <f ca="1">IFERROR(_xll.EVGET($B$1,$H102,$B$3,W$17,$B$5,$G126,$B$7,W$18,$B$9,W$16)/W101,0)</f>
        <v>0</v>
      </c>
      <c r="X102" s="428">
        <f ca="1">IFERROR(_xll.EVGET($B$1,$H102,$B$3,X$17,$B$5,$G126,$B$7,X$18,$B$9,X$16)/X101,0)</f>
        <v>0</v>
      </c>
      <c r="Y102" s="428">
        <f ca="1">IFERROR(_xll.EVGET($B$1,$H102,$B$3,Y$17,$B$5,$G126,$B$7,Y$18,$B$9,Y$16)/Y101,0)</f>
        <v>0</v>
      </c>
      <c r="Z102" s="428">
        <f ca="1">IFERROR(_xll.EVGET($B$1,$H102,$B$3,Z$17,$B$5,$G126,$B$7,Z$18,$B$9,Z$16)/Z101,0)</f>
        <v>0</v>
      </c>
      <c r="AA102" s="428">
        <f ca="1">IFERROR(_xll.EVGET($B$1,$H102,$B$3,AA$17,$B$5,$G126,$B$7,AA$18,$B$9,AA$16)/AA101,0)</f>
        <v>0</v>
      </c>
      <c r="AB102" s="428"/>
      <c r="AC102" s="428"/>
      <c r="AD102" s="428">
        <f ca="1">IFERROR(_xll.EVGET($B$1,$H102,$B$3,AD$17,$B$5,$G126,$B$7,AD$18,$B$9,AD$16)/AD101,0)</f>
        <v>0</v>
      </c>
      <c r="AE102" s="428"/>
      <c r="AF102" s="428"/>
      <c r="AG102" s="428">
        <f ca="1">IFERROR(_xll.EVGET($B$1,$H102,$B$3,AG$17,$B$5,$G126,$B$7,AG$18,$B$9,AG$16)/AG101,0)</f>
        <v>0</v>
      </c>
      <c r="AH102" s="428"/>
      <c r="AI102" s="428"/>
    </row>
    <row r="103" spans="1:35" x14ac:dyDescent="0.2">
      <c r="A103" s="1" t="s">
        <v>108</v>
      </c>
      <c r="C103" s="24" t="s">
        <v>101</v>
      </c>
      <c r="D103" s="1" t="s">
        <v>106</v>
      </c>
      <c r="F103" s="1" t="s">
        <v>98</v>
      </c>
      <c r="H103" s="11" t="s">
        <v>273</v>
      </c>
      <c r="I103" s="25" t="e">
        <f ca="1">_xll.EVPRO($B$1,$H103,"STYLE")</f>
        <v>#NAME?</v>
      </c>
      <c r="J103" s="25" t="e">
        <f ca="1">_xll.EVPRO($B$1,$H103,"CALC")</f>
        <v>#NAME?</v>
      </c>
      <c r="N103" s="457" t="s">
        <v>804</v>
      </c>
      <c r="O103" s="428">
        <f ca="1">IFERROR(_xll.EVGET($B$1,$H103,$B$3,O$17,$B$5,$G127,$B$7,O$18,$B$9,O$16)/O101,0)</f>
        <v>0</v>
      </c>
      <c r="P103" s="428">
        <f ca="1">IFERROR(_xll.EVGET($B$1,$H103,$B$3,P$17,$B$5,$G127,$B$7,P$18,$B$9,P$16)/P101,0)</f>
        <v>0</v>
      </c>
      <c r="Q103" s="428">
        <f ca="1">IFERROR(_xll.EVGET($B$1,$H103,$B$3,Q$17,$B$5,$G127,$B$7,Q$18,$B$9,Q$16)/Q101,0)</f>
        <v>0</v>
      </c>
      <c r="R103" s="428">
        <f ca="1">IFERROR(_xll.EVGET($B$1,$H103,$B$3,R$17,$B$5,$G127,$B$7,R$18,$B$9,R$16)/R101,0)</f>
        <v>0</v>
      </c>
      <c r="S103" s="428">
        <f ca="1">IFERROR(_xll.EVGET($B$1,$H103,$B$3,S$17,$B$5,$G127,$B$7,S$18,$B$9,S$16)/S101,0)</f>
        <v>0</v>
      </c>
      <c r="T103" s="428">
        <f ca="1">IFERROR(_xll.EVGET($B$1,$H103,$B$3,T$17,$B$5,$G127,$B$7,T$18,$B$9,T$16)/T101,0)</f>
        <v>0</v>
      </c>
      <c r="U103" s="428">
        <f ca="1">IFERROR(_xll.EVGET($B$1,$H103,$B$3,U$17,$B$5,$G127,$B$7,U$18,$B$9,U$16)/U101,0)</f>
        <v>0</v>
      </c>
      <c r="V103" s="428">
        <f ca="1">IFERROR(_xll.EVGET($B$1,$H103,$B$3,V$17,$B$5,$G127,$B$7,V$18,$B$9,V$16)/V101,0)</f>
        <v>0</v>
      </c>
      <c r="W103" s="428">
        <f ca="1">IFERROR(_xll.EVGET($B$1,$H103,$B$3,W$17,$B$5,$G127,$B$7,W$18,$B$9,W$16)/W101,0)</f>
        <v>0</v>
      </c>
      <c r="X103" s="428">
        <f ca="1">IFERROR(_xll.EVGET($B$1,$H103,$B$3,X$17,$B$5,$G127,$B$7,X$18,$B$9,X$16)/X101,0)</f>
        <v>0</v>
      </c>
      <c r="Y103" s="428">
        <f ca="1">IFERROR(_xll.EVGET($B$1,$H103,$B$3,Y$17,$B$5,$G127,$B$7,Y$18,$B$9,Y$16)/Y101,0)</f>
        <v>0</v>
      </c>
      <c r="Z103" s="428">
        <f ca="1">IFERROR(_xll.EVGET($B$1,$H103,$B$3,Z$17,$B$5,$G127,$B$7,Z$18,$B$9,Z$16)/Z101,0)</f>
        <v>0</v>
      </c>
      <c r="AA103" s="428">
        <f ca="1">IFERROR(_xll.EVGET($B$1,$H103,$B$3,AA$17,$B$5,$G127,$B$7,AA$18,$B$9,AA$16)/AA101,0)</f>
        <v>0</v>
      </c>
      <c r="AB103" s="428"/>
      <c r="AC103" s="428"/>
      <c r="AD103" s="428">
        <f ca="1">IFERROR(_xll.EVGET($B$1,$H103,$B$3,AD$17,$B$5,$G127,$B$7,AD$18,$B$9,AD$16)/AD101,0)</f>
        <v>0</v>
      </c>
      <c r="AE103" s="428"/>
      <c r="AF103" s="428"/>
      <c r="AG103" s="428">
        <f ca="1">IFERROR(_xll.EVGET($B$1,$H103,$B$3,AG$17,$B$5,$G127,$B$7,AG$18,$B$9,AG$16)/AG101,0)</f>
        <v>0</v>
      </c>
      <c r="AH103" s="428"/>
      <c r="AI103" s="428"/>
    </row>
    <row r="104" spans="1:35" x14ac:dyDescent="0.2">
      <c r="A104" s="1" t="s">
        <v>100</v>
      </c>
      <c r="C104" s="8" t="s">
        <v>101</v>
      </c>
      <c r="D104" s="1" t="s">
        <v>106</v>
      </c>
      <c r="F104" s="1" t="s">
        <v>98</v>
      </c>
      <c r="H104" s="11" t="s">
        <v>265</v>
      </c>
      <c r="I104" s="25" t="e">
        <f ca="1">_xll.EVPRO($B$1,$H104,"STYLE")</f>
        <v>#NAME?</v>
      </c>
      <c r="J104" s="25" t="e">
        <f ca="1">_xll.EVPRO($B$1,$H104,"CALC")</f>
        <v>#NAME?</v>
      </c>
      <c r="N104" s="455" t="e">
        <f ca="1">IF(_xll.EVDES(H104,$B$1)="#NODATA","",_xll.EVDES(H104,$B$1))</f>
        <v>#NAME?</v>
      </c>
      <c r="O104" s="456" t="e">
        <f ca="1">_xll.EVGET($B$1,$H104,$B$3,O$17,$B$5,$B$6,$B$7,O$18,$B$9,O$16)</f>
        <v>#NAME?</v>
      </c>
      <c r="P104" s="456" t="e">
        <f ca="1">_xll.EVGET($B$1,$H104,$B$3,P$17,$B$5,$B$6,$B$7,P$18,$B$9,P$16)</f>
        <v>#NAME?</v>
      </c>
      <c r="Q104" s="456" t="e">
        <f ca="1">_xll.EVGET($B$1,$H104,$B$3,Q$17,$B$5,$B$6,$B$7,Q$18,$B$9,Q$16)</f>
        <v>#NAME?</v>
      </c>
      <c r="R104" s="456" t="e">
        <f ca="1">_xll.EVGET($B$1,$H104,$B$3,R$17,$B$5,$B$6,$B$7,R$18,$B$9,R$16)</f>
        <v>#NAME?</v>
      </c>
      <c r="S104" s="456" t="e">
        <f ca="1">_xll.EVGET($B$1,$H104,$B$3,S$17,$B$5,$B$6,$B$7,S$18,$B$9,S$16)</f>
        <v>#NAME?</v>
      </c>
      <c r="T104" s="456" t="e">
        <f ca="1">_xll.EVGET($B$1,$H104,$B$3,T$17,$B$5,$B$6,$B$7,T$18,$B$9,T$16)</f>
        <v>#NAME?</v>
      </c>
      <c r="U104" s="456" t="e">
        <f ca="1">_xll.EVGET($B$1,$H104,$B$3,U$17,$B$5,$B$6,$B$7,U$18,$B$9,U$16)</f>
        <v>#NAME?</v>
      </c>
      <c r="V104" s="456" t="e">
        <f ca="1">_xll.EVGET($B$1,$H104,$B$3,V$17,$B$5,$B$6,$B$7,V$18,$B$9,V$16)</f>
        <v>#NAME?</v>
      </c>
      <c r="W104" s="456" t="e">
        <f ca="1">_xll.EVGET($B$1,$H104,$B$3,W$17,$B$5,$B$6,$B$7,W$18,$B$9,W$16)</f>
        <v>#NAME?</v>
      </c>
      <c r="X104" s="456" t="e">
        <f ca="1">_xll.EVGET($B$1,$H104,$B$3,X$17,$B$5,$B$6,$B$7,X$18,$B$9,X$16)</f>
        <v>#NAME?</v>
      </c>
      <c r="Y104" s="456" t="e">
        <f ca="1">_xll.EVGET($B$1,$H104,$B$3,Y$17,$B$5,$B$6,$B$7,Y$18,$B$9,Y$16)</f>
        <v>#NAME?</v>
      </c>
      <c r="Z104" s="456" t="e">
        <f ca="1">_xll.EVGET($B$1,$H104,$B$3,Z$17,$B$5,$B$6,$B$7,Z$18,$B$9,Z$16)</f>
        <v>#NAME?</v>
      </c>
      <c r="AA104" s="456" t="e">
        <f ca="1">_xll.EVGET($B$1,$H104,$B$3,AA$17,$B$5,$B$6,$B$7,AA$18,$B$9,AA$16)</f>
        <v>#NAME?</v>
      </c>
      <c r="AB104" s="456"/>
      <c r="AC104" s="456"/>
      <c r="AD104" s="456" t="e">
        <f ca="1">_xll.EVGET($B$1,$H104,$B$3,AD$17,$B$5,$B$6,$B$7,AD$18,$B$9,AD$16)</f>
        <v>#NAME?</v>
      </c>
      <c r="AE104" s="456"/>
      <c r="AF104" s="456"/>
      <c r="AG104" s="456" t="e">
        <f ca="1">_xll.EVGET($B$1,$H104,$B$3,AG$17,$B$5,$B$6,$B$7,AG$18,$B$9,AG$16)</f>
        <v>#NAME?</v>
      </c>
      <c r="AH104" s="456"/>
      <c r="AI104" s="456"/>
    </row>
    <row r="105" spans="1:35" x14ac:dyDescent="0.2">
      <c r="A105" s="1" t="s">
        <v>109</v>
      </c>
      <c r="C105" s="23" t="s">
        <v>101</v>
      </c>
      <c r="D105" s="1" t="s">
        <v>106</v>
      </c>
      <c r="F105" s="1" t="s">
        <v>98</v>
      </c>
      <c r="G105" s="13"/>
      <c r="H105" s="11" t="s">
        <v>265</v>
      </c>
      <c r="I105" s="25" t="e">
        <f ca="1">_xll.EVPRO($B$1,$H105,"STYLE")</f>
        <v>#NAME?</v>
      </c>
      <c r="J105" s="25" t="e">
        <f ca="1">_xll.EVPRO($B$1,$H105,"CALC")</f>
        <v>#NAME?</v>
      </c>
      <c r="N105" s="457" t="s">
        <v>803</v>
      </c>
      <c r="O105" s="428">
        <f ca="1">IFERROR(_xll.EVGET($B$1,$H105,$B$3,O$17,$B$5,$G129,$B$7,O$18,$B$9,O$16)/O104,0)</f>
        <v>0</v>
      </c>
      <c r="P105" s="428">
        <f ca="1">IFERROR(_xll.EVGET($B$1,$H105,$B$3,P$17,$B$5,$G129,$B$7,P$18,$B$9,P$16)/P104,0)</f>
        <v>0</v>
      </c>
      <c r="Q105" s="428">
        <f ca="1">IFERROR(_xll.EVGET($B$1,$H105,$B$3,Q$17,$B$5,$G129,$B$7,Q$18,$B$9,Q$16)/Q104,0)</f>
        <v>0</v>
      </c>
      <c r="R105" s="428">
        <f ca="1">IFERROR(_xll.EVGET($B$1,$H105,$B$3,R$17,$B$5,$G129,$B$7,R$18,$B$9,R$16)/R104,0)</f>
        <v>0</v>
      </c>
      <c r="S105" s="428">
        <f ca="1">IFERROR(_xll.EVGET($B$1,$H105,$B$3,S$17,$B$5,$G129,$B$7,S$18,$B$9,S$16)/S104,0)</f>
        <v>0</v>
      </c>
      <c r="T105" s="428">
        <f ca="1">IFERROR(_xll.EVGET($B$1,$H105,$B$3,T$17,$B$5,$G129,$B$7,T$18,$B$9,T$16)/T104,0)</f>
        <v>0</v>
      </c>
      <c r="U105" s="428">
        <f ca="1">IFERROR(_xll.EVGET($B$1,$H105,$B$3,U$17,$B$5,$G129,$B$7,U$18,$B$9,U$16)/U104,0)</f>
        <v>0</v>
      </c>
      <c r="V105" s="428">
        <f ca="1">IFERROR(_xll.EVGET($B$1,$H105,$B$3,V$17,$B$5,$G129,$B$7,V$18,$B$9,V$16)/V104,0)</f>
        <v>0</v>
      </c>
      <c r="W105" s="428">
        <f ca="1">IFERROR(_xll.EVGET($B$1,$H105,$B$3,W$17,$B$5,$G129,$B$7,W$18,$B$9,W$16)/W104,0)</f>
        <v>0</v>
      </c>
      <c r="X105" s="428">
        <f ca="1">IFERROR(_xll.EVGET($B$1,$H105,$B$3,X$17,$B$5,$G129,$B$7,X$18,$B$9,X$16)/X104,0)</f>
        <v>0</v>
      </c>
      <c r="Y105" s="428">
        <f ca="1">IFERROR(_xll.EVGET($B$1,$H105,$B$3,Y$17,$B$5,$G129,$B$7,Y$18,$B$9,Y$16)/Y104,0)</f>
        <v>0</v>
      </c>
      <c r="Z105" s="428">
        <f ca="1">IFERROR(_xll.EVGET($B$1,$H105,$B$3,Z$17,$B$5,$G129,$B$7,Z$18,$B$9,Z$16)/Z104,0)</f>
        <v>0</v>
      </c>
      <c r="AA105" s="428">
        <f ca="1">IFERROR(_xll.EVGET($B$1,$H105,$B$3,AA$17,$B$5,$G129,$B$7,AA$18,$B$9,AA$16)/AA104,0)</f>
        <v>0</v>
      </c>
      <c r="AB105" s="428"/>
      <c r="AC105" s="428"/>
      <c r="AD105" s="428">
        <f ca="1">IFERROR(_xll.EVGET($B$1,$H105,$B$3,AD$17,$B$5,$G129,$B$7,AD$18,$B$9,AD$16)/AD104,0)</f>
        <v>0</v>
      </c>
      <c r="AE105" s="428"/>
      <c r="AF105" s="428"/>
      <c r="AG105" s="428">
        <f ca="1">IFERROR(_xll.EVGET($B$1,$H105,$B$3,AG$17,$B$5,$G129,$B$7,AG$18,$B$9,AG$16)/AG104,0)</f>
        <v>0</v>
      </c>
      <c r="AH105" s="428"/>
      <c r="AI105" s="428"/>
    </row>
    <row r="106" spans="1:35" x14ac:dyDescent="0.2">
      <c r="A106" s="1" t="s">
        <v>109</v>
      </c>
      <c r="C106" s="135" t="s">
        <v>101</v>
      </c>
      <c r="D106" s="1" t="s">
        <v>107</v>
      </c>
      <c r="F106" s="1" t="s">
        <v>99</v>
      </c>
      <c r="H106" s="11" t="s">
        <v>265</v>
      </c>
      <c r="I106" s="25" t="e">
        <f ca="1">_xll.EVPRO($B$1,$H106,"STYLE")</f>
        <v>#NAME?</v>
      </c>
      <c r="J106" s="25" t="e">
        <f ca="1">_xll.EVPRO($B$1,$H106,"CALC")</f>
        <v>#NAME?</v>
      </c>
      <c r="N106" s="457" t="s">
        <v>804</v>
      </c>
      <c r="O106" s="428">
        <f ca="1">IFERROR(_xll.EVGET($B$1,$H106,$B$3,O$17,$B$5,$G130,$B$7,O$18,$B$9,O$16)/O104,0)</f>
        <v>0</v>
      </c>
      <c r="P106" s="428">
        <f ca="1">IFERROR(_xll.EVGET($B$1,$H106,$B$3,P$17,$B$5,$G130,$B$7,P$18,$B$9,P$16)/P104,0)</f>
        <v>0</v>
      </c>
      <c r="Q106" s="428">
        <f ca="1">IFERROR(_xll.EVGET($B$1,$H106,$B$3,Q$17,$B$5,$G130,$B$7,Q$18,$B$9,Q$16)/Q104,0)</f>
        <v>0</v>
      </c>
      <c r="R106" s="428">
        <f ca="1">IFERROR(_xll.EVGET($B$1,$H106,$B$3,R$17,$B$5,$G130,$B$7,R$18,$B$9,R$16)/R104,0)</f>
        <v>0</v>
      </c>
      <c r="S106" s="428">
        <f ca="1">IFERROR(_xll.EVGET($B$1,$H106,$B$3,S$17,$B$5,$G130,$B$7,S$18,$B$9,S$16)/S104,0)</f>
        <v>0</v>
      </c>
      <c r="T106" s="428">
        <f ca="1">IFERROR(_xll.EVGET($B$1,$H106,$B$3,T$17,$B$5,$G130,$B$7,T$18,$B$9,T$16)/T104,0)</f>
        <v>0</v>
      </c>
      <c r="U106" s="428">
        <f ca="1">IFERROR(_xll.EVGET($B$1,$H106,$B$3,U$17,$B$5,$G130,$B$7,U$18,$B$9,U$16)/U104,0)</f>
        <v>0</v>
      </c>
      <c r="V106" s="428">
        <f ca="1">IFERROR(_xll.EVGET($B$1,$H106,$B$3,V$17,$B$5,$G130,$B$7,V$18,$B$9,V$16)/V104,0)</f>
        <v>0</v>
      </c>
      <c r="W106" s="428">
        <f ca="1">IFERROR(_xll.EVGET($B$1,$H106,$B$3,W$17,$B$5,$G130,$B$7,W$18,$B$9,W$16)/W104,0)</f>
        <v>0</v>
      </c>
      <c r="X106" s="428">
        <f ca="1">IFERROR(_xll.EVGET($B$1,$H106,$B$3,X$17,$B$5,$G130,$B$7,X$18,$B$9,X$16)/X104,0)</f>
        <v>0</v>
      </c>
      <c r="Y106" s="428">
        <f ca="1">IFERROR(_xll.EVGET($B$1,$H106,$B$3,Y$17,$B$5,$G130,$B$7,Y$18,$B$9,Y$16)/Y104,0)</f>
        <v>0</v>
      </c>
      <c r="Z106" s="428">
        <f ca="1">IFERROR(_xll.EVGET($B$1,$H106,$B$3,Z$17,$B$5,$G130,$B$7,Z$18,$B$9,Z$16)/Z104,0)</f>
        <v>0</v>
      </c>
      <c r="AA106" s="428">
        <f ca="1">IFERROR(_xll.EVGET($B$1,$H106,$B$3,AA$17,$B$5,$G130,$B$7,AA$18,$B$9,AA$16)/AA104,0)</f>
        <v>0</v>
      </c>
      <c r="AB106" s="428"/>
      <c r="AC106" s="428"/>
      <c r="AD106" s="428">
        <f ca="1">IFERROR(_xll.EVGET($B$1,$H106,$B$3,AD$17,$B$5,$G130,$B$7,AD$18,$B$9,AD$16)/AD104,0)</f>
        <v>0</v>
      </c>
      <c r="AE106" s="428"/>
      <c r="AF106" s="428"/>
      <c r="AG106" s="428">
        <f ca="1">IFERROR(_xll.EVGET($B$1,$H106,$B$3,AG$17,$B$5,$G130,$B$7,AG$18,$B$9,AG$16)/AG104,0)</f>
        <v>0</v>
      </c>
      <c r="AH106" s="428"/>
      <c r="AI106" s="428"/>
    </row>
    <row r="107" spans="1:35" x14ac:dyDescent="0.2">
      <c r="A107" s="1" t="s">
        <v>110</v>
      </c>
      <c r="C107" s="23" t="s">
        <v>101</v>
      </c>
      <c r="D107" s="1" t="s">
        <v>106</v>
      </c>
      <c r="F107" s="1" t="s">
        <v>98</v>
      </c>
      <c r="H107" s="11" t="s">
        <v>272</v>
      </c>
      <c r="I107" s="25" t="e">
        <f ca="1">_xll.EVPRO($B$1,$H107,"STYLE")</f>
        <v>#NAME?</v>
      </c>
      <c r="J107" s="25" t="e">
        <f ca="1">_xll.EVPRO($B$1,$H107,"CALC")</f>
        <v>#NAME?</v>
      </c>
      <c r="N107" s="455" t="e">
        <f ca="1">IF(_xll.EVDES(H107,$B$1)="#NODATA","",_xll.EVDES(H107,$B$1))</f>
        <v>#NAME?</v>
      </c>
      <c r="O107" s="456" t="e">
        <f ca="1">_xll.EVGET($B$1,$H107,$B$3,O$17,$B$5,$B$6,$B$7,O$18,$B$9,O$16)</f>
        <v>#NAME?</v>
      </c>
      <c r="P107" s="456" t="e">
        <f ca="1">_xll.EVGET($B$1,$H107,$B$3,P$17,$B$5,$B$6,$B$7,P$18,$B$9,P$16)</f>
        <v>#NAME?</v>
      </c>
      <c r="Q107" s="456" t="e">
        <f ca="1">_xll.EVGET($B$1,$H107,$B$3,Q$17,$B$5,$B$6,$B$7,Q$18,$B$9,Q$16)</f>
        <v>#NAME?</v>
      </c>
      <c r="R107" s="456" t="e">
        <f ca="1">_xll.EVGET($B$1,$H107,$B$3,R$17,$B$5,$B$6,$B$7,R$18,$B$9,R$16)</f>
        <v>#NAME?</v>
      </c>
      <c r="S107" s="456" t="e">
        <f ca="1">_xll.EVGET($B$1,$H107,$B$3,S$17,$B$5,$B$6,$B$7,S$18,$B$9,S$16)</f>
        <v>#NAME?</v>
      </c>
      <c r="T107" s="456" t="e">
        <f ca="1">_xll.EVGET($B$1,$H107,$B$3,T$17,$B$5,$B$6,$B$7,T$18,$B$9,T$16)</f>
        <v>#NAME?</v>
      </c>
      <c r="U107" s="456" t="e">
        <f ca="1">_xll.EVGET($B$1,$H107,$B$3,U$17,$B$5,$B$6,$B$7,U$18,$B$9,U$16)</f>
        <v>#NAME?</v>
      </c>
      <c r="V107" s="456" t="e">
        <f ca="1">_xll.EVGET($B$1,$H107,$B$3,V$17,$B$5,$B$6,$B$7,V$18,$B$9,V$16)</f>
        <v>#NAME?</v>
      </c>
      <c r="W107" s="456" t="e">
        <f ca="1">_xll.EVGET($B$1,$H107,$B$3,W$17,$B$5,$B$6,$B$7,W$18,$B$9,W$16)</f>
        <v>#NAME?</v>
      </c>
      <c r="X107" s="456" t="e">
        <f ca="1">_xll.EVGET($B$1,$H107,$B$3,X$17,$B$5,$B$6,$B$7,X$18,$B$9,X$16)</f>
        <v>#NAME?</v>
      </c>
      <c r="Y107" s="456" t="e">
        <f ca="1">_xll.EVGET($B$1,$H107,$B$3,Y$17,$B$5,$B$6,$B$7,Y$18,$B$9,Y$16)</f>
        <v>#NAME?</v>
      </c>
      <c r="Z107" s="456" t="e">
        <f ca="1">_xll.EVGET($B$1,$H107,$B$3,Z$17,$B$5,$B$6,$B$7,Z$18,$B$9,Z$16)</f>
        <v>#NAME?</v>
      </c>
      <c r="AA107" s="456" t="e">
        <f ca="1">_xll.EVGET($B$1,$H107,$B$3,AA$17,$B$5,$B$6,$B$7,AA$18,$B$9,AA$16)</f>
        <v>#NAME?</v>
      </c>
      <c r="AB107" s="456"/>
      <c r="AC107" s="456"/>
      <c r="AD107" s="456" t="e">
        <f ca="1">_xll.EVGET($B$1,$H107,$B$3,AD$17,$B$5,$B$6,$B$7,AD$18,$B$9,AD$16)</f>
        <v>#NAME?</v>
      </c>
      <c r="AE107" s="456"/>
      <c r="AF107" s="456"/>
      <c r="AG107" s="456" t="e">
        <f ca="1">_xll.EVGET($B$1,$H107,$B$3,AG$17,$B$5,$B$6,$B$7,AG$18,$B$9,AG$16)</f>
        <v>#NAME?</v>
      </c>
      <c r="AH107" s="456"/>
      <c r="AI107" s="456"/>
    </row>
    <row r="108" spans="1:35" x14ac:dyDescent="0.2">
      <c r="A108" s="1" t="s">
        <v>110</v>
      </c>
      <c r="C108" s="27" t="s">
        <v>101</v>
      </c>
      <c r="D108" s="1" t="s">
        <v>107</v>
      </c>
      <c r="F108" s="1" t="s">
        <v>99</v>
      </c>
      <c r="H108" s="11" t="s">
        <v>272</v>
      </c>
      <c r="I108" s="25" t="e">
        <f ca="1">_xll.EVPRO($B$1,$H108,"STYLE")</f>
        <v>#NAME?</v>
      </c>
      <c r="J108" s="25" t="e">
        <f ca="1">_xll.EVPRO($B$1,$H108,"CALC")</f>
        <v>#NAME?</v>
      </c>
      <c r="N108" s="457" t="s">
        <v>803</v>
      </c>
      <c r="O108" s="428">
        <f ca="1">IFERROR(_xll.EVGET($B$1,$H108,$B$3,O$17,$B$5,$G132,$B$7,O$18,$B$9,O$16)/O107,0)</f>
        <v>0</v>
      </c>
      <c r="P108" s="428">
        <f ca="1">IFERROR(_xll.EVGET($B$1,$H108,$B$3,P$17,$B$5,$G132,$B$7,P$18,$B$9,P$16)/P107,0)</f>
        <v>0</v>
      </c>
      <c r="Q108" s="428">
        <f ca="1">IFERROR(_xll.EVGET($B$1,$H108,$B$3,Q$17,$B$5,$G132,$B$7,Q$18,$B$9,Q$16)/Q107,0)</f>
        <v>0</v>
      </c>
      <c r="R108" s="428">
        <f ca="1">IFERROR(_xll.EVGET($B$1,$H108,$B$3,R$17,$B$5,$G132,$B$7,R$18,$B$9,R$16)/R107,0)</f>
        <v>0</v>
      </c>
      <c r="S108" s="428">
        <f ca="1">IFERROR(_xll.EVGET($B$1,$H108,$B$3,S$17,$B$5,$G132,$B$7,S$18,$B$9,S$16)/S107,0)</f>
        <v>0</v>
      </c>
      <c r="T108" s="428">
        <f ca="1">IFERROR(_xll.EVGET($B$1,$H108,$B$3,T$17,$B$5,$G132,$B$7,T$18,$B$9,T$16)/T107,0)</f>
        <v>0</v>
      </c>
      <c r="U108" s="428">
        <f ca="1">IFERROR(_xll.EVGET($B$1,$H108,$B$3,U$17,$B$5,$G132,$B$7,U$18,$B$9,U$16)/U107,0)</f>
        <v>0</v>
      </c>
      <c r="V108" s="428">
        <f ca="1">IFERROR(_xll.EVGET($B$1,$H108,$B$3,V$17,$B$5,$G132,$B$7,V$18,$B$9,V$16)/V107,0)</f>
        <v>0</v>
      </c>
      <c r="W108" s="428">
        <f ca="1">IFERROR(_xll.EVGET($B$1,$H108,$B$3,W$17,$B$5,$G132,$B$7,W$18,$B$9,W$16)/W107,0)</f>
        <v>0</v>
      </c>
      <c r="X108" s="428">
        <f ca="1">IFERROR(_xll.EVGET($B$1,$H108,$B$3,X$17,$B$5,$G132,$B$7,X$18,$B$9,X$16)/X107,0)</f>
        <v>0</v>
      </c>
      <c r="Y108" s="428">
        <f ca="1">IFERROR(_xll.EVGET($B$1,$H108,$B$3,Y$17,$B$5,$G132,$B$7,Y$18,$B$9,Y$16)/Y107,0)</f>
        <v>0</v>
      </c>
      <c r="Z108" s="428">
        <f ca="1">IFERROR(_xll.EVGET($B$1,$H108,$B$3,Z$17,$B$5,$G132,$B$7,Z$18,$B$9,Z$16)/Z107,0)</f>
        <v>0</v>
      </c>
      <c r="AA108" s="428">
        <f ca="1">IFERROR(_xll.EVGET($B$1,$H108,$B$3,AA$17,$B$5,$G132,$B$7,AA$18,$B$9,AA$16)/AA107,0)</f>
        <v>0</v>
      </c>
      <c r="AB108" s="428"/>
      <c r="AC108" s="428"/>
      <c r="AD108" s="428">
        <f ca="1">IFERROR(_xll.EVGET($B$1,$H108,$B$3,AD$17,$B$5,$G132,$B$7,AD$18,$B$9,AD$16)/AD107,0)</f>
        <v>0</v>
      </c>
      <c r="AE108" s="428"/>
      <c r="AF108" s="428"/>
      <c r="AG108" s="428">
        <f ca="1">IFERROR(_xll.EVGET($B$1,$H108,$B$3,AG$17,$B$5,$G132,$B$7,AG$18,$B$9,AG$16)/AG107,0)</f>
        <v>0</v>
      </c>
      <c r="AH108" s="428"/>
      <c r="AI108" s="428"/>
    </row>
    <row r="109" spans="1:35" x14ac:dyDescent="0.2">
      <c r="C109" s="23"/>
      <c r="H109" s="11" t="s">
        <v>272</v>
      </c>
      <c r="I109" s="25" t="e">
        <f ca="1">_xll.EVPRO($B$1,$H109,"STYLE")</f>
        <v>#NAME?</v>
      </c>
      <c r="J109" s="25" t="e">
        <f ca="1">_xll.EVPRO($B$1,$H109,"CALC")</f>
        <v>#NAME?</v>
      </c>
      <c r="N109" s="457" t="s">
        <v>804</v>
      </c>
      <c r="O109" s="428">
        <f ca="1">IFERROR(_xll.EVGET($B$1,$H109,$B$3,O$17,$B$5,$G133,$B$7,O$18,$B$9,O$16)/O107,0)</f>
        <v>0</v>
      </c>
      <c r="P109" s="428">
        <f ca="1">IFERROR(_xll.EVGET($B$1,$H109,$B$3,P$17,$B$5,$G133,$B$7,P$18,$B$9,P$16)/P107,0)</f>
        <v>0</v>
      </c>
      <c r="Q109" s="428">
        <f ca="1">IFERROR(_xll.EVGET($B$1,$H109,$B$3,Q$17,$B$5,$G133,$B$7,Q$18,$B$9,Q$16)/Q107,0)</f>
        <v>0</v>
      </c>
      <c r="R109" s="428">
        <f ca="1">IFERROR(_xll.EVGET($B$1,$H109,$B$3,R$17,$B$5,$G133,$B$7,R$18,$B$9,R$16)/R107,0)</f>
        <v>0</v>
      </c>
      <c r="S109" s="428">
        <f ca="1">IFERROR(_xll.EVGET($B$1,$H109,$B$3,S$17,$B$5,$G133,$B$7,S$18,$B$9,S$16)/S107,0)</f>
        <v>0</v>
      </c>
      <c r="T109" s="428">
        <f ca="1">IFERROR(_xll.EVGET($B$1,$H109,$B$3,T$17,$B$5,$G133,$B$7,T$18,$B$9,T$16)/T107,0)</f>
        <v>0</v>
      </c>
      <c r="U109" s="428">
        <f ca="1">IFERROR(_xll.EVGET($B$1,$H109,$B$3,U$17,$B$5,$G133,$B$7,U$18,$B$9,U$16)/U107,0)</f>
        <v>0</v>
      </c>
      <c r="V109" s="428">
        <f ca="1">IFERROR(_xll.EVGET($B$1,$H109,$B$3,V$17,$B$5,$G133,$B$7,V$18,$B$9,V$16)/V107,0)</f>
        <v>0</v>
      </c>
      <c r="W109" s="428">
        <f ca="1">IFERROR(_xll.EVGET($B$1,$H109,$B$3,W$17,$B$5,$G133,$B$7,W$18,$B$9,W$16)/W107,0)</f>
        <v>0</v>
      </c>
      <c r="X109" s="428">
        <f ca="1">IFERROR(_xll.EVGET($B$1,$H109,$B$3,X$17,$B$5,$G133,$B$7,X$18,$B$9,X$16)/X107,0)</f>
        <v>0</v>
      </c>
      <c r="Y109" s="428">
        <f ca="1">IFERROR(_xll.EVGET($B$1,$H109,$B$3,Y$17,$B$5,$G133,$B$7,Y$18,$B$9,Y$16)/Y107,0)</f>
        <v>0</v>
      </c>
      <c r="Z109" s="428">
        <f ca="1">IFERROR(_xll.EVGET($B$1,$H109,$B$3,Z$17,$B$5,$G133,$B$7,Z$18,$B$9,Z$16)/Z107,0)</f>
        <v>0</v>
      </c>
      <c r="AA109" s="428">
        <f ca="1">IFERROR(_xll.EVGET($B$1,$H109,$B$3,AA$17,$B$5,$G133,$B$7,AA$18,$B$9,AA$16)/AA107,0)</f>
        <v>0</v>
      </c>
      <c r="AB109" s="428"/>
      <c r="AC109" s="428"/>
      <c r="AD109" s="428">
        <f ca="1">IFERROR(_xll.EVGET($B$1,$H109,$B$3,AD$17,$B$5,$G133,$B$7,AD$18,$B$9,AD$16)/AD107,0)</f>
        <v>0</v>
      </c>
      <c r="AE109" s="428"/>
      <c r="AF109" s="428"/>
      <c r="AG109" s="428">
        <f ca="1">IFERROR(_xll.EVGET($B$1,$H109,$B$3,AG$17,$B$5,$G133,$B$7,AG$18,$B$9,AG$16)/AG107,0)</f>
        <v>0</v>
      </c>
      <c r="AH109" s="428"/>
      <c r="AI109" s="428"/>
    </row>
    <row r="110" spans="1:35" x14ac:dyDescent="0.2">
      <c r="I110" s="72"/>
      <c r="J110" s="1"/>
      <c r="K110" s="72"/>
      <c r="L110" s="72"/>
      <c r="M110" s="72"/>
      <c r="O110" s="72"/>
      <c r="P110" s="72"/>
      <c r="Q110" s="72"/>
      <c r="R110" s="72"/>
      <c r="S110" s="72"/>
      <c r="T110" s="72"/>
      <c r="U110" s="72"/>
      <c r="V110" s="72"/>
      <c r="W110" s="72"/>
      <c r="X110" s="72"/>
      <c r="Y110" s="72"/>
      <c r="Z110" s="72"/>
      <c r="AA110" s="72"/>
      <c r="AD110" s="72"/>
      <c r="AF110" s="72"/>
      <c r="AH110" s="72"/>
    </row>
    <row r="111" spans="1:35" x14ac:dyDescent="0.2">
      <c r="A111" s="4" t="e">
        <f ca="1">_xll.EVDRE($B$1,A114:B121)</f>
        <v>#NAME?</v>
      </c>
      <c r="B111" s="1" t="s">
        <v>736</v>
      </c>
    </row>
    <row r="113" spans="1:34" x14ac:dyDescent="0.2">
      <c r="A113" s="3" t="s">
        <v>0</v>
      </c>
      <c r="B113" s="5" t="s">
        <v>1</v>
      </c>
    </row>
    <row r="114" spans="1:34" x14ac:dyDescent="0.2">
      <c r="A114" s="6" t="s">
        <v>2</v>
      </c>
      <c r="B114" s="7" t="e">
        <f ca="1">_xll.EVRNG($B$2:$B$10)</f>
        <v>#NAME?</v>
      </c>
      <c r="I114" s="72"/>
      <c r="J114" s="1"/>
      <c r="K114" s="72"/>
      <c r="L114" s="72"/>
      <c r="M114" s="72"/>
      <c r="O114" s="72"/>
      <c r="P114" s="72"/>
      <c r="Q114" s="72"/>
      <c r="R114" s="72"/>
      <c r="S114" s="72"/>
      <c r="T114" s="72"/>
      <c r="U114" s="72"/>
      <c r="V114" s="72"/>
      <c r="W114" s="72"/>
      <c r="X114" s="72"/>
      <c r="Y114" s="72"/>
      <c r="Z114" s="72"/>
      <c r="AA114" s="72"/>
      <c r="AD114" s="72"/>
      <c r="AF114" s="72"/>
      <c r="AH114" s="72"/>
    </row>
    <row r="115" spans="1:34" x14ac:dyDescent="0.2">
      <c r="A115" s="6" t="s">
        <v>3</v>
      </c>
      <c r="B115" s="7" t="e">
        <f ca="1">_xll.EVRNG($O$16:$AN$18)</f>
        <v>#NAME?</v>
      </c>
    </row>
    <row r="116" spans="1:34" x14ac:dyDescent="0.2">
      <c r="A116" s="6" t="s">
        <v>4</v>
      </c>
      <c r="B116" s="7" t="e">
        <f ca="1">_xll.EVRNG(H91:H94)</f>
        <v>#NAME?</v>
      </c>
    </row>
    <row r="117" spans="1:34" x14ac:dyDescent="0.2">
      <c r="A117" s="6" t="s">
        <v>5</v>
      </c>
      <c r="B117" s="7"/>
    </row>
    <row r="118" spans="1:34" x14ac:dyDescent="0.2">
      <c r="A118" s="6" t="s">
        <v>6</v>
      </c>
      <c r="B118" s="7"/>
    </row>
    <row r="119" spans="1:34" x14ac:dyDescent="0.2">
      <c r="A119" s="6" t="s">
        <v>7</v>
      </c>
      <c r="B119" s="7"/>
    </row>
    <row r="120" spans="1:34" x14ac:dyDescent="0.2">
      <c r="A120" s="6" t="s">
        <v>47</v>
      </c>
      <c r="B120" s="7" t="e">
        <f ca="1">_xll.EVRNG($A$125:$B$130)</f>
        <v>#NAME?</v>
      </c>
    </row>
    <row r="121" spans="1:34" x14ac:dyDescent="0.2">
      <c r="A121" s="6" t="s">
        <v>8</v>
      </c>
      <c r="B121" s="7"/>
    </row>
    <row r="124" spans="1:34" x14ac:dyDescent="0.2">
      <c r="A124" s="3" t="s">
        <v>23</v>
      </c>
      <c r="B124" s="5" t="s">
        <v>24</v>
      </c>
    </row>
    <row r="125" spans="1:34" x14ac:dyDescent="0.2">
      <c r="A125" s="6" t="s">
        <v>28</v>
      </c>
      <c r="B125" s="7"/>
      <c r="G125" s="11"/>
    </row>
    <row r="126" spans="1:34" x14ac:dyDescent="0.2">
      <c r="A126" s="6" t="s">
        <v>29</v>
      </c>
      <c r="B126" s="7"/>
      <c r="G126" s="11" t="s">
        <v>805</v>
      </c>
    </row>
    <row r="127" spans="1:34" x14ac:dyDescent="0.2">
      <c r="A127" s="6" t="s">
        <v>30</v>
      </c>
      <c r="B127" s="7" t="s">
        <v>78</v>
      </c>
      <c r="G127" s="11" t="s">
        <v>806</v>
      </c>
    </row>
    <row r="128" spans="1:34" x14ac:dyDescent="0.2">
      <c r="A128" s="6" t="s">
        <v>31</v>
      </c>
      <c r="B128" s="7" t="s">
        <v>78</v>
      </c>
      <c r="G128" s="11"/>
    </row>
    <row r="129" spans="1:7" x14ac:dyDescent="0.2">
      <c r="A129" s="6" t="s">
        <v>32</v>
      </c>
      <c r="B129" s="7"/>
      <c r="G129" s="11" t="s">
        <v>805</v>
      </c>
    </row>
    <row r="130" spans="1:7" hidden="1" outlineLevel="1" x14ac:dyDescent="0.2">
      <c r="A130" s="6" t="s">
        <v>33</v>
      </c>
      <c r="B130" s="7"/>
      <c r="G130" s="11" t="s">
        <v>806</v>
      </c>
    </row>
    <row r="131" spans="1:7" hidden="1" outlineLevel="1" x14ac:dyDescent="0.2">
      <c r="G131" s="11"/>
    </row>
    <row r="132" spans="1:7" collapsed="1" x14ac:dyDescent="0.2">
      <c r="G132" s="11" t="s">
        <v>805</v>
      </c>
    </row>
    <row r="133" spans="1:7" x14ac:dyDescent="0.2">
      <c r="G133" s="11" t="s">
        <v>806</v>
      </c>
    </row>
  </sheetData>
  <mergeCells count="2">
    <mergeCell ref="AD31:AE31"/>
    <mergeCell ref="AG31:AH31"/>
  </mergeCells>
  <dataValidations count="2">
    <dataValidation type="list" allowBlank="1" sqref="B94 B28 B61" xr:uid="{00000000-0002-0000-2E00-000000000000}">
      <formula1>"ACCOUNT,BUSINESSUNIT,CATEGORY,DATASRC,DEPARTMENT,INTCO,MEASURES,RPTCURRENCY,TIME"</formula1>
    </dataValidation>
    <dataValidation type="list" allowBlank="1" sqref="B95 B29 B62" xr:uid="{00000000-0002-0000-2E00-000001000000}">
      <formula1>"SELF,ALL,BAS,DEP,BASMEMBERS,MEMBERS,NOEXPAND,GDEP"</formula1>
    </dataValidation>
  </dataValidations>
  <pageMargins left="0.25" right="0.25" top="0.5" bottom="0.5" header="0.3" footer="0.3"/>
  <pageSetup scale="49" fitToHeight="0" orientation="landscape" r:id="rId1"/>
  <customProperties>
    <customPr name="EpmWorksheetKeyString_GUID" r:id="rId2"/>
    <customPr name="FPMExcelClientCellBasedFunctionStatus" r:id="rId3"/>
    <customPr name="FPMExcelClientRefreshTime" r:id="rId4"/>
  </customProperties>
  <drawing r:id="rId5"/>
  <legacyDrawing r:id="rId6"/>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51">
    <tabColor theme="6" tint="0.39997558519241921"/>
    <pageSetUpPr fitToPage="1"/>
  </sheetPr>
  <dimension ref="A1:AI207"/>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8"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16384" width="9.1640625" style="1"/>
  </cols>
  <sheetData>
    <row r="1" spans="1:35" hidden="1" outlineLevel="1" x14ac:dyDescent="0.2">
      <c r="A1" s="8" t="s">
        <v>48</v>
      </c>
      <c r="B1" s="2" t="s">
        <v>49</v>
      </c>
      <c r="C1" s="8" t="e">
        <f ca="1">_xll.EVAPD($B$1)</f>
        <v>#NAME?</v>
      </c>
      <c r="I1" s="1"/>
      <c r="J1" s="1"/>
      <c r="N1" s="16"/>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347</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35"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35" hidden="1" outlineLevel="1" x14ac:dyDescent="0.2">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2" t="e">
        <f ca="1">AA11</f>
        <v>#NAME?</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35" hidden="1" outlineLevel="1" x14ac:dyDescent="0.2">
      <c r="A19" s="6" t="s">
        <v>4</v>
      </c>
      <c r="B19" s="7" t="e">
        <f ca="1">_xll.EVRNG(H35:H142)</f>
        <v>#NAME?</v>
      </c>
      <c r="G19" s="16" t="str">
        <f>$B$6</f>
        <v>D_BCC_CON</v>
      </c>
      <c r="H19" s="16" t="s">
        <v>273</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35" hidden="1" outlineLevel="1" x14ac:dyDescent="0.2">
      <c r="A20" s="6" t="s">
        <v>5</v>
      </c>
      <c r="B20" s="7"/>
      <c r="G20" s="16" t="str">
        <f>$B$6</f>
        <v>D_BCC_CON</v>
      </c>
      <c r="H20" s="16">
        <v>946000</v>
      </c>
      <c r="I20" s="17"/>
      <c r="J20" s="17"/>
      <c r="K20" s="16"/>
      <c r="L20" s="16"/>
      <c r="M20" s="16"/>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35" hidden="1" outlineLevel="1" x14ac:dyDescent="0.2">
      <c r="A21" s="6" t="s">
        <v>6</v>
      </c>
      <c r="B21" s="7"/>
      <c r="I21" s="1"/>
      <c r="J21" s="1"/>
    </row>
    <row r="22" spans="1:35" hidden="1" outlineLevel="1" x14ac:dyDescent="0.2">
      <c r="A22" s="6" t="s">
        <v>7</v>
      </c>
      <c r="B22" s="7"/>
      <c r="I22" s="1"/>
      <c r="J22" s="1"/>
    </row>
    <row r="23" spans="1:35" hidden="1" outlineLevel="1" x14ac:dyDescent="0.2">
      <c r="A23" s="6" t="s">
        <v>47</v>
      </c>
      <c r="B23" s="7" t="e">
        <f ca="1">_xll.EVRNG($A$37:$B$58)</f>
        <v>#NAME?</v>
      </c>
      <c r="K23" s="53"/>
      <c r="L23" s="53"/>
      <c r="M23" s="53"/>
      <c r="AD23" s="136"/>
    </row>
    <row r="24" spans="1:35" hidden="1" outlineLevel="1" x14ac:dyDescent="0.2">
      <c r="A24" s="6" t="s">
        <v>8</v>
      </c>
      <c r="B24" s="7"/>
    </row>
    <row r="25" spans="1:35" collapsed="1" x14ac:dyDescent="0.2"/>
    <row r="26" spans="1:35" ht="23" x14ac:dyDescent="0.25">
      <c r="A26" s="3" t="s">
        <v>9</v>
      </c>
      <c r="B26" s="5" t="s">
        <v>10</v>
      </c>
      <c r="N26" s="61" t="e">
        <f ca="1">IF(_xll.EVDES(B3,$B$1)="#NODATA","",_xll.EVDES(B3,$B$1))</f>
        <v>#NAME?</v>
      </c>
    </row>
    <row r="27" spans="1:35" ht="18" x14ac:dyDescent="0.2">
      <c r="A27" s="6" t="s">
        <v>11</v>
      </c>
      <c r="B27" s="7" t="s">
        <v>21</v>
      </c>
      <c r="N27" s="66" t="e">
        <f ca="1">IF($N$1="",IF(_xll.EVDES(B6,$B$1)="#NODATA","",_xll.EVDES(B6,$B$1)&amp;" Department"),$N$1)</f>
        <v>#NAME?</v>
      </c>
    </row>
    <row r="28" spans="1:35" ht="16" x14ac:dyDescent="0.2">
      <c r="A28" s="6" t="s">
        <v>12</v>
      </c>
      <c r="B28" s="7" t="s">
        <v>22</v>
      </c>
      <c r="N28" s="67" t="e">
        <f ca="1">"For the Period ended"&amp;" "&amp;IF(_xll.EVDES($B$10,$B$1)="#NODATA","",_xll.EVDES($B$10,$B$1))</f>
        <v>#NAME?</v>
      </c>
    </row>
    <row r="29" spans="1:35" ht="15" customHeight="1" x14ac:dyDescent="0.2">
      <c r="A29" s="6" t="s">
        <v>13</v>
      </c>
      <c r="B29" s="7" t="s">
        <v>293</v>
      </c>
      <c r="N29" s="67" t="e">
        <f ca="1">_xll.EVDES(B9,B1)</f>
        <v>#NAME?</v>
      </c>
      <c r="O29" s="62" t="s">
        <v>344</v>
      </c>
      <c r="P29" s="62"/>
      <c r="Q29" s="62"/>
      <c r="R29" s="62"/>
      <c r="S29" s="62"/>
      <c r="T29" s="62"/>
      <c r="U29" s="62"/>
      <c r="V29" s="62"/>
      <c r="W29" s="62"/>
      <c r="X29" s="62"/>
      <c r="Y29" s="62"/>
      <c r="Z29" s="62"/>
      <c r="AA29" s="62"/>
    </row>
    <row r="30" spans="1:35"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row>
    <row r="31" spans="1:35" x14ac:dyDescent="0.2">
      <c r="A31" s="6" t="s">
        <v>15</v>
      </c>
      <c r="B31" s="7"/>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row>
    <row r="32" spans="1:35" s="232" customFormat="1" ht="30" customHeight="1" x14ac:dyDescent="0.2">
      <c r="A32" s="230" t="s">
        <v>16</v>
      </c>
      <c r="B32" s="231"/>
      <c r="E32" s="1"/>
      <c r="H32" s="233"/>
      <c r="I32" s="234"/>
      <c r="J32" s="234"/>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row>
    <row r="33" spans="1:35" ht="16" x14ac:dyDescent="0.2">
      <c r="A33" s="6" t="s">
        <v>17</v>
      </c>
      <c r="B33" s="7"/>
      <c r="N33" s="155" t="s">
        <v>330</v>
      </c>
      <c r="O33" s="38"/>
      <c r="P33" s="42"/>
      <c r="Q33" s="42"/>
      <c r="R33" s="42"/>
      <c r="S33" s="42"/>
      <c r="T33" s="42"/>
      <c r="U33" s="42"/>
      <c r="V33" s="42"/>
      <c r="W33" s="42"/>
      <c r="X33" s="42"/>
      <c r="Y33" s="42"/>
      <c r="Z33" s="42"/>
      <c r="AA33" s="42"/>
      <c r="AB33" s="39"/>
      <c r="AD33" s="38"/>
      <c r="AE33" s="42"/>
      <c r="AF33" s="39"/>
      <c r="AG33" s="38"/>
      <c r="AH33" s="42"/>
      <c r="AI33" s="39"/>
    </row>
    <row r="34" spans="1:35" x14ac:dyDescent="0.2">
      <c r="L34" s="175" t="s">
        <v>364</v>
      </c>
      <c r="M34" s="175" t="s">
        <v>782</v>
      </c>
      <c r="N34" s="8" t="s">
        <v>312</v>
      </c>
      <c r="O34" s="50"/>
      <c r="AB34" s="51"/>
      <c r="AD34" s="50"/>
      <c r="AF34" s="51"/>
      <c r="AG34" s="50"/>
      <c r="AI34" s="51"/>
    </row>
    <row r="35" spans="1:35" x14ac:dyDescent="0.2">
      <c r="H35" s="10" t="s">
        <v>260</v>
      </c>
      <c r="I35" s="25" t="e">
        <f ca="1">_xll.EVPRO($B$1,$H35,"STYLE")</f>
        <v>#NAME?</v>
      </c>
      <c r="J35" s="25" t="e">
        <f ca="1">_xll.EVPRO($B$1,$H35,"CALC")</f>
        <v>#NAME?</v>
      </c>
      <c r="K35" s="24"/>
      <c r="L35" s="24" t="e">
        <f ca="1">_xll.EVPRO($B$1,H35,"JDEID")</f>
        <v>#NAME?</v>
      </c>
      <c r="M35" s="24" t="e">
        <f ca="1">IF(AND(I35="N",J35="N"),_xll.EVPRO($B$1,H35,"PSFTID"),"")</f>
        <v>#NAME?</v>
      </c>
      <c r="N35" s="24" t="e">
        <f ca="1">IF(_xll.EVDES(H35,$B$1)="#NODATA","",_xll.EVDES(H35,$B$1))</f>
        <v>#NAME?</v>
      </c>
      <c r="O35" s="19">
        <v>7313.21</v>
      </c>
      <c r="P35" s="19"/>
      <c r="Q35" s="19"/>
      <c r="R35" s="19"/>
      <c r="S35" s="19"/>
      <c r="T35" s="19"/>
      <c r="U35" s="19"/>
      <c r="V35" s="19"/>
      <c r="W35" s="19"/>
      <c r="X35" s="19"/>
      <c r="Y35" s="19"/>
      <c r="Z35" s="19"/>
      <c r="AA35" s="19">
        <f t="shared" ref="AA35:AA41" si="0">SUM(O35:Z35)</f>
        <v>7313.21</v>
      </c>
      <c r="AB35" s="15" t="str">
        <f ca="1">IF(AA35=0,"",IFERROR(AA35/AA$19,""))</f>
        <v/>
      </c>
      <c r="AD35" s="19"/>
      <c r="AE35" s="15" t="str">
        <f>IF(AD35=0,"",IFERROR(AD35/AD$19,""))</f>
        <v/>
      </c>
      <c r="AF35" s="47">
        <f t="shared" ref="AF35:AF42" si="1">IF(AND($AA35="",AD35=""),"",$AA35-AD35)</f>
        <v>7313.21</v>
      </c>
      <c r="AG35" s="19">
        <v>19660.599999999999</v>
      </c>
      <c r="AH35" s="15" t="str">
        <f ca="1">IF(AG35=0,"",IFERROR(AG35/AG$19,""))</f>
        <v/>
      </c>
      <c r="AI35" s="47">
        <f t="shared" ref="AI35:AI42" si="2">IF(AND($AA35="",AG35=""),"",$AA35-AG35)</f>
        <v>-12347.39</v>
      </c>
    </row>
    <row r="36" spans="1:35" x14ac:dyDescent="0.2">
      <c r="A36" s="3" t="s">
        <v>23</v>
      </c>
      <c r="B36" s="5" t="s">
        <v>24</v>
      </c>
      <c r="H36" s="10" t="s">
        <v>294</v>
      </c>
      <c r="I36" s="25" t="e">
        <f ca="1">_xll.EVPRO($B$1,$H36,"STYLE")</f>
        <v>#NAME?</v>
      </c>
      <c r="J36" s="25" t="e">
        <f ca="1">_xll.EVPRO($B$1,$H36,"CALC")</f>
        <v>#NAME?</v>
      </c>
      <c r="K36" s="24"/>
      <c r="L36" s="24" t="e">
        <f ca="1">_xll.EVPRO($B$1,H36,"JDEID")</f>
        <v>#NAME?</v>
      </c>
      <c r="M36" s="24" t="e">
        <f ca="1">IF(AND(I36="N",J36="N"),_xll.EVPRO($B$1,H36,"PSFTID"),"")</f>
        <v>#NAME?</v>
      </c>
      <c r="N36" s="24" t="e">
        <f ca="1">IF(_xll.EVDES(H36,$B$1)="#NODATA","",_xll.EVDES(H36,$B$1))</f>
        <v>#NAME?</v>
      </c>
      <c r="O36" s="19"/>
      <c r="P36" s="19"/>
      <c r="Q36" s="19"/>
      <c r="R36" s="19"/>
      <c r="S36" s="19"/>
      <c r="T36" s="19"/>
      <c r="U36" s="19"/>
      <c r="V36" s="19"/>
      <c r="W36" s="19"/>
      <c r="X36" s="19"/>
      <c r="Y36" s="19"/>
      <c r="Z36" s="19"/>
      <c r="AA36" s="19">
        <f t="shared" si="0"/>
        <v>0</v>
      </c>
      <c r="AB36" s="15" t="str">
        <f>IF(AA36=0,"",IFERROR(AA36/AA$19,""))</f>
        <v/>
      </c>
      <c r="AD36" s="19"/>
      <c r="AE36" s="15" t="str">
        <f>IF(AD36=0,"",IFERROR(AD36/AD$19,""))</f>
        <v/>
      </c>
      <c r="AF36" s="47">
        <f t="shared" si="1"/>
        <v>0</v>
      </c>
      <c r="AG36" s="19">
        <v>2633</v>
      </c>
      <c r="AH36" s="15" t="str">
        <f t="shared" ref="AH36:AH75" ca="1" si="3">IF(AG36=0,"",IFERROR(AG36/AG$19,""))</f>
        <v/>
      </c>
      <c r="AI36" s="47">
        <f t="shared" si="2"/>
        <v>-2633</v>
      </c>
    </row>
    <row r="37" spans="1:35" x14ac:dyDescent="0.2">
      <c r="A37" s="6" t="s">
        <v>25</v>
      </c>
      <c r="B37" s="7"/>
      <c r="H37" s="10" t="s">
        <v>295</v>
      </c>
      <c r="I37" s="25" t="e">
        <f ca="1">_xll.EVPRO($B$1,$H37,"STYLE")</f>
        <v>#NAME?</v>
      </c>
      <c r="J37" s="25" t="e">
        <f ca="1">_xll.EVPRO($B$1,$H37,"CALC")</f>
        <v>#NAME?</v>
      </c>
      <c r="K37" s="24"/>
      <c r="L37" s="24" t="e">
        <f ca="1">_xll.EVPRO($B$1,H37,"JDEID")</f>
        <v>#NAME?</v>
      </c>
      <c r="M37" s="24" t="e">
        <f ca="1">IF(AND(I37="N",J37="N"),_xll.EVPRO($B$1,H37,"PSFTID"),"")</f>
        <v>#NAME?</v>
      </c>
      <c r="N37" s="24" t="e">
        <f ca="1">IF(_xll.EVDES(H37,$B$1)="#NODATA","",_xll.EVDES(H37,$B$1))</f>
        <v>#NAME?</v>
      </c>
      <c r="O37" s="19"/>
      <c r="P37" s="19"/>
      <c r="Q37" s="19"/>
      <c r="R37" s="19"/>
      <c r="S37" s="19"/>
      <c r="T37" s="19"/>
      <c r="U37" s="19"/>
      <c r="V37" s="19"/>
      <c r="W37" s="19"/>
      <c r="X37" s="19"/>
      <c r="Y37" s="19"/>
      <c r="Z37" s="19"/>
      <c r="AA37" s="19">
        <f t="shared" si="0"/>
        <v>0</v>
      </c>
      <c r="AB37" s="15" t="str">
        <f>IF(AA37=0,"",IFERROR(AA37/AA$19,""))</f>
        <v/>
      </c>
      <c r="AD37" s="19"/>
      <c r="AE37" s="15" t="str">
        <f>IF(AD37=0,"",IFERROR(AD37/AD$19,""))</f>
        <v/>
      </c>
      <c r="AF37" s="47">
        <f t="shared" si="1"/>
        <v>0</v>
      </c>
      <c r="AG37" s="19"/>
      <c r="AH37" s="15" t="str">
        <f t="shared" si="3"/>
        <v/>
      </c>
      <c r="AI37" s="47">
        <f t="shared" si="2"/>
        <v>0</v>
      </c>
    </row>
    <row r="38" spans="1:35" x14ac:dyDescent="0.2">
      <c r="A38" s="6" t="s">
        <v>26</v>
      </c>
      <c r="B38" s="7"/>
      <c r="H38" s="10" t="s">
        <v>296</v>
      </c>
      <c r="I38" s="25" t="e">
        <f ca="1">_xll.EVPRO($B$1,$H38,"STYLE")</f>
        <v>#NAME?</v>
      </c>
      <c r="J38" s="25" t="e">
        <f ca="1">_xll.EVPRO($B$1,$H38,"CALC")</f>
        <v>#NAME?</v>
      </c>
      <c r="K38" s="24"/>
      <c r="L38" s="24" t="e">
        <f ca="1">_xll.EVPRO($B$1,H38,"JDEID")</f>
        <v>#NAME?</v>
      </c>
      <c r="M38" s="24" t="e">
        <f ca="1">IF(AND(I38="N",J38="N"),_xll.EVPRO($B$1,H38,"PSFTID"),"")</f>
        <v>#NAME?</v>
      </c>
      <c r="N38" s="24" t="e">
        <f ca="1">IF(_xll.EVDES(H38,$B$1)="#NODATA","",_xll.EVDES(H38,$B$1))</f>
        <v>#NAME?</v>
      </c>
      <c r="O38" s="28"/>
      <c r="P38" s="28"/>
      <c r="Q38" s="28"/>
      <c r="R38" s="28"/>
      <c r="S38" s="28"/>
      <c r="T38" s="28"/>
      <c r="U38" s="28"/>
      <c r="V38" s="28"/>
      <c r="W38" s="28"/>
      <c r="X38" s="28"/>
      <c r="Y38" s="28"/>
      <c r="Z38" s="28"/>
      <c r="AA38" s="28">
        <f t="shared" si="0"/>
        <v>0</v>
      </c>
      <c r="AB38" s="29" t="str">
        <f>IF(AA38=0,"",IFERROR(AA38/AA$19,""))</f>
        <v/>
      </c>
      <c r="AD38" s="28"/>
      <c r="AE38" s="29" t="str">
        <f>IF(AD38=0,"",IFERROR(AD38/AD$19,""))</f>
        <v/>
      </c>
      <c r="AF38" s="48">
        <f t="shared" si="1"/>
        <v>0</v>
      </c>
      <c r="AG38" s="28">
        <v>152</v>
      </c>
      <c r="AH38" s="29" t="str">
        <f t="shared" ca="1" si="3"/>
        <v/>
      </c>
      <c r="AI38" s="48">
        <f t="shared" si="2"/>
        <v>-152</v>
      </c>
    </row>
    <row r="39" spans="1:35" x14ac:dyDescent="0.2">
      <c r="A39" s="6" t="s">
        <v>27</v>
      </c>
      <c r="B39" s="7"/>
      <c r="H39" s="10" t="s">
        <v>318</v>
      </c>
      <c r="I39" s="25" t="e">
        <f ca="1">_xll.EVPRO($B$1,$H39,"STYLE")</f>
        <v>#NAME?</v>
      </c>
      <c r="J39" s="25" t="e">
        <f ca="1">_xll.EVPRO($B$1,$H39,"CALC")</f>
        <v>#NAME?</v>
      </c>
      <c r="K39" s="24"/>
      <c r="L39" s="24" t="e">
        <f ca="1">_xll.EVPRO($B$1,H39,"JDEID")</f>
        <v>#NAME?</v>
      </c>
      <c r="M39" s="24" t="e">
        <f ca="1">IF(AND(I39="N",J39="N"),_xll.EVPRO($B$1,H39,"PSFTID"),"")</f>
        <v>#NAME?</v>
      </c>
      <c r="N39" s="23" t="e">
        <f ca="1">IF(_xll.EVDES(H39,$B$1)="#NODATA","",_xll.EVDES(H39,$B$1))</f>
        <v>#NAME?</v>
      </c>
      <c r="O39" s="145">
        <v>7313.21</v>
      </c>
      <c r="P39" s="145"/>
      <c r="Q39" s="145"/>
      <c r="R39" s="145"/>
      <c r="S39" s="145"/>
      <c r="T39" s="145"/>
      <c r="U39" s="145"/>
      <c r="V39" s="145"/>
      <c r="W39" s="145"/>
      <c r="X39" s="145"/>
      <c r="Y39" s="145"/>
      <c r="Z39" s="145"/>
      <c r="AA39" s="145">
        <f t="shared" si="0"/>
        <v>7313.21</v>
      </c>
      <c r="AB39" s="156" t="str">
        <f ca="1">IF(AA39=0,"",IFERROR(AA39/AA$19,""))</f>
        <v/>
      </c>
      <c r="AD39" s="145"/>
      <c r="AE39" s="156" t="str">
        <f>IF(AD39=0,"",IFERROR(AD39/AD$19,""))</f>
        <v/>
      </c>
      <c r="AF39" s="146">
        <f t="shared" si="1"/>
        <v>7313.21</v>
      </c>
      <c r="AG39" s="145">
        <v>22445.599999999999</v>
      </c>
      <c r="AH39" s="156" t="str">
        <f t="shared" ca="1" si="3"/>
        <v/>
      </c>
      <c r="AI39" s="146">
        <f t="shared" si="2"/>
        <v>-15132.39</v>
      </c>
    </row>
    <row r="40" spans="1:35" x14ac:dyDescent="0.2">
      <c r="A40" s="6" t="s">
        <v>28</v>
      </c>
      <c r="B40" s="7"/>
      <c r="H40" s="10" t="s">
        <v>763</v>
      </c>
      <c r="I40" s="25" t="e">
        <f ca="1">_xll.EVPRO($B$1,$H40,"STYLE")</f>
        <v>#NAME?</v>
      </c>
      <c r="J40" s="25" t="e">
        <f ca="1">_xll.EVPRO($B$1,$H40,"CALC")</f>
        <v>#NAME?</v>
      </c>
      <c r="K40" s="24"/>
      <c r="L40" s="24" t="e">
        <f ca="1">_xll.EVPRO($B$1,H40,"JDEID")</f>
        <v>#NAME?</v>
      </c>
      <c r="M40" s="24" t="e">
        <f ca="1">IF(AND(I40="N",J40="N"),_xll.EVPRO($B$1,H40,"PSFTID"),"")</f>
        <v>#NAME?</v>
      </c>
      <c r="N40" s="24" t="e">
        <f ca="1">IF(_xll.EVDES(H40,$B$1)="#NODATA","",_xll.EVDES(H40,$B$1))</f>
        <v>#NAME?</v>
      </c>
      <c r="O40" s="35">
        <v>2</v>
      </c>
      <c r="P40" s="35"/>
      <c r="Q40" s="35"/>
      <c r="R40" s="35"/>
      <c r="S40" s="35"/>
      <c r="T40" s="35"/>
      <c r="U40" s="35"/>
      <c r="V40" s="35"/>
      <c r="W40" s="35"/>
      <c r="X40" s="35"/>
      <c r="Y40" s="35"/>
      <c r="Z40" s="35"/>
      <c r="AA40" s="35">
        <f t="shared" si="0"/>
        <v>2</v>
      </c>
      <c r="AB40" s="36"/>
      <c r="AD40" s="35"/>
      <c r="AE40" s="36"/>
      <c r="AF40" s="118">
        <f t="shared" si="1"/>
        <v>2</v>
      </c>
      <c r="AG40" s="35">
        <v>25</v>
      </c>
      <c r="AH40" s="36"/>
      <c r="AI40" s="118">
        <f t="shared" si="2"/>
        <v>-23</v>
      </c>
    </row>
    <row r="41" spans="1:35" x14ac:dyDescent="0.2">
      <c r="A41" s="6" t="s">
        <v>29</v>
      </c>
      <c r="B41" s="7"/>
      <c r="H41" s="10" t="s">
        <v>297</v>
      </c>
      <c r="I41" s="25" t="e">
        <f ca="1">_xll.EVPRO($B$1,$H41,"STYLE")</f>
        <v>#NAME?</v>
      </c>
      <c r="J41" s="25" t="e">
        <f ca="1">_xll.EVPRO($B$1,$H41,"CALC")</f>
        <v>#NAME?</v>
      </c>
      <c r="K41" s="24"/>
      <c r="L41" s="24" t="e">
        <f ca="1">_xll.EVPRO($B$1,H41,"JDEID")</f>
        <v>#NAME?</v>
      </c>
      <c r="M41" s="24" t="e">
        <f ca="1">IF(AND(I41="N",J41="N"),_xll.EVPRO($B$1,H41,"PSFTID"),"")</f>
        <v>#NAME?</v>
      </c>
      <c r="N41" s="24" t="e">
        <f ca="1">IF(_xll.EVDES(H41,$B$1)="#NODATA","",_xll.EVDES(H41,$B$1))</f>
        <v>#NAME?</v>
      </c>
      <c r="O41" s="35">
        <v>52</v>
      </c>
      <c r="P41" s="35"/>
      <c r="Q41" s="35"/>
      <c r="R41" s="35"/>
      <c r="S41" s="35"/>
      <c r="T41" s="35"/>
      <c r="U41" s="35"/>
      <c r="V41" s="35"/>
      <c r="W41" s="35"/>
      <c r="X41" s="35"/>
      <c r="Y41" s="35"/>
      <c r="Z41" s="35"/>
      <c r="AA41" s="35">
        <f t="shared" si="0"/>
        <v>52</v>
      </c>
      <c r="AB41" s="36">
        <f>IF(AA41=0,"",IFERROR(AA41/AA$84,""))</f>
        <v>0.66666666666666663</v>
      </c>
      <c r="AD41" s="35"/>
      <c r="AE41" s="36" t="str">
        <f>IF(AD41=0,"",IFERROR(AD41/AD$84,""))</f>
        <v/>
      </c>
      <c r="AF41" s="118">
        <f t="shared" si="1"/>
        <v>52</v>
      </c>
      <c r="AG41" s="35">
        <v>411</v>
      </c>
      <c r="AH41" s="36">
        <f>IF(AG41=0,"",IFERROR(AG41/AG$84,""))</f>
        <v>9.6343178621659628E-2</v>
      </c>
      <c r="AI41" s="118">
        <f t="shared" si="2"/>
        <v>-359</v>
      </c>
    </row>
    <row r="42" spans="1:35" x14ac:dyDescent="0.2">
      <c r="A42" s="6" t="s">
        <v>30</v>
      </c>
      <c r="B42" s="7" t="s">
        <v>78</v>
      </c>
      <c r="H42" s="10" t="s">
        <v>313</v>
      </c>
      <c r="I42" s="25" t="e">
        <f ca="1">_xll.EVPRO($B$1,$H42,"STYLE")</f>
        <v>#NAME?</v>
      </c>
      <c r="J42" s="25" t="e">
        <f ca="1">_xll.EVPRO($B$1,$H42,"CALC")</f>
        <v>#NAME?</v>
      </c>
      <c r="K42" s="24"/>
      <c r="L42" s="24" t="e">
        <f ca="1">_xll.EVPRO($B$1,H42,"JDEID")</f>
        <v>#NAME?</v>
      </c>
      <c r="M42" s="24" t="e">
        <f ca="1">IF(AND(I42="N",J42="N"),_xll.EVPRO($B$1,H42,"PSFTID"),"")</f>
        <v>#NAME?</v>
      </c>
      <c r="N42" s="151" t="e">
        <f ca="1">IF(_xll.EVDES(H42,$B$1)="#NODATA","",_xll.EVDES(H42,$B$1))</f>
        <v>#NAME?</v>
      </c>
      <c r="O42" s="157">
        <v>140.638653846154</v>
      </c>
      <c r="P42" s="157"/>
      <c r="Q42" s="157"/>
      <c r="R42" s="157"/>
      <c r="S42" s="157"/>
      <c r="T42" s="157"/>
      <c r="U42" s="157"/>
      <c r="V42" s="157"/>
      <c r="W42" s="157"/>
      <c r="X42" s="157"/>
      <c r="Y42" s="157"/>
      <c r="Z42" s="157"/>
      <c r="AA42" s="157">
        <f>IFERROR(AA39/AA41,"")</f>
        <v>140.63865384615386</v>
      </c>
      <c r="AB42" s="157"/>
      <c r="AD42" s="157"/>
      <c r="AE42" s="157"/>
      <c r="AF42" s="158">
        <f t="shared" si="1"/>
        <v>140.63865384615386</v>
      </c>
      <c r="AG42" s="157">
        <v>54.612165450121701</v>
      </c>
      <c r="AH42" s="157"/>
      <c r="AI42" s="158">
        <f t="shared" si="2"/>
        <v>86.026488396032164</v>
      </c>
    </row>
    <row r="43" spans="1:35" x14ac:dyDescent="0.2">
      <c r="A43" s="6" t="s">
        <v>31</v>
      </c>
      <c r="B43" s="7" t="s">
        <v>78</v>
      </c>
      <c r="H43" s="10"/>
      <c r="I43" s="25"/>
      <c r="J43" s="25"/>
      <c r="K43" s="24"/>
      <c r="L43" s="24"/>
      <c r="M43" s="24"/>
      <c r="N43" s="163" t="s">
        <v>345</v>
      </c>
      <c r="O43" s="160">
        <f t="shared" ref="O43:AA43" si="4">ROUND(IFERROR(O39/O41,0),2)</f>
        <v>140.63999999999999</v>
      </c>
      <c r="P43" s="165">
        <f t="shared" si="4"/>
        <v>0</v>
      </c>
      <c r="Q43" s="165">
        <f t="shared" si="4"/>
        <v>0</v>
      </c>
      <c r="R43" s="165">
        <f t="shared" si="4"/>
        <v>0</v>
      </c>
      <c r="S43" s="165">
        <f t="shared" si="4"/>
        <v>0</v>
      </c>
      <c r="T43" s="165">
        <f t="shared" si="4"/>
        <v>0</v>
      </c>
      <c r="U43" s="165">
        <f t="shared" si="4"/>
        <v>0</v>
      </c>
      <c r="V43" s="165">
        <f t="shared" si="4"/>
        <v>0</v>
      </c>
      <c r="W43" s="165">
        <f t="shared" si="4"/>
        <v>0</v>
      </c>
      <c r="X43" s="165">
        <f t="shared" si="4"/>
        <v>0</v>
      </c>
      <c r="Y43" s="165">
        <f t="shared" si="4"/>
        <v>0</v>
      </c>
      <c r="Z43" s="165">
        <f t="shared" si="4"/>
        <v>0</v>
      </c>
      <c r="AA43" s="165">
        <f t="shared" si="4"/>
        <v>140.63999999999999</v>
      </c>
      <c r="AB43" s="164"/>
      <c r="AD43" s="160">
        <f>ROUND(IFERROR(AD39/AD41,0),2)</f>
        <v>0</v>
      </c>
      <c r="AE43" s="165"/>
      <c r="AF43" s="161"/>
      <c r="AG43" s="160">
        <f>ROUND(IFERROR(AG39/AG41,0),2)</f>
        <v>54.61</v>
      </c>
      <c r="AH43" s="165"/>
      <c r="AI43" s="161"/>
    </row>
    <row r="44" spans="1:35" x14ac:dyDescent="0.2">
      <c r="A44" s="6" t="s">
        <v>32</v>
      </c>
      <c r="B44" s="7"/>
      <c r="G44" s="162">
        <f>COUNTIF(O44:AI44,FALSE)</f>
        <v>0</v>
      </c>
      <c r="H44" s="10"/>
      <c r="I44" s="25"/>
      <c r="J44" s="25"/>
      <c r="K44" s="24"/>
      <c r="L44" s="24"/>
      <c r="M44" s="24"/>
      <c r="N44" s="8" t="s">
        <v>314</v>
      </c>
      <c r="O44" s="292" t="b">
        <f t="shared" ref="O44:AA44" si="5">ROUND(O42,2)=ROUND(O43,2)</f>
        <v>1</v>
      </c>
      <c r="P44" s="293" t="b">
        <f t="shared" si="5"/>
        <v>1</v>
      </c>
      <c r="Q44" s="293" t="b">
        <f t="shared" si="5"/>
        <v>1</v>
      </c>
      <c r="R44" s="293" t="b">
        <f t="shared" si="5"/>
        <v>1</v>
      </c>
      <c r="S44" s="293" t="b">
        <f t="shared" si="5"/>
        <v>1</v>
      </c>
      <c r="T44" s="293" t="b">
        <f t="shared" si="5"/>
        <v>1</v>
      </c>
      <c r="U44" s="293" t="b">
        <f t="shared" si="5"/>
        <v>1</v>
      </c>
      <c r="V44" s="293" t="b">
        <f t="shared" si="5"/>
        <v>1</v>
      </c>
      <c r="W44" s="293" t="b">
        <f t="shared" si="5"/>
        <v>1</v>
      </c>
      <c r="X44" s="293" t="b">
        <f t="shared" si="5"/>
        <v>1</v>
      </c>
      <c r="Y44" s="293" t="b">
        <f t="shared" si="5"/>
        <v>1</v>
      </c>
      <c r="Z44" s="293" t="b">
        <f t="shared" si="5"/>
        <v>1</v>
      </c>
      <c r="AA44" s="293" t="b">
        <f t="shared" si="5"/>
        <v>1</v>
      </c>
      <c r="AB44" s="294"/>
      <c r="AC44" s="206"/>
      <c r="AD44" s="292"/>
      <c r="AE44" s="293" t="b">
        <f>ROUND(AD42,2)=ROUND(AD43,2)</f>
        <v>1</v>
      </c>
      <c r="AF44" s="294"/>
      <c r="AG44" s="292"/>
      <c r="AH44" s="293" t="b">
        <f>ROUND(AG42,2)=ROUND(AG43,2)</f>
        <v>1</v>
      </c>
      <c r="AI44" s="294"/>
    </row>
    <row r="45" spans="1:35" x14ac:dyDescent="0.2">
      <c r="A45" s="6" t="s">
        <v>33</v>
      </c>
      <c r="B45" s="7"/>
      <c r="H45" s="10" t="s">
        <v>261</v>
      </c>
      <c r="I45" s="25" t="e">
        <f ca="1">_xll.EVPRO($B$1,$H45,"STYLE")</f>
        <v>#NAME?</v>
      </c>
      <c r="J45" s="25" t="e">
        <f ca="1">_xll.EVPRO($B$1,$H45,"CALC")</f>
        <v>#NAME?</v>
      </c>
      <c r="K45" s="24"/>
      <c r="L45" s="24" t="e">
        <f ca="1">_xll.EVPRO($B$1,H45,"JDEID")</f>
        <v>#NAME?</v>
      </c>
      <c r="M45" s="24" t="e">
        <f ca="1">IF(AND(I45="N",J45="N"),_xll.EVPRO($B$1,H45,"PSFTID"),"")</f>
        <v>#NAME?</v>
      </c>
      <c r="N45" s="24" t="e">
        <f ca="1">IF(_xll.EVDES(H45,$B$1)="#NODATA","",_xll.EVDES(H45,$B$1))</f>
        <v>#NAME?</v>
      </c>
      <c r="O45" s="19"/>
      <c r="P45" s="19"/>
      <c r="Q45" s="19"/>
      <c r="R45" s="19"/>
      <c r="S45" s="19"/>
      <c r="T45" s="19"/>
      <c r="U45" s="19"/>
      <c r="V45" s="19"/>
      <c r="W45" s="19"/>
      <c r="X45" s="19"/>
      <c r="Y45" s="19"/>
      <c r="Z45" s="19"/>
      <c r="AA45" s="19">
        <f t="shared" ref="AA45:AA51" si="6">SUM(O45:Z45)</f>
        <v>0</v>
      </c>
      <c r="AB45" s="15" t="str">
        <f>IF(AA45=0,"",IFERROR(AA45/AA$19,""))</f>
        <v/>
      </c>
      <c r="AD45" s="19"/>
      <c r="AE45" s="15" t="str">
        <f>IF(AD45=0,"",IFERROR(AD45/AD$19,""))</f>
        <v/>
      </c>
      <c r="AF45" s="47">
        <f t="shared" ref="AF45:AF52" si="7">IF(AND($AA45="",AD45=""),"",$AA45-AD45)</f>
        <v>0</v>
      </c>
      <c r="AG45" s="19">
        <v>99409.63</v>
      </c>
      <c r="AH45" s="15" t="str">
        <f t="shared" ca="1" si="3"/>
        <v/>
      </c>
      <c r="AI45" s="47">
        <f t="shared" ref="AI45:AI52" si="8">IF(AND($AA45="",AG45=""),"",$AA45-AG45)</f>
        <v>-99409.63</v>
      </c>
    </row>
    <row r="46" spans="1:35" x14ac:dyDescent="0.2">
      <c r="A46" s="6" t="s">
        <v>34</v>
      </c>
      <c r="B46" s="7"/>
      <c r="H46" s="133" t="s">
        <v>301</v>
      </c>
      <c r="I46" s="25" t="e">
        <f ca="1">_xll.EVPRO($B$1,$H46,"STYLE")</f>
        <v>#NAME?</v>
      </c>
      <c r="J46" s="25" t="e">
        <f ca="1">_xll.EVPRO($B$1,$H46,"CALC")</f>
        <v>#NAME?</v>
      </c>
      <c r="K46" s="24"/>
      <c r="L46" s="24" t="e">
        <f ca="1">_xll.EVPRO($B$1,H46,"JDEID")</f>
        <v>#NAME?</v>
      </c>
      <c r="M46" s="24" t="e">
        <f ca="1">IF(AND(I46="N",J46="N"),_xll.EVPRO($B$1,H46,"PSFTID"),"")</f>
        <v>#NAME?</v>
      </c>
      <c r="N46" s="24" t="e">
        <f ca="1">IF(_xll.EVDES(H46,$B$1)="#NODATA","",_xll.EVDES(H46,$B$1))</f>
        <v>#NAME?</v>
      </c>
      <c r="O46" s="19"/>
      <c r="P46" s="19"/>
      <c r="Q46" s="19"/>
      <c r="R46" s="19"/>
      <c r="S46" s="19"/>
      <c r="T46" s="19"/>
      <c r="U46" s="19"/>
      <c r="V46" s="19"/>
      <c r="W46" s="19"/>
      <c r="X46" s="19"/>
      <c r="Y46" s="19"/>
      <c r="Z46" s="19"/>
      <c r="AA46" s="19">
        <f t="shared" si="6"/>
        <v>0</v>
      </c>
      <c r="AB46" s="15" t="str">
        <f>IF(AA46=0,"",IFERROR(AA46/AA$19,""))</f>
        <v/>
      </c>
      <c r="AD46" s="19"/>
      <c r="AE46" s="15" t="str">
        <f>IF(AD46=0,"",IFERROR(AD46/AD$19,""))</f>
        <v/>
      </c>
      <c r="AF46" s="47">
        <f t="shared" si="7"/>
        <v>0</v>
      </c>
      <c r="AG46" s="19">
        <v>1557</v>
      </c>
      <c r="AH46" s="15" t="str">
        <f t="shared" ca="1" si="3"/>
        <v/>
      </c>
      <c r="AI46" s="47">
        <f t="shared" si="8"/>
        <v>-1557</v>
      </c>
    </row>
    <row r="47" spans="1:35" x14ac:dyDescent="0.2">
      <c r="A47" s="6" t="s">
        <v>35</v>
      </c>
      <c r="B47" s="7"/>
      <c r="H47" s="133" t="s">
        <v>305</v>
      </c>
      <c r="I47" s="25" t="e">
        <f ca="1">_xll.EVPRO($B$1,$H47,"STYLE")</f>
        <v>#NAME?</v>
      </c>
      <c r="J47" s="25" t="e">
        <f ca="1">_xll.EVPRO($B$1,$H47,"CALC")</f>
        <v>#NAME?</v>
      </c>
      <c r="K47" s="24"/>
      <c r="L47" s="24" t="e">
        <f ca="1">_xll.EVPRO($B$1,H47,"JDEID")</f>
        <v>#NAME?</v>
      </c>
      <c r="M47" s="24" t="e">
        <f ca="1">IF(AND(I47="N",J47="N"),_xll.EVPRO($B$1,H47,"PSFTID"),"")</f>
        <v>#NAME?</v>
      </c>
      <c r="N47" s="24" t="e">
        <f ca="1">IF(_xll.EVDES(H47,$B$1)="#NODATA","",_xll.EVDES(H47,$B$1))</f>
        <v>#NAME?</v>
      </c>
      <c r="O47" s="19"/>
      <c r="P47" s="19"/>
      <c r="Q47" s="19"/>
      <c r="R47" s="19"/>
      <c r="S47" s="19"/>
      <c r="T47" s="19"/>
      <c r="U47" s="19"/>
      <c r="V47" s="19"/>
      <c r="W47" s="19"/>
      <c r="X47" s="19"/>
      <c r="Y47" s="19"/>
      <c r="Z47" s="19"/>
      <c r="AA47" s="19">
        <f t="shared" si="6"/>
        <v>0</v>
      </c>
      <c r="AB47" s="15" t="str">
        <f>IF(AA47=0,"",IFERROR(AA47/AA$19,""))</f>
        <v/>
      </c>
      <c r="AD47" s="19"/>
      <c r="AE47" s="15" t="str">
        <f>IF(AD47=0,"",IFERROR(AD47/AD$19,""))</f>
        <v/>
      </c>
      <c r="AF47" s="47">
        <f t="shared" si="7"/>
        <v>0</v>
      </c>
      <c r="AG47" s="19">
        <v>856</v>
      </c>
      <c r="AH47" s="15" t="str">
        <f t="shared" ca="1" si="3"/>
        <v/>
      </c>
      <c r="AI47" s="47">
        <f t="shared" si="8"/>
        <v>-856</v>
      </c>
    </row>
    <row r="48" spans="1:35" x14ac:dyDescent="0.2">
      <c r="A48" s="6" t="s">
        <v>36</v>
      </c>
      <c r="B48" s="7"/>
      <c r="H48" s="133" t="s">
        <v>303</v>
      </c>
      <c r="I48" s="25" t="e">
        <f ca="1">_xll.EVPRO($B$1,$H48,"STYLE")</f>
        <v>#NAME?</v>
      </c>
      <c r="J48" s="25" t="e">
        <f ca="1">_xll.EVPRO($B$1,$H48,"CALC")</f>
        <v>#NAME?</v>
      </c>
      <c r="K48" s="24"/>
      <c r="L48" s="24" t="e">
        <f ca="1">_xll.EVPRO($B$1,H48,"JDEID")</f>
        <v>#NAME?</v>
      </c>
      <c r="M48" s="24" t="e">
        <f ca="1">IF(AND(I48="N",J48="N"),_xll.EVPRO($B$1,H48,"PSFTID"),"")</f>
        <v>#NAME?</v>
      </c>
      <c r="N48" s="24" t="e">
        <f ca="1">IF(_xll.EVDES(H48,$B$1)="#NODATA","",_xll.EVDES(H48,$B$1))</f>
        <v>#NAME?</v>
      </c>
      <c r="O48" s="28"/>
      <c r="P48" s="28"/>
      <c r="Q48" s="28"/>
      <c r="R48" s="28"/>
      <c r="S48" s="28"/>
      <c r="T48" s="28"/>
      <c r="U48" s="28"/>
      <c r="V48" s="28"/>
      <c r="W48" s="28"/>
      <c r="X48" s="28"/>
      <c r="Y48" s="28"/>
      <c r="Z48" s="28"/>
      <c r="AA48" s="28">
        <f t="shared" si="6"/>
        <v>0</v>
      </c>
      <c r="AB48" s="29" t="str">
        <f>IF(AA48=0,"",IFERROR(AA48/AA$19,""))</f>
        <v/>
      </c>
      <c r="AD48" s="28"/>
      <c r="AE48" s="29" t="str">
        <f>IF(AD48=0,"",IFERROR(AD48/AD$19,""))</f>
        <v/>
      </c>
      <c r="AF48" s="48">
        <f t="shared" si="7"/>
        <v>0</v>
      </c>
      <c r="AG48" s="28">
        <v>1021</v>
      </c>
      <c r="AH48" s="29" t="str">
        <f t="shared" ca="1" si="3"/>
        <v/>
      </c>
      <c r="AI48" s="48">
        <f t="shared" si="8"/>
        <v>-1021</v>
      </c>
    </row>
    <row r="49" spans="1:35" x14ac:dyDescent="0.2">
      <c r="A49" s="6" t="s">
        <v>37</v>
      </c>
      <c r="B49" s="7"/>
      <c r="H49" s="10" t="s">
        <v>319</v>
      </c>
      <c r="I49" s="25" t="e">
        <f ca="1">_xll.EVPRO($B$1,$H49,"STYLE")</f>
        <v>#NAME?</v>
      </c>
      <c r="J49" s="25" t="e">
        <f ca="1">_xll.EVPRO($B$1,$H49,"CALC")</f>
        <v>#NAME?</v>
      </c>
      <c r="K49" s="24"/>
      <c r="L49" s="24" t="e">
        <f ca="1">_xll.EVPRO($B$1,H49,"JDEID")</f>
        <v>#NAME?</v>
      </c>
      <c r="M49" s="24" t="e">
        <f ca="1">IF(AND(I49="N",J49="N"),_xll.EVPRO($B$1,H49,"PSFTID"),"")</f>
        <v>#NAME?</v>
      </c>
      <c r="N49" s="23" t="e">
        <f ca="1">IF(_xll.EVDES(H49,$B$1)="#NODATA","",_xll.EVDES(H49,$B$1))</f>
        <v>#NAME?</v>
      </c>
      <c r="O49" s="145"/>
      <c r="P49" s="145"/>
      <c r="Q49" s="145"/>
      <c r="R49" s="145"/>
      <c r="S49" s="145"/>
      <c r="T49" s="145"/>
      <c r="U49" s="145"/>
      <c r="V49" s="145"/>
      <c r="W49" s="145"/>
      <c r="X49" s="145"/>
      <c r="Y49" s="145"/>
      <c r="Z49" s="145"/>
      <c r="AA49" s="145">
        <f t="shared" si="6"/>
        <v>0</v>
      </c>
      <c r="AB49" s="156" t="str">
        <f>IF(AA49=0,"",IFERROR(AA49/AA$19,""))</f>
        <v/>
      </c>
      <c r="AD49" s="145"/>
      <c r="AE49" s="156" t="str">
        <f>IF(AD49=0,"",IFERROR(AD49/AD$19,""))</f>
        <v/>
      </c>
      <c r="AF49" s="146">
        <f t="shared" si="7"/>
        <v>0</v>
      </c>
      <c r="AG49" s="145">
        <v>102843.63</v>
      </c>
      <c r="AH49" s="156" t="str">
        <f t="shared" ca="1" si="3"/>
        <v/>
      </c>
      <c r="AI49" s="146">
        <f t="shared" si="8"/>
        <v>-102843.63</v>
      </c>
    </row>
    <row r="50" spans="1:35" x14ac:dyDescent="0.2">
      <c r="A50" s="6" t="s">
        <v>38</v>
      </c>
      <c r="B50" s="7"/>
      <c r="H50" s="10" t="s">
        <v>764</v>
      </c>
      <c r="I50" s="25" t="e">
        <f ca="1">_xll.EVPRO($B$1,$H50,"STYLE")</f>
        <v>#NAME?</v>
      </c>
      <c r="J50" s="25" t="e">
        <f ca="1">_xll.EVPRO($B$1,$H50,"CALC")</f>
        <v>#NAME?</v>
      </c>
      <c r="K50" s="24"/>
      <c r="L50" s="24" t="e">
        <f ca="1">_xll.EVPRO($B$1,H50,"JDEID")</f>
        <v>#NAME?</v>
      </c>
      <c r="M50" s="24" t="e">
        <f ca="1">IF(AND(I50="N",J50="N"),_xll.EVPRO($B$1,H50,"PSFTID"),"")</f>
        <v>#NAME?</v>
      </c>
      <c r="N50" s="24" t="e">
        <f ca="1">IF(_xll.EVDES(H50,$B$1)="#NODATA","",_xll.EVDES(H50,$B$1))</f>
        <v>#NAME?</v>
      </c>
      <c r="O50" s="35"/>
      <c r="P50" s="35"/>
      <c r="Q50" s="35"/>
      <c r="R50" s="35"/>
      <c r="S50" s="35"/>
      <c r="T50" s="35"/>
      <c r="U50" s="35"/>
      <c r="V50" s="35"/>
      <c r="W50" s="35"/>
      <c r="X50" s="35"/>
      <c r="Y50" s="35"/>
      <c r="Z50" s="35"/>
      <c r="AA50" s="35">
        <f t="shared" si="6"/>
        <v>0</v>
      </c>
      <c r="AB50" s="36"/>
      <c r="AD50" s="35"/>
      <c r="AE50" s="36"/>
      <c r="AF50" s="118">
        <f t="shared" si="7"/>
        <v>0</v>
      </c>
      <c r="AG50" s="35">
        <v>68</v>
      </c>
      <c r="AH50" s="36"/>
      <c r="AI50" s="118">
        <f t="shared" si="8"/>
        <v>-68</v>
      </c>
    </row>
    <row r="51" spans="1:35" x14ac:dyDescent="0.2">
      <c r="A51" s="6" t="s">
        <v>39</v>
      </c>
      <c r="B51" s="7"/>
      <c r="H51" s="10" t="s">
        <v>298</v>
      </c>
      <c r="I51" s="25" t="e">
        <f ca="1">_xll.EVPRO($B$1,$H51,"STYLE")</f>
        <v>#NAME?</v>
      </c>
      <c r="J51" s="25" t="e">
        <f ca="1">_xll.EVPRO($B$1,$H51,"CALC")</f>
        <v>#NAME?</v>
      </c>
      <c r="K51" s="24"/>
      <c r="L51" s="24" t="e">
        <f ca="1">_xll.EVPRO($B$1,H51,"JDEID")</f>
        <v>#NAME?</v>
      </c>
      <c r="M51" s="24" t="e">
        <f ca="1">IF(AND(I51="N",J51="N"),_xll.EVPRO($B$1,H51,"PSFTID"),"")</f>
        <v>#NAME?</v>
      </c>
      <c r="N51" s="24" t="e">
        <f ca="1">IF(_xll.EVDES(H51,$B$1)="#NODATA","",_xll.EVDES(H51,$B$1))</f>
        <v>#NAME?</v>
      </c>
      <c r="O51" s="35"/>
      <c r="P51" s="35"/>
      <c r="Q51" s="35"/>
      <c r="R51" s="35"/>
      <c r="S51" s="35"/>
      <c r="T51" s="35"/>
      <c r="U51" s="35"/>
      <c r="V51" s="35"/>
      <c r="W51" s="35"/>
      <c r="X51" s="35"/>
      <c r="Y51" s="35"/>
      <c r="Z51" s="35"/>
      <c r="AA51" s="35">
        <f t="shared" si="6"/>
        <v>0</v>
      </c>
      <c r="AB51" s="36" t="str">
        <f>IF(AA51=0,"",IFERROR(AA51/AA$84,""))</f>
        <v/>
      </c>
      <c r="AD51" s="35"/>
      <c r="AE51" s="36" t="str">
        <f>IF(AD51=0,"",IFERROR(AD51/AD$84,""))</f>
        <v/>
      </c>
      <c r="AF51" s="118">
        <f t="shared" si="7"/>
        <v>0</v>
      </c>
      <c r="AG51" s="35">
        <v>1957</v>
      </c>
      <c r="AH51" s="36">
        <f>IF(AG51=0,"",IFERROR(AG51/AG$84,""))</f>
        <v>0.45874355368026254</v>
      </c>
      <c r="AI51" s="118">
        <f t="shared" si="8"/>
        <v>-1957</v>
      </c>
    </row>
    <row r="52" spans="1:35" x14ac:dyDescent="0.2">
      <c r="A52" s="6" t="s">
        <v>40</v>
      </c>
      <c r="B52" s="7"/>
      <c r="H52" s="10" t="s">
        <v>315</v>
      </c>
      <c r="I52" s="25" t="e">
        <f ca="1">_xll.EVPRO($B$1,$H52,"STYLE")</f>
        <v>#NAME?</v>
      </c>
      <c r="J52" s="25" t="e">
        <f ca="1">_xll.EVPRO($B$1,$H52,"CALC")</f>
        <v>#NAME?</v>
      </c>
      <c r="K52" s="24"/>
      <c r="L52" s="24" t="e">
        <f ca="1">_xll.EVPRO($B$1,H52,"JDEID")</f>
        <v>#NAME?</v>
      </c>
      <c r="M52" s="24" t="e">
        <f ca="1">IF(AND(I52="N",J52="N"),_xll.EVPRO($B$1,H52,"PSFTID"),"")</f>
        <v>#NAME?</v>
      </c>
      <c r="N52" s="151" t="e">
        <f ca="1">IF(_xll.EVDES(H52,$B$1)="#NODATA","",_xll.EVDES(H52,$B$1))</f>
        <v>#NAME?</v>
      </c>
      <c r="O52" s="157"/>
      <c r="P52" s="157"/>
      <c r="Q52" s="157"/>
      <c r="R52" s="157"/>
      <c r="S52" s="157"/>
      <c r="T52" s="157"/>
      <c r="U52" s="157"/>
      <c r="V52" s="157"/>
      <c r="W52" s="157"/>
      <c r="X52" s="157"/>
      <c r="Y52" s="157"/>
      <c r="Z52" s="157"/>
      <c r="AA52" s="157" t="str">
        <f>IFERROR(AA49/AA51,"")</f>
        <v/>
      </c>
      <c r="AB52" s="157"/>
      <c r="AD52" s="157"/>
      <c r="AE52" s="157"/>
      <c r="AF52" s="158" t="str">
        <f t="shared" si="7"/>
        <v/>
      </c>
      <c r="AG52" s="157">
        <v>52.551676034747103</v>
      </c>
      <c r="AH52" s="157"/>
      <c r="AI52" s="158" t="e">
        <f t="shared" si="8"/>
        <v>#VALUE!</v>
      </c>
    </row>
    <row r="53" spans="1:35" x14ac:dyDescent="0.2">
      <c r="A53" s="6" t="s">
        <v>41</v>
      </c>
      <c r="B53" s="7"/>
      <c r="H53" s="10"/>
      <c r="I53" s="25"/>
      <c r="J53" s="25"/>
      <c r="K53" s="24"/>
      <c r="L53" s="24"/>
      <c r="M53" s="24"/>
      <c r="N53" s="163" t="s">
        <v>345</v>
      </c>
      <c r="O53" s="160">
        <f t="shared" ref="O53:AA53" si="9">ROUND(IFERROR(O49/O51,0),2)</f>
        <v>0</v>
      </c>
      <c r="P53" s="165">
        <f t="shared" si="9"/>
        <v>0</v>
      </c>
      <c r="Q53" s="165">
        <f t="shared" si="9"/>
        <v>0</v>
      </c>
      <c r="R53" s="165">
        <f t="shared" si="9"/>
        <v>0</v>
      </c>
      <c r="S53" s="165">
        <f t="shared" si="9"/>
        <v>0</v>
      </c>
      <c r="T53" s="165">
        <f t="shared" si="9"/>
        <v>0</v>
      </c>
      <c r="U53" s="165">
        <f t="shared" si="9"/>
        <v>0</v>
      </c>
      <c r="V53" s="165">
        <f t="shared" si="9"/>
        <v>0</v>
      </c>
      <c r="W53" s="165">
        <f t="shared" si="9"/>
        <v>0</v>
      </c>
      <c r="X53" s="165">
        <f t="shared" si="9"/>
        <v>0</v>
      </c>
      <c r="Y53" s="165">
        <f t="shared" si="9"/>
        <v>0</v>
      </c>
      <c r="Z53" s="165">
        <f t="shared" si="9"/>
        <v>0</v>
      </c>
      <c r="AA53" s="165">
        <f t="shared" si="9"/>
        <v>0</v>
      </c>
      <c r="AB53" s="164"/>
      <c r="AD53" s="160">
        <f>ROUND(IFERROR(AD49/AD51,0),2)</f>
        <v>0</v>
      </c>
      <c r="AE53" s="165"/>
      <c r="AF53" s="161"/>
      <c r="AG53" s="160">
        <f>ROUND(IFERROR(AG49/AG51,0),2)</f>
        <v>52.55</v>
      </c>
      <c r="AH53" s="165"/>
      <c r="AI53" s="161"/>
    </row>
    <row r="54" spans="1:35" x14ac:dyDescent="0.2">
      <c r="A54" s="6" t="s">
        <v>42</v>
      </c>
      <c r="B54" s="7"/>
      <c r="G54" s="162">
        <f>COUNTIF(O54:AI54,FALSE)</f>
        <v>0</v>
      </c>
      <c r="H54" s="10"/>
      <c r="I54" s="25"/>
      <c r="J54" s="25"/>
      <c r="K54" s="24"/>
      <c r="L54" s="24"/>
      <c r="M54" s="24"/>
      <c r="N54" s="8" t="s">
        <v>316</v>
      </c>
      <c r="O54" s="292" t="b">
        <f t="shared" ref="O54:AA54" si="10">ROUND(O52,2)=ROUND(O53,2)</f>
        <v>1</v>
      </c>
      <c r="P54" s="293" t="b">
        <f t="shared" si="10"/>
        <v>1</v>
      </c>
      <c r="Q54" s="293" t="b">
        <f t="shared" si="10"/>
        <v>1</v>
      </c>
      <c r="R54" s="293" t="b">
        <f t="shared" si="10"/>
        <v>1</v>
      </c>
      <c r="S54" s="293" t="b">
        <f t="shared" si="10"/>
        <v>1</v>
      </c>
      <c r="T54" s="293" t="b">
        <f t="shared" si="10"/>
        <v>1</v>
      </c>
      <c r="U54" s="293" t="b">
        <f t="shared" si="10"/>
        <v>1</v>
      </c>
      <c r="V54" s="293" t="b">
        <f t="shared" si="10"/>
        <v>1</v>
      </c>
      <c r="W54" s="293" t="b">
        <f t="shared" si="10"/>
        <v>1</v>
      </c>
      <c r="X54" s="293" t="b">
        <f t="shared" si="10"/>
        <v>1</v>
      </c>
      <c r="Y54" s="293" t="b">
        <f t="shared" si="10"/>
        <v>1</v>
      </c>
      <c r="Z54" s="293" t="b">
        <f t="shared" si="10"/>
        <v>1</v>
      </c>
      <c r="AA54" s="293" t="e">
        <f t="shared" si="10"/>
        <v>#VALUE!</v>
      </c>
      <c r="AB54" s="294"/>
      <c r="AC54" s="206"/>
      <c r="AD54" s="292"/>
      <c r="AE54" s="293" t="b">
        <f>ROUND(AD52,2)=ROUND(AD53,2)</f>
        <v>1</v>
      </c>
      <c r="AF54" s="294"/>
      <c r="AG54" s="292"/>
      <c r="AH54" s="293" t="b">
        <f>ROUND(AG52,2)=ROUND(AG53,2)</f>
        <v>1</v>
      </c>
      <c r="AI54" s="294"/>
    </row>
    <row r="55" spans="1:35" x14ac:dyDescent="0.2">
      <c r="A55" s="6" t="s">
        <v>43</v>
      </c>
      <c r="B55" s="7"/>
      <c r="H55" s="10" t="s">
        <v>262</v>
      </c>
      <c r="I55" s="25" t="e">
        <f ca="1">_xll.EVPRO($B$1,$H55,"STYLE")</f>
        <v>#NAME?</v>
      </c>
      <c r="J55" s="25" t="e">
        <f ca="1">_xll.EVPRO($B$1,$H55,"CALC")</f>
        <v>#NAME?</v>
      </c>
      <c r="K55" s="24"/>
      <c r="L55" s="24" t="e">
        <f ca="1">_xll.EVPRO($B$1,H55,"JDEID")</f>
        <v>#NAME?</v>
      </c>
      <c r="M55" s="24" t="e">
        <f ca="1">IF(AND(I55="N",J55="N"),_xll.EVPRO($B$1,H55,"PSFTID"),"")</f>
        <v>#NAME?</v>
      </c>
      <c r="N55" s="24" t="e">
        <f ca="1">IF(_xll.EVDES(H55,$B$1)="#NODATA","",_xll.EVDES(H55,$B$1))</f>
        <v>#NAME?</v>
      </c>
      <c r="O55" s="19"/>
      <c r="P55" s="19"/>
      <c r="Q55" s="19"/>
      <c r="R55" s="19"/>
      <c r="S55" s="19"/>
      <c r="T55" s="19"/>
      <c r="U55" s="19"/>
      <c r="V55" s="19"/>
      <c r="W55" s="19"/>
      <c r="X55" s="19"/>
      <c r="Y55" s="19"/>
      <c r="Z55" s="19"/>
      <c r="AA55" s="19">
        <f t="shared" ref="AA55:AA61" si="11">SUM(O55:Z55)</f>
        <v>0</v>
      </c>
      <c r="AB55" s="15" t="str">
        <f>IF(AA55=0,"",IFERROR(AA55/AA$19,""))</f>
        <v/>
      </c>
      <c r="AD55" s="19"/>
      <c r="AE55" s="15" t="str">
        <f>IF(AD55=0,"",IFERROR(AD55/AD$19,""))</f>
        <v/>
      </c>
      <c r="AF55" s="47">
        <f t="shared" ref="AF55:AF62" si="12">IF(AND($AA55="",AD55=""),"",$AA55-AD55)</f>
        <v>0</v>
      </c>
      <c r="AG55" s="19">
        <v>83490.59</v>
      </c>
      <c r="AH55" s="15" t="str">
        <f t="shared" ca="1" si="3"/>
        <v/>
      </c>
      <c r="AI55" s="47">
        <f t="shared" ref="AI55:AI62" si="13">IF(AND($AA55="",AG55=""),"",$AA55-AG55)</f>
        <v>-83490.59</v>
      </c>
    </row>
    <row r="56" spans="1:35" x14ac:dyDescent="0.2">
      <c r="A56" s="6" t="s">
        <v>44</v>
      </c>
      <c r="B56" s="7"/>
      <c r="H56" s="10" t="s">
        <v>302</v>
      </c>
      <c r="I56" s="25" t="e">
        <f ca="1">_xll.EVPRO($B$1,$H56,"STYLE")</f>
        <v>#NAME?</v>
      </c>
      <c r="J56" s="25" t="e">
        <f ca="1">_xll.EVPRO($B$1,$H56,"CALC")</f>
        <v>#NAME?</v>
      </c>
      <c r="K56" s="24"/>
      <c r="L56" s="24" t="e">
        <f ca="1">_xll.EVPRO($B$1,H56,"JDEID")</f>
        <v>#NAME?</v>
      </c>
      <c r="M56" s="24" t="e">
        <f ca="1">IF(AND(I56="N",J56="N"),_xll.EVPRO($B$1,H56,"PSFTID"),"")</f>
        <v>#NAME?</v>
      </c>
      <c r="N56" s="24" t="e">
        <f ca="1">IF(_xll.EVDES(H56,$B$1)="#NODATA","",_xll.EVDES(H56,$B$1))</f>
        <v>#NAME?</v>
      </c>
      <c r="O56" s="19"/>
      <c r="P56" s="19"/>
      <c r="Q56" s="19"/>
      <c r="R56" s="19"/>
      <c r="S56" s="19"/>
      <c r="T56" s="19"/>
      <c r="U56" s="19"/>
      <c r="V56" s="19"/>
      <c r="W56" s="19"/>
      <c r="X56" s="19"/>
      <c r="Y56" s="19"/>
      <c r="Z56" s="19"/>
      <c r="AA56" s="19">
        <f t="shared" si="11"/>
        <v>0</v>
      </c>
      <c r="AB56" s="15" t="str">
        <f>IF(AA56=0,"",IFERROR(AA56/AA$19,""))</f>
        <v/>
      </c>
      <c r="AD56" s="19"/>
      <c r="AE56" s="15" t="str">
        <f>IF(AD56=0,"",IFERROR(AD56/AD$19,""))</f>
        <v/>
      </c>
      <c r="AF56" s="47">
        <f t="shared" si="12"/>
        <v>0</v>
      </c>
      <c r="AG56" s="19">
        <v>9060</v>
      </c>
      <c r="AH56" s="15" t="str">
        <f t="shared" ca="1" si="3"/>
        <v/>
      </c>
      <c r="AI56" s="47">
        <f t="shared" si="13"/>
        <v>-9060</v>
      </c>
    </row>
    <row r="57" spans="1:35" x14ac:dyDescent="0.2">
      <c r="A57" s="6" t="s">
        <v>45</v>
      </c>
      <c r="B57" s="7"/>
      <c r="H57" s="10" t="s">
        <v>306</v>
      </c>
      <c r="I57" s="25" t="e">
        <f ca="1">_xll.EVPRO($B$1,$H57,"STYLE")</f>
        <v>#NAME?</v>
      </c>
      <c r="J57" s="25" t="e">
        <f ca="1">_xll.EVPRO($B$1,$H57,"CALC")</f>
        <v>#NAME?</v>
      </c>
      <c r="K57" s="24"/>
      <c r="L57" s="24" t="e">
        <f ca="1">_xll.EVPRO($B$1,H57,"JDEID")</f>
        <v>#NAME?</v>
      </c>
      <c r="M57" s="24" t="e">
        <f ca="1">IF(AND(I57="N",J57="N"),_xll.EVPRO($B$1,H57,"PSFTID"),"")</f>
        <v>#NAME?</v>
      </c>
      <c r="N57" s="24" t="e">
        <f ca="1">IF(_xll.EVDES(H57,$B$1)="#NODATA","",_xll.EVDES(H57,$B$1))</f>
        <v>#NAME?</v>
      </c>
      <c r="O57" s="19"/>
      <c r="P57" s="19"/>
      <c r="Q57" s="19"/>
      <c r="R57" s="19"/>
      <c r="S57" s="19"/>
      <c r="T57" s="19"/>
      <c r="U57" s="19"/>
      <c r="V57" s="19"/>
      <c r="W57" s="19"/>
      <c r="X57" s="19"/>
      <c r="Y57" s="19"/>
      <c r="Z57" s="19"/>
      <c r="AA57" s="19">
        <f t="shared" si="11"/>
        <v>0</v>
      </c>
      <c r="AB57" s="15" t="str">
        <f>IF(AA57=0,"",IFERROR(AA57/AA$19,""))</f>
        <v/>
      </c>
      <c r="AD57" s="19"/>
      <c r="AE57" s="15" t="str">
        <f>IF(AD57=0,"",IFERROR(AD57/AD$19,""))</f>
        <v/>
      </c>
      <c r="AF57" s="47">
        <f t="shared" si="12"/>
        <v>0</v>
      </c>
      <c r="AG57" s="19">
        <v>2605</v>
      </c>
      <c r="AH57" s="15" t="str">
        <f t="shared" ca="1" si="3"/>
        <v/>
      </c>
      <c r="AI57" s="47">
        <f t="shared" si="13"/>
        <v>-2605</v>
      </c>
    </row>
    <row r="58" spans="1:35" x14ac:dyDescent="0.2">
      <c r="A58" s="6" t="s">
        <v>46</v>
      </c>
      <c r="B58" s="7"/>
      <c r="H58" s="10" t="s">
        <v>304</v>
      </c>
      <c r="I58" s="25" t="e">
        <f ca="1">_xll.EVPRO($B$1,$H58,"STYLE")</f>
        <v>#NAME?</v>
      </c>
      <c r="J58" s="25" t="e">
        <f ca="1">_xll.EVPRO($B$1,$H58,"CALC")</f>
        <v>#NAME?</v>
      </c>
      <c r="K58" s="24"/>
      <c r="L58" s="24" t="e">
        <f ca="1">_xll.EVPRO($B$1,H58,"JDEID")</f>
        <v>#NAME?</v>
      </c>
      <c r="M58" s="24" t="e">
        <f ca="1">IF(AND(I58="N",J58="N"),_xll.EVPRO($B$1,H58,"PSFTID"),"")</f>
        <v>#NAME?</v>
      </c>
      <c r="N58" s="24" t="e">
        <f ca="1">IF(_xll.EVDES(H58,$B$1)="#NODATA","",_xll.EVDES(H58,$B$1))</f>
        <v>#NAME?</v>
      </c>
      <c r="O58" s="28"/>
      <c r="P58" s="28"/>
      <c r="Q58" s="28"/>
      <c r="R58" s="28"/>
      <c r="S58" s="28"/>
      <c r="T58" s="28"/>
      <c r="U58" s="28"/>
      <c r="V58" s="28"/>
      <c r="W58" s="28"/>
      <c r="X58" s="28"/>
      <c r="Y58" s="28"/>
      <c r="Z58" s="28"/>
      <c r="AA58" s="28">
        <f t="shared" si="11"/>
        <v>0</v>
      </c>
      <c r="AB58" s="29" t="str">
        <f>IF(AA58=0,"",IFERROR(AA58/AA$19,""))</f>
        <v/>
      </c>
      <c r="AD58" s="28"/>
      <c r="AE58" s="29" t="str">
        <f>IF(AD58=0,"",IFERROR(AD58/AD$19,""))</f>
        <v/>
      </c>
      <c r="AF58" s="48">
        <f t="shared" si="12"/>
        <v>0</v>
      </c>
      <c r="AG58" s="28">
        <v>3155.79</v>
      </c>
      <c r="AH58" s="29" t="str">
        <f t="shared" ca="1" si="3"/>
        <v/>
      </c>
      <c r="AI58" s="48">
        <f t="shared" si="13"/>
        <v>-3155.79</v>
      </c>
    </row>
    <row r="59" spans="1:35" x14ac:dyDescent="0.2">
      <c r="H59" s="10" t="s">
        <v>320</v>
      </c>
      <c r="I59" s="25" t="e">
        <f ca="1">_xll.EVPRO($B$1,$H59,"STYLE")</f>
        <v>#NAME?</v>
      </c>
      <c r="J59" s="25" t="e">
        <f ca="1">_xll.EVPRO($B$1,$H59,"CALC")</f>
        <v>#NAME?</v>
      </c>
      <c r="K59" s="24"/>
      <c r="L59" s="24" t="e">
        <f ca="1">_xll.EVPRO($B$1,H59,"JDEID")</f>
        <v>#NAME?</v>
      </c>
      <c r="M59" s="24" t="e">
        <f ca="1">IF(AND(I59="N",J59="N"),_xll.EVPRO($B$1,H59,"PSFTID"),"")</f>
        <v>#NAME?</v>
      </c>
      <c r="N59" s="23" t="e">
        <f ca="1">IF(_xll.EVDES(H59,$B$1)="#NODATA","",_xll.EVDES(H59,$B$1))</f>
        <v>#NAME?</v>
      </c>
      <c r="O59" s="145"/>
      <c r="P59" s="145"/>
      <c r="Q59" s="145"/>
      <c r="R59" s="145"/>
      <c r="S59" s="145"/>
      <c r="T59" s="145"/>
      <c r="U59" s="145"/>
      <c r="V59" s="145"/>
      <c r="W59" s="145"/>
      <c r="X59" s="145"/>
      <c r="Y59" s="145"/>
      <c r="Z59" s="145"/>
      <c r="AA59" s="145">
        <f t="shared" si="11"/>
        <v>0</v>
      </c>
      <c r="AB59" s="156" t="str">
        <f>IF(AA59=0,"",IFERROR(AA59/AA$19,""))</f>
        <v/>
      </c>
      <c r="AD59" s="145"/>
      <c r="AE59" s="156" t="str">
        <f>IF(AD59=0,"",IFERROR(AD59/AD$19,""))</f>
        <v/>
      </c>
      <c r="AF59" s="146">
        <f t="shared" si="12"/>
        <v>0</v>
      </c>
      <c r="AG59" s="145">
        <v>98311.38</v>
      </c>
      <c r="AH59" s="156" t="str">
        <f t="shared" ca="1" si="3"/>
        <v/>
      </c>
      <c r="AI59" s="146">
        <f t="shared" si="13"/>
        <v>-98311.38</v>
      </c>
    </row>
    <row r="60" spans="1:35" x14ac:dyDescent="0.2">
      <c r="H60" s="10" t="s">
        <v>765</v>
      </c>
      <c r="I60" s="25" t="e">
        <f ca="1">_xll.EVPRO($B$1,$H60,"STYLE")</f>
        <v>#NAME?</v>
      </c>
      <c r="J60" s="25" t="e">
        <f ca="1">_xll.EVPRO($B$1,$H60,"CALC")</f>
        <v>#NAME?</v>
      </c>
      <c r="K60" s="24"/>
      <c r="L60" s="24" t="e">
        <f ca="1">_xll.EVPRO($B$1,H60,"JDEID")</f>
        <v>#NAME?</v>
      </c>
      <c r="M60" s="24" t="e">
        <f ca="1">IF(AND(I60="N",J60="N"),_xll.EVPRO($B$1,H60,"PSFTID"),"")</f>
        <v>#NAME?</v>
      </c>
      <c r="N60" s="24" t="e">
        <f ca="1">IF(_xll.EVDES(H60,$B$1)="#NODATA","",_xll.EVDES(H60,$B$1))</f>
        <v>#NAME?</v>
      </c>
      <c r="O60" s="35"/>
      <c r="P60" s="35"/>
      <c r="Q60" s="35"/>
      <c r="R60" s="35"/>
      <c r="S60" s="35"/>
      <c r="T60" s="35"/>
      <c r="U60" s="35"/>
      <c r="V60" s="35"/>
      <c r="W60" s="35"/>
      <c r="X60" s="35"/>
      <c r="Y60" s="35"/>
      <c r="Z60" s="35"/>
      <c r="AA60" s="35">
        <f t="shared" si="11"/>
        <v>0</v>
      </c>
      <c r="AB60" s="36"/>
      <c r="AD60" s="35"/>
      <c r="AE60" s="36"/>
      <c r="AF60" s="118">
        <f t="shared" si="12"/>
        <v>0</v>
      </c>
      <c r="AG60" s="35">
        <v>43</v>
      </c>
      <c r="AH60" s="36"/>
      <c r="AI60" s="118">
        <f t="shared" si="13"/>
        <v>-43</v>
      </c>
    </row>
    <row r="61" spans="1:35" x14ac:dyDescent="0.2">
      <c r="H61" s="10" t="s">
        <v>299</v>
      </c>
      <c r="I61" s="25" t="e">
        <f ca="1">_xll.EVPRO($B$1,$H61,"STYLE")</f>
        <v>#NAME?</v>
      </c>
      <c r="J61" s="25" t="e">
        <f ca="1">_xll.EVPRO($B$1,$H61,"CALC")</f>
        <v>#NAME?</v>
      </c>
      <c r="K61" s="24"/>
      <c r="L61" s="24" t="e">
        <f ca="1">_xll.EVPRO($B$1,H61,"JDEID")</f>
        <v>#NAME?</v>
      </c>
      <c r="M61" s="24" t="e">
        <f ca="1">IF(AND(I61="N",J61="N"),_xll.EVPRO($B$1,H61,"PSFTID"),"")</f>
        <v>#NAME?</v>
      </c>
      <c r="N61" s="24" t="e">
        <f ca="1">IF(_xll.EVDES(H61,$B$1)="#NODATA","",_xll.EVDES(H61,$B$1))</f>
        <v>#NAME?</v>
      </c>
      <c r="O61" s="35"/>
      <c r="P61" s="35"/>
      <c r="Q61" s="35"/>
      <c r="R61" s="35"/>
      <c r="S61" s="35"/>
      <c r="T61" s="35"/>
      <c r="U61" s="35"/>
      <c r="V61" s="35"/>
      <c r="W61" s="35"/>
      <c r="X61" s="35"/>
      <c r="Y61" s="35"/>
      <c r="Z61" s="35"/>
      <c r="AA61" s="35">
        <f t="shared" si="11"/>
        <v>0</v>
      </c>
      <c r="AB61" s="36" t="str">
        <f>IF(AA61=0,"",IFERROR(AA61/AA$84,""))</f>
        <v/>
      </c>
      <c r="AD61" s="35"/>
      <c r="AE61" s="36" t="str">
        <f>IF(AD61=0,"",IFERROR(AD61/AD$84,""))</f>
        <v/>
      </c>
      <c r="AF61" s="118">
        <f t="shared" si="12"/>
        <v>0</v>
      </c>
      <c r="AG61" s="35">
        <v>1319</v>
      </c>
      <c r="AH61" s="36">
        <f>IF(AG61=0,"",IFERROR(AG61/AG$84,""))</f>
        <v>0.30918893577121426</v>
      </c>
      <c r="AI61" s="118">
        <f t="shared" si="13"/>
        <v>-1319</v>
      </c>
    </row>
    <row r="62" spans="1:35" x14ac:dyDescent="0.2">
      <c r="H62" s="133" t="s">
        <v>317</v>
      </c>
      <c r="I62" s="25" t="e">
        <f ca="1">_xll.EVPRO($B$1,$H62,"STYLE")</f>
        <v>#NAME?</v>
      </c>
      <c r="J62" s="25" t="e">
        <f ca="1">_xll.EVPRO($B$1,$H62,"CALC")</f>
        <v>#NAME?</v>
      </c>
      <c r="K62" s="24"/>
      <c r="L62" s="24" t="e">
        <f ca="1">_xll.EVPRO($B$1,H62,"JDEID")</f>
        <v>#NAME?</v>
      </c>
      <c r="M62" s="24" t="e">
        <f ca="1">IF(AND(I62="N",J62="N"),_xll.EVPRO($B$1,H62,"PSFTID"),"")</f>
        <v>#NAME?</v>
      </c>
      <c r="N62" s="151" t="e">
        <f ca="1">IF(_xll.EVDES(H62,$B$1)="#NODATA","",_xll.EVDES(H62,$B$1))</f>
        <v>#NAME?</v>
      </c>
      <c r="O62" s="157"/>
      <c r="P62" s="157"/>
      <c r="Q62" s="157"/>
      <c r="R62" s="157"/>
      <c r="S62" s="157"/>
      <c r="T62" s="157"/>
      <c r="U62" s="157"/>
      <c r="V62" s="157"/>
      <c r="W62" s="157"/>
      <c r="X62" s="157"/>
      <c r="Y62" s="157"/>
      <c r="Z62" s="157"/>
      <c r="AA62" s="157" t="str">
        <f>IFERROR(AA59/AA61,"")</f>
        <v/>
      </c>
      <c r="AB62" s="157"/>
      <c r="AD62" s="157"/>
      <c r="AE62" s="157"/>
      <c r="AF62" s="158" t="str">
        <f t="shared" si="12"/>
        <v/>
      </c>
      <c r="AG62" s="157">
        <v>74.534783927217603</v>
      </c>
      <c r="AH62" s="157"/>
      <c r="AI62" s="158" t="e">
        <f t="shared" si="13"/>
        <v>#VALUE!</v>
      </c>
    </row>
    <row r="63" spans="1:35" x14ac:dyDescent="0.2">
      <c r="H63" s="10"/>
      <c r="I63" s="25"/>
      <c r="J63" s="25"/>
      <c r="K63" s="24"/>
      <c r="L63" s="24"/>
      <c r="M63" s="24"/>
      <c r="N63" s="163" t="s">
        <v>345</v>
      </c>
      <c r="O63" s="160">
        <f t="shared" ref="O63:AA63" si="14">ROUND(IFERROR(O59/O61,0),2)</f>
        <v>0</v>
      </c>
      <c r="P63" s="165">
        <f t="shared" si="14"/>
        <v>0</v>
      </c>
      <c r="Q63" s="165">
        <f t="shared" si="14"/>
        <v>0</v>
      </c>
      <c r="R63" s="165">
        <f t="shared" si="14"/>
        <v>0</v>
      </c>
      <c r="S63" s="165">
        <f t="shared" si="14"/>
        <v>0</v>
      </c>
      <c r="T63" s="165">
        <f t="shared" si="14"/>
        <v>0</v>
      </c>
      <c r="U63" s="165">
        <f t="shared" si="14"/>
        <v>0</v>
      </c>
      <c r="V63" s="165">
        <f t="shared" si="14"/>
        <v>0</v>
      </c>
      <c r="W63" s="165">
        <f t="shared" si="14"/>
        <v>0</v>
      </c>
      <c r="X63" s="165">
        <f t="shared" si="14"/>
        <v>0</v>
      </c>
      <c r="Y63" s="165">
        <f t="shared" si="14"/>
        <v>0</v>
      </c>
      <c r="Z63" s="165">
        <f t="shared" si="14"/>
        <v>0</v>
      </c>
      <c r="AA63" s="165">
        <f t="shared" si="14"/>
        <v>0</v>
      </c>
      <c r="AB63" s="164"/>
      <c r="AD63" s="160">
        <f>ROUND(IFERROR(AD59/AD61,0),2)</f>
        <v>0</v>
      </c>
      <c r="AE63" s="165"/>
      <c r="AF63" s="161"/>
      <c r="AG63" s="160">
        <f>ROUND(IFERROR(AG59/AG61,0),2)</f>
        <v>74.53</v>
      </c>
      <c r="AH63" s="165"/>
      <c r="AI63" s="161"/>
    </row>
    <row r="64" spans="1:35" x14ac:dyDescent="0.2">
      <c r="G64" s="162">
        <f>COUNTIF(O64:AI64,FALSE)</f>
        <v>0</v>
      </c>
      <c r="H64" s="133"/>
      <c r="I64" s="25"/>
      <c r="J64" s="25"/>
      <c r="K64" s="24"/>
      <c r="L64" s="24"/>
      <c r="M64" s="24"/>
      <c r="N64" s="8" t="s">
        <v>807</v>
      </c>
      <c r="O64" s="292" t="b">
        <f t="shared" ref="O64:AA64" si="15">ROUND(O62,2)=ROUND(O63,2)</f>
        <v>1</v>
      </c>
      <c r="P64" s="293" t="b">
        <f t="shared" si="15"/>
        <v>1</v>
      </c>
      <c r="Q64" s="293" t="b">
        <f t="shared" si="15"/>
        <v>1</v>
      </c>
      <c r="R64" s="293" t="b">
        <f t="shared" si="15"/>
        <v>1</v>
      </c>
      <c r="S64" s="293" t="b">
        <f t="shared" si="15"/>
        <v>1</v>
      </c>
      <c r="T64" s="293" t="b">
        <f t="shared" si="15"/>
        <v>1</v>
      </c>
      <c r="U64" s="293" t="b">
        <f t="shared" si="15"/>
        <v>1</v>
      </c>
      <c r="V64" s="293" t="b">
        <f t="shared" si="15"/>
        <v>1</v>
      </c>
      <c r="W64" s="293" t="b">
        <f t="shared" si="15"/>
        <v>1</v>
      </c>
      <c r="X64" s="293" t="b">
        <f t="shared" si="15"/>
        <v>1</v>
      </c>
      <c r="Y64" s="293" t="b">
        <f t="shared" si="15"/>
        <v>1</v>
      </c>
      <c r="Z64" s="293" t="b">
        <f t="shared" si="15"/>
        <v>1</v>
      </c>
      <c r="AA64" s="293" t="e">
        <f t="shared" si="15"/>
        <v>#VALUE!</v>
      </c>
      <c r="AB64" s="294"/>
      <c r="AC64" s="206"/>
      <c r="AD64" s="292"/>
      <c r="AE64" s="293" t="b">
        <f>ROUND(AD62,2)=ROUND(AD63,2)</f>
        <v>1</v>
      </c>
      <c r="AF64" s="294"/>
      <c r="AG64" s="292"/>
      <c r="AH64" s="293" t="b">
        <f>ROUND(AG62,2)=ROUND(AG63,2)</f>
        <v>1</v>
      </c>
      <c r="AI64" s="294"/>
    </row>
    <row r="65" spans="3:35" x14ac:dyDescent="0.2">
      <c r="H65" s="133" t="s">
        <v>790</v>
      </c>
      <c r="I65" s="25" t="e">
        <f ca="1">_xll.EVPRO($B$1,$H65,"STYLE")</f>
        <v>#NAME?</v>
      </c>
      <c r="J65" s="25" t="e">
        <f ca="1">_xll.EVPRO($B$1,$H65,"CALC")</f>
        <v>#NAME?</v>
      </c>
      <c r="K65" s="24"/>
      <c r="L65" s="24" t="e">
        <f ca="1">_xll.EVPRO($B$1,H65,"JDEID")</f>
        <v>#NAME?</v>
      </c>
      <c r="M65" s="24" t="e">
        <f ca="1">IF(AND(I65="N",J65="N"),_xll.EVPRO($B$1,H65,"PSFTID"),"")</f>
        <v>#NAME?</v>
      </c>
      <c r="N65" s="24" t="e">
        <f ca="1">IF(_xll.EVDES(H65,$B$1)="#NODATA","",_xll.EVDES(H65,$B$1))</f>
        <v>#NAME?</v>
      </c>
      <c r="O65" s="19"/>
      <c r="P65" s="19"/>
      <c r="Q65" s="19"/>
      <c r="R65" s="19"/>
      <c r="S65" s="19"/>
      <c r="T65" s="19"/>
      <c r="U65" s="19"/>
      <c r="V65" s="19"/>
      <c r="W65" s="19"/>
      <c r="X65" s="19"/>
      <c r="Y65" s="19"/>
      <c r="Z65" s="19"/>
      <c r="AA65" s="19">
        <f t="shared" ref="AA65:AA70" si="16">SUM(O65:Z65)</f>
        <v>0</v>
      </c>
      <c r="AB65" s="15" t="str">
        <f>IF(AA65=0,"",IFERROR(AA65/AA$19,""))</f>
        <v/>
      </c>
      <c r="AD65" s="19"/>
      <c r="AE65" s="15" t="str">
        <f>IF(AD65=0,"",IFERROR(AD65/AD$19,""))</f>
        <v/>
      </c>
      <c r="AF65" s="47">
        <f t="shared" ref="AF65:AF71" si="17">IF(AND($AA65="",AD65=""),"",$AA65-AD65)</f>
        <v>0</v>
      </c>
      <c r="AG65" s="19">
        <v>29805.4</v>
      </c>
      <c r="AH65" s="15" t="str">
        <f t="shared" ca="1" si="3"/>
        <v/>
      </c>
      <c r="AI65" s="47">
        <f t="shared" ref="AI65:AI71" si="18">IF(AND($AA65="",AG65=""),"",$AA65-AG65)</f>
        <v>-29805.4</v>
      </c>
    </row>
    <row r="66" spans="3:35" x14ac:dyDescent="0.2">
      <c r="H66" s="133" t="s">
        <v>808</v>
      </c>
      <c r="I66" s="25" t="e">
        <f ca="1">_xll.EVPRO($B$1,$H66,"STYLE")</f>
        <v>#NAME?</v>
      </c>
      <c r="J66" s="25" t="e">
        <f ca="1">_xll.EVPRO($B$1,$H66,"CALC")</f>
        <v>#NAME?</v>
      </c>
      <c r="K66" s="24"/>
      <c r="L66" s="24" t="e">
        <f ca="1">_xll.EVPRO($B$1,H66,"JDEID")</f>
        <v>#NAME?</v>
      </c>
      <c r="M66" s="24" t="e">
        <f ca="1">IF(AND(I66="N",J66="N"),_xll.EVPRO($B$1,H66,"PSFTID"),"")</f>
        <v>#NAME?</v>
      </c>
      <c r="N66" s="24" t="e">
        <f ca="1">IF(_xll.EVDES(H66,$B$1)="#NODATA","",_xll.EVDES(H66,$B$1))</f>
        <v>#NAME?</v>
      </c>
      <c r="O66" s="19"/>
      <c r="P66" s="19"/>
      <c r="Q66" s="19"/>
      <c r="R66" s="19"/>
      <c r="S66" s="19"/>
      <c r="T66" s="19"/>
      <c r="U66" s="19"/>
      <c r="V66" s="19"/>
      <c r="W66" s="19"/>
      <c r="X66" s="19"/>
      <c r="Y66" s="19"/>
      <c r="Z66" s="19"/>
      <c r="AA66" s="19">
        <f t="shared" si="16"/>
        <v>0</v>
      </c>
      <c r="AB66" s="15" t="str">
        <f>IF(AA66=0,"",IFERROR(AA66/AA$19,""))</f>
        <v/>
      </c>
      <c r="AD66" s="19"/>
      <c r="AE66" s="15" t="str">
        <f>IF(AD66=0,"",IFERROR(AD66/AD$19,""))</f>
        <v/>
      </c>
      <c r="AF66" s="47">
        <f t="shared" si="17"/>
        <v>0</v>
      </c>
      <c r="AG66" s="19">
        <v>9492.9599999999991</v>
      </c>
      <c r="AH66" s="15" t="str">
        <f t="shared" ca="1" si="3"/>
        <v/>
      </c>
      <c r="AI66" s="47">
        <f t="shared" si="18"/>
        <v>-9492.9599999999991</v>
      </c>
    </row>
    <row r="67" spans="3:35" x14ac:dyDescent="0.2">
      <c r="H67" s="133" t="s">
        <v>809</v>
      </c>
      <c r="I67" s="25" t="e">
        <f ca="1">_xll.EVPRO($B$1,$H67,"STYLE")</f>
        <v>#NAME?</v>
      </c>
      <c r="J67" s="25" t="e">
        <f ca="1">_xll.EVPRO($B$1,$H67,"CALC")</f>
        <v>#NAME?</v>
      </c>
      <c r="K67" s="24"/>
      <c r="L67" s="24" t="e">
        <f ca="1">_xll.EVPRO($B$1,H67,"JDEID")</f>
        <v>#NAME?</v>
      </c>
      <c r="M67" s="24" t="e">
        <f ca="1">IF(AND(I67="N",J67="N"),_xll.EVPRO($B$1,H67,"PSFTID"),"")</f>
        <v>#NAME?</v>
      </c>
      <c r="N67" s="24" t="e">
        <f ca="1">IF(_xll.EVDES(H67,$B$1)="#NODATA","",_xll.EVDES(H67,$B$1))</f>
        <v>#NAME?</v>
      </c>
      <c r="O67" s="19"/>
      <c r="P67" s="19"/>
      <c r="Q67" s="19"/>
      <c r="R67" s="19"/>
      <c r="S67" s="19"/>
      <c r="T67" s="19"/>
      <c r="U67" s="19"/>
      <c r="V67" s="19"/>
      <c r="W67" s="19"/>
      <c r="X67" s="19"/>
      <c r="Y67" s="19"/>
      <c r="Z67" s="19"/>
      <c r="AA67" s="19">
        <f t="shared" si="16"/>
        <v>0</v>
      </c>
      <c r="AB67" s="15" t="str">
        <f>IF(AA67=0,"",IFERROR(AA67/AA$19,""))</f>
        <v/>
      </c>
      <c r="AD67" s="19"/>
      <c r="AE67" s="15" t="str">
        <f>IF(AD67=0,"",IFERROR(AD67/AD$19,""))</f>
        <v/>
      </c>
      <c r="AF67" s="47">
        <f t="shared" si="17"/>
        <v>0</v>
      </c>
      <c r="AG67" s="19">
        <v>530</v>
      </c>
      <c r="AH67" s="15" t="str">
        <f t="shared" ca="1" si="3"/>
        <v/>
      </c>
      <c r="AI67" s="47">
        <f t="shared" si="18"/>
        <v>-530</v>
      </c>
    </row>
    <row r="68" spans="3:35" x14ac:dyDescent="0.2">
      <c r="H68" s="133" t="s">
        <v>810</v>
      </c>
      <c r="I68" s="25" t="e">
        <f ca="1">_xll.EVPRO($B$1,$H68,"STYLE")</f>
        <v>#NAME?</v>
      </c>
      <c r="J68" s="25" t="e">
        <f ca="1">_xll.EVPRO($B$1,$H68,"CALC")</f>
        <v>#NAME?</v>
      </c>
      <c r="K68" s="24"/>
      <c r="L68" s="24" t="e">
        <f ca="1">_xll.EVPRO($B$1,H68,"JDEID")</f>
        <v>#NAME?</v>
      </c>
      <c r="M68" s="24" t="e">
        <f ca="1">IF(AND(I68="N",J68="N"),_xll.EVPRO($B$1,H68,"PSFTID"),"")</f>
        <v>#NAME?</v>
      </c>
      <c r="N68" s="24" t="e">
        <f ca="1">IF(_xll.EVDES(H68,$B$1)="#NODATA","",_xll.EVDES(H68,$B$1))</f>
        <v>#NAME?</v>
      </c>
      <c r="O68" s="28"/>
      <c r="P68" s="28"/>
      <c r="Q68" s="28"/>
      <c r="R68" s="28"/>
      <c r="S68" s="28"/>
      <c r="T68" s="28"/>
      <c r="U68" s="28"/>
      <c r="V68" s="28"/>
      <c r="W68" s="28"/>
      <c r="X68" s="28"/>
      <c r="Y68" s="28"/>
      <c r="Z68" s="28"/>
      <c r="AA68" s="28">
        <f t="shared" si="16"/>
        <v>0</v>
      </c>
      <c r="AB68" s="29" t="str">
        <f>IF(AA68=0,"",IFERROR(AA68/AA$19,""))</f>
        <v/>
      </c>
      <c r="AD68" s="28"/>
      <c r="AE68" s="29" t="str">
        <f>IF(AD68=0,"",IFERROR(AD68/AD$19,""))</f>
        <v/>
      </c>
      <c r="AF68" s="48">
        <f t="shared" si="17"/>
        <v>0</v>
      </c>
      <c r="AG68" s="28">
        <v>2554</v>
      </c>
      <c r="AH68" s="29" t="str">
        <f t="shared" ca="1" si="3"/>
        <v/>
      </c>
      <c r="AI68" s="48">
        <f t="shared" si="18"/>
        <v>-2554</v>
      </c>
    </row>
    <row r="69" spans="3:35" x14ac:dyDescent="0.2">
      <c r="H69" s="133" t="s">
        <v>811</v>
      </c>
      <c r="I69" s="25" t="e">
        <f ca="1">_xll.EVPRO($B$1,$H69,"STYLE")</f>
        <v>#NAME?</v>
      </c>
      <c r="J69" s="25" t="e">
        <f ca="1">_xll.EVPRO($B$1,$H69,"CALC")</f>
        <v>#NAME?</v>
      </c>
      <c r="K69" s="24"/>
      <c r="L69" s="24" t="e">
        <f ca="1">_xll.EVPRO($B$1,H69,"JDEID")</f>
        <v>#NAME?</v>
      </c>
      <c r="M69" s="24" t="e">
        <f ca="1">IF(AND(I69="N",J69="N"),_xll.EVPRO($B$1,H69,"PSFTID"),"")</f>
        <v>#NAME?</v>
      </c>
      <c r="N69" s="23" t="e">
        <f ca="1">IF(_xll.EVDES(H69,$B$1)="#NODATA","",_xll.EVDES(H69,$B$1))</f>
        <v>#NAME?</v>
      </c>
      <c r="O69" s="145"/>
      <c r="P69" s="145"/>
      <c r="Q69" s="145"/>
      <c r="R69" s="145"/>
      <c r="S69" s="145"/>
      <c r="T69" s="145"/>
      <c r="U69" s="145"/>
      <c r="V69" s="145"/>
      <c r="W69" s="145"/>
      <c r="X69" s="145"/>
      <c r="Y69" s="145"/>
      <c r="Z69" s="145"/>
      <c r="AA69" s="145">
        <f t="shared" si="16"/>
        <v>0</v>
      </c>
      <c r="AB69" s="156" t="str">
        <f>IF(AA69=0,"",IFERROR(AA69/AA$19,""))</f>
        <v/>
      </c>
      <c r="AD69" s="145"/>
      <c r="AE69" s="156" t="str">
        <f>IF(AD69=0,"",IFERROR(AD69/AD$19,""))</f>
        <v/>
      </c>
      <c r="AF69" s="146">
        <f t="shared" si="17"/>
        <v>0</v>
      </c>
      <c r="AG69" s="145">
        <v>42382.36</v>
      </c>
      <c r="AH69" s="156" t="str">
        <f t="shared" ca="1" si="3"/>
        <v/>
      </c>
      <c r="AI69" s="146">
        <f t="shared" si="18"/>
        <v>-42382.36</v>
      </c>
    </row>
    <row r="70" spans="3:35" x14ac:dyDescent="0.2">
      <c r="H70" s="133" t="s">
        <v>812</v>
      </c>
      <c r="I70" s="25" t="e">
        <f ca="1">_xll.EVPRO($B$1,$H70,"STYLE")</f>
        <v>#NAME?</v>
      </c>
      <c r="J70" s="25" t="e">
        <f ca="1">_xll.EVPRO($B$1,$H70,"CALC")</f>
        <v>#NAME?</v>
      </c>
      <c r="K70" s="24"/>
      <c r="L70" s="24" t="e">
        <f ca="1">_xll.EVPRO($B$1,H70,"JDEID")</f>
        <v>#NAME?</v>
      </c>
      <c r="M70" s="24" t="e">
        <f ca="1">IF(AND(I70="N",J70="N"),_xll.EVPRO($B$1,H70,"PSFTID"),"")</f>
        <v>#NAME?</v>
      </c>
      <c r="N70" s="24" t="e">
        <f ca="1">IF(_xll.EVDES(H70,$B$1)="#NODATA","",_xll.EVDES(H70,$B$1))</f>
        <v>#NAME?</v>
      </c>
      <c r="O70" s="35"/>
      <c r="P70" s="35"/>
      <c r="Q70" s="35"/>
      <c r="R70" s="35"/>
      <c r="S70" s="35"/>
      <c r="T70" s="35"/>
      <c r="U70" s="35"/>
      <c r="V70" s="35"/>
      <c r="W70" s="35"/>
      <c r="X70" s="35"/>
      <c r="Y70" s="35"/>
      <c r="Z70" s="35"/>
      <c r="AA70" s="35">
        <f t="shared" si="16"/>
        <v>0</v>
      </c>
      <c r="AB70" s="36" t="str">
        <f>IF(AA70=0,"",IFERROR(AA70/AA$84,""))</f>
        <v/>
      </c>
      <c r="AD70" s="35"/>
      <c r="AE70" s="36" t="str">
        <f>IF(AD70=0,"",IFERROR(AD70/AD$84,""))</f>
        <v/>
      </c>
      <c r="AF70" s="118">
        <f t="shared" si="17"/>
        <v>0</v>
      </c>
      <c r="AG70" s="35">
        <v>389</v>
      </c>
      <c r="AH70" s="36">
        <f>IF(AG70=0,"",IFERROR(AG70/AG$84,""))</f>
        <v>9.1186122831692445E-2</v>
      </c>
      <c r="AI70" s="118">
        <f t="shared" si="18"/>
        <v>-389</v>
      </c>
    </row>
    <row r="71" spans="3:35" x14ac:dyDescent="0.2">
      <c r="H71" s="133" t="s">
        <v>813</v>
      </c>
      <c r="I71" s="25" t="e">
        <f ca="1">_xll.EVPRO($B$1,$H71,"STYLE")</f>
        <v>#NAME?</v>
      </c>
      <c r="J71" s="25" t="e">
        <f ca="1">_xll.EVPRO($B$1,$H71,"CALC")</f>
        <v>#NAME?</v>
      </c>
      <c r="K71" s="24"/>
      <c r="L71" s="24" t="e">
        <f ca="1">_xll.EVPRO($B$1,H71,"JDEID")</f>
        <v>#NAME?</v>
      </c>
      <c r="M71" s="24" t="e">
        <f ca="1">IF(AND(I71="N",J71="N"),_xll.EVPRO($B$1,H71,"PSFTID"),"")</f>
        <v>#NAME?</v>
      </c>
      <c r="N71" s="151" t="e">
        <f ca="1">IF(_xll.EVDES(H71,$B$1)="#NODATA","",_xll.EVDES(H71,$B$1))</f>
        <v>#NAME?</v>
      </c>
      <c r="O71" s="157"/>
      <c r="P71" s="157"/>
      <c r="Q71" s="157"/>
      <c r="R71" s="157"/>
      <c r="S71" s="157"/>
      <c r="T71" s="157"/>
      <c r="U71" s="157"/>
      <c r="V71" s="157"/>
      <c r="W71" s="157"/>
      <c r="X71" s="157"/>
      <c r="Y71" s="157"/>
      <c r="Z71" s="157"/>
      <c r="AA71" s="157" t="str">
        <f>IFERROR(AA69/AA70,"")</f>
        <v/>
      </c>
      <c r="AB71" s="157"/>
      <c r="AD71" s="157"/>
      <c r="AE71" s="157"/>
      <c r="AF71" s="158" t="str">
        <f t="shared" si="17"/>
        <v/>
      </c>
      <c r="AG71" s="157">
        <v>108.95208226221099</v>
      </c>
      <c r="AH71" s="157"/>
      <c r="AI71" s="158" t="e">
        <f t="shared" si="18"/>
        <v>#VALUE!</v>
      </c>
    </row>
    <row r="72" spans="3:35" x14ac:dyDescent="0.2">
      <c r="H72" s="10"/>
      <c r="I72" s="25"/>
      <c r="J72" s="25"/>
      <c r="K72" s="24"/>
      <c r="L72" s="24"/>
      <c r="M72" s="24"/>
      <c r="N72" s="163" t="s">
        <v>345</v>
      </c>
      <c r="O72" s="160">
        <f t="shared" ref="O72:AA72" si="19">ROUND(IFERROR(O69/O70,0),2)</f>
        <v>0</v>
      </c>
      <c r="P72" s="165">
        <f t="shared" si="19"/>
        <v>0</v>
      </c>
      <c r="Q72" s="165">
        <f t="shared" si="19"/>
        <v>0</v>
      </c>
      <c r="R72" s="165">
        <f t="shared" si="19"/>
        <v>0</v>
      </c>
      <c r="S72" s="165">
        <f t="shared" si="19"/>
        <v>0</v>
      </c>
      <c r="T72" s="165">
        <f t="shared" si="19"/>
        <v>0</v>
      </c>
      <c r="U72" s="165">
        <f t="shared" si="19"/>
        <v>0</v>
      </c>
      <c r="V72" s="165">
        <f t="shared" si="19"/>
        <v>0</v>
      </c>
      <c r="W72" s="165">
        <f t="shared" si="19"/>
        <v>0</v>
      </c>
      <c r="X72" s="165">
        <f t="shared" si="19"/>
        <v>0</v>
      </c>
      <c r="Y72" s="165">
        <f t="shared" si="19"/>
        <v>0</v>
      </c>
      <c r="Z72" s="165">
        <f t="shared" si="19"/>
        <v>0</v>
      </c>
      <c r="AA72" s="165">
        <f t="shared" si="19"/>
        <v>0</v>
      </c>
      <c r="AB72" s="164"/>
      <c r="AD72" s="160">
        <f>ROUND(IFERROR(AD69/AD70,0),2)</f>
        <v>0</v>
      </c>
      <c r="AE72" s="165"/>
      <c r="AF72" s="161"/>
      <c r="AG72" s="160">
        <f>ROUND(IFERROR(AG69/AG70,0),2)</f>
        <v>108.95</v>
      </c>
      <c r="AH72" s="165"/>
      <c r="AI72" s="161"/>
    </row>
    <row r="73" spans="3:35" x14ac:dyDescent="0.2">
      <c r="G73" s="162">
        <f>COUNTIF(O73:AI73,FALSE)</f>
        <v>0</v>
      </c>
      <c r="H73" s="133"/>
      <c r="I73" s="25"/>
      <c r="J73" s="25"/>
      <c r="K73" s="24"/>
      <c r="L73" s="24"/>
      <c r="M73" s="24"/>
      <c r="N73" s="8" t="s">
        <v>814</v>
      </c>
      <c r="O73" s="292" t="b">
        <f t="shared" ref="O73:AA73" si="20">ROUND(O71,2)=ROUND(O72,2)</f>
        <v>1</v>
      </c>
      <c r="P73" s="293" t="b">
        <f t="shared" si="20"/>
        <v>1</v>
      </c>
      <c r="Q73" s="293" t="b">
        <f t="shared" si="20"/>
        <v>1</v>
      </c>
      <c r="R73" s="293" t="b">
        <f t="shared" si="20"/>
        <v>1</v>
      </c>
      <c r="S73" s="293" t="b">
        <f t="shared" si="20"/>
        <v>1</v>
      </c>
      <c r="T73" s="293" t="b">
        <f t="shared" si="20"/>
        <v>1</v>
      </c>
      <c r="U73" s="293" t="b">
        <f t="shared" si="20"/>
        <v>1</v>
      </c>
      <c r="V73" s="293" t="b">
        <f t="shared" si="20"/>
        <v>1</v>
      </c>
      <c r="W73" s="293" t="b">
        <f t="shared" si="20"/>
        <v>1</v>
      </c>
      <c r="X73" s="293" t="b">
        <f t="shared" si="20"/>
        <v>1</v>
      </c>
      <c r="Y73" s="293" t="b">
        <f t="shared" si="20"/>
        <v>1</v>
      </c>
      <c r="Z73" s="293" t="b">
        <f t="shared" si="20"/>
        <v>1</v>
      </c>
      <c r="AA73" s="293" t="e">
        <f t="shared" si="20"/>
        <v>#VALUE!</v>
      </c>
      <c r="AB73" s="294"/>
      <c r="AC73" s="206"/>
      <c r="AD73" s="292"/>
      <c r="AE73" s="293" t="b">
        <f>ROUND(AD71,2)=ROUND(AD72,2)</f>
        <v>1</v>
      </c>
      <c r="AF73" s="294"/>
      <c r="AG73" s="292"/>
      <c r="AH73" s="293" t="b">
        <f>ROUND(AG71,2)=ROUND(AG72,2)</f>
        <v>1</v>
      </c>
      <c r="AI73" s="294"/>
    </row>
    <row r="74" spans="3:35" x14ac:dyDescent="0.2">
      <c r="H74" s="133" t="s">
        <v>789</v>
      </c>
      <c r="I74" s="25" t="e">
        <f ca="1">_xll.EVPRO($B$1,$H74,"STYLE")</f>
        <v>#NAME?</v>
      </c>
      <c r="J74" s="25" t="e">
        <f ca="1">_xll.EVPRO($B$1,$H74,"CALC")</f>
        <v>#NAME?</v>
      </c>
      <c r="K74" s="24"/>
      <c r="L74" s="24" t="e">
        <f ca="1">_xll.EVPRO($B$1,H74,"JDEID")</f>
        <v>#NAME?</v>
      </c>
      <c r="M74" s="24" t="e">
        <f ca="1">IF(AND(I74="N",J74="N"),_xll.EVPRO($B$1,H74,"PSFTID"),"")</f>
        <v>#NAME?</v>
      </c>
      <c r="N74" s="24" t="e">
        <f ca="1">IF(_xll.EVDES(H74,$B$1)="#NODATA","",_xll.EVDES(H74,$B$1))</f>
        <v>#NAME?</v>
      </c>
      <c r="O74" s="19">
        <v>964</v>
      </c>
      <c r="P74" s="19"/>
      <c r="Q74" s="19"/>
      <c r="R74" s="19"/>
      <c r="S74" s="19"/>
      <c r="T74" s="19"/>
      <c r="U74" s="19"/>
      <c r="V74" s="19"/>
      <c r="W74" s="19"/>
      <c r="X74" s="19"/>
      <c r="Y74" s="19"/>
      <c r="Z74" s="19"/>
      <c r="AA74" s="19">
        <f>SUM(O74:Z74)</f>
        <v>964</v>
      </c>
      <c r="AB74" s="15" t="str">
        <f ca="1">IF(AA74=0,"",IFERROR(AA74/AA$19,""))</f>
        <v/>
      </c>
      <c r="AD74" s="19"/>
      <c r="AE74" s="15" t="str">
        <f>IF(AD74=0,"",IFERROR(AD74/AD$19,""))</f>
        <v/>
      </c>
      <c r="AF74" s="47">
        <f>IF(AND($AA74="",AD74=""),"",$AA74-AD74)</f>
        <v>964</v>
      </c>
      <c r="AG74" s="19">
        <v>8454</v>
      </c>
      <c r="AH74" s="15" t="str">
        <f t="shared" ca="1" si="3"/>
        <v/>
      </c>
      <c r="AI74" s="47">
        <f>IF(AND($AA74="",AG74=""),"",$AA74-AG74)</f>
        <v>-7490</v>
      </c>
    </row>
    <row r="75" spans="3:35" x14ac:dyDescent="0.2">
      <c r="C75" s="23"/>
      <c r="H75" s="133" t="s">
        <v>815</v>
      </c>
      <c r="I75" s="25" t="e">
        <f ca="1">_xll.EVPRO($B$1,$H75,"STYLE")</f>
        <v>#NAME?</v>
      </c>
      <c r="J75" s="25" t="e">
        <f ca="1">_xll.EVPRO($B$1,$H75,"CALC")</f>
        <v>#NAME?</v>
      </c>
      <c r="K75" s="24"/>
      <c r="L75" s="24" t="e">
        <f ca="1">_xll.EVPRO($B$1,H75,"JDEID")</f>
        <v>#NAME?</v>
      </c>
      <c r="M75" s="24" t="e">
        <f ca="1">IF(AND(I75="N",J75="N"),_xll.EVPRO($B$1,H75,"PSFTID"),"")</f>
        <v>#NAME?</v>
      </c>
      <c r="N75" s="23" t="e">
        <f ca="1">IF(_xll.EVDES(H75,$B$1)="#NODATA","",_xll.EVDES(H75,$B$1))</f>
        <v>#NAME?</v>
      </c>
      <c r="O75" s="145">
        <v>964</v>
      </c>
      <c r="P75" s="145"/>
      <c r="Q75" s="145"/>
      <c r="R75" s="145"/>
      <c r="S75" s="145"/>
      <c r="T75" s="145"/>
      <c r="U75" s="145"/>
      <c r="V75" s="145"/>
      <c r="W75" s="145"/>
      <c r="X75" s="145"/>
      <c r="Y75" s="145"/>
      <c r="Z75" s="145"/>
      <c r="AA75" s="145">
        <f>SUM(O75:Z75)</f>
        <v>964</v>
      </c>
      <c r="AB75" s="156" t="str">
        <f ca="1">IF(AA75=0,"",IFERROR(AA75/AA$19,""))</f>
        <v/>
      </c>
      <c r="AD75" s="145"/>
      <c r="AE75" s="156" t="str">
        <f>IF(AD75=0,"",IFERROR(AD75/AD$19,""))</f>
        <v/>
      </c>
      <c r="AF75" s="146">
        <f>IF(AND($AA75="",AD75=""),"",$AA75-AD75)</f>
        <v>964</v>
      </c>
      <c r="AG75" s="145">
        <v>8454</v>
      </c>
      <c r="AH75" s="156" t="str">
        <f t="shared" ca="1" si="3"/>
        <v/>
      </c>
      <c r="AI75" s="146">
        <f>IF(AND($AA75="",AG75=""),"",$AA75-AG75)</f>
        <v>-7490</v>
      </c>
    </row>
    <row r="76" spans="3:35" x14ac:dyDescent="0.2">
      <c r="C76" s="23"/>
      <c r="H76" s="133" t="s">
        <v>816</v>
      </c>
      <c r="I76" s="25" t="e">
        <f ca="1">_xll.EVPRO($B$1,$H76,"STYLE")</f>
        <v>#NAME?</v>
      </c>
      <c r="J76" s="25" t="e">
        <f ca="1">_xll.EVPRO($B$1,$H76,"CALC")</f>
        <v>#NAME?</v>
      </c>
      <c r="K76" s="24"/>
      <c r="L76" s="24" t="e">
        <f ca="1">_xll.EVPRO($B$1,H76,"JDEID")</f>
        <v>#NAME?</v>
      </c>
      <c r="M76" s="24" t="e">
        <f ca="1">IF(AND(I76="N",J76="N"),_xll.EVPRO($B$1,H76,"PSFTID"),"")</f>
        <v>#NAME?</v>
      </c>
      <c r="N76" s="24" t="e">
        <f ca="1">IF(_xll.EVDES(H76,$B$1)="#NODATA","",_xll.EVDES(H76,$B$1))</f>
        <v>#NAME?</v>
      </c>
      <c r="O76" s="35">
        <v>26</v>
      </c>
      <c r="P76" s="35"/>
      <c r="Q76" s="35"/>
      <c r="R76" s="35"/>
      <c r="S76" s="35"/>
      <c r="T76" s="35"/>
      <c r="U76" s="35"/>
      <c r="V76" s="35"/>
      <c r="W76" s="35"/>
      <c r="X76" s="35"/>
      <c r="Y76" s="35"/>
      <c r="Z76" s="35"/>
      <c r="AA76" s="35">
        <f>SUM(O76:Z76)</f>
        <v>26</v>
      </c>
      <c r="AB76" s="36">
        <f>IF(AA76=0,"",IFERROR(AA76/AA$84,""))</f>
        <v>0.33333333333333331</v>
      </c>
      <c r="AD76" s="35"/>
      <c r="AE76" s="36" t="str">
        <f>IF(AD76=0,"",IFERROR(AD76/AD$84,""))</f>
        <v/>
      </c>
      <c r="AF76" s="118">
        <f>IF(AND($AA76="",AD76=""),"",$AA76-AD76)</f>
        <v>26</v>
      </c>
      <c r="AG76" s="35">
        <v>190</v>
      </c>
      <c r="AH76" s="36">
        <f>IF(AG76=0,"",IFERROR(AG76/AG$84,""))</f>
        <v>4.4538209095171123E-2</v>
      </c>
      <c r="AI76" s="118">
        <f>IF(AND($AA76="",AG76=""),"",$AA76-AG76)</f>
        <v>-164</v>
      </c>
    </row>
    <row r="77" spans="3:35" x14ac:dyDescent="0.2">
      <c r="C77" s="23"/>
      <c r="H77" s="133" t="s">
        <v>817</v>
      </c>
      <c r="I77" s="25" t="e">
        <f ca="1">_xll.EVPRO($B$1,$H77,"STYLE")</f>
        <v>#NAME?</v>
      </c>
      <c r="J77" s="25" t="e">
        <f ca="1">_xll.EVPRO($B$1,$H77,"CALC")</f>
        <v>#NAME?</v>
      </c>
      <c r="K77" s="24"/>
      <c r="L77" s="24" t="e">
        <f ca="1">_xll.EVPRO($B$1,H77,"JDEID")</f>
        <v>#NAME?</v>
      </c>
      <c r="M77" s="24" t="e">
        <f ca="1">IF(AND(I77="N",J77="N"),_xll.EVPRO($B$1,H77,"PSFTID"),"")</f>
        <v>#NAME?</v>
      </c>
      <c r="N77" s="151" t="e">
        <f ca="1">IF(_xll.EVDES(H77,$B$1)="#NODATA","",_xll.EVDES(H77,$B$1))</f>
        <v>#NAME?</v>
      </c>
      <c r="O77" s="157">
        <v>37.076923076923102</v>
      </c>
      <c r="P77" s="157"/>
      <c r="Q77" s="157"/>
      <c r="R77" s="157"/>
      <c r="S77" s="157"/>
      <c r="T77" s="157"/>
      <c r="U77" s="157"/>
      <c r="V77" s="157"/>
      <c r="W77" s="157"/>
      <c r="X77" s="157"/>
      <c r="Y77" s="157"/>
      <c r="Z77" s="157"/>
      <c r="AA77" s="157">
        <f>IFERROR(AA75/AA76,"")</f>
        <v>37.07692307692308</v>
      </c>
      <c r="AB77" s="157"/>
      <c r="AD77" s="157"/>
      <c r="AE77" s="157"/>
      <c r="AF77" s="158">
        <f>IF(AND($AA77="",AD77=""),"",$AA77-AD77)</f>
        <v>37.07692307692308</v>
      </c>
      <c r="AG77" s="157">
        <v>44.494736842105297</v>
      </c>
      <c r="AH77" s="157"/>
      <c r="AI77" s="158">
        <f>IF(AND($AA77="",AG77=""),"",$AA77-AG77)</f>
        <v>-7.4178137651822169</v>
      </c>
    </row>
    <row r="78" spans="3:35" x14ac:dyDescent="0.2">
      <c r="C78" s="23"/>
      <c r="H78" s="10"/>
      <c r="I78" s="25"/>
      <c r="J78" s="25"/>
      <c r="K78" s="24"/>
      <c r="L78" s="24"/>
      <c r="M78" s="24"/>
      <c r="N78" s="163" t="s">
        <v>345</v>
      </c>
      <c r="O78" s="160">
        <f t="shared" ref="O78:AA78" si="21">ROUND(IFERROR(O75/O76,0),2)</f>
        <v>37.08</v>
      </c>
      <c r="P78" s="165">
        <f t="shared" si="21"/>
        <v>0</v>
      </c>
      <c r="Q78" s="165">
        <f t="shared" si="21"/>
        <v>0</v>
      </c>
      <c r="R78" s="165">
        <f t="shared" si="21"/>
        <v>0</v>
      </c>
      <c r="S78" s="165">
        <f t="shared" si="21"/>
        <v>0</v>
      </c>
      <c r="T78" s="165">
        <f t="shared" si="21"/>
        <v>0</v>
      </c>
      <c r="U78" s="165">
        <f t="shared" si="21"/>
        <v>0</v>
      </c>
      <c r="V78" s="165">
        <f t="shared" si="21"/>
        <v>0</v>
      </c>
      <c r="W78" s="165">
        <f t="shared" si="21"/>
        <v>0</v>
      </c>
      <c r="X78" s="165">
        <f t="shared" si="21"/>
        <v>0</v>
      </c>
      <c r="Y78" s="165">
        <f t="shared" si="21"/>
        <v>0</v>
      </c>
      <c r="Z78" s="165">
        <f t="shared" si="21"/>
        <v>0</v>
      </c>
      <c r="AA78" s="165">
        <f t="shared" si="21"/>
        <v>37.08</v>
      </c>
      <c r="AB78" s="164"/>
      <c r="AD78" s="160">
        <f>ROUND(IFERROR(AD75/AD76,0),2)</f>
        <v>0</v>
      </c>
      <c r="AE78" s="165"/>
      <c r="AF78" s="161"/>
      <c r="AG78" s="160">
        <f>ROUND(IFERROR(AG75/AG76,0),2)</f>
        <v>44.49</v>
      </c>
      <c r="AH78" s="165"/>
      <c r="AI78" s="161"/>
    </row>
    <row r="79" spans="3:35" x14ac:dyDescent="0.2">
      <c r="C79" s="23"/>
      <c r="G79" s="162">
        <f>COUNTIF(O79:AI79,FALSE)</f>
        <v>0</v>
      </c>
      <c r="H79" s="10"/>
      <c r="I79" s="25"/>
      <c r="J79" s="25"/>
      <c r="K79" s="24"/>
      <c r="L79" s="24"/>
      <c r="M79" s="24"/>
      <c r="N79" s="163"/>
      <c r="O79" s="292" t="b">
        <f t="shared" ref="O79:AA79" si="22">ROUND(O77,2)=ROUND(O78,2)</f>
        <v>1</v>
      </c>
      <c r="P79" s="293" t="b">
        <f t="shared" si="22"/>
        <v>1</v>
      </c>
      <c r="Q79" s="293" t="b">
        <f t="shared" si="22"/>
        <v>1</v>
      </c>
      <c r="R79" s="293" t="b">
        <f t="shared" si="22"/>
        <v>1</v>
      </c>
      <c r="S79" s="293" t="b">
        <f t="shared" si="22"/>
        <v>1</v>
      </c>
      <c r="T79" s="293" t="b">
        <f t="shared" si="22"/>
        <v>1</v>
      </c>
      <c r="U79" s="293" t="b">
        <f t="shared" si="22"/>
        <v>1</v>
      </c>
      <c r="V79" s="293" t="b">
        <f t="shared" si="22"/>
        <v>1</v>
      </c>
      <c r="W79" s="293" t="b">
        <f t="shared" si="22"/>
        <v>1</v>
      </c>
      <c r="X79" s="293" t="b">
        <f t="shared" si="22"/>
        <v>1</v>
      </c>
      <c r="Y79" s="293" t="b">
        <f t="shared" si="22"/>
        <v>1</v>
      </c>
      <c r="Z79" s="293" t="b">
        <f t="shared" si="22"/>
        <v>1</v>
      </c>
      <c r="AA79" s="293" t="b">
        <f t="shared" si="22"/>
        <v>1</v>
      </c>
      <c r="AB79" s="294"/>
      <c r="AC79" s="206"/>
      <c r="AD79" s="292"/>
      <c r="AE79" s="293" t="b">
        <f>ROUND(AD77,2)=ROUND(AD78,2)</f>
        <v>1</v>
      </c>
      <c r="AF79" s="294"/>
      <c r="AG79" s="292"/>
      <c r="AH79" s="293" t="b">
        <f>ROUND(AG77,2)=ROUND(AG78,2)</f>
        <v>1</v>
      </c>
      <c r="AI79" s="294"/>
    </row>
    <row r="80" spans="3:35" x14ac:dyDescent="0.2">
      <c r="C80" s="23"/>
      <c r="H80" s="10" t="s">
        <v>486</v>
      </c>
      <c r="I80" s="25" t="e">
        <f ca="1">_xll.EVPRO($B$1,$H80,"STYLE")</f>
        <v>#NAME?</v>
      </c>
      <c r="J80" s="25" t="e">
        <f ca="1">_xll.EVPRO($B$1,$H80,"CALC")</f>
        <v>#NAME?</v>
      </c>
      <c r="K80" s="24"/>
      <c r="L80" s="24" t="e">
        <f ca="1">_xll.EVPRO($B$1,H80,"JDEID")</f>
        <v>#NAME?</v>
      </c>
      <c r="M80" s="24" t="e">
        <f ca="1">IF(AND(I80="N",J80="N"),_xll.EVPRO($B$1,H80,"PSFTID"),"")</f>
        <v>#NAME?</v>
      </c>
      <c r="N80" s="24" t="e">
        <f ca="1">IF(_xll.EVDES(H80,$B$1)="#NODATA","",_xll.EVDES(H80,$B$1))</f>
        <v>#NAME?</v>
      </c>
      <c r="O80" s="19"/>
      <c r="P80" s="19"/>
      <c r="Q80" s="19"/>
      <c r="R80" s="19"/>
      <c r="S80" s="19"/>
      <c r="T80" s="19"/>
      <c r="U80" s="19"/>
      <c r="V80" s="19"/>
      <c r="W80" s="19"/>
      <c r="X80" s="19"/>
      <c r="Y80" s="19"/>
      <c r="Z80" s="19"/>
      <c r="AA80" s="19">
        <f>SUM(O80:Z80)</f>
        <v>0</v>
      </c>
      <c r="AB80" s="15" t="str">
        <f>IF(AA80=0,"",IFERROR(AA80/AA$19,""))</f>
        <v/>
      </c>
      <c r="AD80" s="19"/>
      <c r="AE80" s="15" t="str">
        <f>IF(AD80=0,"",IFERROR(AD80/AD$19,""))</f>
        <v/>
      </c>
      <c r="AF80" s="47">
        <f>IF(AND($AA80="",AD80=""),"",$AA80-AD80)</f>
        <v>0</v>
      </c>
      <c r="AG80" s="19"/>
      <c r="AH80" s="15" t="str">
        <f>IF(AG80=0,"",IFERROR(AG80/AG$19,""))</f>
        <v/>
      </c>
      <c r="AI80" s="47">
        <f>IF(AND($AA80="",AG80=""),"",$AA80-AG80)</f>
        <v>0</v>
      </c>
    </row>
    <row r="81" spans="3:35" x14ac:dyDescent="0.2">
      <c r="C81" s="23"/>
      <c r="H81" s="10"/>
      <c r="I81" s="25"/>
      <c r="J81" s="25"/>
      <c r="K81" s="24"/>
      <c r="L81" s="24"/>
      <c r="M81" s="24"/>
      <c r="N81" s="8" t="s">
        <v>348</v>
      </c>
      <c r="O81" s="292"/>
      <c r="P81" s="293"/>
      <c r="Q81" s="293"/>
      <c r="R81" s="293"/>
      <c r="S81" s="293"/>
      <c r="T81" s="293"/>
      <c r="U81" s="293"/>
      <c r="V81" s="293"/>
      <c r="W81" s="293"/>
      <c r="X81" s="293"/>
      <c r="Y81" s="293"/>
      <c r="Z81" s="293"/>
      <c r="AA81" s="293"/>
      <c r="AB81" s="294"/>
      <c r="AC81" s="206"/>
      <c r="AD81" s="292"/>
      <c r="AE81" s="293"/>
      <c r="AF81" s="294"/>
      <c r="AG81" s="292"/>
      <c r="AH81" s="293"/>
      <c r="AI81" s="294"/>
    </row>
    <row r="82" spans="3:35" x14ac:dyDescent="0.2">
      <c r="C82" s="23"/>
      <c r="H82" s="133" t="s">
        <v>273</v>
      </c>
      <c r="I82" s="25" t="e">
        <f ca="1">_xll.EVPRO($B$1,$H82,"STYLE")</f>
        <v>#NAME?</v>
      </c>
      <c r="J82" s="25" t="e">
        <f ca="1">_xll.EVPRO($B$1,$H82,"CALC")</f>
        <v>#NAME?</v>
      </c>
      <c r="L82" s="24" t="e">
        <f ca="1">_xll.EVPRO($B$1,H82,"JDEID")</f>
        <v>#NAME?</v>
      </c>
      <c r="M82" s="24" t="e">
        <f ca="1">IF(AND(I82="N",J82="N"),_xll.EVPRO($B$1,H82,"PSFTID"),"")</f>
        <v>#NAME?</v>
      </c>
      <c r="N82" s="24" t="e">
        <f ca="1">IF(_xll.EVDES(H82,$B$1)="#NODATA","",_xll.EVDES(H82,$B$1))</f>
        <v>#NAME?</v>
      </c>
      <c r="O82" s="152">
        <v>8277.2099999999991</v>
      </c>
      <c r="P82" s="152"/>
      <c r="Q82" s="152"/>
      <c r="R82" s="152"/>
      <c r="S82" s="152"/>
      <c r="T82" s="152"/>
      <c r="U82" s="152"/>
      <c r="V82" s="152"/>
      <c r="W82" s="152"/>
      <c r="X82" s="152"/>
      <c r="Y82" s="152"/>
      <c r="Z82" s="152"/>
      <c r="AA82" s="152">
        <f>SUM(O82:Z82)</f>
        <v>8277.2099999999991</v>
      </c>
      <c r="AB82" s="153" t="str">
        <f ca="1">IF(AA82=0,"",IFERROR(AA82/AA$19,""))</f>
        <v/>
      </c>
      <c r="AD82" s="152"/>
      <c r="AE82" s="153" t="str">
        <f>IF(AD82=0,"",IFERROR(AD82/AD$19,""))</f>
        <v/>
      </c>
      <c r="AF82" s="154">
        <f>IF(AND($AA82="",AD82=""),"",$AA82-AD82)</f>
        <v>8277.2099999999991</v>
      </c>
      <c r="AG82" s="152">
        <v>274436.96999999997</v>
      </c>
      <c r="AH82" s="153" t="str">
        <f ca="1">IF(AG82=0,"",IFERROR(AG82/AG$19,""))</f>
        <v/>
      </c>
      <c r="AI82" s="154">
        <f>IF(AND($AA82="",AG82=""),"",$AA82-AG82)</f>
        <v>-266159.75999999995</v>
      </c>
    </row>
    <row r="83" spans="3:35" x14ac:dyDescent="0.2">
      <c r="C83" s="23"/>
      <c r="H83" s="133" t="s">
        <v>818</v>
      </c>
      <c r="I83" s="25" t="e">
        <f ca="1">_xll.EVPRO($B$1,$H83,"STYLE")</f>
        <v>#NAME?</v>
      </c>
      <c r="J83" s="25" t="e">
        <f ca="1">_xll.EVPRO($B$1,$H83,"CALC")</f>
        <v>#NAME?</v>
      </c>
      <c r="L83" s="24" t="e">
        <f ca="1">_xll.EVPRO($B$1,H83,"JDEID")</f>
        <v>#NAME?</v>
      </c>
      <c r="M83" s="24" t="e">
        <f ca="1">IF(AND(I83="N",J83="N"),_xll.EVPRO($B$1,H83,"PSFTID"),"")</f>
        <v>#NAME?</v>
      </c>
      <c r="N83" s="24" t="e">
        <f ca="1">IF(_xll.EVDES(H83,$B$1)="#NODATA","",_xll.EVDES(H83,$B$1))</f>
        <v>#NAME?</v>
      </c>
      <c r="O83" s="152">
        <v>1113</v>
      </c>
      <c r="P83" s="152"/>
      <c r="Q83" s="152"/>
      <c r="R83" s="152"/>
      <c r="S83" s="152"/>
      <c r="T83" s="152"/>
      <c r="U83" s="152"/>
      <c r="V83" s="152"/>
      <c r="W83" s="152"/>
      <c r="X83" s="152"/>
      <c r="Y83" s="152"/>
      <c r="Z83" s="152"/>
      <c r="AA83" s="152">
        <f>SUM(O83:Z83)</f>
        <v>1113</v>
      </c>
      <c r="AB83" s="153"/>
      <c r="AD83" s="152"/>
      <c r="AE83" s="153"/>
      <c r="AF83" s="154">
        <f>IF(AND($AA83="",AD83=""),"",$AA83-AD83)</f>
        <v>1113</v>
      </c>
      <c r="AG83" s="152">
        <v>12243</v>
      </c>
      <c r="AH83" s="153"/>
      <c r="AI83" s="154">
        <f>IF(AND($AA83="",AG83=""),"",$AA83-AG83)</f>
        <v>-11130</v>
      </c>
    </row>
    <row r="84" spans="3:35" x14ac:dyDescent="0.2">
      <c r="C84" s="23"/>
      <c r="H84" s="133" t="s">
        <v>331</v>
      </c>
      <c r="I84" s="25" t="e">
        <f ca="1">_xll.EVPRO($B$1,$H84,"STYLE")</f>
        <v>#NAME?</v>
      </c>
      <c r="J84" s="25" t="e">
        <f ca="1">_xll.EVPRO($B$1,$H84,"CALC")</f>
        <v>#NAME?</v>
      </c>
      <c r="L84" s="24" t="e">
        <f ca="1">_xll.EVPRO($B$1,H84,"JDEID")</f>
        <v>#NAME?</v>
      </c>
      <c r="M84" s="24" t="e">
        <f ca="1">IF(AND(I84="N",J84="N"),_xll.EVPRO($B$1,H84,"PSFTID"),"")</f>
        <v>#NAME?</v>
      </c>
      <c r="N84" s="24" t="e">
        <f ca="1">IF(_xll.EVDES(H84,$B$1)="#NODATA","",_xll.EVDES(H84,$B$1))</f>
        <v>#NAME?</v>
      </c>
      <c r="O84" s="152">
        <v>78</v>
      </c>
      <c r="P84" s="152"/>
      <c r="Q84" s="152"/>
      <c r="R84" s="152"/>
      <c r="S84" s="152"/>
      <c r="T84" s="152"/>
      <c r="U84" s="152"/>
      <c r="V84" s="152"/>
      <c r="W84" s="152"/>
      <c r="X84" s="152"/>
      <c r="Y84" s="152"/>
      <c r="Z84" s="152"/>
      <c r="AA84" s="152">
        <f>SUM(O84:Z84)</f>
        <v>78</v>
      </c>
      <c r="AB84" s="153" t="str">
        <f ca="1">IF(AA84=0,"",IFERROR(AA84/AA$20,""))</f>
        <v/>
      </c>
      <c r="AD84" s="152"/>
      <c r="AE84" s="153" t="str">
        <f>IF(AD84=0,"",IFERROR(AD84/AD$20,""))</f>
        <v/>
      </c>
      <c r="AF84" s="154">
        <f>IF(AND($AA84="",AD84=""),"",$AA84-AD84)</f>
        <v>78</v>
      </c>
      <c r="AG84" s="152">
        <v>4266</v>
      </c>
      <c r="AH84" s="153" t="str">
        <f ca="1">IF(AG84=0,"",IFERROR(AG84/AG$20,""))</f>
        <v/>
      </c>
      <c r="AI84" s="154">
        <f>IF(AND($AA84="",AG84=""),"",$AA84-AG84)</f>
        <v>-4188</v>
      </c>
    </row>
    <row r="85" spans="3:35" x14ac:dyDescent="0.2">
      <c r="C85" s="23"/>
      <c r="H85" s="133" t="s">
        <v>311</v>
      </c>
      <c r="I85" s="25" t="e">
        <f ca="1">_xll.EVPRO($B$1,$H85,"STYLE")</f>
        <v>#NAME?</v>
      </c>
      <c r="J85" s="25" t="e">
        <f ca="1">_xll.EVPRO($B$1,$H85,"CALC")</f>
        <v>#NAME?</v>
      </c>
      <c r="L85" s="24"/>
      <c r="M85" s="24"/>
      <c r="N85" s="24" t="e">
        <f ca="1">IF(_xll.EVDES(H85,$B$1)="#NODATA","",_xll.EVDES(H85,$B$1))</f>
        <v>#NAME?</v>
      </c>
      <c r="O85" s="157">
        <v>106.118076923077</v>
      </c>
      <c r="P85" s="157"/>
      <c r="Q85" s="157"/>
      <c r="R85" s="157"/>
      <c r="S85" s="157"/>
      <c r="T85" s="157"/>
      <c r="U85" s="157"/>
      <c r="V85" s="157"/>
      <c r="W85" s="157"/>
      <c r="X85" s="157"/>
      <c r="Y85" s="157"/>
      <c r="Z85" s="157"/>
      <c r="AA85" s="157">
        <f>IFERROR(AA82/AA84,"")</f>
        <v>106.11807692307691</v>
      </c>
      <c r="AB85" s="157"/>
      <c r="AD85" s="157"/>
      <c r="AE85" s="157"/>
      <c r="AF85" s="158">
        <f>IF(AND($AA85="",AD85=""),"",$AA85-AD85)</f>
        <v>106.11807692307691</v>
      </c>
      <c r="AG85" s="157">
        <v>64.331216596343197</v>
      </c>
      <c r="AH85" s="157"/>
      <c r="AI85" s="158">
        <f>IF(AND($AA85="",AG85=""),"",$AA85-AG85)</f>
        <v>41.786860326733716</v>
      </c>
    </row>
    <row r="86" spans="3:35" x14ac:dyDescent="0.2">
      <c r="C86" s="23"/>
      <c r="H86" s="133" t="s">
        <v>819</v>
      </c>
      <c r="I86" s="25" t="e">
        <f ca="1">_xll.EVPRO($B$1,$H86,"STYLE")</f>
        <v>#NAME?</v>
      </c>
      <c r="J86" s="25" t="e">
        <f ca="1">_xll.EVPRO($B$1,$H86,"CALC")</f>
        <v>#NAME?</v>
      </c>
      <c r="L86" s="24"/>
      <c r="M86" s="24"/>
      <c r="N86" s="24" t="e">
        <f ca="1">IF(_xll.EVDES(H86,$B$1)="#NODATA","",_xll.EVDES(H86,$B$1))</f>
        <v>#NAME?</v>
      </c>
      <c r="O86" s="157">
        <v>7.4368463611859799</v>
      </c>
      <c r="P86" s="157"/>
      <c r="Q86" s="157"/>
      <c r="R86" s="157"/>
      <c r="S86" s="157"/>
      <c r="T86" s="157"/>
      <c r="U86" s="157"/>
      <c r="V86" s="157"/>
      <c r="W86" s="157"/>
      <c r="X86" s="157"/>
      <c r="Y86" s="157"/>
      <c r="Z86" s="157"/>
      <c r="AA86" s="157">
        <f>IFERROR(AA82/AA83,"")</f>
        <v>7.4368463611859834</v>
      </c>
      <c r="AB86" s="157"/>
      <c r="AD86" s="157"/>
      <c r="AE86" s="157"/>
      <c r="AF86" s="158">
        <f>IF(AND($AA86="",AD86=""),"",$AA86-AD86)</f>
        <v>7.4368463611859834</v>
      </c>
      <c r="AG86" s="157">
        <v>22.415827003185498</v>
      </c>
      <c r="AH86" s="157"/>
      <c r="AI86" s="158">
        <f>IF(AND($AA86="",AG86=""),"",$AA86-AG86)</f>
        <v>-14.978980641999515</v>
      </c>
    </row>
    <row r="87" spans="3:35" x14ac:dyDescent="0.2">
      <c r="C87" s="23"/>
      <c r="H87" s="133"/>
      <c r="I87" s="25"/>
      <c r="J87" s="25"/>
      <c r="L87" s="24"/>
      <c r="M87" s="24"/>
      <c r="N87" s="24"/>
      <c r="O87" s="38"/>
      <c r="P87" s="38"/>
      <c r="Q87" s="38"/>
      <c r="R87" s="38"/>
      <c r="S87" s="38"/>
      <c r="T87" s="38"/>
      <c r="U87" s="38"/>
      <c r="V87" s="42"/>
      <c r="W87" s="42"/>
      <c r="X87" s="42"/>
      <c r="Y87" s="42"/>
      <c r="Z87" s="42"/>
      <c r="AA87" s="42"/>
      <c r="AB87" s="39"/>
      <c r="AD87" s="38"/>
      <c r="AE87" s="42"/>
      <c r="AF87" s="39"/>
      <c r="AG87" s="38"/>
      <c r="AH87" s="42"/>
      <c r="AI87" s="39"/>
    </row>
    <row r="88" spans="3:35" x14ac:dyDescent="0.2">
      <c r="C88" s="23"/>
      <c r="H88" s="133"/>
      <c r="I88" s="25"/>
      <c r="J88" s="25"/>
      <c r="L88" s="24"/>
      <c r="M88" s="24"/>
      <c r="N88" s="8" t="s">
        <v>334</v>
      </c>
      <c r="O88" s="40"/>
      <c r="P88" s="43"/>
      <c r="Q88" s="43"/>
      <c r="R88" s="43"/>
      <c r="S88" s="43"/>
      <c r="T88" s="43"/>
      <c r="U88" s="43"/>
      <c r="V88" s="43"/>
      <c r="W88" s="43"/>
      <c r="X88" s="43"/>
      <c r="Y88" s="43"/>
      <c r="Z88" s="43"/>
      <c r="AA88" s="43"/>
      <c r="AB88" s="41"/>
      <c r="AD88" s="40"/>
      <c r="AE88" s="43"/>
      <c r="AF88" s="41"/>
      <c r="AG88" s="40"/>
      <c r="AH88" s="43"/>
      <c r="AI88" s="41"/>
    </row>
    <row r="89" spans="3:35" hidden="1" outlineLevel="1" x14ac:dyDescent="0.2">
      <c r="C89" s="23"/>
      <c r="H89" s="133" t="s">
        <v>332</v>
      </c>
      <c r="I89" s="25" t="e">
        <f ca="1">_xll.EVPRO($B$1,$H89,"STYLE")</f>
        <v>#NAME?</v>
      </c>
      <c r="J89" s="25" t="e">
        <f ca="1">_xll.EVPRO($B$1,$H89,"CALC")</f>
        <v>#NAME?</v>
      </c>
      <c r="L89" s="24"/>
      <c r="M89" s="24"/>
      <c r="N89" s="24" t="e">
        <f ca="1">IF(_xll.EVDES(H89,$B$1)="#NODATA","",_xll.EVDES(H89,$B$1))</f>
        <v>#NAME?</v>
      </c>
      <c r="O89" s="19"/>
      <c r="P89" s="19"/>
      <c r="Q89" s="19"/>
      <c r="R89" s="19"/>
      <c r="S89" s="19"/>
      <c r="T89" s="19"/>
      <c r="U89" s="19"/>
      <c r="V89" s="19"/>
      <c r="W89" s="19"/>
      <c r="X89" s="19"/>
      <c r="Y89" s="19"/>
      <c r="Z89" s="19"/>
      <c r="AA89" s="19">
        <f>SUM(O89:Z89)</f>
        <v>0</v>
      </c>
      <c r="AB89" s="15"/>
      <c r="AD89" s="19"/>
      <c r="AE89" s="15"/>
      <c r="AF89" s="47">
        <f t="shared" ref="AF89:AF94" si="23">IF(AND($AA89="",AD89=""),"",$AA89-AD89)</f>
        <v>0</v>
      </c>
      <c r="AG89" s="19"/>
      <c r="AH89" s="15"/>
      <c r="AI89" s="47">
        <f t="shared" ref="AI89:AI94" si="24">IF(AND($AA89="",AG89=""),"",$AA89-AG89)</f>
        <v>0</v>
      </c>
    </row>
    <row r="90" spans="3:35" hidden="1" outlineLevel="1" x14ac:dyDescent="0.2">
      <c r="C90" s="23"/>
      <c r="H90" s="133" t="s">
        <v>333</v>
      </c>
      <c r="I90" s="25" t="e">
        <f ca="1">_xll.EVPRO($B$1,$H90,"STYLE")</f>
        <v>#NAME?</v>
      </c>
      <c r="J90" s="25" t="e">
        <f ca="1">_xll.EVPRO($B$1,$H90,"CALC")</f>
        <v>#NAME?</v>
      </c>
      <c r="L90" s="24"/>
      <c r="M90" s="24"/>
      <c r="N90" s="24" t="e">
        <f ca="1">IF(_xll.EVDES(H90,$B$1)="#NODATA","",_xll.EVDES(H90,$B$1))</f>
        <v>#NAME?</v>
      </c>
      <c r="O90" s="19"/>
      <c r="P90" s="19"/>
      <c r="Q90" s="19"/>
      <c r="R90" s="19"/>
      <c r="S90" s="19"/>
      <c r="T90" s="19"/>
      <c r="U90" s="19"/>
      <c r="V90" s="19"/>
      <c r="W90" s="19"/>
      <c r="X90" s="19"/>
      <c r="Y90" s="19"/>
      <c r="Z90" s="19"/>
      <c r="AA90" s="19">
        <f>SUM(O90:Z90)</f>
        <v>0</v>
      </c>
      <c r="AB90" s="15"/>
      <c r="AD90" s="19"/>
      <c r="AE90" s="15"/>
      <c r="AF90" s="47">
        <f t="shared" si="23"/>
        <v>0</v>
      </c>
      <c r="AG90" s="19"/>
      <c r="AH90" s="15"/>
      <c r="AI90" s="47">
        <f t="shared" si="24"/>
        <v>0</v>
      </c>
    </row>
    <row r="91" spans="3:35" hidden="1" outlineLevel="1" x14ac:dyDescent="0.2">
      <c r="C91" s="23"/>
      <c r="H91" s="133" t="s">
        <v>774</v>
      </c>
      <c r="I91" s="25" t="e">
        <f ca="1">_xll.EVPRO($B$1,$H91,"STYLE")</f>
        <v>#NAME?</v>
      </c>
      <c r="J91" s="25" t="e">
        <f ca="1">_xll.EVPRO($B$1,$H91,"CALC")</f>
        <v>#NAME?</v>
      </c>
      <c r="L91" s="24"/>
      <c r="M91" s="24"/>
      <c r="N91" s="24" t="e">
        <f ca="1">IF(_xll.EVDES(H91,$B$1)="#NODATA","",_xll.EVDES(H91,$B$1))</f>
        <v>#NAME?</v>
      </c>
      <c r="O91" s="19"/>
      <c r="P91" s="19"/>
      <c r="Q91" s="19"/>
      <c r="R91" s="19"/>
      <c r="S91" s="19"/>
      <c r="T91" s="19"/>
      <c r="U91" s="19"/>
      <c r="V91" s="19"/>
      <c r="W91" s="19"/>
      <c r="X91" s="19"/>
      <c r="Y91" s="19"/>
      <c r="Z91" s="19"/>
      <c r="AA91" s="19">
        <f>SUM(O91:Z91)</f>
        <v>0</v>
      </c>
      <c r="AB91" s="15"/>
      <c r="AD91" s="19"/>
      <c r="AE91" s="15"/>
      <c r="AF91" s="47">
        <f t="shared" si="23"/>
        <v>0</v>
      </c>
      <c r="AG91" s="19"/>
      <c r="AH91" s="15"/>
      <c r="AI91" s="47">
        <f t="shared" si="24"/>
        <v>0</v>
      </c>
    </row>
    <row r="92" spans="3:35" collapsed="1" x14ac:dyDescent="0.2">
      <c r="C92" s="23"/>
      <c r="H92" s="133"/>
      <c r="I92" s="25"/>
      <c r="J92" s="25"/>
      <c r="L92" s="24"/>
      <c r="M92" s="24"/>
      <c r="N92" s="24" t="s">
        <v>335</v>
      </c>
      <c r="O92" s="159" t="str">
        <f t="shared" ref="O92:AA92" si="25">IFERROR(O$84/O89,"")</f>
        <v/>
      </c>
      <c r="P92" s="159" t="str">
        <f t="shared" si="25"/>
        <v/>
      </c>
      <c r="Q92" s="159" t="str">
        <f t="shared" si="25"/>
        <v/>
      </c>
      <c r="R92" s="159" t="str">
        <f t="shared" si="25"/>
        <v/>
      </c>
      <c r="S92" s="159" t="str">
        <f t="shared" si="25"/>
        <v/>
      </c>
      <c r="T92" s="159" t="str">
        <f t="shared" si="25"/>
        <v/>
      </c>
      <c r="U92" s="159" t="str">
        <f t="shared" si="25"/>
        <v/>
      </c>
      <c r="V92" s="159" t="str">
        <f t="shared" si="25"/>
        <v/>
      </c>
      <c r="W92" s="159" t="str">
        <f t="shared" si="25"/>
        <v/>
      </c>
      <c r="X92" s="159" t="str">
        <f t="shared" si="25"/>
        <v/>
      </c>
      <c r="Y92" s="159" t="str">
        <f t="shared" si="25"/>
        <v/>
      </c>
      <c r="Z92" s="159" t="str">
        <f t="shared" si="25"/>
        <v/>
      </c>
      <c r="AA92" s="159" t="str">
        <f t="shared" si="25"/>
        <v/>
      </c>
      <c r="AB92" s="124"/>
      <c r="AD92" s="159" t="str">
        <f>IFERROR(AD$84/AD89,"")</f>
        <v/>
      </c>
      <c r="AE92" s="124"/>
      <c r="AF92" s="125" t="str">
        <f t="shared" si="23"/>
        <v/>
      </c>
      <c r="AG92" s="159" t="str">
        <f>IFERROR(AG$84/AG89,"")</f>
        <v/>
      </c>
      <c r="AH92" s="124"/>
      <c r="AI92" s="125" t="str">
        <f t="shared" si="24"/>
        <v/>
      </c>
    </row>
    <row r="93" spans="3:35" x14ac:dyDescent="0.2">
      <c r="C93" s="23"/>
      <c r="H93" s="133"/>
      <c r="I93" s="25"/>
      <c r="J93" s="25"/>
      <c r="L93" s="24"/>
      <c r="M93" s="24"/>
      <c r="N93" s="24" t="s">
        <v>336</v>
      </c>
      <c r="O93" s="159" t="str">
        <f t="shared" ref="O93:AA93" si="26">IFERROR(O$84/O90,"")</f>
        <v/>
      </c>
      <c r="P93" s="159" t="str">
        <f t="shared" si="26"/>
        <v/>
      </c>
      <c r="Q93" s="159" t="str">
        <f t="shared" si="26"/>
        <v/>
      </c>
      <c r="R93" s="159" t="str">
        <f t="shared" si="26"/>
        <v/>
      </c>
      <c r="S93" s="159" t="str">
        <f t="shared" si="26"/>
        <v/>
      </c>
      <c r="T93" s="159" t="str">
        <f t="shared" si="26"/>
        <v/>
      </c>
      <c r="U93" s="159" t="str">
        <f t="shared" si="26"/>
        <v/>
      </c>
      <c r="V93" s="159" t="str">
        <f t="shared" si="26"/>
        <v/>
      </c>
      <c r="W93" s="159" t="str">
        <f t="shared" si="26"/>
        <v/>
      </c>
      <c r="X93" s="159" t="str">
        <f t="shared" si="26"/>
        <v/>
      </c>
      <c r="Y93" s="159" t="str">
        <f t="shared" si="26"/>
        <v/>
      </c>
      <c r="Z93" s="159" t="str">
        <f t="shared" si="26"/>
        <v/>
      </c>
      <c r="AA93" s="159" t="str">
        <f t="shared" si="26"/>
        <v/>
      </c>
      <c r="AB93" s="124"/>
      <c r="AD93" s="159" t="str">
        <f>IFERROR(AD$84/AD90,"")</f>
        <v/>
      </c>
      <c r="AE93" s="124"/>
      <c r="AF93" s="125" t="str">
        <f t="shared" si="23"/>
        <v/>
      </c>
      <c r="AG93" s="159" t="str">
        <f>IFERROR(AG$84/AG90,"")</f>
        <v/>
      </c>
      <c r="AH93" s="124"/>
      <c r="AI93" s="125" t="str">
        <f t="shared" si="24"/>
        <v/>
      </c>
    </row>
    <row r="94" spans="3:35" x14ac:dyDescent="0.2">
      <c r="C94" s="23"/>
      <c r="H94" s="133"/>
      <c r="I94" s="25"/>
      <c r="J94" s="25"/>
      <c r="L94" s="24"/>
      <c r="M94" s="24"/>
      <c r="N94" s="24" t="s">
        <v>775</v>
      </c>
      <c r="O94" s="159" t="str">
        <f t="shared" ref="O94:AA94" si="27">IFERROR(O$84/O91,"")</f>
        <v/>
      </c>
      <c r="P94" s="159" t="str">
        <f t="shared" si="27"/>
        <v/>
      </c>
      <c r="Q94" s="159" t="str">
        <f t="shared" si="27"/>
        <v/>
      </c>
      <c r="R94" s="159" t="str">
        <f t="shared" si="27"/>
        <v/>
      </c>
      <c r="S94" s="159" t="str">
        <f t="shared" si="27"/>
        <v/>
      </c>
      <c r="T94" s="159" t="str">
        <f t="shared" si="27"/>
        <v/>
      </c>
      <c r="U94" s="159" t="str">
        <f t="shared" si="27"/>
        <v/>
      </c>
      <c r="V94" s="159" t="str">
        <f t="shared" si="27"/>
        <v/>
      </c>
      <c r="W94" s="159" t="str">
        <f t="shared" si="27"/>
        <v/>
      </c>
      <c r="X94" s="159" t="str">
        <f t="shared" si="27"/>
        <v/>
      </c>
      <c r="Y94" s="159" t="str">
        <f t="shared" si="27"/>
        <v/>
      </c>
      <c r="Z94" s="159" t="str">
        <f t="shared" si="27"/>
        <v/>
      </c>
      <c r="AA94" s="159" t="str">
        <f t="shared" si="27"/>
        <v/>
      </c>
      <c r="AB94" s="124"/>
      <c r="AD94" s="159" t="str">
        <f>IFERROR(AD$84/AD91,"")</f>
        <v/>
      </c>
      <c r="AE94" s="124"/>
      <c r="AF94" s="125" t="str">
        <f t="shared" si="23"/>
        <v/>
      </c>
      <c r="AG94" s="159" t="str">
        <f>IFERROR(AG$84/AG91,"")</f>
        <v/>
      </c>
      <c r="AH94" s="124"/>
      <c r="AI94" s="125" t="str">
        <f t="shared" si="24"/>
        <v/>
      </c>
    </row>
    <row r="95" spans="3:35" x14ac:dyDescent="0.2">
      <c r="C95" s="23"/>
      <c r="H95" s="133"/>
      <c r="I95" s="25"/>
      <c r="J95" s="25"/>
      <c r="L95" s="24"/>
      <c r="M95" s="24"/>
      <c r="N95" s="24"/>
      <c r="O95" s="144"/>
      <c r="P95" s="147"/>
      <c r="Q95" s="147"/>
      <c r="R95" s="147"/>
      <c r="S95" s="147"/>
      <c r="T95" s="147"/>
      <c r="U95" s="147"/>
      <c r="V95" s="147"/>
      <c r="W95" s="147"/>
      <c r="X95" s="147"/>
      <c r="Y95" s="147"/>
      <c r="Z95" s="147"/>
      <c r="AA95" s="147"/>
      <c r="AB95" s="51"/>
      <c r="AD95" s="50"/>
      <c r="AF95" s="51"/>
      <c r="AI95" s="51"/>
    </row>
    <row r="96" spans="3:35" x14ac:dyDescent="0.2">
      <c r="C96" s="23"/>
      <c r="H96" s="133"/>
      <c r="I96" s="25"/>
      <c r="J96" s="25"/>
      <c r="L96" s="24"/>
      <c r="M96" s="24"/>
      <c r="N96" s="8" t="s">
        <v>343</v>
      </c>
      <c r="O96" s="50"/>
      <c r="AB96" s="149"/>
      <c r="AD96" s="148"/>
      <c r="AE96" s="150"/>
      <c r="AF96" s="51"/>
      <c r="AH96" s="150"/>
      <c r="AI96" s="51"/>
    </row>
    <row r="97" spans="3:35" x14ac:dyDescent="0.2">
      <c r="C97" s="23"/>
      <c r="H97" s="133"/>
      <c r="I97" s="25"/>
      <c r="J97" s="25"/>
      <c r="L97" s="24"/>
      <c r="M97" s="24"/>
      <c r="N97" s="8" t="s">
        <v>337</v>
      </c>
      <c r="O97" s="40"/>
      <c r="P97" s="43"/>
      <c r="Q97" s="43"/>
      <c r="R97" s="43"/>
      <c r="S97" s="43"/>
      <c r="T97" s="43"/>
      <c r="U97" s="43"/>
      <c r="V97" s="43"/>
      <c r="W97" s="43"/>
      <c r="X97" s="43"/>
      <c r="Y97" s="43"/>
      <c r="Z97" s="43"/>
      <c r="AA97" s="43"/>
      <c r="AB97" s="41"/>
      <c r="AD97" s="40"/>
      <c r="AE97" s="43"/>
      <c r="AF97" s="41"/>
      <c r="AG97" s="43"/>
      <c r="AH97" s="43"/>
      <c r="AI97" s="41"/>
    </row>
    <row r="98" spans="3:35" x14ac:dyDescent="0.2">
      <c r="C98" s="23"/>
      <c r="H98" s="133" t="s">
        <v>294</v>
      </c>
      <c r="I98" s="25"/>
      <c r="J98" s="25"/>
      <c r="L98" s="24" t="e">
        <f ca="1">_xll.EVPRO($B$1,H98,"JDEID")</f>
        <v>#NAME?</v>
      </c>
      <c r="M98" s="24" t="str">
        <f>IF(AND(I98="N",J98="N"),_xll.EVPRO($B$1,H98,"PSFTID"),"")</f>
        <v/>
      </c>
      <c r="N98" s="24" t="e">
        <f ca="1">IF(_xll.EVDES(H98,$B$1)="#NODATA","",_xll.EVDES(H98,$B$1))</f>
        <v>#NAME?</v>
      </c>
      <c r="O98" s="19"/>
      <c r="P98" s="19"/>
      <c r="Q98" s="19"/>
      <c r="R98" s="19"/>
      <c r="S98" s="19"/>
      <c r="T98" s="19"/>
      <c r="U98" s="19"/>
      <c r="V98" s="19"/>
      <c r="W98" s="19"/>
      <c r="X98" s="19"/>
      <c r="Y98" s="19"/>
      <c r="Z98" s="19"/>
      <c r="AA98" s="19">
        <f>SUM(O98:Z98)</f>
        <v>0</v>
      </c>
      <c r="AB98" s="15" t="str">
        <f>IF(AA98=0,"",IFERROR(AA98/AA$19,""))</f>
        <v/>
      </c>
      <c r="AD98" s="19"/>
      <c r="AE98" s="15" t="str">
        <f>IF(AD98=0,"",IFERROR(AD98/AD$19,""))</f>
        <v/>
      </c>
      <c r="AF98" s="47">
        <f>IF(AND($AA98="",AD98=""),"",$AA98-AD98)</f>
        <v>0</v>
      </c>
      <c r="AG98" s="19">
        <v>2633</v>
      </c>
      <c r="AH98" s="15" t="str">
        <f ca="1">IF(AG98=0,"",IFERROR(AG98/AG$19,""))</f>
        <v/>
      </c>
      <c r="AI98" s="47">
        <f>IF(AND($AA98="",AG98=""),"",$AA98-AG98)</f>
        <v>-2633</v>
      </c>
    </row>
    <row r="99" spans="3:35" x14ac:dyDescent="0.2">
      <c r="C99" s="23"/>
      <c r="H99" s="133" t="s">
        <v>301</v>
      </c>
      <c r="I99" s="25"/>
      <c r="J99" s="25"/>
      <c r="L99" s="24" t="e">
        <f ca="1">_xll.EVPRO($B$1,H99,"JDEID")</f>
        <v>#NAME?</v>
      </c>
      <c r="M99" s="24" t="str">
        <f>IF(AND(I99="N",J99="N"),_xll.EVPRO($B$1,H99,"PSFTID"),"")</f>
        <v/>
      </c>
      <c r="N99" s="24" t="e">
        <f ca="1">IF(_xll.EVDES(H99,$B$1)="#NODATA","",_xll.EVDES(H99,$B$1))</f>
        <v>#NAME?</v>
      </c>
      <c r="O99" s="19"/>
      <c r="P99" s="19"/>
      <c r="Q99" s="19"/>
      <c r="R99" s="19"/>
      <c r="S99" s="19"/>
      <c r="T99" s="19"/>
      <c r="U99" s="19"/>
      <c r="V99" s="19"/>
      <c r="W99" s="19"/>
      <c r="X99" s="19"/>
      <c r="Y99" s="19"/>
      <c r="Z99" s="19"/>
      <c r="AA99" s="19">
        <f>SUM(O99:Z99)</f>
        <v>0</v>
      </c>
      <c r="AB99" s="15" t="str">
        <f>IF(AA99=0,"",IFERROR(AA99/AA$19,""))</f>
        <v/>
      </c>
      <c r="AD99" s="19"/>
      <c r="AE99" s="15" t="str">
        <f>IF(AD99=0,"",IFERROR(AD99/AD$19,""))</f>
        <v/>
      </c>
      <c r="AF99" s="47">
        <f>IF(AND($AA99="",AD99=""),"",$AA99-AD99)</f>
        <v>0</v>
      </c>
      <c r="AG99" s="19">
        <v>1557</v>
      </c>
      <c r="AH99" s="15" t="str">
        <f ca="1">IF(AG99=0,"",IFERROR(AG99/AG$19,""))</f>
        <v/>
      </c>
      <c r="AI99" s="47">
        <f>IF(AND($AA99="",AG99=""),"",$AA99-AG99)</f>
        <v>-1557</v>
      </c>
    </row>
    <row r="100" spans="3:35" x14ac:dyDescent="0.2">
      <c r="C100" s="23"/>
      <c r="H100" s="133" t="s">
        <v>302</v>
      </c>
      <c r="I100" s="25"/>
      <c r="J100" s="25"/>
      <c r="L100" s="24" t="e">
        <f ca="1">_xll.EVPRO($B$1,H100,"JDEID")</f>
        <v>#NAME?</v>
      </c>
      <c r="M100" s="24" t="str">
        <f>IF(AND(I100="N",J100="N"),_xll.EVPRO($B$1,H100,"PSFTID"),"")</f>
        <v/>
      </c>
      <c r="N100" s="24" t="e">
        <f ca="1">IF(_xll.EVDES(H100,$B$1)="#NODATA","",_xll.EVDES(H100,$B$1))</f>
        <v>#NAME?</v>
      </c>
      <c r="O100" s="19"/>
      <c r="P100" s="19"/>
      <c r="Q100" s="19"/>
      <c r="R100" s="19"/>
      <c r="S100" s="19"/>
      <c r="T100" s="19"/>
      <c r="U100" s="19"/>
      <c r="V100" s="19"/>
      <c r="W100" s="19"/>
      <c r="X100" s="19"/>
      <c r="Y100" s="19"/>
      <c r="Z100" s="19"/>
      <c r="AA100" s="19">
        <f>SUM(O100:Z100)</f>
        <v>0</v>
      </c>
      <c r="AB100" s="15" t="str">
        <f>IF(AA100=0,"",IFERROR(AA100/AA$19,""))</f>
        <v/>
      </c>
      <c r="AD100" s="19"/>
      <c r="AE100" s="15" t="str">
        <f>IF(AD100=0,"",IFERROR(AD100/AD$19,""))</f>
        <v/>
      </c>
      <c r="AF100" s="47">
        <f>IF(AND($AA100="",AD100=""),"",$AA100-AD100)</f>
        <v>0</v>
      </c>
      <c r="AG100" s="19">
        <v>9060</v>
      </c>
      <c r="AH100" s="15" t="str">
        <f ca="1">IF(AG100=0,"",IFERROR(AG100/AG$19,""))</f>
        <v/>
      </c>
      <c r="AI100" s="47">
        <f>IF(AND($AA100="",AG100=""),"",$AA100-AG100)</f>
        <v>-9060</v>
      </c>
    </row>
    <row r="101" spans="3:35" x14ac:dyDescent="0.2">
      <c r="C101" s="23"/>
      <c r="H101" s="133" t="s">
        <v>808</v>
      </c>
      <c r="I101" s="25"/>
      <c r="J101" s="25"/>
      <c r="L101" s="24" t="e">
        <f ca="1">_xll.EVPRO($B$1,H101,"JDEID")</f>
        <v>#NAME?</v>
      </c>
      <c r="M101" s="24" t="str">
        <f>IF(AND(I101="N",J101="N"),_xll.EVPRO($B$1,H101,"PSFTID"),"")</f>
        <v/>
      </c>
      <c r="N101" s="24" t="e">
        <f ca="1">IF(_xll.EVDES(H101,$B$1)="#NODATA","",_xll.EVDES(H101,$B$1))</f>
        <v>#NAME?</v>
      </c>
      <c r="O101" s="19"/>
      <c r="P101" s="19"/>
      <c r="Q101" s="19"/>
      <c r="R101" s="19"/>
      <c r="S101" s="19"/>
      <c r="T101" s="19"/>
      <c r="U101" s="19"/>
      <c r="V101" s="19"/>
      <c r="W101" s="19"/>
      <c r="X101" s="19"/>
      <c r="Y101" s="19"/>
      <c r="Z101" s="19"/>
      <c r="AA101" s="19">
        <f>SUM(O101:Z101)</f>
        <v>0</v>
      </c>
      <c r="AB101" s="15" t="str">
        <f>IF(AA101=0,"",IFERROR(AA101/AA$19,""))</f>
        <v/>
      </c>
      <c r="AD101" s="19"/>
      <c r="AE101" s="15" t="str">
        <f>IF(AD101=0,"",IFERROR(AD101/AD$19,""))</f>
        <v/>
      </c>
      <c r="AF101" s="47">
        <f>IF(AND($AA101="",AD101=""),"",$AA101-AD101)</f>
        <v>0</v>
      </c>
      <c r="AG101" s="19">
        <v>9492.9599999999991</v>
      </c>
      <c r="AH101" s="15" t="str">
        <f ca="1">IF(AG101=0,"",IFERROR(AG101/AG$19,""))</f>
        <v/>
      </c>
      <c r="AI101" s="47">
        <f>IF(AND($AA101="",AG101=""),"",$AA101-AG101)</f>
        <v>-9492.9599999999991</v>
      </c>
    </row>
    <row r="102" spans="3:35" x14ac:dyDescent="0.2">
      <c r="C102" s="23"/>
      <c r="H102" s="133" t="s">
        <v>340</v>
      </c>
      <c r="I102" s="25"/>
      <c r="J102" s="25"/>
      <c r="L102" s="24" t="e">
        <f ca="1">_xll.EVPRO($B$1,H102,"JDEID")</f>
        <v>#NAME?</v>
      </c>
      <c r="M102" s="24" t="str">
        <f>IF(AND(I102="N",J102="N"),_xll.EVPRO($B$1,H102,"PSFTID"),"")</f>
        <v/>
      </c>
      <c r="N102" s="23" t="e">
        <f ca="1">IF(_xll.EVDES(H102,$B$1)="#NODATA","",_xll.EVDES(H102,$B$1))</f>
        <v>#NAME?</v>
      </c>
      <c r="O102" s="145"/>
      <c r="P102" s="145"/>
      <c r="Q102" s="145"/>
      <c r="R102" s="145"/>
      <c r="S102" s="145"/>
      <c r="T102" s="145"/>
      <c r="U102" s="145"/>
      <c r="V102" s="145"/>
      <c r="W102" s="145"/>
      <c r="X102" s="145"/>
      <c r="Y102" s="145"/>
      <c r="Z102" s="145"/>
      <c r="AA102" s="145">
        <f>SUM(O102:Z102)</f>
        <v>0</v>
      </c>
      <c r="AB102" s="156" t="str">
        <f>IF(AA102=0,"",IFERROR(AA102/AA$19,""))</f>
        <v/>
      </c>
      <c r="AD102" s="145"/>
      <c r="AE102" s="156" t="str">
        <f>IF(AD102=0,"",IFERROR(AD102/AD$19,""))</f>
        <v/>
      </c>
      <c r="AF102" s="146">
        <f>IF(AND($AA102="",AD102=""),"",$AA102-AD102)</f>
        <v>0</v>
      </c>
      <c r="AG102" s="145">
        <v>22742.959999999999</v>
      </c>
      <c r="AH102" s="156" t="str">
        <f ca="1">IF(AG102=0,"",IFERROR(AG102/AG$19,""))</f>
        <v/>
      </c>
      <c r="AI102" s="146">
        <f>IF(AND($AA102="",AG102=""),"",$AA102-AG102)</f>
        <v>-22742.959999999999</v>
      </c>
    </row>
    <row r="103" spans="3:35" x14ac:dyDescent="0.2">
      <c r="C103" s="23"/>
      <c r="H103" s="133"/>
      <c r="I103" s="25"/>
      <c r="J103" s="25"/>
      <c r="L103" s="24"/>
      <c r="M103" s="24"/>
      <c r="N103" s="8"/>
      <c r="O103" s="38"/>
      <c r="P103" s="42"/>
      <c r="Q103" s="42"/>
      <c r="R103" s="42"/>
      <c r="S103" s="42"/>
      <c r="T103" s="42"/>
      <c r="U103" s="42"/>
      <c r="V103" s="42"/>
      <c r="W103" s="42"/>
      <c r="X103" s="42"/>
      <c r="Y103" s="42"/>
      <c r="Z103" s="42"/>
      <c r="AA103" s="42"/>
      <c r="AB103" s="39"/>
      <c r="AD103" s="38"/>
      <c r="AE103" s="42"/>
      <c r="AF103" s="39"/>
      <c r="AG103" s="38"/>
      <c r="AH103" s="42"/>
      <c r="AI103" s="39"/>
    </row>
    <row r="104" spans="3:35" x14ac:dyDescent="0.2">
      <c r="C104" s="23"/>
      <c r="H104" s="133"/>
      <c r="I104" s="25"/>
      <c r="J104" s="25"/>
      <c r="L104" s="24"/>
      <c r="M104" s="24"/>
      <c r="N104" s="8" t="s">
        <v>339</v>
      </c>
      <c r="O104" s="40"/>
      <c r="P104" s="43"/>
      <c r="Q104" s="43"/>
      <c r="R104" s="43"/>
      <c r="S104" s="43"/>
      <c r="T104" s="43"/>
      <c r="U104" s="43"/>
      <c r="V104" s="43"/>
      <c r="W104" s="43"/>
      <c r="X104" s="43"/>
      <c r="Y104" s="43"/>
      <c r="Z104" s="43"/>
      <c r="AA104" s="43"/>
      <c r="AB104" s="41"/>
      <c r="AD104" s="40"/>
      <c r="AE104" s="43"/>
      <c r="AF104" s="41"/>
      <c r="AG104" s="40"/>
      <c r="AH104" s="43"/>
      <c r="AI104" s="41"/>
    </row>
    <row r="105" spans="3:35" x14ac:dyDescent="0.2">
      <c r="C105" s="23"/>
      <c r="H105" s="133" t="s">
        <v>295</v>
      </c>
      <c r="I105" s="25"/>
      <c r="J105" s="25"/>
      <c r="L105" s="24" t="e">
        <f ca="1">_xll.EVPRO($B$1,H105,"JDEID")</f>
        <v>#NAME?</v>
      </c>
      <c r="M105" s="24" t="str">
        <f>IF(AND(I105="N",J105="N"),_xll.EVPRO($B$1,H105,"PSFTID"),"")</f>
        <v/>
      </c>
      <c r="N105" s="24" t="e">
        <f ca="1">IF(_xll.EVDES(H105,$B$1)="#NODATA","",_xll.EVDES(H105,$B$1))</f>
        <v>#NAME?</v>
      </c>
      <c r="O105" s="19"/>
      <c r="P105" s="19"/>
      <c r="Q105" s="19"/>
      <c r="R105" s="19"/>
      <c r="S105" s="19"/>
      <c r="T105" s="19"/>
      <c r="U105" s="19"/>
      <c r="V105" s="19"/>
      <c r="W105" s="19"/>
      <c r="X105" s="19"/>
      <c r="Y105" s="19"/>
      <c r="Z105" s="19"/>
      <c r="AA105" s="19">
        <f>SUM(O105:Z105)</f>
        <v>0</v>
      </c>
      <c r="AB105" s="15" t="str">
        <f>IF(AA105=0,"",IFERROR(AA105/AA$19,""))</f>
        <v/>
      </c>
      <c r="AD105" s="19"/>
      <c r="AE105" s="15" t="str">
        <f>IF(AD105=0,"",IFERROR(AD105/AD$19,""))</f>
        <v/>
      </c>
      <c r="AF105" s="47">
        <f>IF(AND($AA105="",AD105=""),"",$AA105-AD105)</f>
        <v>0</v>
      </c>
      <c r="AG105" s="19"/>
      <c r="AH105" s="15" t="str">
        <f>IF(AG105=0,"",IFERROR(AG105/AG$19,""))</f>
        <v/>
      </c>
      <c r="AI105" s="47">
        <f>IF(AND($AA105="",AG105=""),"",$AA105-AG105)</f>
        <v>0</v>
      </c>
    </row>
    <row r="106" spans="3:35" x14ac:dyDescent="0.2">
      <c r="C106" s="23"/>
      <c r="H106" s="133" t="s">
        <v>305</v>
      </c>
      <c r="I106" s="25"/>
      <c r="J106" s="25"/>
      <c r="L106" s="24" t="e">
        <f ca="1">_xll.EVPRO($B$1,H106,"JDEID")</f>
        <v>#NAME?</v>
      </c>
      <c r="M106" s="24" t="str">
        <f>IF(AND(I106="N",J106="N"),_xll.EVPRO($B$1,H106,"PSFTID"),"")</f>
        <v/>
      </c>
      <c r="N106" s="24" t="e">
        <f ca="1">IF(_xll.EVDES(H106,$B$1)="#NODATA","",_xll.EVDES(H106,$B$1))</f>
        <v>#NAME?</v>
      </c>
      <c r="O106" s="19"/>
      <c r="P106" s="19"/>
      <c r="Q106" s="19"/>
      <c r="R106" s="19"/>
      <c r="S106" s="19"/>
      <c r="T106" s="19"/>
      <c r="U106" s="19"/>
      <c r="V106" s="19"/>
      <c r="W106" s="19"/>
      <c r="X106" s="19"/>
      <c r="Y106" s="19"/>
      <c r="Z106" s="19"/>
      <c r="AA106" s="19">
        <f>SUM(O106:Z106)</f>
        <v>0</v>
      </c>
      <c r="AB106" s="15" t="str">
        <f>IF(AA106=0,"",IFERROR(AA106/AA$19,""))</f>
        <v/>
      </c>
      <c r="AD106" s="19"/>
      <c r="AE106" s="15" t="str">
        <f>IF(AD106=0,"",IFERROR(AD106/AD$19,""))</f>
        <v/>
      </c>
      <c r="AF106" s="47">
        <f>IF(AND($AA106="",AD106=""),"",$AA106-AD106)</f>
        <v>0</v>
      </c>
      <c r="AG106" s="19">
        <v>856</v>
      </c>
      <c r="AH106" s="15" t="str">
        <f ca="1">IF(AG106=0,"",IFERROR(AG106/AG$19,""))</f>
        <v/>
      </c>
      <c r="AI106" s="47">
        <f>IF(AND($AA106="",AG106=""),"",$AA106-AG106)</f>
        <v>-856</v>
      </c>
    </row>
    <row r="107" spans="3:35" x14ac:dyDescent="0.2">
      <c r="C107" s="23"/>
      <c r="H107" s="133" t="s">
        <v>306</v>
      </c>
      <c r="I107" s="25"/>
      <c r="J107" s="25"/>
      <c r="L107" s="24" t="e">
        <f ca="1">_xll.EVPRO($B$1,H107,"JDEID")</f>
        <v>#NAME?</v>
      </c>
      <c r="M107" s="24" t="str">
        <f>IF(AND(I107="N",J107="N"),_xll.EVPRO($B$1,H107,"PSFTID"),"")</f>
        <v/>
      </c>
      <c r="N107" s="24" t="e">
        <f ca="1">IF(_xll.EVDES(H107,$B$1)="#NODATA","",_xll.EVDES(H107,$B$1))</f>
        <v>#NAME?</v>
      </c>
      <c r="O107" s="19"/>
      <c r="P107" s="19"/>
      <c r="Q107" s="19"/>
      <c r="R107" s="19"/>
      <c r="S107" s="19"/>
      <c r="T107" s="19"/>
      <c r="U107" s="19"/>
      <c r="V107" s="19"/>
      <c r="W107" s="19"/>
      <c r="X107" s="19"/>
      <c r="Y107" s="19"/>
      <c r="Z107" s="19"/>
      <c r="AA107" s="19">
        <f>SUM(O107:Z107)</f>
        <v>0</v>
      </c>
      <c r="AB107" s="15" t="str">
        <f>IF(AA107=0,"",IFERROR(AA107/AA$19,""))</f>
        <v/>
      </c>
      <c r="AD107" s="19"/>
      <c r="AE107" s="15" t="str">
        <f>IF(AD107=0,"",IFERROR(AD107/AD$19,""))</f>
        <v/>
      </c>
      <c r="AF107" s="47">
        <f>IF(AND($AA107="",AD107=""),"",$AA107-AD107)</f>
        <v>0</v>
      </c>
      <c r="AG107" s="19">
        <v>2605</v>
      </c>
      <c r="AH107" s="15" t="str">
        <f ca="1">IF(AG107=0,"",IFERROR(AG107/AG$19,""))</f>
        <v/>
      </c>
      <c r="AI107" s="47">
        <f>IF(AND($AA107="",AG107=""),"",$AA107-AG107)</f>
        <v>-2605</v>
      </c>
    </row>
    <row r="108" spans="3:35" x14ac:dyDescent="0.2">
      <c r="C108" s="23"/>
      <c r="H108" s="133" t="s">
        <v>809</v>
      </c>
      <c r="I108" s="25"/>
      <c r="J108" s="25"/>
      <c r="L108" s="24" t="e">
        <f ca="1">_xll.EVPRO($B$1,H108,"JDEID")</f>
        <v>#NAME?</v>
      </c>
      <c r="M108" s="24" t="str">
        <f>IF(AND(I108="N",J108="N"),_xll.EVPRO($B$1,H108,"PSFTID"),"")</f>
        <v/>
      </c>
      <c r="N108" s="24" t="e">
        <f ca="1">IF(_xll.EVDES(H108,$B$1)="#NODATA","",_xll.EVDES(H108,$B$1))</f>
        <v>#NAME?</v>
      </c>
      <c r="O108" s="19"/>
      <c r="P108" s="19"/>
      <c r="Q108" s="19"/>
      <c r="R108" s="19"/>
      <c r="S108" s="19"/>
      <c r="T108" s="19"/>
      <c r="U108" s="19"/>
      <c r="V108" s="19"/>
      <c r="W108" s="19"/>
      <c r="X108" s="19"/>
      <c r="Y108" s="19"/>
      <c r="Z108" s="19"/>
      <c r="AA108" s="19">
        <f>SUM(O108:Z108)</f>
        <v>0</v>
      </c>
      <c r="AB108" s="15" t="str">
        <f>IF(AA108=0,"",IFERROR(AA108/AA$19,""))</f>
        <v/>
      </c>
      <c r="AD108" s="19"/>
      <c r="AE108" s="15" t="str">
        <f>IF(AD108=0,"",IFERROR(AD108/AD$19,""))</f>
        <v/>
      </c>
      <c r="AF108" s="47">
        <f>IF(AND($AA108="",AD108=""),"",$AA108-AD108)</f>
        <v>0</v>
      </c>
      <c r="AG108" s="19">
        <v>530</v>
      </c>
      <c r="AH108" s="15" t="str">
        <f ca="1">IF(AG108=0,"",IFERROR(AG108/AG$19,""))</f>
        <v/>
      </c>
      <c r="AI108" s="47">
        <f>IF(AND($AA108="",AG108=""),"",$AA108-AG108)</f>
        <v>-530</v>
      </c>
    </row>
    <row r="109" spans="3:35" x14ac:dyDescent="0.2">
      <c r="C109" s="23"/>
      <c r="H109" s="133" t="s">
        <v>342</v>
      </c>
      <c r="I109" s="25"/>
      <c r="J109" s="25"/>
      <c r="L109" s="24" t="e">
        <f ca="1">_xll.EVPRO($B$1,H109,"JDEID")</f>
        <v>#NAME?</v>
      </c>
      <c r="M109" s="24" t="str">
        <f>IF(AND(I109="N",J109="N"),_xll.EVPRO($B$1,H109,"PSFTID"),"")</f>
        <v/>
      </c>
      <c r="N109" s="23" t="e">
        <f ca="1">IF(_xll.EVDES(H109,$B$1)="#NODATA","",_xll.EVDES(H109,$B$1))</f>
        <v>#NAME?</v>
      </c>
      <c r="O109" s="145"/>
      <c r="P109" s="145"/>
      <c r="Q109" s="145"/>
      <c r="R109" s="145"/>
      <c r="S109" s="145"/>
      <c r="T109" s="145"/>
      <c r="U109" s="145"/>
      <c r="V109" s="145"/>
      <c r="W109" s="145"/>
      <c r="X109" s="145"/>
      <c r="Y109" s="145"/>
      <c r="Z109" s="145"/>
      <c r="AA109" s="145">
        <f>SUM(O109:Z109)</f>
        <v>0</v>
      </c>
      <c r="AB109" s="156" t="str">
        <f>IF(AA109=0,"",IFERROR(AA109/AA$19,""))</f>
        <v/>
      </c>
      <c r="AD109" s="145"/>
      <c r="AE109" s="156" t="str">
        <f>IF(AD109=0,"",IFERROR(AD109/AD$19,""))</f>
        <v/>
      </c>
      <c r="AF109" s="146">
        <f>IF(AND($AA109="",AD109=""),"",$AA109-AD109)</f>
        <v>0</v>
      </c>
      <c r="AG109" s="145">
        <v>3991</v>
      </c>
      <c r="AH109" s="156" t="str">
        <f ca="1">IF(AG109=0,"",IFERROR(AG109/AG$19,""))</f>
        <v/>
      </c>
      <c r="AI109" s="146">
        <f>IF(AND($AA109="",AG109=""),"",$AA109-AG109)</f>
        <v>-3991</v>
      </c>
    </row>
    <row r="110" spans="3:35" x14ac:dyDescent="0.2">
      <c r="C110" s="23"/>
      <c r="H110" s="133"/>
      <c r="I110" s="25"/>
      <c r="J110" s="25"/>
      <c r="L110" s="24"/>
      <c r="M110" s="24"/>
      <c r="N110" s="8"/>
      <c r="O110" s="38"/>
      <c r="P110" s="42"/>
      <c r="Q110" s="42"/>
      <c r="R110" s="42"/>
      <c r="S110" s="42"/>
      <c r="T110" s="42"/>
      <c r="U110" s="42"/>
      <c r="V110" s="42"/>
      <c r="W110" s="42"/>
      <c r="X110" s="42"/>
      <c r="Y110" s="42"/>
      <c r="Z110" s="42"/>
      <c r="AA110" s="42"/>
      <c r="AB110" s="39"/>
      <c r="AD110" s="38"/>
      <c r="AE110" s="42"/>
      <c r="AF110" s="39"/>
      <c r="AG110" s="38"/>
      <c r="AH110" s="42"/>
      <c r="AI110" s="39"/>
    </row>
    <row r="111" spans="3:35" x14ac:dyDescent="0.2">
      <c r="C111" s="23"/>
      <c r="H111" s="133"/>
      <c r="I111" s="25"/>
      <c r="J111" s="25"/>
      <c r="L111" s="24"/>
      <c r="M111" s="24"/>
      <c r="N111" s="8" t="s">
        <v>338</v>
      </c>
      <c r="O111" s="40"/>
      <c r="P111" s="43"/>
      <c r="Q111" s="43"/>
      <c r="R111" s="43"/>
      <c r="S111" s="43"/>
      <c r="T111" s="43"/>
      <c r="U111" s="43"/>
      <c r="V111" s="43"/>
      <c r="W111" s="43"/>
      <c r="X111" s="43"/>
      <c r="Y111" s="43"/>
      <c r="Z111" s="43"/>
      <c r="AA111" s="43"/>
      <c r="AB111" s="41"/>
      <c r="AD111" s="40"/>
      <c r="AE111" s="43"/>
      <c r="AF111" s="41"/>
      <c r="AG111" s="40"/>
      <c r="AH111" s="43"/>
      <c r="AI111" s="41"/>
    </row>
    <row r="112" spans="3:35" x14ac:dyDescent="0.2">
      <c r="C112" s="23"/>
      <c r="H112" s="133" t="s">
        <v>296</v>
      </c>
      <c r="I112" s="25"/>
      <c r="J112" s="25"/>
      <c r="L112" s="24" t="e">
        <f ca="1">_xll.EVPRO($B$1,H112,"JDEID")</f>
        <v>#NAME?</v>
      </c>
      <c r="M112" s="24" t="str">
        <f>IF(AND(I112="N",J112="N"),_xll.EVPRO($B$1,H112,"PSFTID"),"")</f>
        <v/>
      </c>
      <c r="N112" s="24" t="e">
        <f ca="1">IF(_xll.EVDES(H112,$B$1)="#NODATA","",_xll.EVDES(H112,$B$1))</f>
        <v>#NAME?</v>
      </c>
      <c r="O112" s="19"/>
      <c r="P112" s="19"/>
      <c r="Q112" s="19"/>
      <c r="R112" s="19"/>
      <c r="S112" s="19"/>
      <c r="T112" s="19"/>
      <c r="U112" s="19"/>
      <c r="V112" s="19"/>
      <c r="W112" s="19"/>
      <c r="X112" s="19"/>
      <c r="Y112" s="19"/>
      <c r="Z112" s="19"/>
      <c r="AA112" s="19">
        <f>SUM(O112:Z112)</f>
        <v>0</v>
      </c>
      <c r="AB112" s="15" t="str">
        <f>IF(AA112=0,"",IFERROR(AA112/AA$19,""))</f>
        <v/>
      </c>
      <c r="AD112" s="19"/>
      <c r="AE112" s="15" t="str">
        <f>IF(AD112=0,"",IFERROR(AD112/AD$19,""))</f>
        <v/>
      </c>
      <c r="AF112" s="47">
        <f>IF(AND($AA112="",AD112=""),"",$AA112-AD112)</f>
        <v>0</v>
      </c>
      <c r="AG112" s="19">
        <v>152</v>
      </c>
      <c r="AH112" s="15" t="str">
        <f ca="1">IF(AG112=0,"",IFERROR(AG112/AG$19,""))</f>
        <v/>
      </c>
      <c r="AI112" s="47">
        <f>IF(AND($AA112="",AG112=""),"",$AA112-AG112)</f>
        <v>-152</v>
      </c>
    </row>
    <row r="113" spans="3:35" x14ac:dyDescent="0.2">
      <c r="C113" s="23"/>
      <c r="H113" s="133" t="s">
        <v>303</v>
      </c>
      <c r="I113" s="25"/>
      <c r="J113" s="25"/>
      <c r="L113" s="24" t="e">
        <f ca="1">_xll.EVPRO($B$1,H113,"JDEID")</f>
        <v>#NAME?</v>
      </c>
      <c r="M113" s="24" t="str">
        <f>IF(AND(I113="N",J113="N"),_xll.EVPRO($B$1,H113,"PSFTID"),"")</f>
        <v/>
      </c>
      <c r="N113" s="24" t="e">
        <f ca="1">IF(_xll.EVDES(H113,$B$1)="#NODATA","",_xll.EVDES(H113,$B$1))</f>
        <v>#NAME?</v>
      </c>
      <c r="O113" s="19"/>
      <c r="P113" s="19"/>
      <c r="Q113" s="19"/>
      <c r="R113" s="19"/>
      <c r="S113" s="19"/>
      <c r="T113" s="19"/>
      <c r="U113" s="19"/>
      <c r="V113" s="19"/>
      <c r="W113" s="19"/>
      <c r="X113" s="19"/>
      <c r="Y113" s="19"/>
      <c r="Z113" s="19"/>
      <c r="AA113" s="19">
        <f>SUM(O113:Z113)</f>
        <v>0</v>
      </c>
      <c r="AB113" s="15" t="str">
        <f>IF(AA113=0,"",IFERROR(AA113/AA$19,""))</f>
        <v/>
      </c>
      <c r="AD113" s="19"/>
      <c r="AE113" s="15" t="str">
        <f>IF(AD113=0,"",IFERROR(AD113/AD$19,""))</f>
        <v/>
      </c>
      <c r="AF113" s="47">
        <f>IF(AND($AA113="",AD113=""),"",$AA113-AD113)</f>
        <v>0</v>
      </c>
      <c r="AG113" s="19">
        <v>1021</v>
      </c>
      <c r="AH113" s="15" t="str">
        <f ca="1">IF(AG113=0,"",IFERROR(AG113/AG$19,""))</f>
        <v/>
      </c>
      <c r="AI113" s="47">
        <f>IF(AND($AA113="",AG113=""),"",$AA113-AG113)</f>
        <v>-1021</v>
      </c>
    </row>
    <row r="114" spans="3:35" x14ac:dyDescent="0.2">
      <c r="C114" s="23"/>
      <c r="H114" s="133" t="s">
        <v>304</v>
      </c>
      <c r="I114" s="25"/>
      <c r="J114" s="25"/>
      <c r="L114" s="24" t="e">
        <f ca="1">_xll.EVPRO($B$1,H114,"JDEID")</f>
        <v>#NAME?</v>
      </c>
      <c r="M114" s="24" t="str">
        <f>IF(AND(I114="N",J114="N"),_xll.EVPRO($B$1,H114,"PSFTID"),"")</f>
        <v/>
      </c>
      <c r="N114" s="24" t="e">
        <f ca="1">IF(_xll.EVDES(H114,$B$1)="#NODATA","",_xll.EVDES(H114,$B$1))</f>
        <v>#NAME?</v>
      </c>
      <c r="O114" s="19"/>
      <c r="P114" s="19"/>
      <c r="Q114" s="19"/>
      <c r="R114" s="19"/>
      <c r="S114" s="19"/>
      <c r="T114" s="19"/>
      <c r="U114" s="19"/>
      <c r="V114" s="19"/>
      <c r="W114" s="19"/>
      <c r="X114" s="19"/>
      <c r="Y114" s="19"/>
      <c r="Z114" s="19"/>
      <c r="AA114" s="19">
        <f>SUM(O114:Z114)</f>
        <v>0</v>
      </c>
      <c r="AB114" s="15" t="str">
        <f>IF(AA114=0,"",IFERROR(AA114/AA$19,""))</f>
        <v/>
      </c>
      <c r="AD114" s="19"/>
      <c r="AE114" s="15" t="str">
        <f>IF(AD114=0,"",IFERROR(AD114/AD$19,""))</f>
        <v/>
      </c>
      <c r="AF114" s="47">
        <f>IF(AND($AA114="",AD114=""),"",$AA114-AD114)</f>
        <v>0</v>
      </c>
      <c r="AG114" s="19">
        <v>3155.79</v>
      </c>
      <c r="AH114" s="15" t="str">
        <f ca="1">IF(AG114=0,"",IFERROR(AG114/AG$19,""))</f>
        <v/>
      </c>
      <c r="AI114" s="47">
        <f>IF(AND($AA114="",AG114=""),"",$AA114-AG114)</f>
        <v>-3155.79</v>
      </c>
    </row>
    <row r="115" spans="3:35" x14ac:dyDescent="0.2">
      <c r="C115" s="23"/>
      <c r="H115" s="133" t="s">
        <v>810</v>
      </c>
      <c r="I115" s="25"/>
      <c r="J115" s="25"/>
      <c r="L115" s="24" t="e">
        <f ca="1">_xll.EVPRO($B$1,H115,"JDEID")</f>
        <v>#NAME?</v>
      </c>
      <c r="M115" s="24" t="str">
        <f>IF(AND(I115="N",J115="N"),_xll.EVPRO($B$1,H115,"PSFTID"),"")</f>
        <v/>
      </c>
      <c r="N115" s="24" t="e">
        <f ca="1">IF(_xll.EVDES(H115,$B$1)="#NODATA","",_xll.EVDES(H115,$B$1))</f>
        <v>#NAME?</v>
      </c>
      <c r="O115" s="19"/>
      <c r="P115" s="19"/>
      <c r="Q115" s="19"/>
      <c r="R115" s="19"/>
      <c r="S115" s="19"/>
      <c r="T115" s="19"/>
      <c r="U115" s="19"/>
      <c r="V115" s="19"/>
      <c r="W115" s="19"/>
      <c r="X115" s="19"/>
      <c r="Y115" s="19"/>
      <c r="Z115" s="19"/>
      <c r="AA115" s="19">
        <f>SUM(O115:Z115)</f>
        <v>0</v>
      </c>
      <c r="AB115" s="15" t="str">
        <f>IF(AA115=0,"",IFERROR(AA115/AA$19,""))</f>
        <v/>
      </c>
      <c r="AD115" s="19"/>
      <c r="AE115" s="15" t="str">
        <f>IF(AD115=0,"",IFERROR(AD115/AD$19,""))</f>
        <v/>
      </c>
      <c r="AF115" s="47">
        <f>IF(AND($AA115="",AD115=""),"",$AA115-AD115)</f>
        <v>0</v>
      </c>
      <c r="AG115" s="19">
        <v>2554</v>
      </c>
      <c r="AH115" s="15" t="str">
        <f ca="1">IF(AG115=0,"",IFERROR(AG115/AG$19,""))</f>
        <v/>
      </c>
      <c r="AI115" s="47">
        <f>IF(AND($AA115="",AG115=""),"",$AA115-AG115)</f>
        <v>-2554</v>
      </c>
    </row>
    <row r="116" spans="3:35" x14ac:dyDescent="0.2">
      <c r="C116" s="23"/>
      <c r="H116" s="133" t="s">
        <v>341</v>
      </c>
      <c r="I116" s="25"/>
      <c r="J116" s="25"/>
      <c r="L116" s="24" t="e">
        <f ca="1">_xll.EVPRO($B$1,H116,"JDEID")</f>
        <v>#NAME?</v>
      </c>
      <c r="M116" s="24" t="str">
        <f>IF(AND(I116="N",J116="N"),_xll.EVPRO($B$1,H116,"PSFTID"),"")</f>
        <v/>
      </c>
      <c r="N116" s="23" t="e">
        <f ca="1">IF(_xll.EVDES(H116,$B$1)="#NODATA","",_xll.EVDES(H116,$B$1))</f>
        <v>#NAME?</v>
      </c>
      <c r="O116" s="145"/>
      <c r="P116" s="145"/>
      <c r="Q116" s="145"/>
      <c r="R116" s="145"/>
      <c r="S116" s="145"/>
      <c r="T116" s="145"/>
      <c r="U116" s="145"/>
      <c r="V116" s="145"/>
      <c r="W116" s="145"/>
      <c r="X116" s="145"/>
      <c r="Y116" s="145"/>
      <c r="Z116" s="145"/>
      <c r="AA116" s="145">
        <f>SUM(O116:Z116)</f>
        <v>0</v>
      </c>
      <c r="AB116" s="156" t="str">
        <f>IF(AA116=0,"",IFERROR(AA116/AA$19,""))</f>
        <v/>
      </c>
      <c r="AD116" s="145"/>
      <c r="AE116" s="156" t="str">
        <f>IF(AD116=0,"",IFERROR(AD116/AD$19,""))</f>
        <v/>
      </c>
      <c r="AF116" s="146">
        <f>IF(AND($AA116="",AD116=""),"",$AA116-AD116)</f>
        <v>0</v>
      </c>
      <c r="AG116" s="145">
        <v>6882.79</v>
      </c>
      <c r="AH116" s="156" t="str">
        <f ca="1">IF(AG116=0,"",IFERROR(AG116/AG$19,""))</f>
        <v/>
      </c>
      <c r="AI116" s="146">
        <f>IF(AND($AA116="",AG116=""),"",$AA116-AG116)</f>
        <v>-6882.79</v>
      </c>
    </row>
    <row r="117" spans="3:35" x14ac:dyDescent="0.2">
      <c r="C117" s="23"/>
      <c r="H117" s="133"/>
      <c r="I117" s="25"/>
      <c r="J117" s="25"/>
      <c r="L117" s="24"/>
      <c r="M117" s="24"/>
      <c r="O117" s="38"/>
      <c r="P117" s="42"/>
      <c r="Q117" s="42"/>
      <c r="R117" s="42"/>
      <c r="S117" s="42"/>
      <c r="T117" s="42"/>
      <c r="U117" s="42"/>
      <c r="V117" s="42"/>
      <c r="W117" s="42"/>
      <c r="X117" s="42"/>
      <c r="Y117" s="42"/>
      <c r="Z117" s="42"/>
      <c r="AA117" s="42"/>
      <c r="AB117" s="39"/>
      <c r="AD117" s="38"/>
      <c r="AE117" s="42"/>
      <c r="AF117" s="39"/>
      <c r="AG117" s="38"/>
      <c r="AH117" s="42"/>
      <c r="AI117" s="39"/>
    </row>
    <row r="118" spans="3:35" x14ac:dyDescent="0.2">
      <c r="C118" s="23"/>
      <c r="H118" s="10" t="s">
        <v>267</v>
      </c>
      <c r="I118" s="25"/>
      <c r="J118" s="25"/>
      <c r="L118" s="24" t="e">
        <f ca="1">_xll.EVPRO($B$1,H118,"JDEID")</f>
        <v>#NAME?</v>
      </c>
      <c r="M118" s="24" t="str">
        <f>IF(AND(I118="N",J118="N"),_xll.EVPRO($B$1,H118,"PSFTID"),"")</f>
        <v/>
      </c>
      <c r="N118" s="24" t="e">
        <f ca="1">IF(_xll.EVDES(H118,$B$1)="#NODATA","",_xll.EVDES(H118,$B$1))</f>
        <v>#NAME?</v>
      </c>
      <c r="O118" s="19">
        <f t="shared" ref="O118:Z118" si="28">O98+O105+O112</f>
        <v>0</v>
      </c>
      <c r="P118" s="19">
        <f t="shared" si="28"/>
        <v>0</v>
      </c>
      <c r="Q118" s="19">
        <f t="shared" si="28"/>
        <v>0</v>
      </c>
      <c r="R118" s="19">
        <f t="shared" si="28"/>
        <v>0</v>
      </c>
      <c r="S118" s="19">
        <f t="shared" si="28"/>
        <v>0</v>
      </c>
      <c r="T118" s="19">
        <f t="shared" si="28"/>
        <v>0</v>
      </c>
      <c r="U118" s="19">
        <f t="shared" si="28"/>
        <v>0</v>
      </c>
      <c r="V118" s="19">
        <f t="shared" si="28"/>
        <v>0</v>
      </c>
      <c r="W118" s="19">
        <f t="shared" si="28"/>
        <v>0</v>
      </c>
      <c r="X118" s="19">
        <f t="shared" si="28"/>
        <v>0</v>
      </c>
      <c r="Y118" s="19">
        <f t="shared" si="28"/>
        <v>0</v>
      </c>
      <c r="Z118" s="19">
        <f t="shared" si="28"/>
        <v>0</v>
      </c>
      <c r="AA118" s="19">
        <f>SUM(O118:Z118)</f>
        <v>0</v>
      </c>
      <c r="AB118" s="15" t="str">
        <f>IF(AA118=0,"",IFERROR(AA118/AA$19,""))</f>
        <v/>
      </c>
      <c r="AD118" s="19">
        <f>AD98+AD105+AD112</f>
        <v>0</v>
      </c>
      <c r="AE118" s="15" t="str">
        <f>IF(AD118=0,"",IFERROR(AD118/AD$19,""))</f>
        <v/>
      </c>
      <c r="AF118" s="47">
        <f>IF(AND($AA118="",AD118=""),"",$AA118-AD118)</f>
        <v>0</v>
      </c>
      <c r="AG118" s="19">
        <f>AG98+AG105+AG112</f>
        <v>2785</v>
      </c>
      <c r="AH118" s="15" t="str">
        <f ca="1">IF(AG118=0,"",IFERROR(AG118/AG$19,""))</f>
        <v/>
      </c>
      <c r="AI118" s="47">
        <f>IF(AND($AA118="",AG118=""),"",$AA118-AG118)</f>
        <v>-2785</v>
      </c>
    </row>
    <row r="119" spans="3:35" x14ac:dyDescent="0.2">
      <c r="C119" s="23"/>
      <c r="H119" s="10" t="s">
        <v>268</v>
      </c>
      <c r="I119" s="25"/>
      <c r="J119" s="25"/>
      <c r="L119" s="24" t="e">
        <f ca="1">_xll.EVPRO($B$1,H119,"JDEID")</f>
        <v>#NAME?</v>
      </c>
      <c r="M119" s="24" t="str">
        <f>IF(AND(I119="N",J119="N"),_xll.EVPRO($B$1,H119,"PSFTID"),"")</f>
        <v/>
      </c>
      <c r="N119" s="24" t="e">
        <f ca="1">IF(_xll.EVDES(H119,$B$1)="#NODATA","",_xll.EVDES(H119,$B$1))</f>
        <v>#NAME?</v>
      </c>
      <c r="O119" s="19">
        <f t="shared" ref="O119:Z119" si="29">O99+O106+O113</f>
        <v>0</v>
      </c>
      <c r="P119" s="19">
        <f t="shared" si="29"/>
        <v>0</v>
      </c>
      <c r="Q119" s="19">
        <f t="shared" si="29"/>
        <v>0</v>
      </c>
      <c r="R119" s="19">
        <f t="shared" si="29"/>
        <v>0</v>
      </c>
      <c r="S119" s="19">
        <f t="shared" si="29"/>
        <v>0</v>
      </c>
      <c r="T119" s="19">
        <f t="shared" si="29"/>
        <v>0</v>
      </c>
      <c r="U119" s="19">
        <f t="shared" si="29"/>
        <v>0</v>
      </c>
      <c r="V119" s="19">
        <f t="shared" si="29"/>
        <v>0</v>
      </c>
      <c r="W119" s="19">
        <f t="shared" si="29"/>
        <v>0</v>
      </c>
      <c r="X119" s="19">
        <f t="shared" si="29"/>
        <v>0</v>
      </c>
      <c r="Y119" s="19">
        <f t="shared" si="29"/>
        <v>0</v>
      </c>
      <c r="Z119" s="19">
        <f t="shared" si="29"/>
        <v>0</v>
      </c>
      <c r="AA119" s="19">
        <f>SUM(O119:Z119)</f>
        <v>0</v>
      </c>
      <c r="AB119" s="15" t="str">
        <f>IF(AA119=0,"",IFERROR(AA119/AA$19,""))</f>
        <v/>
      </c>
      <c r="AD119" s="19">
        <f>AD99+AD106+AD113</f>
        <v>0</v>
      </c>
      <c r="AE119" s="15" t="str">
        <f>IF(AD119=0,"",IFERROR(AD119/AD$19,""))</f>
        <v/>
      </c>
      <c r="AF119" s="47">
        <f>IF(AND($AA119="",AD119=""),"",$AA119-AD119)</f>
        <v>0</v>
      </c>
      <c r="AG119" s="19">
        <f>AG99+AG106+AG113</f>
        <v>3434</v>
      </c>
      <c r="AH119" s="15" t="str">
        <f ca="1">IF(AG119=0,"",IFERROR(AG119/AG$19,""))</f>
        <v/>
      </c>
      <c r="AI119" s="47">
        <f>IF(AND($AA119="",AG119=""),"",$AA119-AG119)</f>
        <v>-3434</v>
      </c>
    </row>
    <row r="120" spans="3:35" x14ac:dyDescent="0.2">
      <c r="C120" s="23"/>
      <c r="H120" s="133" t="s">
        <v>269</v>
      </c>
      <c r="I120" s="25"/>
      <c r="J120" s="25"/>
      <c r="L120" s="24" t="e">
        <f ca="1">_xll.EVPRO($B$1,H120,"JDEID")</f>
        <v>#NAME?</v>
      </c>
      <c r="M120" s="24" t="str">
        <f>IF(AND(I120="N",J120="N"),_xll.EVPRO($B$1,H120,"PSFTID"),"")</f>
        <v/>
      </c>
      <c r="N120" s="24" t="e">
        <f ca="1">IF(_xll.EVDES(H120,$B$1)="#NODATA","",_xll.EVDES(H120,$B$1))</f>
        <v>#NAME?</v>
      </c>
      <c r="O120" s="19">
        <f t="shared" ref="O120:Z120" si="30">O100+O107+O114</f>
        <v>0</v>
      </c>
      <c r="P120" s="19">
        <f t="shared" si="30"/>
        <v>0</v>
      </c>
      <c r="Q120" s="19">
        <f t="shared" si="30"/>
        <v>0</v>
      </c>
      <c r="R120" s="19">
        <f t="shared" si="30"/>
        <v>0</v>
      </c>
      <c r="S120" s="19">
        <f t="shared" si="30"/>
        <v>0</v>
      </c>
      <c r="T120" s="19">
        <f t="shared" si="30"/>
        <v>0</v>
      </c>
      <c r="U120" s="19">
        <f t="shared" si="30"/>
        <v>0</v>
      </c>
      <c r="V120" s="19">
        <f t="shared" si="30"/>
        <v>0</v>
      </c>
      <c r="W120" s="19">
        <f t="shared" si="30"/>
        <v>0</v>
      </c>
      <c r="X120" s="19">
        <f t="shared" si="30"/>
        <v>0</v>
      </c>
      <c r="Y120" s="19">
        <f t="shared" si="30"/>
        <v>0</v>
      </c>
      <c r="Z120" s="19">
        <f t="shared" si="30"/>
        <v>0</v>
      </c>
      <c r="AA120" s="19">
        <f>SUM(O120:Z120)</f>
        <v>0</v>
      </c>
      <c r="AB120" s="15" t="str">
        <f>IF(AA120=0,"",IFERROR(AA120/AA$19,""))</f>
        <v/>
      </c>
      <c r="AD120" s="19">
        <f>AD100+AD107+AD114</f>
        <v>0</v>
      </c>
      <c r="AE120" s="15" t="str">
        <f>IF(AD120=0,"",IFERROR(AD120/AD$19,""))</f>
        <v/>
      </c>
      <c r="AF120" s="47">
        <f>IF(AND($AA120="",AD120=""),"",$AA120-AD120)</f>
        <v>0</v>
      </c>
      <c r="AG120" s="19">
        <f>AG100+AG107+AG114</f>
        <v>14820.79</v>
      </c>
      <c r="AH120" s="15" t="str">
        <f ca="1">IF(AG120=0,"",IFERROR(AG120/AG$19,""))</f>
        <v/>
      </c>
      <c r="AI120" s="47">
        <f>IF(AND($AA120="",AG120=""),"",$AA120-AG120)</f>
        <v>-14820.79</v>
      </c>
    </row>
    <row r="121" spans="3:35" x14ac:dyDescent="0.2">
      <c r="C121" s="23"/>
      <c r="H121" s="133" t="s">
        <v>791</v>
      </c>
      <c r="I121" s="25"/>
      <c r="J121" s="25"/>
      <c r="L121" s="24" t="e">
        <f ca="1">_xll.EVPRO($B$1,H121,"JDEID")</f>
        <v>#NAME?</v>
      </c>
      <c r="M121" s="24" t="str">
        <f>IF(AND(I121="N",J121="N"),_xll.EVPRO($B$1,H121,"PSFTID"),"")</f>
        <v/>
      </c>
      <c r="N121" s="24" t="e">
        <f ca="1">IF(_xll.EVDES(H121,$B$1)="#NODATA","",_xll.EVDES(H121,$B$1))</f>
        <v>#NAME?</v>
      </c>
      <c r="O121" s="19">
        <f t="shared" ref="O121:Z121" si="31">O101+O108+O115</f>
        <v>0</v>
      </c>
      <c r="P121" s="19">
        <f t="shared" si="31"/>
        <v>0</v>
      </c>
      <c r="Q121" s="19">
        <f t="shared" si="31"/>
        <v>0</v>
      </c>
      <c r="R121" s="19">
        <f t="shared" si="31"/>
        <v>0</v>
      </c>
      <c r="S121" s="19">
        <f t="shared" si="31"/>
        <v>0</v>
      </c>
      <c r="T121" s="19">
        <f t="shared" si="31"/>
        <v>0</v>
      </c>
      <c r="U121" s="19">
        <f t="shared" si="31"/>
        <v>0</v>
      </c>
      <c r="V121" s="19">
        <f t="shared" si="31"/>
        <v>0</v>
      </c>
      <c r="W121" s="19">
        <f t="shared" si="31"/>
        <v>0</v>
      </c>
      <c r="X121" s="19">
        <f t="shared" si="31"/>
        <v>0</v>
      </c>
      <c r="Y121" s="19">
        <f t="shared" si="31"/>
        <v>0</v>
      </c>
      <c r="Z121" s="19">
        <f t="shared" si="31"/>
        <v>0</v>
      </c>
      <c r="AA121" s="19">
        <f>SUM(O121:Z121)</f>
        <v>0</v>
      </c>
      <c r="AB121" s="15" t="str">
        <f>IF(AA121=0,"",IFERROR(AA121/AA$19,""))</f>
        <v/>
      </c>
      <c r="AD121" s="19">
        <f>AD101+AD108+AD115</f>
        <v>0</v>
      </c>
      <c r="AE121" s="15" t="str">
        <f>IF(AD121=0,"",IFERROR(AD121/AD$19,""))</f>
        <v/>
      </c>
      <c r="AF121" s="47">
        <f>IF(AND($AA121="",AD121=""),"",$AA121-AD121)</f>
        <v>0</v>
      </c>
      <c r="AG121" s="19">
        <f>AG101+AG108+AG115</f>
        <v>12576.96</v>
      </c>
      <c r="AH121" s="15" t="str">
        <f ca="1">IF(AG121=0,"",IFERROR(AG121/AG$19,""))</f>
        <v/>
      </c>
      <c r="AI121" s="47">
        <f>IF(AND($AA121="",AG121=""),"",$AA121-AG121)</f>
        <v>-12576.96</v>
      </c>
    </row>
    <row r="122" spans="3:35" x14ac:dyDescent="0.2">
      <c r="C122" s="23"/>
      <c r="H122" s="10" t="s">
        <v>272</v>
      </c>
      <c r="I122" s="25"/>
      <c r="J122" s="25"/>
      <c r="L122" s="24" t="e">
        <f ca="1">_xll.EVPRO($B$1,H122,"JDEID")</f>
        <v>#NAME?</v>
      </c>
      <c r="M122" s="24" t="str">
        <f>IF(AND(I122="N",J122="N"),_xll.EVPRO($B$1,H122,"PSFTID"),"")</f>
        <v/>
      </c>
      <c r="N122" s="23" t="e">
        <f ca="1">IF(_xll.EVDES(H122,$B$1)="#NODATA","",_xll.EVDES(H122,$B$1))</f>
        <v>#NAME?</v>
      </c>
      <c r="O122" s="145">
        <f t="shared" ref="O122:Z122" si="32">SUM(O118:O121)</f>
        <v>0</v>
      </c>
      <c r="P122" s="145">
        <f t="shared" si="32"/>
        <v>0</v>
      </c>
      <c r="Q122" s="145">
        <f t="shared" si="32"/>
        <v>0</v>
      </c>
      <c r="R122" s="145">
        <f t="shared" si="32"/>
        <v>0</v>
      </c>
      <c r="S122" s="145">
        <f t="shared" si="32"/>
        <v>0</v>
      </c>
      <c r="T122" s="145">
        <f t="shared" si="32"/>
        <v>0</v>
      </c>
      <c r="U122" s="145">
        <f t="shared" si="32"/>
        <v>0</v>
      </c>
      <c r="V122" s="145">
        <f t="shared" si="32"/>
        <v>0</v>
      </c>
      <c r="W122" s="145">
        <f t="shared" si="32"/>
        <v>0</v>
      </c>
      <c r="X122" s="145">
        <f t="shared" si="32"/>
        <v>0</v>
      </c>
      <c r="Y122" s="145">
        <f t="shared" si="32"/>
        <v>0</v>
      </c>
      <c r="Z122" s="145">
        <f t="shared" si="32"/>
        <v>0</v>
      </c>
      <c r="AA122" s="145">
        <f>SUM(O122:Z122)</f>
        <v>0</v>
      </c>
      <c r="AB122" s="156" t="str">
        <f>IF(AA122=0,"",IFERROR(AA122/AA$19,""))</f>
        <v/>
      </c>
      <c r="AD122" s="145">
        <f>SUM(AD118:AD121)</f>
        <v>0</v>
      </c>
      <c r="AE122" s="156" t="str">
        <f>IF(AD122=0,"",IFERROR(AD122/AD$19,""))</f>
        <v/>
      </c>
      <c r="AF122" s="146">
        <f>IF(AND($AA122="",AD122=""),"",$AA122-AD122)</f>
        <v>0</v>
      </c>
      <c r="AG122" s="145">
        <f>SUM(AG118:AG121)</f>
        <v>33616.75</v>
      </c>
      <c r="AH122" s="156" t="str">
        <f ca="1">IF(AG122=0,"",IFERROR(AG122/AG$19,""))</f>
        <v/>
      </c>
      <c r="AI122" s="146">
        <f>IF(AND($AA122="",AG122=""),"",$AA122-AG122)</f>
        <v>-33616.75</v>
      </c>
    </row>
    <row r="123" spans="3:35" x14ac:dyDescent="0.2">
      <c r="C123" s="23"/>
      <c r="H123" s="133"/>
      <c r="I123" s="25"/>
      <c r="J123" s="25"/>
      <c r="O123" s="124">
        <f t="shared" ref="O123:AA123" si="33">O102+O109+O116-O122</f>
        <v>0</v>
      </c>
      <c r="P123" s="124">
        <f t="shared" si="33"/>
        <v>0</v>
      </c>
      <c r="Q123" s="124">
        <f t="shared" si="33"/>
        <v>0</v>
      </c>
      <c r="R123" s="124">
        <f t="shared" si="33"/>
        <v>0</v>
      </c>
      <c r="S123" s="124">
        <f t="shared" si="33"/>
        <v>0</v>
      </c>
      <c r="T123" s="124">
        <f t="shared" si="33"/>
        <v>0</v>
      </c>
      <c r="U123" s="124">
        <f t="shared" si="33"/>
        <v>0</v>
      </c>
      <c r="V123" s="124">
        <f t="shared" si="33"/>
        <v>0</v>
      </c>
      <c r="W123" s="124">
        <f t="shared" si="33"/>
        <v>0</v>
      </c>
      <c r="X123" s="124">
        <f t="shared" si="33"/>
        <v>0</v>
      </c>
      <c r="Y123" s="124">
        <f t="shared" si="33"/>
        <v>0</v>
      </c>
      <c r="Z123" s="124">
        <f t="shared" si="33"/>
        <v>0</v>
      </c>
      <c r="AA123" s="124">
        <f t="shared" si="33"/>
        <v>0</v>
      </c>
      <c r="AB123" s="15"/>
      <c r="AD123" s="124">
        <f>AD102+AD109+AD116-AD122</f>
        <v>0</v>
      </c>
      <c r="AE123" s="15"/>
      <c r="AF123" s="19"/>
      <c r="AG123" s="124">
        <f>AG102+AG109+AG116-AG122</f>
        <v>0</v>
      </c>
      <c r="AH123" s="15"/>
      <c r="AI123" s="19"/>
    </row>
    <row r="124" spans="3:35" x14ac:dyDescent="0.2">
      <c r="C124" s="23"/>
      <c r="H124" s="133"/>
      <c r="I124" s="25"/>
      <c r="J124" s="25"/>
      <c r="O124" s="38"/>
      <c r="P124" s="42"/>
      <c r="Q124" s="42"/>
      <c r="R124" s="42"/>
      <c r="S124" s="42"/>
      <c r="T124" s="42"/>
      <c r="U124" s="42"/>
      <c r="V124" s="42"/>
      <c r="W124" s="42"/>
      <c r="X124" s="42"/>
      <c r="Y124" s="42"/>
      <c r="Z124" s="42"/>
      <c r="AA124" s="42"/>
      <c r="AB124" s="39"/>
      <c r="AD124" s="38"/>
      <c r="AE124" s="42"/>
      <c r="AF124" s="39"/>
      <c r="AG124" s="38"/>
      <c r="AH124" s="42"/>
      <c r="AI124" s="39"/>
    </row>
    <row r="125" spans="3:35" ht="16" x14ac:dyDescent="0.2">
      <c r="C125" s="23"/>
      <c r="H125" s="133" t="s">
        <v>281</v>
      </c>
      <c r="I125" s="25"/>
      <c r="J125" s="25"/>
      <c r="N125" s="155" t="e">
        <f ca="1">IF(_xll.EVDES(H125,$B$1)="#NODATA","",_xll.EVDES(H125,$B$1))</f>
        <v>#NAME?</v>
      </c>
      <c r="O125" s="436"/>
      <c r="P125" s="438"/>
      <c r="Q125" s="438"/>
      <c r="R125" s="438"/>
      <c r="S125" s="438"/>
      <c r="T125" s="438"/>
      <c r="U125" s="438"/>
      <c r="V125" s="438"/>
      <c r="W125" s="438"/>
      <c r="X125" s="438"/>
      <c r="Y125" s="438"/>
      <c r="Z125" s="438"/>
      <c r="AA125" s="438"/>
      <c r="AB125" s="437"/>
      <c r="AD125" s="436"/>
      <c r="AE125" s="438"/>
      <c r="AF125" s="438"/>
      <c r="AG125" s="438"/>
      <c r="AH125" s="438"/>
      <c r="AI125" s="437"/>
    </row>
    <row r="126" spans="3:35" x14ac:dyDescent="0.2">
      <c r="C126" s="23"/>
      <c r="H126" s="133">
        <v>561100</v>
      </c>
      <c r="I126" s="25"/>
      <c r="J126" s="25"/>
      <c r="L126" s="24" t="e">
        <f ca="1">_xll.EVPRO($B$1,H126,"JDEID")</f>
        <v>#NAME?</v>
      </c>
      <c r="M126" s="24" t="str">
        <f>IF(AND(I126="N",J126="N"),_xll.EVPRO($B$1,H126,"PSFTID"),"")</f>
        <v/>
      </c>
      <c r="N126" s="24" t="e">
        <f ca="1">IF(_xll.EVDES(H126,$B$1)="#NODATA","",_xll.EVDES(H126,$B$1))</f>
        <v>#NAME?</v>
      </c>
      <c r="O126" s="19">
        <v>1688.51</v>
      </c>
      <c r="P126" s="19"/>
      <c r="Q126" s="19"/>
      <c r="R126" s="19"/>
      <c r="S126" s="19"/>
      <c r="T126" s="19"/>
      <c r="U126" s="19"/>
      <c r="V126" s="19"/>
      <c r="W126" s="19"/>
      <c r="X126" s="19"/>
      <c r="Y126" s="19"/>
      <c r="Z126" s="19"/>
      <c r="AA126" s="19">
        <f>SUM(O126:Z126)</f>
        <v>1688.51</v>
      </c>
      <c r="AB126" s="284" t="str">
        <f ca="1">IF(AA126=0,"",IFERROR(AA126/_xll.EVGTS($B$1,1,_xll.EVPRO($B$1,$H126,"COSBASIS"),$B$3,$B$5,$B$6,$B$7,$B$9,AA$16,AA$17,AA$11),""))</f>
        <v/>
      </c>
      <c r="AD126" s="19"/>
      <c r="AE126" s="284" t="str">
        <f>IF(AD126=0,"",IFERROR(AD126/_xll.EVGTS($B$1,1,_xll.EVPRO($B$1,$H126,"COSBASIS"),$B$3,$B$5,$B$6,$B$7,$B$9,AD$16,AD$17,AD$18),""))</f>
        <v/>
      </c>
      <c r="AF126" s="47">
        <f t="shared" ref="AF126:AF136" si="34">IF(AND($AA126="",AD126=""),"",$AA126-AD126)</f>
        <v>1688.51</v>
      </c>
      <c r="AG126" s="19">
        <v>49249.19</v>
      </c>
      <c r="AH126" s="284" t="str">
        <f ca="1">IF(AG126=0,"",IFERROR(AG126/_xll.EVGTS($B$1,1,_xll.EVPRO($B$1,$H126,"COSBASIS"),$B$3,$B$5,$B$6,$B$7,$B$9,AG$16,AG$17,AG$18),""))</f>
        <v/>
      </c>
      <c r="AI126" s="47">
        <f t="shared" ref="AI126:AI137" si="35">IF(AND($AA126="",AG126=""),"",$AA126-AG126)</f>
        <v>-47560.68</v>
      </c>
    </row>
    <row r="127" spans="3:35" x14ac:dyDescent="0.2">
      <c r="C127" s="23"/>
      <c r="H127" s="133" t="s">
        <v>756</v>
      </c>
      <c r="I127" s="25"/>
      <c r="J127" s="25"/>
      <c r="L127" s="24" t="e">
        <f ca="1">_xll.EVPRO($B$1,H127,"JDEID")</f>
        <v>#NAME?</v>
      </c>
      <c r="M127" s="24" t="str">
        <f>IF(AND(I127="N",J127="N"),_xll.EVPRO($B$1,H127,"PSFTID"),"")</f>
        <v/>
      </c>
      <c r="N127" s="439" t="e">
        <f ca="1">IF(_xll.EVDES(H127,$B$1)="#NODATA","",_xll.EVDES(H127,$B$1))</f>
        <v>#NAME?</v>
      </c>
      <c r="O127" s="153">
        <v>0.20399506597029701</v>
      </c>
      <c r="P127" s="153"/>
      <c r="Q127" s="153"/>
      <c r="R127" s="153"/>
      <c r="S127" s="153"/>
      <c r="T127" s="153"/>
      <c r="U127" s="153"/>
      <c r="V127" s="153"/>
      <c r="W127" s="153"/>
      <c r="X127" s="153"/>
      <c r="Y127" s="153"/>
      <c r="Z127" s="153"/>
      <c r="AA127" s="153">
        <v>0.20399506597029701</v>
      </c>
      <c r="AB127" s="284"/>
      <c r="AD127" s="153"/>
      <c r="AE127" s="284"/>
      <c r="AF127" s="440">
        <f t="shared" si="34"/>
        <v>0.20399506597029701</v>
      </c>
      <c r="AG127" s="153">
        <v>0.20450604189299401</v>
      </c>
      <c r="AH127" s="284"/>
      <c r="AI127" s="440">
        <f t="shared" si="35"/>
        <v>-5.1097592269699899E-4</v>
      </c>
    </row>
    <row r="128" spans="3:35" x14ac:dyDescent="0.2">
      <c r="C128" s="23"/>
      <c r="H128" s="133" t="s">
        <v>636</v>
      </c>
      <c r="I128" s="25"/>
      <c r="J128" s="25"/>
      <c r="L128" s="24" t="e">
        <f ca="1">_xll.EVPRO($B$1,H128,"JDEID")</f>
        <v>#NAME?</v>
      </c>
      <c r="M128" s="24" t="str">
        <f>IF(AND(I128="N",J128="N"),_xll.EVPRO($B$1,H128,"PSFTID"),"")</f>
        <v/>
      </c>
      <c r="N128" s="24" t="e">
        <f ca="1">IF(_xll.EVDES(H128,$B$1)="#NODATA","",_xll.EVDES(H128,$B$1))</f>
        <v>#NAME?</v>
      </c>
      <c r="O128" s="19"/>
      <c r="P128" s="19"/>
      <c r="Q128" s="19"/>
      <c r="R128" s="19"/>
      <c r="S128" s="19"/>
      <c r="T128" s="19"/>
      <c r="U128" s="19"/>
      <c r="V128" s="19"/>
      <c r="W128" s="19"/>
      <c r="X128" s="19"/>
      <c r="Y128" s="19"/>
      <c r="Z128" s="19"/>
      <c r="AA128" s="19">
        <f>SUM(O128:Z128)</f>
        <v>0</v>
      </c>
      <c r="AB128" s="284" t="str">
        <f>IF(AA128=0,"",IFERROR(AA128/_xll.EVGTS($B$1,1,_xll.EVPRO($B$1,$H128,"COSBASIS"),$B$3,$B$5,$B$6,$B$7,$B$9,AA$16,AA$17,AA$11),""))</f>
        <v/>
      </c>
      <c r="AD128" s="19"/>
      <c r="AE128" s="284" t="str">
        <f>IF(AD128=0,"",IFERROR(AD128/_xll.EVGTS($B$1,1,_xll.EVPRO($B$1,$H128,"COSBASIS"),$B$3,$B$5,$B$6,$B$7,$B$9,AD$16,AD$17,AD$18),""))</f>
        <v/>
      </c>
      <c r="AF128" s="47">
        <f t="shared" si="34"/>
        <v>0</v>
      </c>
      <c r="AG128" s="19">
        <v>6040.4</v>
      </c>
      <c r="AH128" s="284" t="str">
        <f ca="1">IF(AG128=0,"",IFERROR(AG128/_xll.EVGTS($B$1,1,_xll.EVPRO($B$1,$H128,"COSBASIS"),$B$3,$B$5,$B$6,$B$7,$B$9,AG$16,AG$17,AG$18),""))</f>
        <v/>
      </c>
      <c r="AI128" s="47">
        <f t="shared" si="35"/>
        <v>-6040.4</v>
      </c>
    </row>
    <row r="129" spans="3:35" x14ac:dyDescent="0.2">
      <c r="C129" s="23"/>
      <c r="H129" s="133" t="s">
        <v>757</v>
      </c>
      <c r="I129" s="25"/>
      <c r="J129" s="25"/>
      <c r="L129" s="24" t="e">
        <f ca="1">_xll.EVPRO($B$1,H129,"JDEID")</f>
        <v>#NAME?</v>
      </c>
      <c r="M129" s="24" t="str">
        <f>IF(AND(I129="N",J129="N"),_xll.EVPRO($B$1,H129,"PSFTID"),"")</f>
        <v/>
      </c>
      <c r="N129" s="439" t="e">
        <f ca="1">IF(_xll.EVDES(H129,$B$1)="#NODATA","",_xll.EVDES(H129,$B$1))</f>
        <v>#NAME?</v>
      </c>
      <c r="O129" s="153"/>
      <c r="P129" s="153"/>
      <c r="Q129" s="153"/>
      <c r="R129" s="153"/>
      <c r="S129" s="153"/>
      <c r="T129" s="153"/>
      <c r="U129" s="153"/>
      <c r="V129" s="153"/>
      <c r="W129" s="153"/>
      <c r="X129" s="153"/>
      <c r="Y129" s="153"/>
      <c r="Z129" s="153"/>
      <c r="AA129" s="153"/>
      <c r="AB129" s="284"/>
      <c r="AD129" s="153"/>
      <c r="AE129" s="284"/>
      <c r="AF129" s="440" t="str">
        <f t="shared" si="34"/>
        <v/>
      </c>
      <c r="AG129" s="153">
        <v>0.17968423479366699</v>
      </c>
      <c r="AH129" s="284"/>
      <c r="AI129" s="440">
        <f t="shared" si="35"/>
        <v>-0.17968423479366699</v>
      </c>
    </row>
    <row r="130" spans="3:35" x14ac:dyDescent="0.2">
      <c r="C130" s="23"/>
      <c r="H130" s="133" t="s">
        <v>755</v>
      </c>
      <c r="I130" s="25"/>
      <c r="J130" s="25"/>
      <c r="L130" s="24" t="e">
        <f ca="1">_xll.EVPRO($B$1,H130,"JDEID")</f>
        <v>#NAME?</v>
      </c>
      <c r="M130" s="24" t="str">
        <f>IF(AND(I130="N",J130="N"),_xll.EVPRO($B$1,H130,"PSFTID"),"")</f>
        <v/>
      </c>
      <c r="N130" s="24" t="e">
        <f ca="1">IF(_xll.EVDES(H130,$B$1)="#NODATA","",_xll.EVDES(H130,$B$1))</f>
        <v>#NAME?</v>
      </c>
      <c r="O130" s="19"/>
      <c r="P130" s="19"/>
      <c r="Q130" s="19"/>
      <c r="R130" s="19"/>
      <c r="S130" s="19"/>
      <c r="T130" s="19"/>
      <c r="U130" s="19"/>
      <c r="V130" s="19"/>
      <c r="W130" s="19"/>
      <c r="X130" s="19"/>
      <c r="Y130" s="19"/>
      <c r="Z130" s="19"/>
      <c r="AA130" s="19">
        <f>SUM(O130:Z130)</f>
        <v>0</v>
      </c>
      <c r="AB130" s="284" t="str">
        <f>IF(AA130=0,"",IFERROR(AA130/_xll.EVGTS($B$1,1,_xll.EVPRO($B$1,$H130,"COSBASIS"),$B$3,$B$5,$B$6,$B$7,$B$9,AA$16,AA$17,AA$11),""))</f>
        <v/>
      </c>
      <c r="AD130" s="19"/>
      <c r="AE130" s="284" t="str">
        <f>IF(AD130=0,"",IFERROR(AD130/_xll.EVGTS($B$1,1,_xll.EVPRO($B$1,$H130,"COSBASIS"),$B$3,$B$5,$B$6,$B$7,$B$9,AD$16,AD$17,AD$18),""))</f>
        <v/>
      </c>
      <c r="AF130" s="47">
        <f t="shared" si="34"/>
        <v>0</v>
      </c>
      <c r="AG130" s="19">
        <v>4196.46</v>
      </c>
      <c r="AH130" s="284" t="str">
        <f ca="1">IF(AG130=0,"",IFERROR(AG130/_xll.EVGTS($B$1,1,_xll.EVPRO($B$1,$H130,"COSBASIS"),$B$3,$B$5,$B$6,$B$7,$B$9,AG$16,AG$17,AG$18),""))</f>
        <v/>
      </c>
      <c r="AI130" s="47">
        <f t="shared" si="35"/>
        <v>-4196.46</v>
      </c>
    </row>
    <row r="131" spans="3:35" x14ac:dyDescent="0.2">
      <c r="C131" s="23"/>
      <c r="H131" s="133" t="s">
        <v>758</v>
      </c>
      <c r="I131" s="25"/>
      <c r="J131" s="25"/>
      <c r="L131" s="24" t="e">
        <f ca="1">_xll.EVPRO($B$1,H131,"JDEID")</f>
        <v>#NAME?</v>
      </c>
      <c r="M131" s="24" t="str">
        <f>IF(AND(I131="N",J131="N"),_xll.EVPRO($B$1,H131,"PSFTID"),"")</f>
        <v/>
      </c>
      <c r="N131" s="439" t="e">
        <f ca="1">IF(_xll.EVDES(H131,$B$1)="#NODATA","",_xll.EVDES(H131,$B$1))</f>
        <v>#NAME?</v>
      </c>
      <c r="O131" s="153"/>
      <c r="P131" s="153"/>
      <c r="Q131" s="153"/>
      <c r="R131" s="153"/>
      <c r="S131" s="153"/>
      <c r="T131" s="153"/>
      <c r="U131" s="153"/>
      <c r="V131" s="153"/>
      <c r="W131" s="153"/>
      <c r="X131" s="153"/>
      <c r="Y131" s="153"/>
      <c r="Z131" s="153"/>
      <c r="AA131" s="153"/>
      <c r="AB131" s="284"/>
      <c r="AD131" s="153"/>
      <c r="AE131" s="284"/>
      <c r="AF131" s="440" t="str">
        <f t="shared" si="34"/>
        <v/>
      </c>
      <c r="AG131" s="153">
        <v>0.18451687906939099</v>
      </c>
      <c r="AH131" s="284"/>
      <c r="AI131" s="440">
        <f t="shared" si="35"/>
        <v>-0.18451687906939099</v>
      </c>
    </row>
    <row r="132" spans="3:35" x14ac:dyDescent="0.2">
      <c r="C132" s="23"/>
      <c r="H132" s="133">
        <v>561400</v>
      </c>
      <c r="I132" s="25"/>
      <c r="J132" s="25"/>
      <c r="L132" s="24" t="e">
        <f ca="1">_xll.EVPRO($B$1,H132,"JDEID")</f>
        <v>#NAME?</v>
      </c>
      <c r="M132" s="24" t="str">
        <f>IF(AND(I132="N",J132="N"),_xll.EVPRO($B$1,H132,"PSFTID"),"")</f>
        <v/>
      </c>
      <c r="N132" s="24" t="e">
        <f ca="1">IF(_xll.EVDES(H132,$B$1)="#NODATA","",_xll.EVDES(H132,$B$1))</f>
        <v>#NAME?</v>
      </c>
      <c r="O132" s="19"/>
      <c r="P132" s="19"/>
      <c r="Q132" s="19"/>
      <c r="R132" s="19"/>
      <c r="S132" s="19"/>
      <c r="T132" s="19"/>
      <c r="U132" s="19"/>
      <c r="V132" s="19"/>
      <c r="W132" s="19"/>
      <c r="X132" s="19"/>
      <c r="Y132" s="19"/>
      <c r="Z132" s="19"/>
      <c r="AA132" s="19">
        <f>SUM(O132:Z132)</f>
        <v>0</v>
      </c>
      <c r="AB132" s="284" t="str">
        <f>IF(AA132=0,"",IFERROR(AA132/_xll.EVGTS($B$1,1,_xll.EVPRO($B$1,$H132,"COSBASIS"),$B$3,$B$5,$B$6,$B$7,$B$9,AA$16,AA$17,AA$11),""))</f>
        <v/>
      </c>
      <c r="AD132" s="19"/>
      <c r="AE132" s="284" t="str">
        <f>IF(AD132=0,"",IFERROR(AD132/_xll.EVGTS($B$1,1,_xll.EVPRO($B$1,$H132,"COSBASIS"),$B$3,$B$5,$B$6,$B$7,$B$9,AD$16,AD$17,AD$18),""))</f>
        <v/>
      </c>
      <c r="AF132" s="47">
        <f t="shared" si="34"/>
        <v>0</v>
      </c>
      <c r="AG132" s="19">
        <v>482.37</v>
      </c>
      <c r="AH132" s="284" t="str">
        <f ca="1">IF(AG132=0,"",IFERROR(AG132/_xll.EVGTS($B$1,1,_xll.EVPRO($B$1,$H132,"COSBASIS"),$B$3,$B$5,$B$6,$B$7,$B$9,AG$16,AG$17,AG$18),""))</f>
        <v/>
      </c>
      <c r="AI132" s="47">
        <f t="shared" si="35"/>
        <v>-482.37</v>
      </c>
    </row>
    <row r="133" spans="3:35" x14ac:dyDescent="0.2">
      <c r="C133" s="23"/>
      <c r="H133" s="133" t="s">
        <v>759</v>
      </c>
      <c r="I133" s="25"/>
      <c r="J133" s="25"/>
      <c r="L133" s="24" t="e">
        <f ca="1">_xll.EVPRO($B$1,H133,"JDEID")</f>
        <v>#NAME?</v>
      </c>
      <c r="M133" s="24" t="str">
        <f>IF(AND(I133="N",J133="N"),_xll.EVPRO($B$1,H133,"PSFTID"),"")</f>
        <v/>
      </c>
      <c r="N133" s="439" t="e">
        <f ca="1">IF(_xll.EVDES(H133,$B$1)="#NODATA","",_xll.EVDES(H133,$B$1))</f>
        <v>#NAME?</v>
      </c>
      <c r="O133" s="153"/>
      <c r="P133" s="153"/>
      <c r="Q133" s="153"/>
      <c r="R133" s="153"/>
      <c r="S133" s="153"/>
      <c r="T133" s="153"/>
      <c r="U133" s="153"/>
      <c r="V133" s="153"/>
      <c r="W133" s="153"/>
      <c r="X133" s="153"/>
      <c r="Y133" s="153"/>
      <c r="Z133" s="153"/>
      <c r="AA133" s="153"/>
      <c r="AB133" s="284"/>
      <c r="AD133" s="153"/>
      <c r="AE133" s="284"/>
      <c r="AF133" s="440" t="str">
        <f t="shared" si="34"/>
        <v/>
      </c>
      <c r="AG133" s="153">
        <v>0.120864445001253</v>
      </c>
      <c r="AH133" s="284"/>
      <c r="AI133" s="440">
        <f t="shared" si="35"/>
        <v>-0.120864445001253</v>
      </c>
    </row>
    <row r="134" spans="3:35" x14ac:dyDescent="0.2">
      <c r="H134" s="133">
        <v>561500</v>
      </c>
      <c r="I134" s="25"/>
      <c r="J134" s="25"/>
      <c r="L134" s="24" t="e">
        <f ca="1">_xll.EVPRO($B$1,H134,"JDEID")</f>
        <v>#NAME?</v>
      </c>
      <c r="M134" s="24" t="str">
        <f>IF(AND(I134="N",J134="N"),_xll.EVPRO($B$1,H134,"PSFTID"),"")</f>
        <v/>
      </c>
      <c r="N134" s="24" t="e">
        <f ca="1">IF(_xll.EVDES(H134,$B$1)="#NODATA","",_xll.EVDES(H134,$B$1))</f>
        <v>#NAME?</v>
      </c>
      <c r="O134" s="19"/>
      <c r="P134" s="19"/>
      <c r="Q134" s="19"/>
      <c r="R134" s="19"/>
      <c r="S134" s="19"/>
      <c r="T134" s="19"/>
      <c r="U134" s="19"/>
      <c r="V134" s="19"/>
      <c r="W134" s="19"/>
      <c r="X134" s="19"/>
      <c r="Y134" s="19"/>
      <c r="Z134" s="19"/>
      <c r="AA134" s="19">
        <f>SUM(O134:Z134)</f>
        <v>0</v>
      </c>
      <c r="AB134" s="284" t="str">
        <f>IF(AA134=0,"",IFERROR(AA134/_xll.EVGTS($B$1,1,_xll.EVPRO($B$1,$H134,"COSBASIS"),$B$3,$B$5,$B$6,$B$7,$B$9,AA$16,AA$17,AA$11),""))</f>
        <v/>
      </c>
      <c r="AD134" s="19"/>
      <c r="AE134" s="284" t="str">
        <f>IF(AD134=0,"",IFERROR(AD134/_xll.EVGTS($B$1,1,_xll.EVPRO($B$1,$H134,"COSBASIS"),$B$3,$B$5,$B$6,$B$7,$B$9,AD$16,AD$17,AD$18),""))</f>
        <v/>
      </c>
      <c r="AF134" s="47">
        <f t="shared" si="34"/>
        <v>0</v>
      </c>
      <c r="AG134" s="19">
        <v>1361.57</v>
      </c>
      <c r="AH134" s="284" t="str">
        <f ca="1">IF(AG134=0,"",IFERROR(AG134/_xll.EVGTS($B$1,1,_xll.EVPRO($B$1,$H134,"COSBASIS"),$B$3,$B$5,$B$6,$B$7,$B$9,AG$16,AG$17,AG$18),""))</f>
        <v/>
      </c>
      <c r="AI134" s="47">
        <f t="shared" si="35"/>
        <v>-1361.57</v>
      </c>
    </row>
    <row r="135" spans="3:35" x14ac:dyDescent="0.2">
      <c r="C135" s="23"/>
      <c r="H135" s="133" t="s">
        <v>760</v>
      </c>
      <c r="I135" s="25"/>
      <c r="J135" s="25"/>
      <c r="L135" s="24" t="e">
        <f ca="1">_xll.EVPRO($B$1,H135,"JDEID")</f>
        <v>#NAME?</v>
      </c>
      <c r="M135" s="24" t="str">
        <f>IF(AND(I135="N",J135="N"),_xll.EVPRO($B$1,H135,"PSFTID"),"")</f>
        <v/>
      </c>
      <c r="N135" s="439" t="e">
        <f ca="1">IF(_xll.EVDES(H135,$B$1)="#NODATA","",_xll.EVDES(H135,$B$1))</f>
        <v>#NAME?</v>
      </c>
      <c r="O135" s="153"/>
      <c r="P135" s="153"/>
      <c r="Q135" s="153"/>
      <c r="R135" s="153"/>
      <c r="S135" s="153"/>
      <c r="T135" s="153"/>
      <c r="U135" s="153"/>
      <c r="V135" s="153"/>
      <c r="W135" s="153"/>
      <c r="X135" s="153"/>
      <c r="Y135" s="153"/>
      <c r="Z135" s="153"/>
      <c r="AA135" s="153"/>
      <c r="AB135" s="284"/>
      <c r="AD135" s="153"/>
      <c r="AE135" s="284"/>
      <c r="AF135" s="440" t="str">
        <f t="shared" si="34"/>
        <v/>
      </c>
      <c r="AG135" s="153">
        <v>0.19782239469749899</v>
      </c>
      <c r="AH135" s="284"/>
      <c r="AI135" s="440">
        <f t="shared" si="35"/>
        <v>-0.19782239469749899</v>
      </c>
    </row>
    <row r="136" spans="3:35" x14ac:dyDescent="0.2">
      <c r="C136" s="23"/>
      <c r="H136" s="133" t="s">
        <v>286</v>
      </c>
      <c r="I136" s="25"/>
      <c r="J136" s="25"/>
      <c r="L136" s="24" t="e">
        <f ca="1">_xll.EVPRO($B$1,H136,"JDEID")</f>
        <v>#NAME?</v>
      </c>
      <c r="M136" s="24" t="str">
        <f>IF(AND(I136="N",J136="N"),_xll.EVPRO($B$1,H136,"PSFTID"),"")</f>
        <v/>
      </c>
      <c r="N136" s="24" t="e">
        <f ca="1">IF(_xll.EVDES(H136,$B$1)="#NODATA","",_xll.EVDES(H136,$B$1))</f>
        <v>#NAME?</v>
      </c>
      <c r="O136" s="19">
        <v>1688.51</v>
      </c>
      <c r="P136" s="19"/>
      <c r="Q136" s="19"/>
      <c r="R136" s="19"/>
      <c r="S136" s="19"/>
      <c r="T136" s="19"/>
      <c r="U136" s="19"/>
      <c r="V136" s="19"/>
      <c r="W136" s="19"/>
      <c r="X136" s="19"/>
      <c r="Y136" s="19"/>
      <c r="Z136" s="19"/>
      <c r="AA136" s="19">
        <f>SUM(O136:Z136)</f>
        <v>1688.51</v>
      </c>
      <c r="AB136" s="284" t="str">
        <f ca="1">IF(AA136=0,"",IFERROR(AA136/_xll.EVGTS($B$1,1,_xll.EVPRO($B$1,$H136,"COSBASIS"),$B$3,$B$5,$B$6,$B$7,$B$9,AA$16,AA$17,AA$11),""))</f>
        <v/>
      </c>
      <c r="AD136" s="19"/>
      <c r="AE136" s="284" t="str">
        <f>IF(AD136=0,"",IFERROR(AD136/_xll.EVGTS($B$1,1,_xll.EVPRO($B$1,$H136,"COSBASIS"),$B$3,$B$5,$B$6,$B$7,$B$9,AD$16,AD$17,AD$18),""))</f>
        <v/>
      </c>
      <c r="AF136" s="47">
        <f t="shared" si="34"/>
        <v>1688.51</v>
      </c>
      <c r="AG136" s="19">
        <v>55289.59</v>
      </c>
      <c r="AH136" s="284" t="str">
        <f ca="1">IF(AG136=0,"",IFERROR(AG136/_xll.EVGTS($B$1,1,_xll.EVPRO($B$1,$H136,"COSBASIS"),$B$3,$B$5,$B$6,$B$7,$B$9,AG$16,AG$17,AG$18),""))</f>
        <v/>
      </c>
      <c r="AI136" s="47">
        <f t="shared" si="35"/>
        <v>-53601.079999999994</v>
      </c>
    </row>
    <row r="137" spans="3:35" x14ac:dyDescent="0.2">
      <c r="C137" s="23"/>
      <c r="H137" s="133"/>
      <c r="I137" s="25"/>
      <c r="J137" s="25"/>
      <c r="L137" s="24"/>
      <c r="M137" s="24"/>
      <c r="N137" s="439" t="s">
        <v>762</v>
      </c>
      <c r="O137" s="153">
        <f t="shared" ref="O137:AA137" si="36">IFERROR(O136/O82,"")</f>
        <v>0.20399506597029676</v>
      </c>
      <c r="P137" s="153" t="str">
        <f t="shared" si="36"/>
        <v/>
      </c>
      <c r="Q137" s="153" t="str">
        <f t="shared" si="36"/>
        <v/>
      </c>
      <c r="R137" s="153" t="str">
        <f t="shared" si="36"/>
        <v/>
      </c>
      <c r="S137" s="153" t="str">
        <f t="shared" si="36"/>
        <v/>
      </c>
      <c r="T137" s="153" t="str">
        <f t="shared" si="36"/>
        <v/>
      </c>
      <c r="U137" s="153" t="str">
        <f t="shared" si="36"/>
        <v/>
      </c>
      <c r="V137" s="153" t="str">
        <f t="shared" si="36"/>
        <v/>
      </c>
      <c r="W137" s="153" t="str">
        <f t="shared" si="36"/>
        <v/>
      </c>
      <c r="X137" s="153" t="str">
        <f t="shared" si="36"/>
        <v/>
      </c>
      <c r="Y137" s="153" t="str">
        <f t="shared" si="36"/>
        <v/>
      </c>
      <c r="Z137" s="153" t="str">
        <f t="shared" si="36"/>
        <v/>
      </c>
      <c r="AA137" s="153">
        <f t="shared" si="36"/>
        <v>0.20399506597029676</v>
      </c>
      <c r="AB137" s="284"/>
      <c r="AD137" s="153" t="str">
        <f>IFERROR(AD136/AD82,"")</f>
        <v/>
      </c>
      <c r="AE137" s="284"/>
      <c r="AF137" s="440" t="e">
        <f t="shared" ref="AF137" si="37">IF(AND($AA137="",AD137=""),"",$AA137-AD137)</f>
        <v>#VALUE!</v>
      </c>
      <c r="AG137" s="153">
        <f>IFERROR(AG136/AG82,"")</f>
        <v>0.20146553141145671</v>
      </c>
      <c r="AH137" s="284"/>
      <c r="AI137" s="440">
        <f t="shared" si="35"/>
        <v>2.5295345588400575E-3</v>
      </c>
    </row>
    <row r="138" spans="3:35" x14ac:dyDescent="0.2">
      <c r="C138" s="23"/>
    </row>
    <row r="139" spans="3:35" x14ac:dyDescent="0.2">
      <c r="C139" s="23"/>
      <c r="H139" s="133"/>
      <c r="I139" s="25"/>
      <c r="J139" s="25"/>
      <c r="N139" s="24" t="e">
        <f ca="1">N82&amp;" - Check"</f>
        <v>#NAME?</v>
      </c>
      <c r="O139" s="124">
        <f t="shared" ref="O139:AA139" si="38">O39+O49+O59+O69+O75+O80-O82</f>
        <v>0</v>
      </c>
      <c r="P139" s="124">
        <f t="shared" si="38"/>
        <v>0</v>
      </c>
      <c r="Q139" s="124">
        <f t="shared" si="38"/>
        <v>0</v>
      </c>
      <c r="R139" s="124">
        <f t="shared" si="38"/>
        <v>0</v>
      </c>
      <c r="S139" s="124">
        <f t="shared" si="38"/>
        <v>0</v>
      </c>
      <c r="T139" s="124">
        <f t="shared" si="38"/>
        <v>0</v>
      </c>
      <c r="U139" s="124">
        <f t="shared" si="38"/>
        <v>0</v>
      </c>
      <c r="V139" s="124">
        <f t="shared" si="38"/>
        <v>0</v>
      </c>
      <c r="W139" s="124">
        <f t="shared" si="38"/>
        <v>0</v>
      </c>
      <c r="X139" s="124">
        <f t="shared" si="38"/>
        <v>0</v>
      </c>
      <c r="Y139" s="124">
        <f t="shared" si="38"/>
        <v>0</v>
      </c>
      <c r="Z139" s="124">
        <f t="shared" si="38"/>
        <v>0</v>
      </c>
      <c r="AA139" s="124">
        <f t="shared" si="38"/>
        <v>0</v>
      </c>
      <c r="AB139" s="15"/>
      <c r="AD139" s="124">
        <f>AD39+AD49+AD59+AD69+AD75+AD80-AD82</f>
        <v>0</v>
      </c>
      <c r="AE139" s="15"/>
      <c r="AF139" s="19"/>
      <c r="AG139" s="124">
        <f>AG39+AG49+AG59+AG69+AG75+AG80-AG82</f>
        <v>0</v>
      </c>
      <c r="AH139" s="15"/>
      <c r="AI139" s="19"/>
    </row>
    <row r="140" spans="3:35" x14ac:dyDescent="0.2">
      <c r="C140" s="23"/>
      <c r="H140" s="133"/>
      <c r="I140" s="25"/>
      <c r="J140" s="25"/>
      <c r="N140" s="24" t="e">
        <f ca="1">N84&amp;" - Check"</f>
        <v>#NAME?</v>
      </c>
      <c r="O140" s="124">
        <f t="shared" ref="O140:AA140" si="39">O41+O51+O61+O70+O76-O84</f>
        <v>0</v>
      </c>
      <c r="P140" s="124">
        <f t="shared" si="39"/>
        <v>0</v>
      </c>
      <c r="Q140" s="124">
        <f t="shared" si="39"/>
        <v>0</v>
      </c>
      <c r="R140" s="124">
        <f t="shared" si="39"/>
        <v>0</v>
      </c>
      <c r="S140" s="124">
        <f t="shared" si="39"/>
        <v>0</v>
      </c>
      <c r="T140" s="124">
        <f t="shared" si="39"/>
        <v>0</v>
      </c>
      <c r="U140" s="124">
        <f t="shared" si="39"/>
        <v>0</v>
      </c>
      <c r="V140" s="124">
        <f t="shared" si="39"/>
        <v>0</v>
      </c>
      <c r="W140" s="124">
        <f t="shared" si="39"/>
        <v>0</v>
      </c>
      <c r="X140" s="124">
        <f t="shared" si="39"/>
        <v>0</v>
      </c>
      <c r="Y140" s="124">
        <f t="shared" si="39"/>
        <v>0</v>
      </c>
      <c r="Z140" s="124">
        <f t="shared" si="39"/>
        <v>0</v>
      </c>
      <c r="AA140" s="124">
        <f t="shared" si="39"/>
        <v>0</v>
      </c>
      <c r="AB140" s="15"/>
      <c r="AD140" s="124">
        <f>AD41+AD51+AD61+AD70+AD76-AD84</f>
        <v>0</v>
      </c>
      <c r="AE140" s="15"/>
      <c r="AF140" s="19"/>
      <c r="AG140" s="124">
        <f>AG41+AG51+AG61+AG70+AG76-AG84</f>
        <v>0</v>
      </c>
      <c r="AH140" s="15"/>
      <c r="AI140" s="19"/>
    </row>
    <row r="141" spans="3:35" x14ac:dyDescent="0.2">
      <c r="C141" s="23"/>
      <c r="H141" s="133"/>
      <c r="I141" s="25"/>
      <c r="J141" s="25"/>
      <c r="N141" s="24" t="e">
        <f ca="1">N86&amp;" - Check"</f>
        <v>#NAME?</v>
      </c>
      <c r="O141" s="159">
        <f t="shared" ref="O141:AA141" si="40">IFERROR(O$82/O84,"")-O86</f>
        <v>98.681230561890928</v>
      </c>
      <c r="P141" s="159" t="e">
        <f t="shared" si="40"/>
        <v>#VALUE!</v>
      </c>
      <c r="Q141" s="159" t="e">
        <f t="shared" si="40"/>
        <v>#VALUE!</v>
      </c>
      <c r="R141" s="159" t="e">
        <f t="shared" si="40"/>
        <v>#VALUE!</v>
      </c>
      <c r="S141" s="159" t="e">
        <f t="shared" si="40"/>
        <v>#VALUE!</v>
      </c>
      <c r="T141" s="159" t="e">
        <f t="shared" si="40"/>
        <v>#VALUE!</v>
      </c>
      <c r="U141" s="159" t="e">
        <f t="shared" si="40"/>
        <v>#VALUE!</v>
      </c>
      <c r="V141" s="159" t="e">
        <f t="shared" si="40"/>
        <v>#VALUE!</v>
      </c>
      <c r="W141" s="159" t="e">
        <f t="shared" si="40"/>
        <v>#VALUE!</v>
      </c>
      <c r="X141" s="159" t="e">
        <f t="shared" si="40"/>
        <v>#VALUE!</v>
      </c>
      <c r="Y141" s="159" t="e">
        <f t="shared" si="40"/>
        <v>#VALUE!</v>
      </c>
      <c r="Z141" s="159" t="e">
        <f t="shared" si="40"/>
        <v>#VALUE!</v>
      </c>
      <c r="AA141" s="159">
        <f t="shared" si="40"/>
        <v>98.681230561890928</v>
      </c>
      <c r="AB141" s="15"/>
      <c r="AD141" s="159" t="e">
        <f>IFERROR(AD$82/AD84,"")-AD86</f>
        <v>#VALUE!</v>
      </c>
      <c r="AE141" s="15"/>
      <c r="AF141" s="19"/>
      <c r="AG141" s="159">
        <f>IFERROR(AG$82/AG84,"")-AG86</f>
        <v>41.91538959315767</v>
      </c>
      <c r="AH141" s="15"/>
      <c r="AI141" s="19"/>
    </row>
    <row r="142" spans="3:35" x14ac:dyDescent="0.2">
      <c r="C142" s="23"/>
      <c r="H142" s="133"/>
      <c r="I142" s="25"/>
      <c r="J142" s="25"/>
      <c r="N142" s="24" t="s">
        <v>768</v>
      </c>
      <c r="O142" s="124">
        <f>(O126+O128)-O136</f>
        <v>0</v>
      </c>
      <c r="P142" s="124">
        <f t="shared" ref="P142:AA142" si="41">(P126+P128)-P136</f>
        <v>0</v>
      </c>
      <c r="Q142" s="124">
        <f t="shared" si="41"/>
        <v>0</v>
      </c>
      <c r="R142" s="124">
        <f t="shared" si="41"/>
        <v>0</v>
      </c>
      <c r="S142" s="124">
        <f t="shared" si="41"/>
        <v>0</v>
      </c>
      <c r="T142" s="124">
        <f t="shared" si="41"/>
        <v>0</v>
      </c>
      <c r="U142" s="124">
        <f t="shared" si="41"/>
        <v>0</v>
      </c>
      <c r="V142" s="124">
        <f t="shared" si="41"/>
        <v>0</v>
      </c>
      <c r="W142" s="124">
        <f t="shared" si="41"/>
        <v>0</v>
      </c>
      <c r="X142" s="124">
        <f t="shared" si="41"/>
        <v>0</v>
      </c>
      <c r="Y142" s="124">
        <f t="shared" si="41"/>
        <v>0</v>
      </c>
      <c r="Z142" s="124">
        <f t="shared" si="41"/>
        <v>0</v>
      </c>
      <c r="AA142" s="124">
        <f t="shared" si="41"/>
        <v>0</v>
      </c>
      <c r="AB142" s="15"/>
      <c r="AD142" s="124">
        <f>(AD126+AD128)-AD136</f>
        <v>0</v>
      </c>
      <c r="AE142" s="15"/>
      <c r="AF142" s="19"/>
      <c r="AG142" s="124">
        <f>(AG126+AG128)-AG136</f>
        <v>0</v>
      </c>
      <c r="AH142" s="15"/>
      <c r="AI142" s="19"/>
    </row>
    <row r="143" spans="3:35" x14ac:dyDescent="0.2">
      <c r="C143" s="23"/>
    </row>
    <row r="144" spans="3:35" x14ac:dyDescent="0.2">
      <c r="C144" s="23"/>
    </row>
    <row r="145" spans="3:3" x14ac:dyDescent="0.2">
      <c r="C145" s="23"/>
    </row>
    <row r="146" spans="3:3" x14ac:dyDescent="0.2">
      <c r="C146" s="23"/>
    </row>
    <row r="147" spans="3:3" x14ac:dyDescent="0.2">
      <c r="C147" s="23"/>
    </row>
    <row r="148" spans="3:3" x14ac:dyDescent="0.2">
      <c r="C148" s="23"/>
    </row>
    <row r="149" spans="3:3" x14ac:dyDescent="0.2">
      <c r="C149" s="23"/>
    </row>
    <row r="165" spans="9:34" x14ac:dyDescent="0.2">
      <c r="I165" s="72"/>
      <c r="J165" s="1"/>
      <c r="K165" s="72"/>
      <c r="L165" s="72"/>
      <c r="M165" s="72"/>
      <c r="O165" s="72"/>
      <c r="P165" s="72"/>
      <c r="Q165" s="72"/>
      <c r="R165" s="72"/>
      <c r="S165" s="72"/>
      <c r="T165" s="72"/>
      <c r="U165" s="72"/>
      <c r="V165" s="72"/>
      <c r="W165" s="72"/>
      <c r="X165" s="72"/>
      <c r="Y165" s="72"/>
      <c r="Z165" s="72"/>
      <c r="AA165" s="72"/>
      <c r="AD165" s="72"/>
      <c r="AF165" s="72"/>
      <c r="AH165" s="72"/>
    </row>
    <row r="169" spans="9:34" x14ac:dyDescent="0.2">
      <c r="I169" s="72"/>
      <c r="J169" s="1"/>
      <c r="K169" s="72"/>
      <c r="L169" s="72"/>
      <c r="M169" s="72"/>
      <c r="O169" s="72"/>
      <c r="P169" s="72"/>
      <c r="Q169" s="72"/>
      <c r="R169" s="72"/>
      <c r="S169" s="72"/>
      <c r="T169" s="72"/>
      <c r="U169" s="72"/>
      <c r="V169" s="72"/>
      <c r="W169" s="72"/>
      <c r="X169" s="72"/>
      <c r="Y169" s="72"/>
      <c r="Z169" s="72"/>
      <c r="AA169" s="72"/>
      <c r="AD169" s="72"/>
      <c r="AF169" s="72"/>
      <c r="AH169" s="72"/>
    </row>
    <row r="203" spans="5:5" x14ac:dyDescent="0.2">
      <c r="E203" s="72"/>
    </row>
    <row r="207" spans="5:5" x14ac:dyDescent="0.2">
      <c r="E207" s="72"/>
    </row>
  </sheetData>
  <mergeCells count="2">
    <mergeCell ref="AD31:AE31"/>
    <mergeCell ref="AG31:AH31"/>
  </mergeCells>
  <conditionalFormatting sqref="N43 N53 N63 N72 N78">
    <cfRule type="expression" dxfId="35" priority="11">
      <formula>$G44&lt;&gt;0</formula>
    </cfRule>
  </conditionalFormatting>
  <conditionalFormatting sqref="N79">
    <cfRule type="expression" dxfId="34" priority="12">
      <formula>#REF!&lt;&gt;0</formula>
    </cfRule>
  </conditionalFormatting>
  <conditionalFormatting sqref="O43:AA43 AD43 AF43:AG43">
    <cfRule type="expression" dxfId="33" priority="10">
      <formula>ROUND(O42,2)&lt;&gt;ROUND(O43,2)</formula>
    </cfRule>
  </conditionalFormatting>
  <conditionalFormatting sqref="O53:AA53 AD53 AF53:AG53">
    <cfRule type="expression" dxfId="32" priority="9">
      <formula>ROUND(O52,2)&lt;&gt;ROUND(O53,2)</formula>
    </cfRule>
  </conditionalFormatting>
  <conditionalFormatting sqref="O63:AA63 AD63 AF63:AG63">
    <cfRule type="expression" dxfId="31" priority="8">
      <formula>ROUND(O62,2)&lt;&gt;ROUND(O63,2)</formula>
    </cfRule>
  </conditionalFormatting>
  <conditionalFormatting sqref="O72:AA72 AD72 AF72:AG72">
    <cfRule type="expression" dxfId="30" priority="7">
      <formula>ROUND(O71,2)&lt;&gt;ROUND(O72,2)</formula>
    </cfRule>
  </conditionalFormatting>
  <conditionalFormatting sqref="O78:AA78 AD78 AF78:AG78">
    <cfRule type="expression" dxfId="29" priority="6">
      <formula>ROUND(O77,2)&lt;&gt;ROUND(O78,2)</formula>
    </cfRule>
  </conditionalFormatting>
  <conditionalFormatting sqref="AI43">
    <cfRule type="expression" dxfId="28" priority="5">
      <formula>ROUND(AI42,2)&lt;&gt;ROUND(AI43,2)</formula>
    </cfRule>
  </conditionalFormatting>
  <conditionalFormatting sqref="AI53">
    <cfRule type="expression" dxfId="27" priority="4">
      <formula>ROUND(AI52,2)&lt;&gt;ROUND(AI53,2)</formula>
    </cfRule>
  </conditionalFormatting>
  <conditionalFormatting sqref="AI63">
    <cfRule type="expression" dxfId="26" priority="3">
      <formula>ROUND(AI62,2)&lt;&gt;ROUND(AI63,2)</formula>
    </cfRule>
  </conditionalFormatting>
  <conditionalFormatting sqref="AI72">
    <cfRule type="expression" dxfId="25" priority="2">
      <formula>ROUND(AI71,2)&lt;&gt;ROUND(AI72,2)</formula>
    </cfRule>
  </conditionalFormatting>
  <conditionalFormatting sqref="AI78">
    <cfRule type="expression" dxfId="24" priority="1">
      <formula>ROUND(AI77,2)&lt;&gt;ROUND(AI78,2)</formula>
    </cfRule>
  </conditionalFormatting>
  <dataValidations count="2">
    <dataValidation type="list" allowBlank="1" sqref="B28" xr:uid="{00000000-0002-0000-3000-000000000000}">
      <formula1>"ACCOUNT,BUSINESSUNIT,CATEGORY,DATASRC,DEPARTMENT,INTCO,MEASURES,RPTCURRENCY,TIME"</formula1>
    </dataValidation>
    <dataValidation type="list" allowBlank="1" sqref="B29" xr:uid="{00000000-0002-0000-3000-000001000000}">
      <formula1>"SELF,ALL,BAS,DEP,BASMEMBERS,MEMBERS,NOEXPAND,GDEP"</formula1>
    </dataValidation>
  </dataValidations>
  <pageMargins left="0.25" right="0.25" top="0.5" bottom="0.5" header="0.3" footer="0.3"/>
  <pageSetup scale="50" fitToHeight="0" orientation="landscape" r:id="rId1"/>
  <rowBreaks count="1" manualBreakCount="1">
    <brk id="95" min="13" max="34" man="1"/>
  </rowBreaks>
  <customProperties>
    <customPr name="EpmWorksheetKeyString_GUID" r:id="rId2"/>
    <customPr name="FPMExcelClientCellBasedFunctionStatus" r:id="rId3"/>
    <customPr name="FPMExcelClientRefreshTime" r:id="rId4"/>
  </customProperties>
  <drawing r:id="rId5"/>
  <legacyDrawing r:id="rId6"/>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2">
    <tabColor theme="6" tint="0.39997558519241921"/>
    <pageSetUpPr fitToPage="1"/>
  </sheetPr>
  <dimension ref="A1:AO171"/>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805</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_xll.EVRNG(H35:H56)</f>
        <v>#NAME?</v>
      </c>
      <c r="G19" s="16" t="str">
        <f>$B$6</f>
        <v>D2248</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tr">
        <f>$B$6</f>
        <v>D2248</v>
      </c>
      <c r="H20" s="16">
        <v>946000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I21" s="1"/>
      <c r="J21" s="1"/>
    </row>
    <row r="22" spans="1:40" hidden="1" outlineLevel="1" x14ac:dyDescent="0.2">
      <c r="A22" s="6" t="s">
        <v>7</v>
      </c>
      <c r="B22" s="7" t="e">
        <f ca="1">_xll.EVRNG(A36:F44)</f>
        <v>#NAME?</v>
      </c>
      <c r="I22" s="1"/>
      <c r="J22" s="1"/>
    </row>
    <row r="23" spans="1:40" hidden="1" outlineLevel="1" x14ac:dyDescent="0.2">
      <c r="A23" s="6" t="s">
        <v>47</v>
      </c>
      <c r="B23" s="7" t="e">
        <f ca="1">_xll.EVRNG($A$125:$B$146)</f>
        <v>#NAME?</v>
      </c>
      <c r="K23" s="53"/>
      <c r="L23" s="53"/>
      <c r="M23" s="53"/>
      <c r="AD23" s="136"/>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IF(_xll.EVDES(B6,$B$1)="#NODATA","",_xll.EVDES(B6,$B$1)&amp;" Department")</f>
        <v>#NAME?</v>
      </c>
    </row>
    <row r="28" spans="1:40" ht="16" x14ac:dyDescent="0.2">
      <c r="A28" s="6" t="s">
        <v>12</v>
      </c>
      <c r="B28" s="7" t="s">
        <v>22</v>
      </c>
      <c r="N28" s="67" t="e">
        <f ca="1">"For the Period ended"&amp;" "&amp;IF(_xll.EVDES($B$10,$B$1)="#NODATA","",_xll.EVDES($B$10,$B$1))</f>
        <v>#NAME?</v>
      </c>
    </row>
    <row r="29" spans="1:40" ht="15" customHeight="1" x14ac:dyDescent="0.2">
      <c r="A29" s="6" t="s">
        <v>13</v>
      </c>
      <c r="B29" s="7" t="e">
        <f ca="1">"DEP(REV_F) AND "&amp;$E$6&amp;"=Y,REV_F,BEV,DEP(REV_BEV) AND "&amp;$E$6&amp;"=Y,REV_BEV,ALLOW_FB,REV_FB,OTHR_REV,DEP(REV_OTHR) AND "&amp;$E$6&amp;"=Y,REV_OTHR,400000"</f>
        <v>#NAME?</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751</v>
      </c>
      <c r="AK30" s="209"/>
      <c r="AL30" s="210"/>
      <c r="AM30" s="209" t="s">
        <v>750</v>
      </c>
      <c r="AN30" s="209"/>
    </row>
    <row r="31" spans="1:40" x14ac:dyDescent="0.2">
      <c r="A31" s="6" t="s">
        <v>15</v>
      </c>
      <c r="B31" s="7"/>
      <c r="G31" s="13"/>
      <c r="I31" s="1"/>
      <c r="J31" s="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69</v>
      </c>
      <c r="I33" s="11" t="e">
        <f ca="1">_xll.EVPRO($B$1,$H33,"STYLE")</f>
        <v>#NAME?</v>
      </c>
      <c r="J33" s="11" t="e">
        <f ca="1">_xll.EVPRO($B$1,$H33,"CALC")</f>
        <v>#NAME?</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0" x14ac:dyDescent="0.2">
      <c r="H34" s="1" t="s">
        <v>259</v>
      </c>
      <c r="I34" s="11" t="e">
        <f ca="1">_xll.EVPRO($B$1,$H34,"STYLE")</f>
        <v>#NAME?</v>
      </c>
      <c r="J34" s="11" t="e">
        <f ca="1">_xll.EVPRO($B$1,$H34,"CALC")</f>
        <v>#NAME?</v>
      </c>
      <c r="L34" s="175" t="s">
        <v>364</v>
      </c>
      <c r="M34" s="175" t="s">
        <v>782</v>
      </c>
      <c r="N34" s="8" t="e">
        <f ca="1">IF(_xll.EVDES(H34,$B$1)="#NODATA","",_xll.EVDES(H34,$B$1))</f>
        <v>#NAME?</v>
      </c>
      <c r="O34" s="50"/>
      <c r="AB34" s="51"/>
      <c r="AD34" s="50"/>
      <c r="AF34" s="51"/>
      <c r="AG34" s="50"/>
      <c r="AI34" s="51"/>
    </row>
    <row r="35" spans="1:40" x14ac:dyDescent="0.2">
      <c r="A35" s="20" t="s">
        <v>92</v>
      </c>
      <c r="B35" s="21" t="s">
        <v>93</v>
      </c>
      <c r="C35" s="21" t="s">
        <v>94</v>
      </c>
      <c r="D35" s="21" t="s">
        <v>95</v>
      </c>
      <c r="E35" s="21" t="s">
        <v>96</v>
      </c>
      <c r="F35" s="22" t="s">
        <v>97</v>
      </c>
      <c r="H35" s="10" t="s">
        <v>260</v>
      </c>
      <c r="I35" s="25" t="e">
        <f ca="1">_xll.EVPRO($B$1,$H35,"STYLE")</f>
        <v>#NAME?</v>
      </c>
      <c r="J35" s="25" t="e">
        <f ca="1">_xll.EVPRO($B$1,$H35,"CALC")</f>
        <v>#NAME?</v>
      </c>
      <c r="K35" s="64" t="e">
        <f ca="1">IF(AND(I35&gt;="T5"),"&gt;","")</f>
        <v>#NAME?</v>
      </c>
      <c r="L35" s="24" t="e">
        <f ca="1">_xll.EVPRO($B$1,H35,"JDEID")</f>
        <v>#NAME?</v>
      </c>
      <c r="M35" s="24" t="e">
        <f ca="1">IF(AND(I35="N",J35="N"),_xll.EVPRO($B$1,H35,"PSFTID"),"")</f>
        <v>#NAME?</v>
      </c>
      <c r="N35" s="24" t="e">
        <f ca="1">IF(_xll.EVDES(H35,$B$1)="#NODATA","",_xll.EVDES(H35,$B$1))</f>
        <v>#NAME?</v>
      </c>
      <c r="O35" s="304">
        <v>7313.21</v>
      </c>
      <c r="P35" s="305"/>
      <c r="Q35" s="305"/>
      <c r="R35" s="305"/>
      <c r="S35" s="305"/>
      <c r="T35" s="305"/>
      <c r="U35" s="305"/>
      <c r="V35" s="305"/>
      <c r="W35" s="305"/>
      <c r="X35" s="305"/>
      <c r="Y35" s="305"/>
      <c r="Z35" s="305"/>
      <c r="AA35" s="283" t="e">
        <f t="shared" ref="AA35:AA56" ca="1" si="0">IF($I35="B1","",SUM(O35:Z35))</f>
        <v>#NAME?</v>
      </c>
      <c r="AB35" s="306" t="e">
        <f t="shared" ref="AB35:AB56" ca="1" si="1">IF(AA35=0,"",IFERROR(AA35/AA$19,""))</f>
        <v>#NAME?</v>
      </c>
      <c r="AC35" s="263"/>
      <c r="AD35" s="305"/>
      <c r="AE35" s="306" t="str">
        <f t="shared" ref="AE35:AE56" si="2">IF(AD35=0,"",IFERROR(AD35/AD$19,""))</f>
        <v/>
      </c>
      <c r="AF35" s="307" t="e">
        <f t="shared" ref="AF35:AF56" ca="1" si="3">IF(AND($AA35="",AD35=""),"",$AA35-AD35)</f>
        <v>#NAME?</v>
      </c>
      <c r="AG35" s="305">
        <v>17299.599999999999</v>
      </c>
      <c r="AH35" s="306" t="str">
        <f ca="1">IF(AG35=0,"",IFERROR(AG35/AG$19,""))</f>
        <v/>
      </c>
      <c r="AI35" s="308" t="e">
        <f ca="1">IF(AND($AA35="",AG35=""),"",$AA35-AG35)</f>
        <v>#NAME?</v>
      </c>
      <c r="AJ35" s="371">
        <f ca="1">IFERROR(AA35/AA$20,0)</f>
        <v>0</v>
      </c>
      <c r="AK35" s="372">
        <f ca="1">IFERROR(AD35/AD$20,0)</f>
        <v>0</v>
      </c>
      <c r="AL35" s="373">
        <f ca="1">IFERROR(AG35/AG$20,0)</f>
        <v>0</v>
      </c>
      <c r="AM35" s="374">
        <f ca="1">+IFERROR(ROUND(($AB35-AE35)*100,2)&amp;" pts.",0)</f>
        <v>0</v>
      </c>
      <c r="AN35" s="375">
        <f ca="1">+IFERROR(ROUND(($AB35-AH35)*100,2)&amp;" pts.",0)</f>
        <v>0</v>
      </c>
    </row>
    <row r="36" spans="1:40" x14ac:dyDescent="0.2">
      <c r="H36" s="10" t="s">
        <v>261</v>
      </c>
      <c r="I36" s="25" t="e">
        <f ca="1">_xll.EVPRO($B$1,$H36,"STYLE")</f>
        <v>#NAME?</v>
      </c>
      <c r="J36" s="25" t="e">
        <f ca="1">_xll.EVPRO($B$1,$H36,"CALC")</f>
        <v>#NAME?</v>
      </c>
      <c r="K36" s="64" t="e">
        <f t="shared" ref="K36:K56" ca="1" si="4">IF(AND(I36&gt;="T5"),"&gt;","")</f>
        <v>#NAME?</v>
      </c>
      <c r="L36" s="24" t="e">
        <f ca="1">_xll.EVPRO($B$1,H36,"JDEID")</f>
        <v>#NAME?</v>
      </c>
      <c r="M36" s="24" t="e">
        <f ca="1">IF(AND(I36="N",J36="N"),_xll.EVPRO($B$1,H36,"PSFTID"),"")</f>
        <v>#NAME?</v>
      </c>
      <c r="N36" s="24" t="e">
        <f ca="1">IF(_xll.EVDES(H36,$B$1)="#NODATA","",_xll.EVDES(H36,$B$1))</f>
        <v>#NAME?</v>
      </c>
      <c r="O36" s="304"/>
      <c r="P36" s="305"/>
      <c r="Q36" s="305"/>
      <c r="R36" s="305"/>
      <c r="S36" s="305"/>
      <c r="T36" s="305"/>
      <c r="U36" s="305"/>
      <c r="V36" s="305"/>
      <c r="W36" s="305"/>
      <c r="X36" s="305"/>
      <c r="Y36" s="305"/>
      <c r="Z36" s="305"/>
      <c r="AA36" s="283" t="e">
        <f t="shared" ca="1" si="0"/>
        <v>#NAME?</v>
      </c>
      <c r="AB36" s="306" t="e">
        <f t="shared" ca="1" si="1"/>
        <v>#NAME?</v>
      </c>
      <c r="AC36" s="263"/>
      <c r="AD36" s="305"/>
      <c r="AE36" s="306" t="str">
        <f t="shared" si="2"/>
        <v/>
      </c>
      <c r="AF36" s="307" t="e">
        <f t="shared" ca="1" si="3"/>
        <v>#NAME?</v>
      </c>
      <c r="AG36" s="305">
        <v>99409.63</v>
      </c>
      <c r="AH36" s="306" t="str">
        <f t="shared" ref="AH36:AH56" ca="1" si="5">IF(AG36=0,"",IFERROR(AG36/AG$19,""))</f>
        <v/>
      </c>
      <c r="AI36" s="308" t="e">
        <f t="shared" ref="AI36:AI56" ca="1" si="6">IF(AND($AA36="",AG36=""),"",$AA36-AG36)</f>
        <v>#NAME?</v>
      </c>
      <c r="AJ36" s="371">
        <f t="shared" ref="AJ36:AJ56" ca="1" si="7">IFERROR(AA36/AA$20,0)</f>
        <v>0</v>
      </c>
      <c r="AK36" s="372">
        <f t="shared" ref="AK36:AK56" ca="1" si="8">IFERROR(AD36/AD$20,0)</f>
        <v>0</v>
      </c>
      <c r="AL36" s="373">
        <f t="shared" ref="AL36:AL56" ca="1" si="9">IFERROR(AG36/AG$20,0)</f>
        <v>0</v>
      </c>
      <c r="AM36" s="374">
        <f t="shared" ref="AM36:AM56" ca="1" si="10">+IFERROR(ROUND(($AB36-AE36)*100,2)&amp;" pts.",0)</f>
        <v>0</v>
      </c>
      <c r="AN36" s="375">
        <f t="shared" ref="AN36:AN56" ca="1" si="11">+IFERROR(ROUND(($AB36-AH36)*100,2)&amp;" pts.",0)</f>
        <v>0</v>
      </c>
    </row>
    <row r="37" spans="1:40" x14ac:dyDescent="0.2">
      <c r="A37" s="1" t="s">
        <v>209</v>
      </c>
      <c r="B37" s="1" t="s">
        <v>21</v>
      </c>
      <c r="C37" s="70"/>
      <c r="D37" s="1" t="s">
        <v>590</v>
      </c>
      <c r="F37" s="1" t="s">
        <v>99</v>
      </c>
      <c r="H37" s="10" t="s">
        <v>262</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304"/>
      <c r="P37" s="305"/>
      <c r="Q37" s="305"/>
      <c r="R37" s="305"/>
      <c r="S37" s="305"/>
      <c r="T37" s="305"/>
      <c r="U37" s="305"/>
      <c r="V37" s="305"/>
      <c r="W37" s="305"/>
      <c r="X37" s="305"/>
      <c r="Y37" s="305"/>
      <c r="Z37" s="305"/>
      <c r="AA37" s="283" t="e">
        <f t="shared" ca="1" si="0"/>
        <v>#NAME?</v>
      </c>
      <c r="AB37" s="306" t="e">
        <f t="shared" ca="1" si="1"/>
        <v>#NAME?</v>
      </c>
      <c r="AC37" s="263"/>
      <c r="AD37" s="305"/>
      <c r="AE37" s="306" t="str">
        <f t="shared" si="2"/>
        <v/>
      </c>
      <c r="AF37" s="307" t="e">
        <f t="shared" ca="1" si="3"/>
        <v>#NAME?</v>
      </c>
      <c r="AG37" s="305">
        <v>77591.38</v>
      </c>
      <c r="AH37" s="306" t="str">
        <f t="shared" ca="1" si="5"/>
        <v/>
      </c>
      <c r="AI37" s="308" t="e">
        <f t="shared" ca="1" si="6"/>
        <v>#NAME?</v>
      </c>
      <c r="AJ37" s="371">
        <f t="shared" ca="1" si="7"/>
        <v>0</v>
      </c>
      <c r="AK37" s="372">
        <f t="shared" ca="1" si="8"/>
        <v>0</v>
      </c>
      <c r="AL37" s="373">
        <f t="shared" ca="1" si="9"/>
        <v>0</v>
      </c>
      <c r="AM37" s="374">
        <f t="shared" ca="1" si="10"/>
        <v>0</v>
      </c>
      <c r="AN37" s="375">
        <f t="shared" ca="1" si="11"/>
        <v>0</v>
      </c>
    </row>
    <row r="38" spans="1:40" x14ac:dyDescent="0.2">
      <c r="A38" s="1" t="s">
        <v>105</v>
      </c>
      <c r="C38" s="24" t="s">
        <v>101</v>
      </c>
      <c r="D38" s="1" t="s">
        <v>106</v>
      </c>
      <c r="F38" s="1" t="s">
        <v>98</v>
      </c>
      <c r="H38" s="10" t="s">
        <v>789</v>
      </c>
      <c r="I38" s="25" t="e">
        <f ca="1">_xll.EVPRO($B$1,$H38,"STYLE")</f>
        <v>#NAME?</v>
      </c>
      <c r="J38" s="25" t="e">
        <f ca="1">_xll.EVPRO($B$1,$H38,"CALC")</f>
        <v>#NAME?</v>
      </c>
      <c r="K38" s="64" t="e">
        <f t="shared" ca="1" si="4"/>
        <v>#NAME?</v>
      </c>
      <c r="L38" s="24" t="e">
        <f ca="1">_xll.EVPRO($B$1,H38,"JDEID")</f>
        <v>#NAME?</v>
      </c>
      <c r="M38" s="24" t="e">
        <f ca="1">IF(AND(I38="N",J38="N"),_xll.EVPRO($B$1,H38,"PSFTID"),"")</f>
        <v>#NAME?</v>
      </c>
      <c r="N38" s="24" t="e">
        <f ca="1">IF(_xll.EVDES(H38,$B$1)="#NODATA","",_xll.EVDES(H38,$B$1))</f>
        <v>#NAME?</v>
      </c>
      <c r="O38" s="304">
        <v>964</v>
      </c>
      <c r="P38" s="305"/>
      <c r="Q38" s="305"/>
      <c r="R38" s="305"/>
      <c r="S38" s="305"/>
      <c r="T38" s="305"/>
      <c r="U38" s="305"/>
      <c r="V38" s="305"/>
      <c r="W38" s="305"/>
      <c r="X38" s="305"/>
      <c r="Y38" s="305"/>
      <c r="Z38" s="305"/>
      <c r="AA38" s="283" t="e">
        <f t="shared" ca="1" si="0"/>
        <v>#NAME?</v>
      </c>
      <c r="AB38" s="306" t="e">
        <f t="shared" ca="1" si="1"/>
        <v>#NAME?</v>
      </c>
      <c r="AC38" s="263"/>
      <c r="AD38" s="305"/>
      <c r="AE38" s="306" t="str">
        <f t="shared" si="2"/>
        <v/>
      </c>
      <c r="AF38" s="307" t="e">
        <f t="shared" ca="1" si="3"/>
        <v>#NAME?</v>
      </c>
      <c r="AG38" s="305">
        <v>8454</v>
      </c>
      <c r="AH38" s="306" t="str">
        <f t="shared" ca="1" si="5"/>
        <v/>
      </c>
      <c r="AI38" s="308" t="e">
        <f t="shared" ca="1" si="6"/>
        <v>#NAME?</v>
      </c>
      <c r="AJ38" s="371">
        <f t="shared" ca="1" si="7"/>
        <v>0</v>
      </c>
      <c r="AK38" s="372">
        <f t="shared" ca="1" si="8"/>
        <v>0</v>
      </c>
      <c r="AL38" s="373">
        <f t="shared" ca="1" si="9"/>
        <v>0</v>
      </c>
      <c r="AM38" s="374">
        <f t="shared" ca="1" si="10"/>
        <v>0</v>
      </c>
      <c r="AN38" s="375">
        <f t="shared" ca="1" si="11"/>
        <v>0</v>
      </c>
    </row>
    <row r="39" spans="1:40" x14ac:dyDescent="0.2">
      <c r="A39" s="1" t="s">
        <v>104</v>
      </c>
      <c r="C39" s="24" t="s">
        <v>101</v>
      </c>
      <c r="D39" s="1" t="s">
        <v>106</v>
      </c>
      <c r="F39" s="1" t="s">
        <v>98</v>
      </c>
      <c r="H39" s="10" t="s">
        <v>790</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295"/>
      <c r="P39" s="296"/>
      <c r="Q39" s="296"/>
      <c r="R39" s="296"/>
      <c r="S39" s="296"/>
      <c r="T39" s="296"/>
      <c r="U39" s="296"/>
      <c r="V39" s="296"/>
      <c r="W39" s="296"/>
      <c r="X39" s="296"/>
      <c r="Y39" s="296"/>
      <c r="Z39" s="296"/>
      <c r="AA39" s="296" t="e">
        <f t="shared" ca="1" si="0"/>
        <v>#NAME?</v>
      </c>
      <c r="AB39" s="297" t="e">
        <f t="shared" ca="1" si="1"/>
        <v>#NAME?</v>
      </c>
      <c r="AC39" s="263"/>
      <c r="AD39" s="296"/>
      <c r="AE39" s="297" t="str">
        <f t="shared" si="2"/>
        <v/>
      </c>
      <c r="AF39" s="298" t="e">
        <f t="shared" ca="1" si="3"/>
        <v>#NAME?</v>
      </c>
      <c r="AG39" s="296">
        <v>27718.400000000001</v>
      </c>
      <c r="AH39" s="297" t="str">
        <f t="shared" ca="1" si="5"/>
        <v/>
      </c>
      <c r="AI39" s="299" t="e">
        <f t="shared" ca="1" si="6"/>
        <v>#NAME?</v>
      </c>
      <c r="AJ39" s="381">
        <f t="shared" ca="1" si="7"/>
        <v>0</v>
      </c>
      <c r="AK39" s="382">
        <f t="shared" ca="1" si="8"/>
        <v>0</v>
      </c>
      <c r="AL39" s="383">
        <f t="shared" ca="1" si="9"/>
        <v>0</v>
      </c>
      <c r="AM39" s="384">
        <f t="shared" ca="1" si="10"/>
        <v>0</v>
      </c>
      <c r="AN39" s="385">
        <f t="shared" ca="1" si="11"/>
        <v>0</v>
      </c>
    </row>
    <row r="40" spans="1:40" x14ac:dyDescent="0.2">
      <c r="A40" s="1" t="s">
        <v>100</v>
      </c>
      <c r="C40" s="8" t="s">
        <v>101</v>
      </c>
      <c r="D40" s="1" t="s">
        <v>106</v>
      </c>
      <c r="F40" s="1" t="s">
        <v>98</v>
      </c>
      <c r="H40" s="10" t="s">
        <v>265</v>
      </c>
      <c r="I40" s="447" t="e">
        <f ca="1">_xll.EVPRO($B$1,$H40,"STYLE")</f>
        <v>#NAME?</v>
      </c>
      <c r="J40" s="447" t="e">
        <f ca="1">_xll.EVPRO($B$1,$H40,"CALC")</f>
        <v>#NAME?</v>
      </c>
      <c r="K40" s="448" t="e">
        <f t="shared" ca="1" si="4"/>
        <v>#NAME?</v>
      </c>
      <c r="L40" s="151" t="e">
        <f ca="1">_xll.EVPRO($B$1,H40,"JDEID")</f>
        <v>#NAME?</v>
      </c>
      <c r="M40" s="151" t="e">
        <f ca="1">IF(AND(I40="N",J40="N"),_xll.EVPRO($B$1,H40,"PSFTID"),"")</f>
        <v>#NAME?</v>
      </c>
      <c r="N40" s="151" t="e">
        <f ca="1">IF(_xll.EVDES(H40,$B$1)="#NODATA","",_xll.EVDES(H40,$B$1))</f>
        <v>#NAME?</v>
      </c>
      <c r="O40" s="202">
        <v>8277.2099999999991</v>
      </c>
      <c r="P40" s="120"/>
      <c r="Q40" s="120"/>
      <c r="R40" s="120"/>
      <c r="S40" s="120"/>
      <c r="T40" s="120"/>
      <c r="U40" s="120"/>
      <c r="V40" s="120"/>
      <c r="W40" s="120"/>
      <c r="X40" s="120"/>
      <c r="Y40" s="120"/>
      <c r="Z40" s="120"/>
      <c r="AA40" s="120" t="e">
        <f t="shared" ca="1" si="0"/>
        <v>#NAME?</v>
      </c>
      <c r="AB40" s="121" t="e">
        <f t="shared" ca="1" si="1"/>
        <v>#NAME?</v>
      </c>
      <c r="AC40" s="123"/>
      <c r="AD40" s="120"/>
      <c r="AE40" s="121" t="str">
        <f t="shared" si="2"/>
        <v/>
      </c>
      <c r="AF40" s="122" t="e">
        <f t="shared" ca="1" si="3"/>
        <v>#NAME?</v>
      </c>
      <c r="AG40" s="120">
        <v>230473.01</v>
      </c>
      <c r="AH40" s="121" t="str">
        <f t="shared" ca="1" si="5"/>
        <v/>
      </c>
      <c r="AI40" s="264" t="e">
        <f t="shared" ca="1" si="6"/>
        <v>#NAME?</v>
      </c>
      <c r="AJ40" s="332">
        <f t="shared" ca="1" si="7"/>
        <v>0</v>
      </c>
      <c r="AK40" s="333">
        <f t="shared" ca="1" si="8"/>
        <v>0</v>
      </c>
      <c r="AL40" s="335">
        <f t="shared" ca="1" si="9"/>
        <v>0</v>
      </c>
      <c r="AM40" s="377">
        <f t="shared" ca="1" si="10"/>
        <v>0</v>
      </c>
      <c r="AN40" s="378">
        <f t="shared" ca="1" si="11"/>
        <v>0</v>
      </c>
    </row>
    <row r="41" spans="1:40" x14ac:dyDescent="0.2">
      <c r="A41" s="1" t="s">
        <v>102</v>
      </c>
      <c r="C41" s="23" t="s">
        <v>101</v>
      </c>
      <c r="D41" s="1" t="s">
        <v>106</v>
      </c>
      <c r="F41" s="1" t="s">
        <v>98</v>
      </c>
      <c r="H41" s="10" t="s">
        <v>266</v>
      </c>
      <c r="I41" s="447" t="e">
        <f ca="1">_xll.EVPRO($B$1,$H41,"STYLE")</f>
        <v>#NAME?</v>
      </c>
      <c r="J41" s="447" t="e">
        <f ca="1">_xll.EVPRO($B$1,$H41,"CALC")</f>
        <v>#NAME?</v>
      </c>
      <c r="K41" s="448" t="e">
        <f t="shared" ca="1" si="4"/>
        <v>#NAME?</v>
      </c>
      <c r="L41" s="151" t="e">
        <f ca="1">_xll.EVPRO($B$1,H41,"JDEID")</f>
        <v>#NAME?</v>
      </c>
      <c r="M41" s="151" t="e">
        <f ca="1">IF(AND(I41="N",J41="N"),_xll.EVPRO($B$1,H41,"PSFTID"),"")</f>
        <v>#NAME?</v>
      </c>
      <c r="N41" s="151" t="e">
        <f ca="1">IF(_xll.EVDES(H41,$B$1)="#NODATA","",_xll.EVDES(H41,$B$1))</f>
        <v>#NAME?</v>
      </c>
      <c r="O41" s="309"/>
      <c r="P41" s="35"/>
      <c r="Q41" s="35"/>
      <c r="R41" s="35"/>
      <c r="S41" s="35"/>
      <c r="T41" s="35"/>
      <c r="U41" s="35"/>
      <c r="V41" s="35"/>
      <c r="W41" s="35"/>
      <c r="X41" s="35"/>
      <c r="Y41" s="35"/>
      <c r="Z41" s="35"/>
      <c r="AA41" s="288" t="e">
        <f t="shared" ca="1" si="0"/>
        <v>#NAME?</v>
      </c>
      <c r="AB41" s="36" t="e">
        <f t="shared" ca="1" si="1"/>
        <v>#NAME?</v>
      </c>
      <c r="AD41" s="35"/>
      <c r="AE41" s="36" t="str">
        <f t="shared" si="2"/>
        <v/>
      </c>
      <c r="AF41" s="118" t="e">
        <f t="shared" ca="1" si="3"/>
        <v>#NAME?</v>
      </c>
      <c r="AG41" s="35"/>
      <c r="AH41" s="36" t="str">
        <f t="shared" si="5"/>
        <v/>
      </c>
      <c r="AI41" s="310" t="e">
        <f t="shared" ca="1" si="6"/>
        <v>#NAME?</v>
      </c>
      <c r="AJ41" s="325">
        <f t="shared" ca="1" si="7"/>
        <v>0</v>
      </c>
      <c r="AK41" s="326">
        <f t="shared" ca="1" si="8"/>
        <v>0</v>
      </c>
      <c r="AL41" s="328">
        <f t="shared" ca="1" si="9"/>
        <v>0</v>
      </c>
      <c r="AM41" s="362">
        <f t="shared" ca="1" si="10"/>
        <v>0</v>
      </c>
      <c r="AN41" s="376">
        <f t="shared" ca="1" si="11"/>
        <v>0</v>
      </c>
    </row>
    <row r="42" spans="1:40" x14ac:dyDescent="0.2">
      <c r="A42" s="1" t="s">
        <v>102</v>
      </c>
      <c r="C42" s="135" t="s">
        <v>101</v>
      </c>
      <c r="D42" s="1" t="s">
        <v>107</v>
      </c>
      <c r="F42" s="1" t="s">
        <v>99</v>
      </c>
      <c r="H42" s="10" t="s">
        <v>267</v>
      </c>
      <c r="I42" s="25" t="e">
        <f ca="1">_xll.EVPRO($B$1,$H42,"STYLE")</f>
        <v>#NAME?</v>
      </c>
      <c r="J42" s="25" t="e">
        <f ca="1">_xll.EVPRO($B$1,$H42,"CALC")</f>
        <v>#NAME?</v>
      </c>
      <c r="K42" s="64" t="e">
        <f t="shared" ca="1" si="4"/>
        <v>#NAME?</v>
      </c>
      <c r="L42" s="24" t="e">
        <f ca="1">_xll.EVPRO($B$1,H42,"JDEID")</f>
        <v>#NAME?</v>
      </c>
      <c r="M42" s="24" t="e">
        <f ca="1">IF(AND(I42="N",J42="N"),_xll.EVPRO($B$1,H42,"PSFTID"),"")</f>
        <v>#NAME?</v>
      </c>
      <c r="N42" s="24" t="e">
        <f ca="1">IF(_xll.EVDES(H42,$B$1)="#NODATA","",_xll.EVDES(H42,$B$1))</f>
        <v>#NAME?</v>
      </c>
      <c r="O42" s="304"/>
      <c r="P42" s="305"/>
      <c r="Q42" s="305"/>
      <c r="R42" s="305"/>
      <c r="S42" s="305"/>
      <c r="T42" s="305"/>
      <c r="U42" s="305"/>
      <c r="V42" s="305"/>
      <c r="W42" s="305"/>
      <c r="X42" s="305"/>
      <c r="Y42" s="305"/>
      <c r="Z42" s="305"/>
      <c r="AA42" s="283" t="e">
        <f t="shared" ca="1" si="0"/>
        <v>#NAME?</v>
      </c>
      <c r="AB42" s="306" t="e">
        <f t="shared" ca="1" si="1"/>
        <v>#NAME?</v>
      </c>
      <c r="AC42" s="263"/>
      <c r="AD42" s="305"/>
      <c r="AE42" s="306" t="str">
        <f t="shared" si="2"/>
        <v/>
      </c>
      <c r="AF42" s="307" t="e">
        <f t="shared" ca="1" si="3"/>
        <v>#NAME?</v>
      </c>
      <c r="AG42" s="305">
        <v>2785</v>
      </c>
      <c r="AH42" s="306" t="str">
        <f t="shared" ca="1" si="5"/>
        <v/>
      </c>
      <c r="AI42" s="308" t="e">
        <f t="shared" ca="1" si="6"/>
        <v>#NAME?</v>
      </c>
      <c r="AJ42" s="371">
        <f t="shared" ca="1" si="7"/>
        <v>0</v>
      </c>
      <c r="AK42" s="372">
        <f t="shared" ca="1" si="8"/>
        <v>0</v>
      </c>
      <c r="AL42" s="373">
        <f t="shared" ca="1" si="9"/>
        <v>0</v>
      </c>
      <c r="AM42" s="374">
        <f t="shared" ca="1" si="10"/>
        <v>0</v>
      </c>
      <c r="AN42" s="375">
        <f t="shared" ca="1" si="11"/>
        <v>0</v>
      </c>
    </row>
    <row r="43" spans="1:40" ht="16" thickBot="1" x14ac:dyDescent="0.25">
      <c r="A43" s="1" t="s">
        <v>108</v>
      </c>
      <c r="C43" s="458" t="s">
        <v>101</v>
      </c>
      <c r="D43" s="1" t="s">
        <v>106</v>
      </c>
      <c r="F43" s="1" t="s">
        <v>98</v>
      </c>
      <c r="H43" s="10" t="s">
        <v>268</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304"/>
      <c r="P43" s="305"/>
      <c r="Q43" s="305"/>
      <c r="R43" s="305"/>
      <c r="S43" s="305"/>
      <c r="T43" s="305"/>
      <c r="U43" s="305"/>
      <c r="V43" s="305"/>
      <c r="W43" s="305"/>
      <c r="X43" s="305"/>
      <c r="Y43" s="305"/>
      <c r="Z43" s="305"/>
      <c r="AA43" s="283" t="e">
        <f t="shared" ca="1" si="0"/>
        <v>#NAME?</v>
      </c>
      <c r="AB43" s="306" t="e">
        <f t="shared" ca="1" si="1"/>
        <v>#NAME?</v>
      </c>
      <c r="AC43" s="263"/>
      <c r="AD43" s="305"/>
      <c r="AE43" s="306" t="str">
        <f t="shared" si="2"/>
        <v/>
      </c>
      <c r="AF43" s="307" t="e">
        <f t="shared" ca="1" si="3"/>
        <v>#NAME?</v>
      </c>
      <c r="AG43" s="305">
        <v>3434</v>
      </c>
      <c r="AH43" s="306" t="str">
        <f t="shared" ca="1" si="5"/>
        <v/>
      </c>
      <c r="AI43" s="308" t="e">
        <f t="shared" ca="1" si="6"/>
        <v>#NAME?</v>
      </c>
      <c r="AJ43" s="371">
        <f t="shared" ca="1" si="7"/>
        <v>0</v>
      </c>
      <c r="AK43" s="372">
        <f t="shared" ca="1" si="8"/>
        <v>0</v>
      </c>
      <c r="AL43" s="373">
        <f t="shared" ca="1" si="9"/>
        <v>0</v>
      </c>
      <c r="AM43" s="374">
        <f t="shared" ca="1" si="10"/>
        <v>0</v>
      </c>
      <c r="AN43" s="375">
        <f t="shared" ca="1" si="11"/>
        <v>0</v>
      </c>
    </row>
    <row r="44" spans="1:40" ht="17" thickTop="1" thickBot="1" x14ac:dyDescent="0.25">
      <c r="A44" s="1" t="s">
        <v>108</v>
      </c>
      <c r="C44" s="458" t="s">
        <v>101</v>
      </c>
      <c r="D44" s="1" t="s">
        <v>107</v>
      </c>
      <c r="F44" s="1" t="s">
        <v>99</v>
      </c>
      <c r="H44" s="10" t="s">
        <v>269</v>
      </c>
      <c r="I44" s="25" t="e">
        <f ca="1">_xll.EVPRO($B$1,$H44,"STYLE")</f>
        <v>#NAME?</v>
      </c>
      <c r="J44" s="25" t="e">
        <f ca="1">_xll.EVPRO($B$1,$H44,"CALC")</f>
        <v>#NAME?</v>
      </c>
      <c r="K44" s="64" t="e">
        <f t="shared" ca="1" si="4"/>
        <v>#NAME?</v>
      </c>
      <c r="L44" s="24" t="e">
        <f ca="1">_xll.EVPRO($B$1,H44,"JDEID")</f>
        <v>#NAME?</v>
      </c>
      <c r="M44" s="24" t="e">
        <f ca="1">IF(AND(I44="N",J44="N"),_xll.EVPRO($B$1,H44,"PSFTID"),"")</f>
        <v>#NAME?</v>
      </c>
      <c r="N44" s="24" t="e">
        <f ca="1">IF(_xll.EVDES(H44,$B$1)="#NODATA","",_xll.EVDES(H44,$B$1))</f>
        <v>#NAME?</v>
      </c>
      <c r="O44" s="304"/>
      <c r="P44" s="305"/>
      <c r="Q44" s="305"/>
      <c r="R44" s="305"/>
      <c r="S44" s="305"/>
      <c r="T44" s="305"/>
      <c r="U44" s="305"/>
      <c r="V44" s="305"/>
      <c r="W44" s="305"/>
      <c r="X44" s="305"/>
      <c r="Y44" s="305"/>
      <c r="Z44" s="305"/>
      <c r="AA44" s="283" t="e">
        <f t="shared" ca="1" si="0"/>
        <v>#NAME?</v>
      </c>
      <c r="AB44" s="306" t="e">
        <f t="shared" ca="1" si="1"/>
        <v>#NAME?</v>
      </c>
      <c r="AC44" s="263"/>
      <c r="AD44" s="305"/>
      <c r="AE44" s="306" t="str">
        <f t="shared" si="2"/>
        <v/>
      </c>
      <c r="AF44" s="307" t="e">
        <f t="shared" ca="1" si="3"/>
        <v>#NAME?</v>
      </c>
      <c r="AG44" s="305">
        <v>6529</v>
      </c>
      <c r="AH44" s="306" t="str">
        <f t="shared" ca="1" si="5"/>
        <v/>
      </c>
      <c r="AI44" s="308" t="e">
        <f t="shared" ca="1" si="6"/>
        <v>#NAME?</v>
      </c>
      <c r="AJ44" s="371">
        <f t="shared" ca="1" si="7"/>
        <v>0</v>
      </c>
      <c r="AK44" s="372">
        <f t="shared" ca="1" si="8"/>
        <v>0</v>
      </c>
      <c r="AL44" s="373">
        <f t="shared" ca="1" si="9"/>
        <v>0</v>
      </c>
      <c r="AM44" s="374">
        <f t="shared" ca="1" si="10"/>
        <v>0</v>
      </c>
      <c r="AN44" s="375">
        <f t="shared" ca="1" si="11"/>
        <v>0</v>
      </c>
    </row>
    <row r="45" spans="1:40" ht="16" thickTop="1" x14ac:dyDescent="0.2">
      <c r="H45" s="10" t="s">
        <v>791</v>
      </c>
      <c r="I45" s="25" t="e">
        <f ca="1">_xll.EVPRO($B$1,$H45,"STYLE")</f>
        <v>#NAME?</v>
      </c>
      <c r="J45" s="25" t="e">
        <f ca="1">_xll.EVPRO($B$1,$H45,"CALC")</f>
        <v>#NAME?</v>
      </c>
      <c r="K45" s="64" t="e">
        <f t="shared" ca="1" si="4"/>
        <v>#NAME?</v>
      </c>
      <c r="L45" s="24" t="e">
        <f ca="1">_xll.EVPRO($B$1,H45,"JDEID")</f>
        <v>#NAME?</v>
      </c>
      <c r="M45" s="24" t="e">
        <f ca="1">IF(AND(I45="N",J45="N"),_xll.EVPRO($B$1,H45,"PSFTID"),"")</f>
        <v>#NAME?</v>
      </c>
      <c r="N45" s="24" t="e">
        <f ca="1">IF(_xll.EVDES(H45,$B$1)="#NODATA","",_xll.EVDES(H45,$B$1))</f>
        <v>#NAME?</v>
      </c>
      <c r="O45" s="295"/>
      <c r="P45" s="296"/>
      <c r="Q45" s="296"/>
      <c r="R45" s="296"/>
      <c r="S45" s="296"/>
      <c r="T45" s="296"/>
      <c r="U45" s="296"/>
      <c r="V45" s="296"/>
      <c r="W45" s="296"/>
      <c r="X45" s="296"/>
      <c r="Y45" s="296"/>
      <c r="Z45" s="296"/>
      <c r="AA45" s="296" t="e">
        <f t="shared" ca="1" si="0"/>
        <v>#NAME?</v>
      </c>
      <c r="AB45" s="297" t="e">
        <f t="shared" ca="1" si="1"/>
        <v>#NAME?</v>
      </c>
      <c r="AC45" s="263"/>
      <c r="AD45" s="296"/>
      <c r="AE45" s="297" t="str">
        <f t="shared" si="2"/>
        <v/>
      </c>
      <c r="AF45" s="298" t="e">
        <f t="shared" ca="1" si="3"/>
        <v>#NAME?</v>
      </c>
      <c r="AG45" s="296">
        <v>10336.959999999999</v>
      </c>
      <c r="AH45" s="297" t="str">
        <f t="shared" ca="1" si="5"/>
        <v/>
      </c>
      <c r="AI45" s="299" t="e">
        <f t="shared" ca="1" si="6"/>
        <v>#NAME?</v>
      </c>
      <c r="AJ45" s="381">
        <f t="shared" ca="1" si="7"/>
        <v>0</v>
      </c>
      <c r="AK45" s="382">
        <f t="shared" ca="1" si="8"/>
        <v>0</v>
      </c>
      <c r="AL45" s="383">
        <f t="shared" ca="1" si="9"/>
        <v>0</v>
      </c>
      <c r="AM45" s="384">
        <f t="shared" ca="1" si="10"/>
        <v>0</v>
      </c>
      <c r="AN45" s="385">
        <f t="shared" ca="1" si="11"/>
        <v>0</v>
      </c>
    </row>
    <row r="46" spans="1:40" x14ac:dyDescent="0.2">
      <c r="H46" s="10" t="s">
        <v>272</v>
      </c>
      <c r="I46" s="447" t="e">
        <f ca="1">_xll.EVPRO($B$1,$H46,"STYLE")</f>
        <v>#NAME?</v>
      </c>
      <c r="J46" s="447" t="e">
        <f ca="1">_xll.EVPRO($B$1,$H46,"CALC")</f>
        <v>#NAME?</v>
      </c>
      <c r="K46" s="448" t="e">
        <f t="shared" ca="1" si="4"/>
        <v>#NAME?</v>
      </c>
      <c r="L46" s="151" t="e">
        <f ca="1">_xll.EVPRO($B$1,H46,"JDEID")</f>
        <v>#NAME?</v>
      </c>
      <c r="M46" s="151" t="e">
        <f ca="1">IF(AND(I46="N",J46="N"),_xll.EVPRO($B$1,H46,"PSFTID"),"")</f>
        <v>#NAME?</v>
      </c>
      <c r="N46" s="151" t="e">
        <f ca="1">IF(_xll.EVDES(H46,$B$1)="#NODATA","",_xll.EVDES(H46,$B$1))</f>
        <v>#NAME?</v>
      </c>
      <c r="O46" s="202"/>
      <c r="P46" s="120"/>
      <c r="Q46" s="120"/>
      <c r="R46" s="120"/>
      <c r="S46" s="120"/>
      <c r="T46" s="120"/>
      <c r="U46" s="120"/>
      <c r="V46" s="120"/>
      <c r="W46" s="120"/>
      <c r="X46" s="120"/>
      <c r="Y46" s="120"/>
      <c r="Z46" s="120"/>
      <c r="AA46" s="120" t="e">
        <f t="shared" ca="1" si="0"/>
        <v>#NAME?</v>
      </c>
      <c r="AB46" s="121" t="e">
        <f t="shared" ca="1" si="1"/>
        <v>#NAME?</v>
      </c>
      <c r="AC46" s="123"/>
      <c r="AD46" s="120"/>
      <c r="AE46" s="121" t="str">
        <f t="shared" si="2"/>
        <v/>
      </c>
      <c r="AF46" s="122" t="e">
        <f t="shared" ca="1" si="3"/>
        <v>#NAME?</v>
      </c>
      <c r="AG46" s="120">
        <v>23084.959999999999</v>
      </c>
      <c r="AH46" s="121" t="str">
        <f t="shared" ca="1" si="5"/>
        <v/>
      </c>
      <c r="AI46" s="264" t="e">
        <f t="shared" ca="1" si="6"/>
        <v>#NAME?</v>
      </c>
      <c r="AJ46" s="332">
        <f t="shared" ca="1" si="7"/>
        <v>0</v>
      </c>
      <c r="AK46" s="333">
        <f t="shared" ca="1" si="8"/>
        <v>0</v>
      </c>
      <c r="AL46" s="335">
        <f t="shared" ca="1" si="9"/>
        <v>0</v>
      </c>
      <c r="AM46" s="377">
        <f t="shared" ca="1" si="10"/>
        <v>0</v>
      </c>
      <c r="AN46" s="378">
        <f t="shared" ca="1" si="11"/>
        <v>0</v>
      </c>
    </row>
    <row r="47" spans="1:40" x14ac:dyDescent="0.2">
      <c r="A47" s="4"/>
      <c r="H47" s="10" t="s">
        <v>486</v>
      </c>
      <c r="I47" s="25" t="e">
        <f ca="1">_xll.EVPRO($B$1,$H47,"STYLE")</f>
        <v>#NAME?</v>
      </c>
      <c r="J47" s="25" t="e">
        <f ca="1">_xll.EVPRO($B$1,$H47,"CALC")</f>
        <v>#NAME?</v>
      </c>
      <c r="K47" s="64" t="e">
        <f t="shared" ca="1" si="4"/>
        <v>#NAME?</v>
      </c>
      <c r="L47" s="24" t="e">
        <f ca="1">_xll.EVPRO($B$1,H47,"JDEID")</f>
        <v>#NAME?</v>
      </c>
      <c r="M47" s="24" t="e">
        <f ca="1">IF(AND(I47="N",J47="N"),_xll.EVPRO($B$1,H47,"PSFTID"),"")</f>
        <v>#NAME?</v>
      </c>
      <c r="N47" s="24" t="e">
        <f ca="1">IF(_xll.EVDES(H47,$B$1)="#NODATA","",_xll.EVDES(H47,$B$1))</f>
        <v>#NAME?</v>
      </c>
      <c r="O47" s="302"/>
      <c r="P47" s="44"/>
      <c r="Q47" s="44"/>
      <c r="R47" s="44"/>
      <c r="S47" s="44"/>
      <c r="T47" s="44"/>
      <c r="U47" s="44"/>
      <c r="V47" s="44"/>
      <c r="W47" s="44"/>
      <c r="X47" s="44"/>
      <c r="Y47" s="44"/>
      <c r="Z47" s="44"/>
      <c r="AA47" s="44" t="e">
        <f t="shared" ca="1" si="0"/>
        <v>#NAME?</v>
      </c>
      <c r="AB47" s="45" t="e">
        <f t="shared" ca="1" si="1"/>
        <v>#NAME?</v>
      </c>
      <c r="AD47" s="44"/>
      <c r="AE47" s="45" t="str">
        <f t="shared" si="2"/>
        <v/>
      </c>
      <c r="AF47" s="134" t="e">
        <f t="shared" ca="1" si="3"/>
        <v>#NAME?</v>
      </c>
      <c r="AG47" s="44"/>
      <c r="AH47" s="45" t="str">
        <f t="shared" si="5"/>
        <v/>
      </c>
      <c r="AI47" s="303" t="e">
        <f t="shared" ca="1" si="6"/>
        <v>#NAME?</v>
      </c>
      <c r="AJ47" s="392">
        <f t="shared" ca="1" si="7"/>
        <v>0</v>
      </c>
      <c r="AK47" s="393">
        <f t="shared" ca="1" si="8"/>
        <v>0</v>
      </c>
      <c r="AL47" s="394">
        <f t="shared" ca="1" si="9"/>
        <v>0</v>
      </c>
      <c r="AM47" s="395">
        <f t="shared" ca="1" si="10"/>
        <v>0</v>
      </c>
      <c r="AN47" s="396">
        <f t="shared" ca="1" si="11"/>
        <v>0</v>
      </c>
    </row>
    <row r="48" spans="1:40" x14ac:dyDescent="0.2">
      <c r="H48" s="10" t="s">
        <v>273</v>
      </c>
      <c r="I48" s="447" t="e">
        <f ca="1">_xll.EVPRO($B$1,$H48,"STYLE")</f>
        <v>#NAME?</v>
      </c>
      <c r="J48" s="447" t="e">
        <f ca="1">_xll.EVPRO($B$1,$H48,"CALC")</f>
        <v>#NAME?</v>
      </c>
      <c r="K48" s="448" t="e">
        <f t="shared" ca="1" si="4"/>
        <v>#NAME?</v>
      </c>
      <c r="L48" s="151" t="e">
        <f ca="1">_xll.EVPRO($B$1,H48,"JDEID")</f>
        <v>#NAME?</v>
      </c>
      <c r="M48" s="151" t="e">
        <f ca="1">IF(AND(I48="N",J48="N"),_xll.EVPRO($B$1,H48,"PSFTID"),"")</f>
        <v>#NAME?</v>
      </c>
      <c r="N48" s="151" t="e">
        <f ca="1">IF(_xll.EVDES(H48,$B$1)="#NODATA","",_xll.EVDES(H48,$B$1))</f>
        <v>#NAME?</v>
      </c>
      <c r="O48" s="202">
        <v>8277.2099999999991</v>
      </c>
      <c r="P48" s="120"/>
      <c r="Q48" s="120"/>
      <c r="R48" s="120"/>
      <c r="S48" s="120"/>
      <c r="T48" s="120"/>
      <c r="U48" s="120"/>
      <c r="V48" s="120"/>
      <c r="W48" s="120"/>
      <c r="X48" s="120"/>
      <c r="Y48" s="120"/>
      <c r="Z48" s="120"/>
      <c r="AA48" s="120" t="e">
        <f t="shared" ca="1" si="0"/>
        <v>#NAME?</v>
      </c>
      <c r="AB48" s="121" t="e">
        <f t="shared" ca="1" si="1"/>
        <v>#NAME?</v>
      </c>
      <c r="AC48" s="123"/>
      <c r="AD48" s="120"/>
      <c r="AE48" s="121" t="str">
        <f t="shared" si="2"/>
        <v/>
      </c>
      <c r="AF48" s="122" t="e">
        <f t="shared" ca="1" si="3"/>
        <v>#NAME?</v>
      </c>
      <c r="AG48" s="120">
        <v>253557.97</v>
      </c>
      <c r="AH48" s="121" t="str">
        <f t="shared" ca="1" si="5"/>
        <v/>
      </c>
      <c r="AI48" s="264" t="e">
        <f t="shared" ca="1" si="6"/>
        <v>#NAME?</v>
      </c>
      <c r="AJ48" s="332">
        <f t="shared" ca="1" si="7"/>
        <v>0</v>
      </c>
      <c r="AK48" s="333">
        <f t="shared" ca="1" si="8"/>
        <v>0</v>
      </c>
      <c r="AL48" s="335">
        <f t="shared" ca="1" si="9"/>
        <v>0</v>
      </c>
      <c r="AM48" s="377">
        <f t="shared" ca="1" si="10"/>
        <v>0</v>
      </c>
      <c r="AN48" s="378">
        <f t="shared" ca="1" si="11"/>
        <v>0</v>
      </c>
    </row>
    <row r="49" spans="1:40" x14ac:dyDescent="0.2">
      <c r="A49" s="3" t="s">
        <v>0</v>
      </c>
      <c r="B49" s="5" t="s">
        <v>1</v>
      </c>
      <c r="H49" s="10" t="s">
        <v>279</v>
      </c>
      <c r="I49" s="447" t="e">
        <f ca="1">_xll.EVPRO($B$1,$H49,"STYLE")</f>
        <v>#NAME?</v>
      </c>
      <c r="J49" s="447" t="e">
        <f ca="1">_xll.EVPRO($B$1,$H49,"CALC")</f>
        <v>#NAME?</v>
      </c>
      <c r="K49" s="448" t="e">
        <f t="shared" ca="1" si="4"/>
        <v>#NAME?</v>
      </c>
      <c r="L49" s="151" t="e">
        <f ca="1">_xll.EVPRO($B$1,H49,"JDEID")</f>
        <v>#NAME?</v>
      </c>
      <c r="M49" s="151" t="e">
        <f ca="1">IF(AND(I49="N",J49="N"),_xll.EVPRO($B$1,H49,"PSFTID"),"")</f>
        <v>#NAME?</v>
      </c>
      <c r="N49" s="151" t="e">
        <f ca="1">IF(_xll.EVDES(H49,$B$1)="#NODATA","",_xll.EVDES(H49,$B$1))</f>
        <v>#NAME?</v>
      </c>
      <c r="O49" s="309"/>
      <c r="P49" s="35"/>
      <c r="Q49" s="35"/>
      <c r="R49" s="35"/>
      <c r="S49" s="35"/>
      <c r="T49" s="35"/>
      <c r="U49" s="35"/>
      <c r="V49" s="35"/>
      <c r="W49" s="35"/>
      <c r="X49" s="35"/>
      <c r="Y49" s="35"/>
      <c r="Z49" s="35"/>
      <c r="AA49" s="288" t="e">
        <f t="shared" ca="1" si="0"/>
        <v>#NAME?</v>
      </c>
      <c r="AB49" s="36" t="e">
        <f t="shared" ca="1" si="1"/>
        <v>#NAME?</v>
      </c>
      <c r="AD49" s="35"/>
      <c r="AE49" s="36" t="str">
        <f t="shared" si="2"/>
        <v/>
      </c>
      <c r="AF49" s="118" t="e">
        <f t="shared" ca="1" si="3"/>
        <v>#NAME?</v>
      </c>
      <c r="AG49" s="35"/>
      <c r="AH49" s="36" t="str">
        <f t="shared" si="5"/>
        <v/>
      </c>
      <c r="AI49" s="310" t="e">
        <f t="shared" ca="1" si="6"/>
        <v>#NAME?</v>
      </c>
      <c r="AJ49" s="325">
        <f t="shared" ca="1" si="7"/>
        <v>0</v>
      </c>
      <c r="AK49" s="326">
        <f t="shared" ca="1" si="8"/>
        <v>0</v>
      </c>
      <c r="AL49" s="328">
        <f t="shared" ca="1" si="9"/>
        <v>0</v>
      </c>
      <c r="AM49" s="362">
        <f t="shared" ca="1" si="10"/>
        <v>0</v>
      </c>
      <c r="AN49" s="376">
        <f t="shared" ca="1" si="11"/>
        <v>0</v>
      </c>
    </row>
    <row r="50" spans="1:40" x14ac:dyDescent="0.2">
      <c r="A50" s="6" t="s">
        <v>2</v>
      </c>
      <c r="B50" s="7" t="e">
        <f ca="1">_xll.EVRNG($B$2:$B$10)</f>
        <v>#NAME?</v>
      </c>
      <c r="H50" s="10" t="s">
        <v>274</v>
      </c>
      <c r="I50" s="25" t="e">
        <f ca="1">_xll.EVPRO($B$1,$H50,"STYLE")</f>
        <v>#NAME?</v>
      </c>
      <c r="J50" s="25" t="e">
        <f ca="1">_xll.EVPRO($B$1,$H50,"CALC")</f>
        <v>#NAME?</v>
      </c>
      <c r="K50" s="64" t="e">
        <f t="shared" ca="1" si="4"/>
        <v>#NAME?</v>
      </c>
      <c r="L50" s="24" t="e">
        <f ca="1">_xll.EVPRO($B$1,H50,"JDEID")</f>
        <v>#NAME?</v>
      </c>
      <c r="M50" s="24" t="e">
        <f ca="1">IF(AND(I50="N",J50="N"),_xll.EVPRO($B$1,H50,"PSFTID"),"")</f>
        <v>#NAME?</v>
      </c>
      <c r="N50" s="24" t="e">
        <f ca="1">IF(_xll.EVDES(H50,$B$1)="#NODATA","",_xll.EVDES(H50,$B$1))</f>
        <v>#NAME?</v>
      </c>
      <c r="O50" s="304">
        <v>945</v>
      </c>
      <c r="P50" s="305"/>
      <c r="Q50" s="305"/>
      <c r="R50" s="305"/>
      <c r="S50" s="305"/>
      <c r="T50" s="305"/>
      <c r="U50" s="305"/>
      <c r="V50" s="305"/>
      <c r="W50" s="305"/>
      <c r="X50" s="305"/>
      <c r="Y50" s="305"/>
      <c r="Z50" s="305"/>
      <c r="AA50" s="283" t="e">
        <f t="shared" ca="1" si="0"/>
        <v>#NAME?</v>
      </c>
      <c r="AB50" s="306" t="e">
        <f t="shared" ca="1" si="1"/>
        <v>#NAME?</v>
      </c>
      <c r="AC50" s="263"/>
      <c r="AD50" s="305"/>
      <c r="AE50" s="306" t="str">
        <f t="shared" si="2"/>
        <v/>
      </c>
      <c r="AF50" s="307" t="e">
        <f t="shared" ca="1" si="3"/>
        <v>#NAME?</v>
      </c>
      <c r="AG50" s="305">
        <v>22151.03</v>
      </c>
      <c r="AH50" s="306" t="str">
        <f t="shared" ca="1" si="5"/>
        <v/>
      </c>
      <c r="AI50" s="308" t="e">
        <f t="shared" ca="1" si="6"/>
        <v>#NAME?</v>
      </c>
      <c r="AJ50" s="371">
        <f t="shared" ca="1" si="7"/>
        <v>0</v>
      </c>
      <c r="AK50" s="372">
        <f t="shared" ca="1" si="8"/>
        <v>0</v>
      </c>
      <c r="AL50" s="373">
        <f t="shared" ca="1" si="9"/>
        <v>0</v>
      </c>
      <c r="AM50" s="374">
        <f t="shared" ca="1" si="10"/>
        <v>0</v>
      </c>
      <c r="AN50" s="375">
        <f t="shared" ca="1" si="11"/>
        <v>0</v>
      </c>
    </row>
    <row r="51" spans="1:40" x14ac:dyDescent="0.2">
      <c r="A51" s="6" t="s">
        <v>3</v>
      </c>
      <c r="B51" s="7" t="e">
        <f ca="1">_xll.EVRNG($O$16:$AN$18)</f>
        <v>#NAME?</v>
      </c>
      <c r="H51" s="10" t="s">
        <v>275</v>
      </c>
      <c r="I51" s="25" t="e">
        <f ca="1">_xll.EVPRO($B$1,$H51,"STYLE")</f>
        <v>#NAME?</v>
      </c>
      <c r="J51" s="25" t="e">
        <f ca="1">_xll.EVPRO($B$1,$H51,"CALC")</f>
        <v>#NAME?</v>
      </c>
      <c r="K51" s="64" t="e">
        <f t="shared" ca="1" si="4"/>
        <v>#NAME?</v>
      </c>
      <c r="L51" s="24" t="e">
        <f ca="1">_xll.EVPRO($B$1,H51,"JDEID")</f>
        <v>#NAME?</v>
      </c>
      <c r="M51" s="24" t="e">
        <f ca="1">IF(AND(I51="N",J51="N"),_xll.EVPRO($B$1,H51,"PSFTID"),"")</f>
        <v>#NAME?</v>
      </c>
      <c r="N51" s="24" t="e">
        <f ca="1">IF(_xll.EVDES(H51,$B$1)="#NODATA","",_xll.EVDES(H51,$B$1))</f>
        <v>#NAME?</v>
      </c>
      <c r="O51" s="304">
        <v>1000</v>
      </c>
      <c r="P51" s="305"/>
      <c r="Q51" s="305"/>
      <c r="R51" s="305"/>
      <c r="S51" s="305"/>
      <c r="T51" s="305"/>
      <c r="U51" s="305"/>
      <c r="V51" s="305"/>
      <c r="W51" s="305"/>
      <c r="X51" s="305"/>
      <c r="Y51" s="305"/>
      <c r="Z51" s="305"/>
      <c r="AA51" s="283" t="e">
        <f t="shared" ca="1" si="0"/>
        <v>#NAME?</v>
      </c>
      <c r="AB51" s="306" t="e">
        <f t="shared" ca="1" si="1"/>
        <v>#NAME?</v>
      </c>
      <c r="AC51" s="263"/>
      <c r="AD51" s="305"/>
      <c r="AE51" s="306" t="str">
        <f t="shared" si="2"/>
        <v/>
      </c>
      <c r="AF51" s="307" t="e">
        <f t="shared" ca="1" si="3"/>
        <v>#NAME?</v>
      </c>
      <c r="AG51" s="305">
        <v>46212.77</v>
      </c>
      <c r="AH51" s="306" t="str">
        <f t="shared" ca="1" si="5"/>
        <v/>
      </c>
      <c r="AI51" s="308" t="e">
        <f t="shared" ca="1" si="6"/>
        <v>#NAME?</v>
      </c>
      <c r="AJ51" s="371">
        <f t="shared" ca="1" si="7"/>
        <v>0</v>
      </c>
      <c r="AK51" s="372">
        <f t="shared" ca="1" si="8"/>
        <v>0</v>
      </c>
      <c r="AL51" s="373">
        <f t="shared" ca="1" si="9"/>
        <v>0</v>
      </c>
      <c r="AM51" s="374">
        <f t="shared" ca="1" si="10"/>
        <v>0</v>
      </c>
      <c r="AN51" s="375">
        <f t="shared" ca="1" si="11"/>
        <v>0</v>
      </c>
    </row>
    <row r="52" spans="1:40" x14ac:dyDescent="0.2">
      <c r="A52" s="6" t="s">
        <v>4</v>
      </c>
      <c r="B52" s="7" t="e">
        <f ca="1">_xll.EVRNG(#REF!)</f>
        <v>#NAME?</v>
      </c>
      <c r="H52" s="10" t="s">
        <v>282</v>
      </c>
      <c r="I52" s="25" t="e">
        <f ca="1">_xll.EVPRO($B$1,$H52,"STYLE")</f>
        <v>#NAME?</v>
      </c>
      <c r="J52" s="25" t="e">
        <f ca="1">_xll.EVPRO($B$1,$H52,"CALC")</f>
        <v>#NAME?</v>
      </c>
      <c r="K52" s="64" t="e">
        <f t="shared" ca="1" si="4"/>
        <v>#NAME?</v>
      </c>
      <c r="L52" s="24" t="e">
        <f ca="1">_xll.EVPRO($B$1,H52,"JDEID")</f>
        <v>#NAME?</v>
      </c>
      <c r="M52" s="24" t="e">
        <f ca="1">IF(AND(I52="N",J52="N"),_xll.EVPRO($B$1,H52,"PSFTID"),"")</f>
        <v>#NAME?</v>
      </c>
      <c r="N52" s="24" t="e">
        <f ca="1">IF(_xll.EVDES(H52,$B$1)="#NODATA","",_xll.EVDES(H52,$B$1))</f>
        <v>#NAME?</v>
      </c>
      <c r="O52" s="304">
        <v>1857.85</v>
      </c>
      <c r="P52" s="305"/>
      <c r="Q52" s="305"/>
      <c r="R52" s="305"/>
      <c r="S52" s="305"/>
      <c r="T52" s="305"/>
      <c r="U52" s="305"/>
      <c r="V52" s="305"/>
      <c r="W52" s="305"/>
      <c r="X52" s="305"/>
      <c r="Y52" s="305"/>
      <c r="Z52" s="305"/>
      <c r="AA52" s="283" t="e">
        <f t="shared" ca="1" si="0"/>
        <v>#NAME?</v>
      </c>
      <c r="AB52" s="306" t="e">
        <f t="shared" ca="1" si="1"/>
        <v>#NAME?</v>
      </c>
      <c r="AC52" s="263"/>
      <c r="AD52" s="305"/>
      <c r="AE52" s="306" t="str">
        <f t="shared" si="2"/>
        <v/>
      </c>
      <c r="AF52" s="307" t="e">
        <f t="shared" ca="1" si="3"/>
        <v>#NAME?</v>
      </c>
      <c r="AG52" s="305">
        <v>57106.14</v>
      </c>
      <c r="AH52" s="306" t="str">
        <f t="shared" ca="1" si="5"/>
        <v/>
      </c>
      <c r="AI52" s="308" t="e">
        <f t="shared" ca="1" si="6"/>
        <v>#NAME?</v>
      </c>
      <c r="AJ52" s="371">
        <f t="shared" ca="1" si="7"/>
        <v>0</v>
      </c>
      <c r="AK52" s="372">
        <f t="shared" ca="1" si="8"/>
        <v>0</v>
      </c>
      <c r="AL52" s="373">
        <f t="shared" ca="1" si="9"/>
        <v>0</v>
      </c>
      <c r="AM52" s="374">
        <f t="shared" ca="1" si="10"/>
        <v>0</v>
      </c>
      <c r="AN52" s="375">
        <f t="shared" ca="1" si="11"/>
        <v>0</v>
      </c>
    </row>
    <row r="53" spans="1:40" x14ac:dyDescent="0.2">
      <c r="A53" s="6" t="s">
        <v>5</v>
      </c>
      <c r="B53" s="7"/>
      <c r="F53" s="136"/>
      <c r="H53" s="10" t="s">
        <v>283</v>
      </c>
      <c r="I53" s="25" t="e">
        <f ca="1">_xll.EVPRO($B$1,$H53,"STYLE")</f>
        <v>#NAME?</v>
      </c>
      <c r="J53" s="25" t="e">
        <f ca="1">_xll.EVPRO($B$1,$H53,"CALC")</f>
        <v>#NAME?</v>
      </c>
      <c r="K53" s="64" t="e">
        <f t="shared" ca="1" si="4"/>
        <v>#NAME?</v>
      </c>
      <c r="L53" s="24" t="e">
        <f ca="1">_xll.EVPRO($B$1,H53,"JDEID")</f>
        <v>#NAME?</v>
      </c>
      <c r="M53" s="24" t="e">
        <f ca="1">IF(AND(I53="N",J53="N"),_xll.EVPRO($B$1,H53,"PSFTID"),"")</f>
        <v>#NAME?</v>
      </c>
      <c r="N53" s="24" t="e">
        <f ca="1">IF(_xll.EVDES(H53,$B$1)="#NODATA","",_xll.EVDES(H53,$B$1))</f>
        <v>#NAME?</v>
      </c>
      <c r="O53" s="304"/>
      <c r="P53" s="305"/>
      <c r="Q53" s="305"/>
      <c r="R53" s="305"/>
      <c r="S53" s="305"/>
      <c r="T53" s="305"/>
      <c r="U53" s="305"/>
      <c r="V53" s="305"/>
      <c r="W53" s="305"/>
      <c r="X53" s="305"/>
      <c r="Y53" s="305"/>
      <c r="Z53" s="305"/>
      <c r="AA53" s="283" t="e">
        <f t="shared" ca="1" si="0"/>
        <v>#NAME?</v>
      </c>
      <c r="AB53" s="306" t="e">
        <f t="shared" ca="1" si="1"/>
        <v>#NAME?</v>
      </c>
      <c r="AC53" s="263"/>
      <c r="AD53" s="305"/>
      <c r="AE53" s="306" t="str">
        <f t="shared" si="2"/>
        <v/>
      </c>
      <c r="AF53" s="307" t="e">
        <f t="shared" ca="1" si="3"/>
        <v>#NAME?</v>
      </c>
      <c r="AG53" s="305">
        <v>4145</v>
      </c>
      <c r="AH53" s="306" t="str">
        <f t="shared" ca="1" si="5"/>
        <v/>
      </c>
      <c r="AI53" s="308" t="e">
        <f t="shared" ca="1" si="6"/>
        <v>#NAME?</v>
      </c>
      <c r="AJ53" s="371">
        <f t="shared" ca="1" si="7"/>
        <v>0</v>
      </c>
      <c r="AK53" s="372">
        <f t="shared" ca="1" si="8"/>
        <v>0</v>
      </c>
      <c r="AL53" s="373">
        <f t="shared" ca="1" si="9"/>
        <v>0</v>
      </c>
      <c r="AM53" s="374">
        <f t="shared" ca="1" si="10"/>
        <v>0</v>
      </c>
      <c r="AN53" s="375">
        <f t="shared" ca="1" si="11"/>
        <v>0</v>
      </c>
    </row>
    <row r="54" spans="1:40" x14ac:dyDescent="0.2">
      <c r="A54" s="6" t="s">
        <v>6</v>
      </c>
      <c r="B54" s="7"/>
      <c r="F54" s="136"/>
      <c r="H54" s="10" t="s">
        <v>473</v>
      </c>
      <c r="I54" s="25" t="e">
        <f ca="1">_xll.EVPRO($B$1,$H54,"STYLE")</f>
        <v>#NAME?</v>
      </c>
      <c r="J54" s="25" t="e">
        <f ca="1">_xll.EVPRO($B$1,$H54,"CALC")</f>
        <v>#NAME?</v>
      </c>
      <c r="K54" s="64" t="e">
        <f t="shared" ca="1" si="4"/>
        <v>#NAME?</v>
      </c>
      <c r="L54" s="24" t="e">
        <f ca="1">_xll.EVPRO($B$1,H54,"JDEID")</f>
        <v>#NAME?</v>
      </c>
      <c r="M54" s="24" t="e">
        <f ca="1">IF(AND(I54="N",J54="N"),_xll.EVPRO($B$1,H54,"PSFTID"),"")</f>
        <v>#NAME?</v>
      </c>
      <c r="N54" s="24" t="e">
        <f ca="1">IF(_xll.EVDES(H54,$B$1)="#NODATA","",_xll.EVDES(H54,$B$1))</f>
        <v>#NAME?</v>
      </c>
      <c r="O54" s="295"/>
      <c r="P54" s="296"/>
      <c r="Q54" s="296"/>
      <c r="R54" s="296"/>
      <c r="S54" s="296"/>
      <c r="T54" s="296"/>
      <c r="U54" s="296"/>
      <c r="V54" s="296"/>
      <c r="W54" s="296"/>
      <c r="X54" s="296"/>
      <c r="Y54" s="296"/>
      <c r="Z54" s="296"/>
      <c r="AA54" s="296" t="e">
        <f t="shared" ca="1" si="0"/>
        <v>#NAME?</v>
      </c>
      <c r="AB54" s="297" t="e">
        <f t="shared" ca="1" si="1"/>
        <v>#NAME?</v>
      </c>
      <c r="AC54" s="263"/>
      <c r="AD54" s="296"/>
      <c r="AE54" s="297" t="str">
        <f t="shared" si="2"/>
        <v/>
      </c>
      <c r="AF54" s="298" t="e">
        <f t="shared" ca="1" si="3"/>
        <v>#NAME?</v>
      </c>
      <c r="AG54" s="296"/>
      <c r="AH54" s="297" t="str">
        <f t="shared" si="5"/>
        <v/>
      </c>
      <c r="AI54" s="299" t="e">
        <f t="shared" ca="1" si="6"/>
        <v>#NAME?</v>
      </c>
      <c r="AJ54" s="381">
        <f t="shared" ca="1" si="7"/>
        <v>0</v>
      </c>
      <c r="AK54" s="382">
        <f t="shared" ca="1" si="8"/>
        <v>0</v>
      </c>
      <c r="AL54" s="383">
        <f t="shared" ca="1" si="9"/>
        <v>0</v>
      </c>
      <c r="AM54" s="384">
        <f t="shared" ca="1" si="10"/>
        <v>0</v>
      </c>
      <c r="AN54" s="385">
        <f t="shared" ca="1" si="11"/>
        <v>0</v>
      </c>
    </row>
    <row r="55" spans="1:40" ht="16" thickBot="1" x14ac:dyDescent="0.25">
      <c r="A55" s="6" t="s">
        <v>7</v>
      </c>
      <c r="B55" s="7" t="e">
        <f ca="1">_xll.EVRNG(A69:F77)</f>
        <v>#NAME?</v>
      </c>
      <c r="F55" s="136"/>
      <c r="H55" s="10" t="s">
        <v>277</v>
      </c>
      <c r="I55" s="447" t="e">
        <f ca="1">_xll.EVPRO($B$1,$H55,"STYLE")</f>
        <v>#NAME?</v>
      </c>
      <c r="J55" s="447" t="e">
        <f ca="1">_xll.EVPRO($B$1,$H55,"CALC")</f>
        <v>#NAME?</v>
      </c>
      <c r="K55" s="448" t="e">
        <f t="shared" ca="1" si="4"/>
        <v>#NAME?</v>
      </c>
      <c r="L55" s="151" t="e">
        <f ca="1">_xll.EVPRO($B$1,H55,"JDEID")</f>
        <v>#NAME?</v>
      </c>
      <c r="M55" s="151" t="e">
        <f ca="1">IF(AND(I55="N",J55="N"),_xll.EVPRO($B$1,H55,"PSFTID"),"")</f>
        <v>#NAME?</v>
      </c>
      <c r="N55" s="151" t="e">
        <f ca="1">IF(_xll.EVDES(H55,$B$1)="#NODATA","",_xll.EVDES(H55,$B$1))</f>
        <v>#NAME?</v>
      </c>
      <c r="O55" s="203">
        <v>3802.85</v>
      </c>
      <c r="P55" s="33"/>
      <c r="Q55" s="33"/>
      <c r="R55" s="33"/>
      <c r="S55" s="33"/>
      <c r="T55" s="33"/>
      <c r="U55" s="33"/>
      <c r="V55" s="33"/>
      <c r="W55" s="33"/>
      <c r="X55" s="33"/>
      <c r="Y55" s="33"/>
      <c r="Z55" s="33"/>
      <c r="AA55" s="33" t="e">
        <f t="shared" ca="1" si="0"/>
        <v>#NAME?</v>
      </c>
      <c r="AB55" s="34" t="e">
        <f t="shared" ca="1" si="1"/>
        <v>#NAME?</v>
      </c>
      <c r="AC55" s="32"/>
      <c r="AD55" s="33"/>
      <c r="AE55" s="34" t="str">
        <f t="shared" si="2"/>
        <v/>
      </c>
      <c r="AF55" s="54" t="e">
        <f t="shared" ca="1" si="3"/>
        <v>#NAME?</v>
      </c>
      <c r="AG55" s="33">
        <v>129614.94</v>
      </c>
      <c r="AH55" s="34" t="str">
        <f t="shared" ca="1" si="5"/>
        <v/>
      </c>
      <c r="AI55" s="265" t="e">
        <f t="shared" ca="1" si="6"/>
        <v>#NAME?</v>
      </c>
      <c r="AJ55" s="344">
        <f t="shared" ca="1" si="7"/>
        <v>0</v>
      </c>
      <c r="AK55" s="345">
        <f t="shared" ca="1" si="8"/>
        <v>0</v>
      </c>
      <c r="AL55" s="347">
        <f t="shared" ca="1" si="9"/>
        <v>0</v>
      </c>
      <c r="AM55" s="379">
        <f t="shared" ca="1" si="10"/>
        <v>0</v>
      </c>
      <c r="AN55" s="380">
        <f t="shared" ca="1" si="11"/>
        <v>0</v>
      </c>
    </row>
    <row r="56" spans="1:40" ht="17" thickTop="1" thickBot="1" x14ac:dyDescent="0.25">
      <c r="A56" s="6" t="s">
        <v>47</v>
      </c>
      <c r="B56" s="7" t="e">
        <f ca="1">_xll.EVRNG($A$125:$B$146)</f>
        <v>#NAME?</v>
      </c>
      <c r="H56" s="10" t="s">
        <v>280</v>
      </c>
      <c r="I56" s="447" t="e">
        <f ca="1">_xll.EVPRO($B$1,$H56,"STYLE")</f>
        <v>#NAME?</v>
      </c>
      <c r="J56" s="447" t="e">
        <f ca="1">_xll.EVPRO($B$1,$H56,"CALC")</f>
        <v>#NAME?</v>
      </c>
      <c r="K56" s="448" t="e">
        <f t="shared" ca="1" si="4"/>
        <v>#NAME?</v>
      </c>
      <c r="L56" s="151" t="e">
        <f ca="1">_xll.EVPRO($B$1,H56,"JDEID")</f>
        <v>#NAME?</v>
      </c>
      <c r="M56" s="151" t="e">
        <f ca="1">IF(AND(I56="N",J56="N"),_xll.EVPRO($B$1,H56,"PSFTID"),"")</f>
        <v>#NAME?</v>
      </c>
      <c r="N56" s="151" t="e">
        <f ca="1">IF(_xll.EVDES(H56,$B$1)="#NODATA","",_xll.EVDES(H56,$B$1))</f>
        <v>#NAME?</v>
      </c>
      <c r="O56" s="459">
        <v>12080.06</v>
      </c>
      <c r="P56" s="460"/>
      <c r="Q56" s="460"/>
      <c r="R56" s="460"/>
      <c r="S56" s="460"/>
      <c r="T56" s="460"/>
      <c r="U56" s="460"/>
      <c r="V56" s="460"/>
      <c r="W56" s="460"/>
      <c r="X56" s="460"/>
      <c r="Y56" s="460"/>
      <c r="Z56" s="460"/>
      <c r="AA56" s="460" t="e">
        <f t="shared" ca="1" si="0"/>
        <v>#NAME?</v>
      </c>
      <c r="AB56" s="461" t="e">
        <f t="shared" ca="1" si="1"/>
        <v>#NAME?</v>
      </c>
      <c r="AC56" s="462"/>
      <c r="AD56" s="460"/>
      <c r="AE56" s="461" t="str">
        <f t="shared" si="2"/>
        <v/>
      </c>
      <c r="AF56" s="463" t="e">
        <f t="shared" ca="1" si="3"/>
        <v>#NAME?</v>
      </c>
      <c r="AG56" s="460">
        <v>383172.91</v>
      </c>
      <c r="AH56" s="461" t="str">
        <f t="shared" ca="1" si="5"/>
        <v/>
      </c>
      <c r="AI56" s="464" t="e">
        <f t="shared" ca="1" si="6"/>
        <v>#NAME?</v>
      </c>
      <c r="AJ56" s="465">
        <f t="shared" ca="1" si="7"/>
        <v>0</v>
      </c>
      <c r="AK56" s="466">
        <f t="shared" ca="1" si="8"/>
        <v>0</v>
      </c>
      <c r="AL56" s="467">
        <f t="shared" ca="1" si="9"/>
        <v>0</v>
      </c>
      <c r="AM56" s="468">
        <f t="shared" ca="1" si="10"/>
        <v>0</v>
      </c>
      <c r="AN56" s="469">
        <f t="shared" ca="1" si="11"/>
        <v>0</v>
      </c>
    </row>
    <row r="57" spans="1:40" ht="16" thickTop="1" x14ac:dyDescent="0.2">
      <c r="A57" s="6" t="s">
        <v>8</v>
      </c>
      <c r="B57" s="7"/>
      <c r="O57" s="144"/>
      <c r="P57" s="147"/>
      <c r="Q57" s="147"/>
      <c r="R57" s="147"/>
      <c r="S57" s="147"/>
      <c r="T57" s="147"/>
      <c r="U57" s="147"/>
      <c r="V57" s="147"/>
      <c r="W57" s="147"/>
      <c r="X57" s="147"/>
      <c r="Y57" s="147"/>
      <c r="Z57" s="147"/>
      <c r="AA57" s="147"/>
      <c r="AB57" s="51"/>
      <c r="AD57" s="50"/>
      <c r="AF57" s="51"/>
      <c r="AI57" s="51"/>
    </row>
    <row r="58" spans="1:40" x14ac:dyDescent="0.2">
      <c r="G58" s="13"/>
    </row>
    <row r="59" spans="1:40" x14ac:dyDescent="0.2">
      <c r="A59" s="3" t="s">
        <v>9</v>
      </c>
      <c r="B59" s="5" t="s">
        <v>10</v>
      </c>
      <c r="O59" s="147"/>
      <c r="P59" s="147"/>
      <c r="Q59" s="147"/>
      <c r="R59" s="147"/>
      <c r="S59" s="147"/>
      <c r="T59" s="147"/>
      <c r="U59" s="147"/>
      <c r="V59" s="147"/>
      <c r="W59" s="147"/>
      <c r="X59" s="147"/>
      <c r="Y59" s="147"/>
      <c r="Z59" s="147"/>
      <c r="AA59" s="147"/>
      <c r="AD59" s="147"/>
      <c r="AG59" s="147"/>
    </row>
    <row r="60" spans="1:40" x14ac:dyDescent="0.2">
      <c r="A60" s="6" t="s">
        <v>11</v>
      </c>
      <c r="B60" s="7" t="s">
        <v>21</v>
      </c>
    </row>
    <row r="61" spans="1:40" x14ac:dyDescent="0.2">
      <c r="A61" s="6" t="s">
        <v>12</v>
      </c>
      <c r="B61" s="7" t="s">
        <v>22</v>
      </c>
      <c r="O61" s="147"/>
      <c r="P61" s="147"/>
      <c r="Q61" s="147"/>
      <c r="R61" s="147"/>
      <c r="S61" s="147"/>
      <c r="T61" s="147"/>
      <c r="U61" s="147"/>
      <c r="V61" s="147"/>
      <c r="W61" s="147"/>
      <c r="X61" s="147"/>
      <c r="Y61" s="147"/>
      <c r="Z61" s="147"/>
      <c r="AA61" s="147"/>
      <c r="AD61" s="147"/>
      <c r="AG61" s="147"/>
    </row>
    <row r="62" spans="1:40" x14ac:dyDescent="0.2">
      <c r="A62" s="6" t="s">
        <v>13</v>
      </c>
      <c r="B62" s="7" t="e">
        <f ca="1">"DEP(COS_FB) AND "&amp;$E$6&amp;"=Y,COS_FB,COSOTH,DEP(COS_OTHR) AND "&amp;$E$6&amp;"=Y,COS_OTHR,500001"</f>
        <v>#NAME?</v>
      </c>
    </row>
    <row r="63" spans="1:40" x14ac:dyDescent="0.2">
      <c r="A63" s="6" t="s">
        <v>14</v>
      </c>
      <c r="B63" s="7"/>
    </row>
    <row r="64" spans="1:40" x14ac:dyDescent="0.2">
      <c r="A64" s="6" t="s">
        <v>15</v>
      </c>
      <c r="B64" s="7"/>
      <c r="H64" s="11"/>
      <c r="J64" s="1"/>
    </row>
    <row r="65" spans="1:10" x14ac:dyDescent="0.2">
      <c r="A65" s="6" t="s">
        <v>16</v>
      </c>
      <c r="B65" s="7"/>
      <c r="H65" s="11"/>
      <c r="J65" s="1"/>
    </row>
    <row r="66" spans="1:10" x14ac:dyDescent="0.2">
      <c r="A66" s="6" t="s">
        <v>17</v>
      </c>
      <c r="B66" s="7"/>
      <c r="H66" s="11"/>
      <c r="J66" s="1"/>
    </row>
    <row r="67" spans="1:10" x14ac:dyDescent="0.2">
      <c r="H67" s="11"/>
      <c r="J67" s="1"/>
    </row>
    <row r="68" spans="1:10" x14ac:dyDescent="0.2">
      <c r="A68" s="20" t="s">
        <v>92</v>
      </c>
      <c r="B68" s="21" t="s">
        <v>93</v>
      </c>
      <c r="C68" s="21" t="s">
        <v>94</v>
      </c>
      <c r="D68" s="21" t="s">
        <v>95</v>
      </c>
      <c r="E68" s="21" t="s">
        <v>96</v>
      </c>
      <c r="F68" s="22" t="s">
        <v>97</v>
      </c>
      <c r="H68" s="11"/>
      <c r="J68" s="1"/>
    </row>
    <row r="69" spans="1:10" x14ac:dyDescent="0.2">
      <c r="H69" s="11"/>
      <c r="J69" s="1"/>
    </row>
    <row r="70" spans="1:10" x14ac:dyDescent="0.2">
      <c r="A70" s="1" t="s">
        <v>209</v>
      </c>
      <c r="B70" s="1" t="s">
        <v>21</v>
      </c>
      <c r="C70" s="70"/>
      <c r="D70" s="1" t="s">
        <v>590</v>
      </c>
      <c r="F70" s="1" t="s">
        <v>99</v>
      </c>
      <c r="H70" s="11"/>
      <c r="J70" s="1"/>
    </row>
    <row r="71" spans="1:10" x14ac:dyDescent="0.2">
      <c r="A71" s="1" t="s">
        <v>105</v>
      </c>
      <c r="C71" s="24" t="s">
        <v>101</v>
      </c>
      <c r="D71" s="1" t="s">
        <v>106</v>
      </c>
      <c r="F71" s="1" t="s">
        <v>98</v>
      </c>
      <c r="H71" s="11"/>
      <c r="J71" s="1"/>
    </row>
    <row r="72" spans="1:10" x14ac:dyDescent="0.2">
      <c r="A72" s="1" t="s">
        <v>104</v>
      </c>
      <c r="C72" s="24" t="s">
        <v>101</v>
      </c>
      <c r="D72" s="1" t="s">
        <v>106</v>
      </c>
      <c r="F72" s="1" t="s">
        <v>98</v>
      </c>
      <c r="H72" s="11"/>
      <c r="J72" s="1"/>
    </row>
    <row r="73" spans="1:10" x14ac:dyDescent="0.2">
      <c r="A73" s="1" t="s">
        <v>100</v>
      </c>
      <c r="C73" s="8" t="s">
        <v>101</v>
      </c>
      <c r="D73" s="1" t="s">
        <v>106</v>
      </c>
      <c r="F73" s="1" t="s">
        <v>98</v>
      </c>
      <c r="H73" s="11"/>
      <c r="J73" s="1"/>
    </row>
    <row r="74" spans="1:10" hidden="1" x14ac:dyDescent="0.2">
      <c r="A74" s="1" t="s">
        <v>102</v>
      </c>
      <c r="C74" s="23" t="s">
        <v>101</v>
      </c>
      <c r="D74" s="1" t="s">
        <v>106</v>
      </c>
      <c r="F74" s="1" t="s">
        <v>98</v>
      </c>
      <c r="H74" s="11"/>
      <c r="J74" s="1"/>
    </row>
    <row r="75" spans="1:10" hidden="1" x14ac:dyDescent="0.2">
      <c r="A75" s="1" t="s">
        <v>102</v>
      </c>
      <c r="C75" s="135" t="s">
        <v>101</v>
      </c>
      <c r="D75" s="1" t="s">
        <v>107</v>
      </c>
      <c r="F75" s="1" t="s">
        <v>99</v>
      </c>
      <c r="H75" s="11"/>
      <c r="J75" s="1"/>
    </row>
    <row r="76" spans="1:10" x14ac:dyDescent="0.2">
      <c r="A76" s="1" t="s">
        <v>108</v>
      </c>
      <c r="C76" s="23" t="s">
        <v>101</v>
      </c>
      <c r="D76" s="1" t="s">
        <v>106</v>
      </c>
      <c r="F76" s="1" t="s">
        <v>98</v>
      </c>
      <c r="H76" s="11"/>
      <c r="J76" s="1"/>
    </row>
    <row r="77" spans="1:10" hidden="1" x14ac:dyDescent="0.2">
      <c r="A77" s="1" t="s">
        <v>108</v>
      </c>
      <c r="C77" s="135" t="s">
        <v>101</v>
      </c>
      <c r="D77" s="1" t="s">
        <v>107</v>
      </c>
      <c r="F77" s="1" t="s">
        <v>99</v>
      </c>
      <c r="H77" s="11"/>
      <c r="J77" s="1"/>
    </row>
    <row r="78" spans="1:10" hidden="1" x14ac:dyDescent="0.2">
      <c r="H78" s="11"/>
      <c r="J78" s="1"/>
    </row>
    <row r="79" spans="1:10" x14ac:dyDescent="0.2">
      <c r="C79" s="23"/>
      <c r="H79" s="11"/>
      <c r="J79" s="1"/>
    </row>
    <row r="80" spans="1:10" x14ac:dyDescent="0.2">
      <c r="A80" s="4"/>
      <c r="H80" s="11"/>
      <c r="J80" s="1"/>
    </row>
    <row r="81" spans="1:10" hidden="1" x14ac:dyDescent="0.2">
      <c r="H81" s="11"/>
      <c r="J81" s="1"/>
    </row>
    <row r="82" spans="1:10" hidden="1" x14ac:dyDescent="0.2">
      <c r="A82" s="3" t="s">
        <v>0</v>
      </c>
      <c r="B82" s="5" t="s">
        <v>1</v>
      </c>
      <c r="H82" s="11"/>
      <c r="J82" s="1"/>
    </row>
    <row r="83" spans="1:10" x14ac:dyDescent="0.2">
      <c r="A83" s="6" t="s">
        <v>2</v>
      </c>
      <c r="B83" s="7" t="e">
        <f ca="1">_xll.EVRNG($B$2:$B$10)</f>
        <v>#NAME?</v>
      </c>
      <c r="H83" s="11"/>
      <c r="J83" s="1"/>
    </row>
    <row r="84" spans="1:10" x14ac:dyDescent="0.2">
      <c r="A84" s="6" t="s">
        <v>3</v>
      </c>
      <c r="B84" s="7" t="e">
        <f ca="1">_xll.EVRNG($O$16:$AN$18)</f>
        <v>#NAME?</v>
      </c>
      <c r="H84" s="11"/>
      <c r="J84" s="1"/>
    </row>
    <row r="85" spans="1:10" x14ac:dyDescent="0.2">
      <c r="A85" s="6" t="s">
        <v>4</v>
      </c>
      <c r="B85" s="7" t="e">
        <f ca="1">_xll.EVRNG(#REF!,#REF!,#REF!)</f>
        <v>#NAME?</v>
      </c>
      <c r="H85" s="11"/>
      <c r="J85" s="1"/>
    </row>
    <row r="86" spans="1:10" x14ac:dyDescent="0.2">
      <c r="A86" s="6" t="s">
        <v>5</v>
      </c>
      <c r="B86" s="7"/>
      <c r="H86" s="11"/>
      <c r="J86" s="1"/>
    </row>
    <row r="87" spans="1:10" x14ac:dyDescent="0.2">
      <c r="A87" s="6" t="s">
        <v>6</v>
      </c>
      <c r="B87" s="7"/>
    </row>
    <row r="88" spans="1:10" x14ac:dyDescent="0.2">
      <c r="A88" s="6" t="s">
        <v>7</v>
      </c>
      <c r="B88" s="7" t="e">
        <f ca="1">_xll.EVRNG(A102:F108)</f>
        <v>#NAME?</v>
      </c>
    </row>
    <row r="89" spans="1:10" x14ac:dyDescent="0.2">
      <c r="A89" s="6" t="s">
        <v>47</v>
      </c>
      <c r="B89" s="7" t="e">
        <f ca="1">_xll.EVRNG($A$125:$B$146)</f>
        <v>#NAME?</v>
      </c>
    </row>
    <row r="90" spans="1:10" x14ac:dyDescent="0.2">
      <c r="A90" s="6" t="s">
        <v>8</v>
      </c>
      <c r="B90" s="7"/>
    </row>
    <row r="91" spans="1:10" x14ac:dyDescent="0.2">
      <c r="G91" s="13"/>
    </row>
    <row r="92" spans="1:10" x14ac:dyDescent="0.2">
      <c r="A92" s="3" t="s">
        <v>9</v>
      </c>
      <c r="B92" s="5" t="s">
        <v>10</v>
      </c>
    </row>
    <row r="93" spans="1:10" x14ac:dyDescent="0.2">
      <c r="A93" s="6" t="s">
        <v>11</v>
      </c>
      <c r="B93" s="7" t="s">
        <v>21</v>
      </c>
    </row>
    <row r="94" spans="1:10" x14ac:dyDescent="0.2">
      <c r="A94" s="6" t="s">
        <v>12</v>
      </c>
      <c r="B94" s="7" t="s">
        <v>22</v>
      </c>
    </row>
    <row r="95" spans="1:10" x14ac:dyDescent="0.2">
      <c r="A95" s="6" t="s">
        <v>13</v>
      </c>
      <c r="B95" s="7" t="s">
        <v>737</v>
      </c>
    </row>
    <row r="96" spans="1:10" x14ac:dyDescent="0.2">
      <c r="A96" s="6" t="s">
        <v>14</v>
      </c>
      <c r="B96" s="7"/>
    </row>
    <row r="97" spans="1:7" x14ac:dyDescent="0.2">
      <c r="A97" s="6" t="s">
        <v>15</v>
      </c>
      <c r="B97" s="7"/>
    </row>
    <row r="98" spans="1:7" x14ac:dyDescent="0.2">
      <c r="A98" s="6" t="s">
        <v>16</v>
      </c>
      <c r="B98" s="7" t="s">
        <v>78</v>
      </c>
    </row>
    <row r="99" spans="1:7" x14ac:dyDescent="0.2">
      <c r="A99" s="6" t="s">
        <v>17</v>
      </c>
      <c r="B99" s="7"/>
    </row>
    <row r="101" spans="1:7" x14ac:dyDescent="0.2">
      <c r="A101" s="20" t="s">
        <v>92</v>
      </c>
      <c r="B101" s="21" t="s">
        <v>93</v>
      </c>
      <c r="C101" s="21" t="s">
        <v>94</v>
      </c>
      <c r="D101" s="21" t="s">
        <v>95</v>
      </c>
      <c r="E101" s="21" t="s">
        <v>96</v>
      </c>
      <c r="F101" s="22" t="s">
        <v>97</v>
      </c>
    </row>
    <row r="103" spans="1:7" x14ac:dyDescent="0.2">
      <c r="A103" s="1" t="s">
        <v>108</v>
      </c>
      <c r="C103" s="24" t="s">
        <v>101</v>
      </c>
      <c r="D103" s="1" t="s">
        <v>106</v>
      </c>
      <c r="F103" s="1" t="s">
        <v>98</v>
      </c>
    </row>
    <row r="104" spans="1:7" x14ac:dyDescent="0.2">
      <c r="A104" s="1" t="s">
        <v>100</v>
      </c>
      <c r="C104" s="8" t="s">
        <v>101</v>
      </c>
      <c r="D104" s="1" t="s">
        <v>106</v>
      </c>
      <c r="F104" s="1" t="s">
        <v>98</v>
      </c>
    </row>
    <row r="105" spans="1:7" x14ac:dyDescent="0.2">
      <c r="A105" s="1" t="s">
        <v>109</v>
      </c>
      <c r="C105" s="23" t="s">
        <v>101</v>
      </c>
      <c r="D105" s="1" t="s">
        <v>106</v>
      </c>
      <c r="F105" s="1" t="s">
        <v>98</v>
      </c>
      <c r="G105" s="13"/>
    </row>
    <row r="106" spans="1:7" x14ac:dyDescent="0.2">
      <c r="A106" s="1" t="s">
        <v>109</v>
      </c>
      <c r="C106" s="135" t="s">
        <v>101</v>
      </c>
      <c r="D106" s="1" t="s">
        <v>107</v>
      </c>
      <c r="F106" s="1" t="s">
        <v>99</v>
      </c>
    </row>
    <row r="107" spans="1:7" x14ac:dyDescent="0.2">
      <c r="A107" s="1" t="s">
        <v>110</v>
      </c>
      <c r="C107" s="23" t="s">
        <v>101</v>
      </c>
      <c r="D107" s="1" t="s">
        <v>106</v>
      </c>
      <c r="F107" s="1" t="s">
        <v>98</v>
      </c>
    </row>
    <row r="108" spans="1:7" x14ac:dyDescent="0.2">
      <c r="A108" s="1" t="s">
        <v>110</v>
      </c>
      <c r="C108" s="27" t="s">
        <v>101</v>
      </c>
      <c r="D108" s="1" t="s">
        <v>107</v>
      </c>
      <c r="F108" s="1" t="s">
        <v>99</v>
      </c>
    </row>
    <row r="109" spans="1:7" x14ac:dyDescent="0.2">
      <c r="C109" s="23"/>
    </row>
    <row r="111" spans="1:7" x14ac:dyDescent="0.2">
      <c r="A111" s="4"/>
      <c r="B111" s="1" t="s">
        <v>736</v>
      </c>
    </row>
    <row r="113" spans="1:34" x14ac:dyDescent="0.2">
      <c r="A113" s="3" t="s">
        <v>0</v>
      </c>
      <c r="B113" s="5" t="s">
        <v>1</v>
      </c>
    </row>
    <row r="114" spans="1:34" x14ac:dyDescent="0.2">
      <c r="A114" s="6" t="s">
        <v>2</v>
      </c>
      <c r="B114" s="7" t="e">
        <f ca="1">_xll.EVRNG($B$2:$B$10)</f>
        <v>#NAME?</v>
      </c>
    </row>
    <row r="115" spans="1:34" x14ac:dyDescent="0.2">
      <c r="A115" s="6" t="s">
        <v>3</v>
      </c>
      <c r="B115" s="7" t="e">
        <f ca="1">_xll.EVRNG($O$16:$AN$18)</f>
        <v>#NAME?</v>
      </c>
    </row>
    <row r="116" spans="1:34" x14ac:dyDescent="0.2">
      <c r="A116" s="6" t="s">
        <v>4</v>
      </c>
      <c r="B116" s="7" t="e">
        <f ca="1">_xll.EVRNG(#REF!)</f>
        <v>#NAME?</v>
      </c>
    </row>
    <row r="117" spans="1:34" x14ac:dyDescent="0.2">
      <c r="A117" s="6" t="s">
        <v>5</v>
      </c>
      <c r="B117" s="7"/>
    </row>
    <row r="118" spans="1:34" x14ac:dyDescent="0.2">
      <c r="A118" s="6" t="s">
        <v>6</v>
      </c>
      <c r="B118" s="7"/>
    </row>
    <row r="119" spans="1:34" x14ac:dyDescent="0.2">
      <c r="A119" s="6" t="s">
        <v>7</v>
      </c>
      <c r="B119" s="7"/>
    </row>
    <row r="120" spans="1:34" x14ac:dyDescent="0.2">
      <c r="A120" s="6" t="s">
        <v>47</v>
      </c>
      <c r="B120" s="7" t="e">
        <f ca="1">_xll.EVRNG($A$125:$B$146)</f>
        <v>#NAME?</v>
      </c>
    </row>
    <row r="121" spans="1:34" x14ac:dyDescent="0.2">
      <c r="A121" s="6" t="s">
        <v>8</v>
      </c>
      <c r="B121" s="7"/>
    </row>
    <row r="124" spans="1:34" x14ac:dyDescent="0.2">
      <c r="A124" s="3" t="s">
        <v>23</v>
      </c>
      <c r="B124" s="5" t="s">
        <v>24</v>
      </c>
    </row>
    <row r="125" spans="1:34" x14ac:dyDescent="0.2">
      <c r="A125" s="6" t="s">
        <v>25</v>
      </c>
      <c r="B125" s="7"/>
    </row>
    <row r="126" spans="1:34" x14ac:dyDescent="0.2">
      <c r="A126" s="6" t="s">
        <v>26</v>
      </c>
      <c r="B126" s="7"/>
    </row>
    <row r="127" spans="1:34" x14ac:dyDescent="0.2">
      <c r="A127" s="6" t="s">
        <v>27</v>
      </c>
      <c r="B127" s="7"/>
      <c r="I127" s="72"/>
      <c r="J127" s="1"/>
      <c r="K127" s="72"/>
      <c r="L127" s="72"/>
      <c r="M127" s="72"/>
      <c r="O127" s="72"/>
      <c r="P127" s="72"/>
      <c r="Q127" s="72"/>
      <c r="R127" s="72"/>
      <c r="S127" s="72"/>
      <c r="T127" s="72"/>
      <c r="U127" s="72"/>
      <c r="V127" s="72"/>
      <c r="W127" s="72"/>
      <c r="X127" s="72"/>
      <c r="Y127" s="72"/>
      <c r="Z127" s="72"/>
      <c r="AA127" s="72"/>
      <c r="AD127" s="72"/>
      <c r="AF127" s="72"/>
      <c r="AH127" s="72"/>
    </row>
    <row r="128" spans="1:34" x14ac:dyDescent="0.2">
      <c r="A128" s="6" t="s">
        <v>28</v>
      </c>
      <c r="B128" s="7"/>
    </row>
    <row r="129" spans="1:34" x14ac:dyDescent="0.2">
      <c r="A129" s="6" t="s">
        <v>29</v>
      </c>
      <c r="B129" s="7"/>
    </row>
    <row r="130" spans="1:34" x14ac:dyDescent="0.2">
      <c r="A130" s="6" t="s">
        <v>30</v>
      </c>
      <c r="B130" s="7" t="s">
        <v>78</v>
      </c>
    </row>
    <row r="131" spans="1:34" x14ac:dyDescent="0.2">
      <c r="A131" s="6" t="s">
        <v>31</v>
      </c>
      <c r="B131" s="7" t="s">
        <v>78</v>
      </c>
      <c r="I131" s="72"/>
      <c r="J131" s="1"/>
      <c r="K131" s="72"/>
      <c r="L131" s="72"/>
      <c r="M131" s="72"/>
      <c r="O131" s="72"/>
      <c r="P131" s="72"/>
      <c r="Q131" s="72"/>
      <c r="R131" s="72"/>
      <c r="S131" s="72"/>
      <c r="T131" s="72"/>
      <c r="U131" s="72"/>
      <c r="V131" s="72"/>
      <c r="W131" s="72"/>
      <c r="X131" s="72"/>
      <c r="Y131" s="72"/>
      <c r="Z131" s="72"/>
      <c r="AA131" s="72"/>
      <c r="AD131" s="72"/>
      <c r="AF131" s="72"/>
      <c r="AH131" s="72"/>
    </row>
    <row r="132" spans="1:34" x14ac:dyDescent="0.2">
      <c r="A132" s="6" t="s">
        <v>32</v>
      </c>
      <c r="B132" s="7"/>
    </row>
    <row r="133" spans="1:34" x14ac:dyDescent="0.2">
      <c r="A133" s="6" t="s">
        <v>33</v>
      </c>
      <c r="B133" s="7"/>
    </row>
    <row r="134" spans="1:34" x14ac:dyDescent="0.2">
      <c r="A134" s="6" t="s">
        <v>34</v>
      </c>
      <c r="B134" s="7"/>
    </row>
    <row r="135" spans="1:34" x14ac:dyDescent="0.2">
      <c r="A135" s="6" t="s">
        <v>35</v>
      </c>
      <c r="B135" s="7"/>
    </row>
    <row r="136" spans="1:34" x14ac:dyDescent="0.2">
      <c r="A136" s="6" t="s">
        <v>36</v>
      </c>
      <c r="B136" s="7"/>
    </row>
    <row r="137" spans="1:34" x14ac:dyDescent="0.2">
      <c r="A137" s="6" t="s">
        <v>37</v>
      </c>
      <c r="B137" s="7"/>
    </row>
    <row r="138" spans="1:34" x14ac:dyDescent="0.2">
      <c r="A138" s="6" t="s">
        <v>38</v>
      </c>
      <c r="B138" s="7"/>
    </row>
    <row r="139" spans="1:34" x14ac:dyDescent="0.2">
      <c r="A139" s="6" t="s">
        <v>39</v>
      </c>
      <c r="B139" s="7"/>
    </row>
    <row r="140" spans="1:34" x14ac:dyDescent="0.2">
      <c r="A140" s="6" t="s">
        <v>40</v>
      </c>
      <c r="B140" s="7"/>
    </row>
    <row r="141" spans="1:34" x14ac:dyDescent="0.2">
      <c r="A141" s="6" t="s">
        <v>41</v>
      </c>
      <c r="B141" s="7"/>
    </row>
    <row r="142" spans="1:34" x14ac:dyDescent="0.2">
      <c r="A142" s="6" t="s">
        <v>42</v>
      </c>
      <c r="B142" s="7"/>
    </row>
    <row r="143" spans="1:34" x14ac:dyDescent="0.2">
      <c r="A143" s="6" t="s">
        <v>43</v>
      </c>
      <c r="B143" s="7"/>
    </row>
    <row r="144" spans="1:34" x14ac:dyDescent="0.2">
      <c r="A144" s="6" t="s">
        <v>44</v>
      </c>
      <c r="B144" s="7"/>
    </row>
    <row r="145" spans="1:2" x14ac:dyDescent="0.2">
      <c r="A145" s="6" t="s">
        <v>45</v>
      </c>
      <c r="B145" s="7"/>
    </row>
    <row r="146" spans="1:2" x14ac:dyDescent="0.2">
      <c r="A146" s="6" t="s">
        <v>46</v>
      </c>
      <c r="B146" s="7"/>
    </row>
    <row r="163" spans="5:7" x14ac:dyDescent="0.2">
      <c r="E163" s="72"/>
    </row>
    <row r="167" spans="5:7" x14ac:dyDescent="0.2">
      <c r="E167" s="72"/>
      <c r="G167" s="72"/>
    </row>
    <row r="171" spans="5:7" x14ac:dyDescent="0.2">
      <c r="G171" s="72"/>
    </row>
  </sheetData>
  <mergeCells count="2">
    <mergeCell ref="AD31:AE31"/>
    <mergeCell ref="AG31:AH31"/>
  </mergeCells>
  <dataValidations count="2">
    <dataValidation type="list" allowBlank="1" sqref="B95 B29 B62" xr:uid="{00000000-0002-0000-3200-000000000000}">
      <formula1>"SELF,ALL,BAS,DEP,BASMEMBERS,MEMBERS,NOEXPAND,GDEP"</formula1>
    </dataValidation>
    <dataValidation type="list" allowBlank="1" sqref="B94 B28 B61" xr:uid="{00000000-0002-0000-3200-000001000000}">
      <formula1>"ACCOUNT,BUSINESSUNIT,CATEGORY,DATASRC,DEPARTMENT,INTCO,MEASURES,RPTCURRENCY,TIME"</formula1>
    </dataValidation>
  </dataValidations>
  <pageMargins left="0.25" right="0.25" top="0.5" bottom="0.5" header="0.3" footer="0.3"/>
  <pageSetup scale="50" fitToHeight="0" orientation="landscape" r:id="rId1"/>
  <customProperties>
    <customPr name="EpmWorksheetKeyString_GUID" r:id="rId2"/>
    <customPr name="FPMExcelClientCellBasedFunctionStatus" r:id="rId3"/>
    <customPr name="FPMExcelClientRefreshTime" r:id="rId4"/>
  </customProperties>
  <drawing r:id="rId5"/>
  <legacyDrawing r:id="rId6"/>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6">
    <tabColor theme="6" tint="0.39997558519241921"/>
    <pageSetUpPr fitToPage="1"/>
  </sheetPr>
  <dimension ref="A1:AI207"/>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47.832031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16384" width="9.1640625" style="1"/>
  </cols>
  <sheetData>
    <row r="1" spans="1:35" hidden="1" outlineLevel="1" x14ac:dyDescent="0.2">
      <c r="A1" s="8" t="s">
        <v>48</v>
      </c>
      <c r="B1" s="2" t="s">
        <v>49</v>
      </c>
      <c r="C1" s="8" t="e">
        <f ca="1">_xll.EVAPD($B$1)</f>
        <v>#NAME?</v>
      </c>
      <c r="I1" s="1"/>
      <c r="J1" s="1"/>
      <c r="N1" s="16"/>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805</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35"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35" hidden="1" outlineLevel="1" x14ac:dyDescent="0.2">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2" t="e">
        <f ca="1">AA11</f>
        <v>#NAME?</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35" hidden="1" outlineLevel="1" x14ac:dyDescent="0.2">
      <c r="A19" s="6" t="s">
        <v>4</v>
      </c>
      <c r="B19" s="7" t="e">
        <f ca="1">_xll.EVRNG(H35:H112)</f>
        <v>#NAME?</v>
      </c>
      <c r="G19" s="16" t="str">
        <f>$B$6</f>
        <v>D2248</v>
      </c>
      <c r="H19" s="16" t="s">
        <v>273</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35" hidden="1" outlineLevel="1" x14ac:dyDescent="0.2">
      <c r="A20" s="6" t="s">
        <v>5</v>
      </c>
      <c r="B20" s="7"/>
      <c r="G20" s="16" t="str">
        <f>$B$6</f>
        <v>D2248</v>
      </c>
      <c r="H20" s="16">
        <v>946000</v>
      </c>
      <c r="I20" s="17"/>
      <c r="J20" s="17"/>
      <c r="K20" s="16"/>
      <c r="L20" s="16"/>
      <c r="M20" s="16"/>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SUM(R20:AC20)</f>
        <v>#NAME?</v>
      </c>
      <c r="AE20" s="16"/>
      <c r="AF20" s="16"/>
      <c r="AG20" s="18" t="e">
        <f ca="1">SUM(U20:AF20)</f>
        <v>#NAME?</v>
      </c>
      <c r="AH20" s="16"/>
      <c r="AI20" s="16"/>
    </row>
    <row r="21" spans="1:35" hidden="1" outlineLevel="1" x14ac:dyDescent="0.2">
      <c r="A21" s="6" t="s">
        <v>6</v>
      </c>
      <c r="B21" s="7"/>
      <c r="G21" s="16" t="s">
        <v>254</v>
      </c>
      <c r="H21" s="16">
        <v>901000</v>
      </c>
      <c r="I21" s="17"/>
      <c r="J21" s="17"/>
      <c r="K21" s="16"/>
      <c r="L21" s="16"/>
      <c r="M21" s="16"/>
      <c r="N21" s="16" t="e">
        <f ca="1">_xll.EVDES(H21)</f>
        <v>#NAME?</v>
      </c>
      <c r="O21" s="18" t="e">
        <f ca="1">_xll.EVGTS($B$1,1,$B$3,$B$5,$B$7,$B$9,O$16,O$17,O$18,$G$21,$H$21)</f>
        <v>#NAME?</v>
      </c>
      <c r="P21" s="18" t="e">
        <f ca="1">_xll.EVGTS($B$1,1,$B$3,$B$5,$B$7,$B$9,P$16,P$17,P$18,$G$21,$H$21)</f>
        <v>#NAME?</v>
      </c>
      <c r="Q21" s="18" t="e">
        <f ca="1">_xll.EVGTS($B$1,1,$B$3,$B$5,$B$7,$B$9,Q$16,Q$17,Q$18,$G$21,$H$21)</f>
        <v>#NAME?</v>
      </c>
      <c r="R21" s="18" t="e">
        <f ca="1">_xll.EVGTS($B$1,1,$B$3,$B$5,$B$7,$B$9,R$16,R$17,R$18,$G$21,$H$21)</f>
        <v>#NAME?</v>
      </c>
      <c r="S21" s="18" t="e">
        <f ca="1">_xll.EVGTS($B$1,1,$B$3,$B$5,$B$7,$B$9,S$16,S$17,S$18,$G$21,$H$21)</f>
        <v>#NAME?</v>
      </c>
      <c r="T21" s="18" t="e">
        <f ca="1">_xll.EVGTS($B$1,1,$B$3,$B$5,$B$7,$B$9,T$16,T$17,T$18,$G$21,$H$21)</f>
        <v>#NAME?</v>
      </c>
      <c r="U21" s="18" t="e">
        <f ca="1">_xll.EVGTS($B$1,1,$B$3,$B$5,$B$7,$B$9,U$16,U$17,U$18,$G$21,$H$21)</f>
        <v>#NAME?</v>
      </c>
      <c r="V21" s="18" t="e">
        <f ca="1">_xll.EVGTS($B$1,1,$B$3,$B$5,$B$7,$B$9,V$16,V$17,V$18,$G$21,$H$21)</f>
        <v>#NAME?</v>
      </c>
      <c r="W21" s="18" t="e">
        <f ca="1">_xll.EVGTS($B$1,1,$B$3,$B$5,$B$7,$B$9,W$16,W$17,W$18,$G$21,$H$21)</f>
        <v>#NAME?</v>
      </c>
      <c r="X21" s="18" t="e">
        <f ca="1">_xll.EVGTS($B$1,1,$B$3,$B$5,$B$7,$B$9,X$16,X$17,X$18,$G$21,$H$21)</f>
        <v>#NAME?</v>
      </c>
      <c r="Y21" s="18" t="e">
        <f ca="1">_xll.EVGTS($B$1,1,$B$3,$B$5,$B$7,$B$9,Y$16,Y$17,Y$18,$G$21,$H$21)</f>
        <v>#NAME?</v>
      </c>
      <c r="Z21" s="18" t="e">
        <f ca="1">_xll.EVGTS($B$1,1,$B$3,$B$5,$B$7,$B$9,Z$16,Z$17,Z$18,$G$21,$H$21)</f>
        <v>#NAME?</v>
      </c>
      <c r="AA21" s="18" t="e">
        <f ca="1">_xll.EVGTS($B$1,1,$B$3,$B$5,$B$7,$B$9,AA$16,AA$17,AA$18,$G$21,$H$21)</f>
        <v>#NAME?</v>
      </c>
      <c r="AB21" s="16"/>
      <c r="AC21" s="16"/>
      <c r="AD21" s="18" t="e">
        <f ca="1">_xll.EVGTS($B$1,1,$B$3,$B$5,$B$7,$B$9,AD$16,AD$17,AD$18,$G$21,$H$21)</f>
        <v>#NAME?</v>
      </c>
      <c r="AE21" s="16"/>
      <c r="AF21" s="16"/>
      <c r="AG21" s="18" t="e">
        <f ca="1">_xll.EVGTS($B$1,1,$B$3,$B$5,$B$7,$B$9,AG$16,AG$17,AG$18,$G$21,$H$21)</f>
        <v>#NAME?</v>
      </c>
      <c r="AH21" s="16"/>
      <c r="AI21" s="16"/>
    </row>
    <row r="22" spans="1:35" hidden="1" outlineLevel="1" x14ac:dyDescent="0.2">
      <c r="A22" s="6" t="s">
        <v>7</v>
      </c>
      <c r="B22" s="7"/>
      <c r="I22" s="1"/>
      <c r="J22" s="1"/>
    </row>
    <row r="23" spans="1:35" hidden="1" outlineLevel="1" x14ac:dyDescent="0.2">
      <c r="A23" s="6" t="s">
        <v>47</v>
      </c>
      <c r="B23" s="7" t="e">
        <f ca="1">_xll.EVRNG($A$37:$B$58)</f>
        <v>#NAME?</v>
      </c>
      <c r="K23" s="53"/>
      <c r="L23" s="53"/>
      <c r="M23" s="53"/>
      <c r="AD23" s="136"/>
    </row>
    <row r="24" spans="1:35" hidden="1" outlineLevel="1" x14ac:dyDescent="0.2">
      <c r="A24" s="6" t="s">
        <v>8</v>
      </c>
      <c r="B24" s="7"/>
    </row>
    <row r="25" spans="1:35" collapsed="1" x14ac:dyDescent="0.2"/>
    <row r="26" spans="1:35" ht="23" x14ac:dyDescent="0.25">
      <c r="A26" s="3" t="s">
        <v>9</v>
      </c>
      <c r="B26" s="5" t="s">
        <v>10</v>
      </c>
      <c r="N26" s="61" t="e">
        <f ca="1">IF(_xll.EVDES(B3,$B$1)="#NODATA","",_xll.EVDES(B3,$B$1))</f>
        <v>#NAME?</v>
      </c>
    </row>
    <row r="27" spans="1:35" ht="18" x14ac:dyDescent="0.2">
      <c r="A27" s="6" t="s">
        <v>11</v>
      </c>
      <c r="B27" s="7" t="s">
        <v>21</v>
      </c>
      <c r="N27" s="66" t="e">
        <f ca="1">IF($N$1="",IF(_xll.EVDES(B6,$B$1)="#NODATA","",_xll.EVDES(B6,$B$1)&amp;" Department"),$N$1)</f>
        <v>#NAME?</v>
      </c>
    </row>
    <row r="28" spans="1:35" ht="16" x14ac:dyDescent="0.2">
      <c r="A28" s="6" t="s">
        <v>12</v>
      </c>
      <c r="B28" s="7" t="s">
        <v>22</v>
      </c>
      <c r="N28" s="67" t="e">
        <f ca="1">"For the Period ended"&amp;" "&amp;IF(_xll.EVDES($B$10,$B$1)="#NODATA","",_xll.EVDES($B$10,$B$1))</f>
        <v>#NAME?</v>
      </c>
    </row>
    <row r="29" spans="1:35" ht="15" customHeight="1" x14ac:dyDescent="0.2">
      <c r="A29" s="6" t="s">
        <v>13</v>
      </c>
      <c r="B29" s="7" t="s">
        <v>293</v>
      </c>
      <c r="N29" s="67" t="e">
        <f ca="1">_xll.EVDES(B9,B1)</f>
        <v>#NAME?</v>
      </c>
      <c r="O29" s="62" t="s">
        <v>344</v>
      </c>
      <c r="P29" s="62"/>
      <c r="Q29" s="62"/>
      <c r="R29" s="62"/>
      <c r="S29" s="62"/>
      <c r="T29" s="62"/>
      <c r="U29" s="62"/>
      <c r="V29" s="62"/>
      <c r="W29" s="62"/>
      <c r="X29" s="62"/>
      <c r="Y29" s="62"/>
      <c r="Z29" s="62"/>
      <c r="AA29" s="62"/>
    </row>
    <row r="30" spans="1:35"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row>
    <row r="31" spans="1:35" x14ac:dyDescent="0.2">
      <c r="A31" s="6" t="s">
        <v>15</v>
      </c>
      <c r="B31" s="7"/>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row>
    <row r="32" spans="1:35" s="232" customFormat="1" ht="30" customHeight="1" x14ac:dyDescent="0.2">
      <c r="A32" s="230" t="s">
        <v>16</v>
      </c>
      <c r="B32" s="231"/>
      <c r="E32" s="1"/>
      <c r="H32" s="233"/>
      <c r="I32" s="234"/>
      <c r="J32" s="234"/>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row>
    <row r="33" spans="1:35" ht="16" x14ac:dyDescent="0.2">
      <c r="A33" s="6" t="s">
        <v>17</v>
      </c>
      <c r="B33" s="7"/>
      <c r="N33" s="155" t="s">
        <v>330</v>
      </c>
      <c r="O33" s="38"/>
      <c r="P33" s="42"/>
      <c r="Q33" s="42"/>
      <c r="R33" s="42"/>
      <c r="S33" s="42"/>
      <c r="T33" s="42"/>
      <c r="U33" s="42"/>
      <c r="V33" s="42"/>
      <c r="W33" s="42"/>
      <c r="X33" s="42"/>
      <c r="Y33" s="42"/>
      <c r="Z33" s="42"/>
      <c r="AA33" s="42"/>
      <c r="AB33" s="39"/>
      <c r="AD33" s="38"/>
      <c r="AE33" s="42"/>
      <c r="AF33" s="39"/>
      <c r="AG33" s="38"/>
      <c r="AH33" s="42"/>
      <c r="AI33" s="39"/>
    </row>
    <row r="34" spans="1:35" x14ac:dyDescent="0.2">
      <c r="L34" s="175" t="s">
        <v>364</v>
      </c>
      <c r="M34" s="175" t="s">
        <v>782</v>
      </c>
      <c r="N34" s="8" t="s">
        <v>312</v>
      </c>
      <c r="O34" s="50"/>
      <c r="AB34" s="51"/>
      <c r="AD34" s="50"/>
      <c r="AF34" s="51"/>
      <c r="AG34" s="50"/>
      <c r="AI34" s="51"/>
    </row>
    <row r="35" spans="1:35" x14ac:dyDescent="0.2">
      <c r="H35" s="10" t="s">
        <v>260</v>
      </c>
      <c r="I35" s="25" t="e">
        <f ca="1">_xll.EVPRO($B$1,$H35,"STYLE")</f>
        <v>#NAME?</v>
      </c>
      <c r="J35" s="25" t="e">
        <f ca="1">_xll.EVPRO($B$1,$H35,"CALC")</f>
        <v>#NAME?</v>
      </c>
      <c r="K35" s="24"/>
      <c r="L35" s="24" t="e">
        <f ca="1">_xll.EVPRO($B$1,H35,"JDEID")</f>
        <v>#NAME?</v>
      </c>
      <c r="M35" s="24" t="e">
        <f ca="1">IF(AND(I35="N",J35="N"),_xll.EVPRO($B$1,H35,"PSFTID"),"")</f>
        <v>#NAME?</v>
      </c>
      <c r="N35" s="24" t="e">
        <f ca="1">IF(_xll.EVDES(H35,$B$1)="#NODATA","",_xll.EVDES(H35,$B$1))</f>
        <v>#NAME?</v>
      </c>
      <c r="O35" s="19">
        <v>7313.21</v>
      </c>
      <c r="P35" s="19"/>
      <c r="Q35" s="19"/>
      <c r="R35" s="19"/>
      <c r="S35" s="19"/>
      <c r="T35" s="19"/>
      <c r="U35" s="19"/>
      <c r="V35" s="19"/>
      <c r="W35" s="19"/>
      <c r="X35" s="19"/>
      <c r="Y35" s="19"/>
      <c r="Z35" s="19"/>
      <c r="AA35" s="19">
        <f t="shared" ref="AA35:AA41" si="0">SUM(O35:Z35)</f>
        <v>7313.21</v>
      </c>
      <c r="AB35" s="15" t="str">
        <f ca="1">IF(AA35=0,"",IFERROR(AA35/AA$19,""))</f>
        <v/>
      </c>
      <c r="AD35" s="19"/>
      <c r="AE35" s="15" t="str">
        <f>IF(AD35=0,"",IFERROR(AD35/AD$19,""))</f>
        <v/>
      </c>
      <c r="AF35" s="47">
        <f t="shared" ref="AF35:AF42" si="1">IF(AND($AA35="",AD35=""),"",$AA35-AD35)</f>
        <v>7313.21</v>
      </c>
      <c r="AG35" s="19">
        <v>17299.599999999999</v>
      </c>
      <c r="AH35" s="15" t="str">
        <f ca="1">IF(AG35=0,"",IFERROR(AG35/AG$19,""))</f>
        <v/>
      </c>
      <c r="AI35" s="47">
        <f t="shared" ref="AI35:AI42" si="2">IF(AND($AA35="",AG35=""),"",$AA35-AG35)</f>
        <v>-9986.39</v>
      </c>
    </row>
    <row r="36" spans="1:35" x14ac:dyDescent="0.2">
      <c r="A36" s="3" t="s">
        <v>23</v>
      </c>
      <c r="B36" s="5" t="s">
        <v>24</v>
      </c>
      <c r="H36" s="10" t="s">
        <v>294</v>
      </c>
      <c r="I36" s="25" t="e">
        <f ca="1">_xll.EVPRO($B$1,$H36,"STYLE")</f>
        <v>#NAME?</v>
      </c>
      <c r="J36" s="25" t="e">
        <f ca="1">_xll.EVPRO($B$1,$H36,"CALC")</f>
        <v>#NAME?</v>
      </c>
      <c r="K36" s="24"/>
      <c r="L36" s="24" t="e">
        <f ca="1">_xll.EVPRO($B$1,H36,"JDEID")</f>
        <v>#NAME?</v>
      </c>
      <c r="M36" s="24" t="e">
        <f ca="1">IF(AND(I36="N",J36="N"),_xll.EVPRO($B$1,H36,"PSFTID"),"")</f>
        <v>#NAME?</v>
      </c>
      <c r="N36" s="24" t="e">
        <f ca="1">IF(_xll.EVDES(H36,$B$1)="#NODATA","",_xll.EVDES(H36,$B$1))</f>
        <v>#NAME?</v>
      </c>
      <c r="O36" s="19"/>
      <c r="P36" s="19"/>
      <c r="Q36" s="19"/>
      <c r="R36" s="19"/>
      <c r="S36" s="19"/>
      <c r="T36" s="19"/>
      <c r="U36" s="19"/>
      <c r="V36" s="19"/>
      <c r="W36" s="19"/>
      <c r="X36" s="19"/>
      <c r="Y36" s="19"/>
      <c r="Z36" s="19"/>
      <c r="AA36" s="19">
        <f t="shared" si="0"/>
        <v>0</v>
      </c>
      <c r="AB36" s="15" t="str">
        <f>IF(AA36=0,"",IFERROR(AA36/AA$19,""))</f>
        <v/>
      </c>
      <c r="AD36" s="19"/>
      <c r="AE36" s="15" t="str">
        <f>IF(AD36=0,"",IFERROR(AD36/AD$19,""))</f>
        <v/>
      </c>
      <c r="AF36" s="47">
        <f t="shared" si="1"/>
        <v>0</v>
      </c>
      <c r="AG36" s="19">
        <v>2633</v>
      </c>
      <c r="AH36" s="15" t="str">
        <f t="shared" ref="AH36:AH75" ca="1" si="3">IF(AG36=0,"",IFERROR(AG36/AG$19,""))</f>
        <v/>
      </c>
      <c r="AI36" s="47">
        <f t="shared" si="2"/>
        <v>-2633</v>
      </c>
    </row>
    <row r="37" spans="1:35" x14ac:dyDescent="0.2">
      <c r="A37" s="6" t="s">
        <v>25</v>
      </c>
      <c r="B37" s="7"/>
      <c r="H37" s="10" t="s">
        <v>295</v>
      </c>
      <c r="I37" s="25" t="e">
        <f ca="1">_xll.EVPRO($B$1,$H37,"STYLE")</f>
        <v>#NAME?</v>
      </c>
      <c r="J37" s="25" t="e">
        <f ca="1">_xll.EVPRO($B$1,$H37,"CALC")</f>
        <v>#NAME?</v>
      </c>
      <c r="K37" s="24"/>
      <c r="L37" s="24" t="e">
        <f ca="1">_xll.EVPRO($B$1,H37,"JDEID")</f>
        <v>#NAME?</v>
      </c>
      <c r="M37" s="24" t="e">
        <f ca="1">IF(AND(I37="N",J37="N"),_xll.EVPRO($B$1,H37,"PSFTID"),"")</f>
        <v>#NAME?</v>
      </c>
      <c r="N37" s="24" t="e">
        <f ca="1">IF(_xll.EVDES(H37,$B$1)="#NODATA","",_xll.EVDES(H37,$B$1))</f>
        <v>#NAME?</v>
      </c>
      <c r="O37" s="19"/>
      <c r="P37" s="19"/>
      <c r="Q37" s="19"/>
      <c r="R37" s="19"/>
      <c r="S37" s="19"/>
      <c r="T37" s="19"/>
      <c r="U37" s="19"/>
      <c r="V37" s="19"/>
      <c r="W37" s="19"/>
      <c r="X37" s="19"/>
      <c r="Y37" s="19"/>
      <c r="Z37" s="19"/>
      <c r="AA37" s="19">
        <f t="shared" si="0"/>
        <v>0</v>
      </c>
      <c r="AB37" s="15" t="str">
        <f>IF(AA37=0,"",IFERROR(AA37/AA$19,""))</f>
        <v/>
      </c>
      <c r="AD37" s="19"/>
      <c r="AE37" s="15" t="str">
        <f>IF(AD37=0,"",IFERROR(AD37/AD$19,""))</f>
        <v/>
      </c>
      <c r="AF37" s="47">
        <f t="shared" si="1"/>
        <v>0</v>
      </c>
      <c r="AG37" s="19"/>
      <c r="AH37" s="15" t="str">
        <f t="shared" si="3"/>
        <v/>
      </c>
      <c r="AI37" s="47">
        <f t="shared" si="2"/>
        <v>0</v>
      </c>
    </row>
    <row r="38" spans="1:35" x14ac:dyDescent="0.2">
      <c r="A38" s="6" t="s">
        <v>26</v>
      </c>
      <c r="B38" s="7"/>
      <c r="H38" s="10" t="s">
        <v>296</v>
      </c>
      <c r="I38" s="25" t="e">
        <f ca="1">_xll.EVPRO($B$1,$H38,"STYLE")</f>
        <v>#NAME?</v>
      </c>
      <c r="J38" s="25" t="e">
        <f ca="1">_xll.EVPRO($B$1,$H38,"CALC")</f>
        <v>#NAME?</v>
      </c>
      <c r="K38" s="24"/>
      <c r="L38" s="24" t="e">
        <f ca="1">_xll.EVPRO($B$1,H38,"JDEID")</f>
        <v>#NAME?</v>
      </c>
      <c r="M38" s="24" t="e">
        <f ca="1">IF(AND(I38="N",J38="N"),_xll.EVPRO($B$1,H38,"PSFTID"),"")</f>
        <v>#NAME?</v>
      </c>
      <c r="N38" s="24" t="e">
        <f ca="1">IF(_xll.EVDES(H38,$B$1)="#NODATA","",_xll.EVDES(H38,$B$1))</f>
        <v>#NAME?</v>
      </c>
      <c r="O38" s="28"/>
      <c r="P38" s="28"/>
      <c r="Q38" s="28"/>
      <c r="R38" s="28"/>
      <c r="S38" s="28"/>
      <c r="T38" s="28"/>
      <c r="U38" s="28"/>
      <c r="V38" s="28"/>
      <c r="W38" s="28"/>
      <c r="X38" s="28"/>
      <c r="Y38" s="28"/>
      <c r="Z38" s="28"/>
      <c r="AA38" s="28">
        <f t="shared" si="0"/>
        <v>0</v>
      </c>
      <c r="AB38" s="29" t="str">
        <f>IF(AA38=0,"",IFERROR(AA38/AA$19,""))</f>
        <v/>
      </c>
      <c r="AD38" s="28"/>
      <c r="AE38" s="29" t="str">
        <f>IF(AD38=0,"",IFERROR(AD38/AD$19,""))</f>
        <v/>
      </c>
      <c r="AF38" s="48">
        <f t="shared" si="1"/>
        <v>0</v>
      </c>
      <c r="AG38" s="28">
        <v>152</v>
      </c>
      <c r="AH38" s="29" t="str">
        <f t="shared" ca="1" si="3"/>
        <v/>
      </c>
      <c r="AI38" s="48">
        <f t="shared" si="2"/>
        <v>-152</v>
      </c>
    </row>
    <row r="39" spans="1:35" x14ac:dyDescent="0.2">
      <c r="A39" s="6" t="s">
        <v>27</v>
      </c>
      <c r="B39" s="7"/>
      <c r="H39" s="10" t="s">
        <v>318</v>
      </c>
      <c r="I39" s="25" t="e">
        <f ca="1">_xll.EVPRO($B$1,$H39,"STYLE")</f>
        <v>#NAME?</v>
      </c>
      <c r="J39" s="25" t="e">
        <f ca="1">_xll.EVPRO($B$1,$H39,"CALC")</f>
        <v>#NAME?</v>
      </c>
      <c r="K39" s="24"/>
      <c r="L39" s="24" t="e">
        <f ca="1">_xll.EVPRO($B$1,H39,"JDEID")</f>
        <v>#NAME?</v>
      </c>
      <c r="M39" s="24" t="e">
        <f ca="1">IF(AND(I39="N",J39="N"),_xll.EVPRO($B$1,H39,"PSFTID"),"")</f>
        <v>#NAME?</v>
      </c>
      <c r="N39" s="23" t="e">
        <f ca="1">IF(_xll.EVDES(H39,$B$1)="#NODATA","",_xll.EVDES(H39,$B$1))</f>
        <v>#NAME?</v>
      </c>
      <c r="O39" s="145">
        <v>7313.21</v>
      </c>
      <c r="P39" s="145"/>
      <c r="Q39" s="145"/>
      <c r="R39" s="145"/>
      <c r="S39" s="145"/>
      <c r="T39" s="145"/>
      <c r="U39" s="145"/>
      <c r="V39" s="145"/>
      <c r="W39" s="145"/>
      <c r="X39" s="145"/>
      <c r="Y39" s="145"/>
      <c r="Z39" s="145"/>
      <c r="AA39" s="145">
        <f t="shared" si="0"/>
        <v>7313.21</v>
      </c>
      <c r="AB39" s="156" t="str">
        <f ca="1">IF(AA39=0,"",IFERROR(AA39/AA$19,""))</f>
        <v/>
      </c>
      <c r="AD39" s="145"/>
      <c r="AE39" s="156" t="str">
        <f>IF(AD39=0,"",IFERROR(AD39/AD$19,""))</f>
        <v/>
      </c>
      <c r="AF39" s="146">
        <f t="shared" si="1"/>
        <v>7313.21</v>
      </c>
      <c r="AG39" s="145">
        <v>20084.599999999999</v>
      </c>
      <c r="AH39" s="156" t="str">
        <f t="shared" ca="1" si="3"/>
        <v/>
      </c>
      <c r="AI39" s="146">
        <f t="shared" si="2"/>
        <v>-12771.39</v>
      </c>
    </row>
    <row r="40" spans="1:35" x14ac:dyDescent="0.2">
      <c r="A40" s="6" t="s">
        <v>28</v>
      </c>
      <c r="B40" s="7"/>
      <c r="H40" s="10" t="s">
        <v>763</v>
      </c>
      <c r="I40" s="25" t="e">
        <f ca="1">_xll.EVPRO($B$1,$H40,"STYLE")</f>
        <v>#NAME?</v>
      </c>
      <c r="J40" s="25" t="e">
        <f ca="1">_xll.EVPRO($B$1,$H40,"CALC")</f>
        <v>#NAME?</v>
      </c>
      <c r="K40" s="24"/>
      <c r="L40" s="24" t="e">
        <f ca="1">_xll.EVPRO($B$1,H40,"JDEID")</f>
        <v>#NAME?</v>
      </c>
      <c r="M40" s="24" t="e">
        <f ca="1">IF(AND(I40="N",J40="N"),_xll.EVPRO($B$1,H40,"PSFTID"),"")</f>
        <v>#NAME?</v>
      </c>
      <c r="N40" s="24" t="e">
        <f ca="1">IF(_xll.EVDES(H40,$B$1)="#NODATA","",_xll.EVDES(H40,$B$1))</f>
        <v>#NAME?</v>
      </c>
      <c r="O40" s="35"/>
      <c r="P40" s="35"/>
      <c r="Q40" s="35"/>
      <c r="R40" s="35"/>
      <c r="S40" s="35"/>
      <c r="T40" s="35"/>
      <c r="U40" s="35"/>
      <c r="V40" s="35"/>
      <c r="W40" s="35"/>
      <c r="X40" s="35"/>
      <c r="Y40" s="35"/>
      <c r="Z40" s="35"/>
      <c r="AA40" s="35">
        <f t="shared" si="0"/>
        <v>0</v>
      </c>
      <c r="AB40" s="36"/>
      <c r="AD40" s="35"/>
      <c r="AE40" s="36"/>
      <c r="AF40" s="118">
        <f t="shared" si="1"/>
        <v>0</v>
      </c>
      <c r="AG40" s="35"/>
      <c r="AH40" s="36"/>
      <c r="AI40" s="118">
        <f t="shared" si="2"/>
        <v>0</v>
      </c>
    </row>
    <row r="41" spans="1:35" x14ac:dyDescent="0.2">
      <c r="A41" s="6" t="s">
        <v>29</v>
      </c>
      <c r="B41" s="7"/>
      <c r="H41" s="10" t="s">
        <v>297</v>
      </c>
      <c r="I41" s="25" t="e">
        <f ca="1">_xll.EVPRO($B$1,$H41,"STYLE")</f>
        <v>#NAME?</v>
      </c>
      <c r="J41" s="25" t="e">
        <f ca="1">_xll.EVPRO($B$1,$H41,"CALC")</f>
        <v>#NAME?</v>
      </c>
      <c r="K41" s="24"/>
      <c r="L41" s="24" t="e">
        <f ca="1">_xll.EVPRO($B$1,H41,"JDEID")</f>
        <v>#NAME?</v>
      </c>
      <c r="M41" s="24" t="e">
        <f ca="1">IF(AND(I41="N",J41="N"),_xll.EVPRO($B$1,H41,"PSFTID"),"")</f>
        <v>#NAME?</v>
      </c>
      <c r="N41" s="24" t="e">
        <f ca="1">IF(_xll.EVDES(H41,$B$1)="#NODATA","",_xll.EVDES(H41,$B$1))</f>
        <v>#NAME?</v>
      </c>
      <c r="O41" s="35">
        <v>52</v>
      </c>
      <c r="P41" s="35"/>
      <c r="Q41" s="35"/>
      <c r="R41" s="35"/>
      <c r="S41" s="35"/>
      <c r="T41" s="35"/>
      <c r="U41" s="35"/>
      <c r="V41" s="35"/>
      <c r="W41" s="35"/>
      <c r="X41" s="35"/>
      <c r="Y41" s="35"/>
      <c r="Z41" s="35"/>
      <c r="AA41" s="35">
        <f t="shared" si="0"/>
        <v>52</v>
      </c>
      <c r="AB41" s="36">
        <f>IF(AA41=0,"",IFERROR(AA41/AA$83,""))</f>
        <v>0.66666666666666663</v>
      </c>
      <c r="AD41" s="35"/>
      <c r="AE41" s="36" t="str">
        <f>IF(AD41=0,"",IFERROR(AD41/AD$83,""))</f>
        <v/>
      </c>
      <c r="AF41" s="118">
        <f t="shared" si="1"/>
        <v>52</v>
      </c>
      <c r="AG41" s="35">
        <v>380</v>
      </c>
      <c r="AH41" s="36">
        <f>IF(AG41=0,"",IFERROR(AG41/AG$83,""))</f>
        <v>9.6765979118920292E-2</v>
      </c>
      <c r="AI41" s="118">
        <f t="shared" si="2"/>
        <v>-328</v>
      </c>
    </row>
    <row r="42" spans="1:35" x14ac:dyDescent="0.2">
      <c r="A42" s="6" t="s">
        <v>30</v>
      </c>
      <c r="B42" s="7" t="s">
        <v>78</v>
      </c>
      <c r="H42" s="10" t="s">
        <v>313</v>
      </c>
      <c r="I42" s="25" t="e">
        <f ca="1">_xll.EVPRO($B$1,$H42,"STYLE")</f>
        <v>#NAME?</v>
      </c>
      <c r="J42" s="25" t="e">
        <f ca="1">_xll.EVPRO($B$1,$H42,"CALC")</f>
        <v>#NAME?</v>
      </c>
      <c r="K42" s="24"/>
      <c r="L42" s="24" t="e">
        <f ca="1">_xll.EVPRO($B$1,H42,"JDEID")</f>
        <v>#NAME?</v>
      </c>
      <c r="M42" s="24" t="e">
        <f ca="1">IF(AND(I42="N",J42="N"),_xll.EVPRO($B$1,H42,"PSFTID"),"")</f>
        <v>#NAME?</v>
      </c>
      <c r="N42" s="151" t="e">
        <f ca="1">IF(_xll.EVDES(H42,$B$1)="#NODATA","",_xll.EVDES(H42,$B$1))</f>
        <v>#NAME?</v>
      </c>
      <c r="O42" s="157">
        <v>140.638653846154</v>
      </c>
      <c r="P42" s="157"/>
      <c r="Q42" s="157"/>
      <c r="R42" s="157"/>
      <c r="S42" s="157"/>
      <c r="T42" s="157"/>
      <c r="U42" s="157"/>
      <c r="V42" s="157"/>
      <c r="W42" s="157"/>
      <c r="X42" s="157"/>
      <c r="Y42" s="157"/>
      <c r="Z42" s="157"/>
      <c r="AA42" s="157">
        <f>IFERROR(AA39/AA41,"")</f>
        <v>140.63865384615386</v>
      </c>
      <c r="AB42" s="157"/>
      <c r="AD42" s="157"/>
      <c r="AE42" s="157"/>
      <c r="AF42" s="158">
        <f t="shared" si="1"/>
        <v>140.63865384615386</v>
      </c>
      <c r="AG42" s="157">
        <v>52.854210526315804</v>
      </c>
      <c r="AH42" s="157"/>
      <c r="AI42" s="158">
        <f t="shared" si="2"/>
        <v>87.784443319838061</v>
      </c>
    </row>
    <row r="43" spans="1:35" x14ac:dyDescent="0.2">
      <c r="A43" s="6" t="s">
        <v>31</v>
      </c>
      <c r="B43" s="7" t="s">
        <v>78</v>
      </c>
      <c r="H43" s="10"/>
      <c r="I43" s="25"/>
      <c r="J43" s="25"/>
      <c r="K43" s="24"/>
      <c r="L43" s="24"/>
      <c r="M43" s="24"/>
      <c r="N43" s="163" t="s">
        <v>345</v>
      </c>
      <c r="O43" s="160">
        <f t="shared" ref="O43:AA43" si="4">ROUND(IFERROR(O39/O41,0),2)</f>
        <v>140.63999999999999</v>
      </c>
      <c r="P43" s="165">
        <f t="shared" si="4"/>
        <v>0</v>
      </c>
      <c r="Q43" s="165">
        <f t="shared" si="4"/>
        <v>0</v>
      </c>
      <c r="R43" s="165">
        <f t="shared" si="4"/>
        <v>0</v>
      </c>
      <c r="S43" s="165">
        <f t="shared" si="4"/>
        <v>0</v>
      </c>
      <c r="T43" s="165">
        <f t="shared" si="4"/>
        <v>0</v>
      </c>
      <c r="U43" s="165">
        <f t="shared" si="4"/>
        <v>0</v>
      </c>
      <c r="V43" s="165">
        <f t="shared" si="4"/>
        <v>0</v>
      </c>
      <c r="W43" s="165">
        <f t="shared" si="4"/>
        <v>0</v>
      </c>
      <c r="X43" s="165">
        <f t="shared" si="4"/>
        <v>0</v>
      </c>
      <c r="Y43" s="165">
        <f t="shared" si="4"/>
        <v>0</v>
      </c>
      <c r="Z43" s="165">
        <f t="shared" si="4"/>
        <v>0</v>
      </c>
      <c r="AA43" s="165">
        <f t="shared" si="4"/>
        <v>140.63999999999999</v>
      </c>
      <c r="AB43" s="164"/>
      <c r="AD43" s="160">
        <f>ROUND(IFERROR(AD39/AD41,0),2)</f>
        <v>0</v>
      </c>
      <c r="AE43" s="165"/>
      <c r="AF43" s="161"/>
      <c r="AG43" s="160">
        <f>ROUND(IFERROR(AG39/AG41,0),2)</f>
        <v>52.85</v>
      </c>
      <c r="AH43" s="165"/>
      <c r="AI43" s="161"/>
    </row>
    <row r="44" spans="1:35" x14ac:dyDescent="0.2">
      <c r="A44" s="6" t="s">
        <v>32</v>
      </c>
      <c r="B44" s="7"/>
      <c r="G44" s="162">
        <f>COUNTIF(O44:AI44,FALSE)</f>
        <v>0</v>
      </c>
      <c r="H44" s="10"/>
      <c r="I44" s="25"/>
      <c r="J44" s="25"/>
      <c r="K44" s="24"/>
      <c r="L44" s="24"/>
      <c r="M44" s="24"/>
      <c r="N44" s="8" t="s">
        <v>314</v>
      </c>
      <c r="O44" s="292" t="b">
        <f t="shared" ref="O44:AA44" si="5">ROUND(O42,2)=ROUND(O43,2)</f>
        <v>1</v>
      </c>
      <c r="P44" s="293" t="b">
        <f t="shared" si="5"/>
        <v>1</v>
      </c>
      <c r="Q44" s="293" t="b">
        <f t="shared" si="5"/>
        <v>1</v>
      </c>
      <c r="R44" s="293" t="b">
        <f t="shared" si="5"/>
        <v>1</v>
      </c>
      <c r="S44" s="293" t="b">
        <f t="shared" si="5"/>
        <v>1</v>
      </c>
      <c r="T44" s="293" t="b">
        <f t="shared" si="5"/>
        <v>1</v>
      </c>
      <c r="U44" s="293" t="b">
        <f t="shared" si="5"/>
        <v>1</v>
      </c>
      <c r="V44" s="293" t="b">
        <f t="shared" si="5"/>
        <v>1</v>
      </c>
      <c r="W44" s="293" t="b">
        <f t="shared" si="5"/>
        <v>1</v>
      </c>
      <c r="X44" s="293" t="b">
        <f t="shared" si="5"/>
        <v>1</v>
      </c>
      <c r="Y44" s="293" t="b">
        <f t="shared" si="5"/>
        <v>1</v>
      </c>
      <c r="Z44" s="293" t="b">
        <f t="shared" si="5"/>
        <v>1</v>
      </c>
      <c r="AA44" s="293" t="b">
        <f t="shared" si="5"/>
        <v>1</v>
      </c>
      <c r="AB44" s="294"/>
      <c r="AC44" s="206"/>
      <c r="AD44" s="292"/>
      <c r="AE44" s="293" t="b">
        <f>ROUND(AD42,2)=ROUND(AD43,2)</f>
        <v>1</v>
      </c>
      <c r="AF44" s="294"/>
      <c r="AG44" s="292"/>
      <c r="AH44" s="293" t="b">
        <f>ROUND(AG42,2)=ROUND(AG43,2)</f>
        <v>1</v>
      </c>
      <c r="AI44" s="294"/>
    </row>
    <row r="45" spans="1:35" x14ac:dyDescent="0.2">
      <c r="A45" s="6" t="s">
        <v>33</v>
      </c>
      <c r="B45" s="7"/>
      <c r="H45" s="10" t="s">
        <v>261</v>
      </c>
      <c r="I45" s="25" t="e">
        <f ca="1">_xll.EVPRO($B$1,$H45,"STYLE")</f>
        <v>#NAME?</v>
      </c>
      <c r="J45" s="25" t="e">
        <f ca="1">_xll.EVPRO($B$1,$H45,"CALC")</f>
        <v>#NAME?</v>
      </c>
      <c r="K45" s="24"/>
      <c r="L45" s="24" t="e">
        <f ca="1">_xll.EVPRO($B$1,H45,"JDEID")</f>
        <v>#NAME?</v>
      </c>
      <c r="M45" s="24" t="e">
        <f ca="1">IF(AND(I45="N",J45="N"),_xll.EVPRO($B$1,H45,"PSFTID"),"")</f>
        <v>#NAME?</v>
      </c>
      <c r="N45" s="24" t="e">
        <f ca="1">IF(_xll.EVDES(H45,$B$1)="#NODATA","",_xll.EVDES(H45,$B$1))</f>
        <v>#NAME?</v>
      </c>
      <c r="O45" s="19"/>
      <c r="P45" s="19"/>
      <c r="Q45" s="19"/>
      <c r="R45" s="19"/>
      <c r="S45" s="19"/>
      <c r="T45" s="19"/>
      <c r="U45" s="19"/>
      <c r="V45" s="19"/>
      <c r="W45" s="19"/>
      <c r="X45" s="19"/>
      <c r="Y45" s="19"/>
      <c r="Z45" s="19"/>
      <c r="AA45" s="19">
        <f t="shared" ref="AA45:AA51" si="6">SUM(O45:Z45)</f>
        <v>0</v>
      </c>
      <c r="AB45" s="15" t="str">
        <f>IF(AA45=0,"",IFERROR(AA45/AA$19,""))</f>
        <v/>
      </c>
      <c r="AD45" s="19"/>
      <c r="AE45" s="15" t="str">
        <f>IF(AD45=0,"",IFERROR(AD45/AD$19,""))</f>
        <v/>
      </c>
      <c r="AF45" s="47">
        <f t="shared" ref="AF45:AF52" si="7">IF(AND($AA45="",AD45=""),"",$AA45-AD45)</f>
        <v>0</v>
      </c>
      <c r="AG45" s="19">
        <v>99409.63</v>
      </c>
      <c r="AH45" s="15" t="str">
        <f t="shared" ca="1" si="3"/>
        <v/>
      </c>
      <c r="AI45" s="47">
        <f t="shared" ref="AI45:AI52" si="8">IF(AND($AA45="",AG45=""),"",$AA45-AG45)</f>
        <v>-99409.63</v>
      </c>
    </row>
    <row r="46" spans="1:35" x14ac:dyDescent="0.2">
      <c r="A46" s="6" t="s">
        <v>34</v>
      </c>
      <c r="B46" s="7"/>
      <c r="H46" s="133" t="s">
        <v>301</v>
      </c>
      <c r="I46" s="25" t="e">
        <f ca="1">_xll.EVPRO($B$1,$H46,"STYLE")</f>
        <v>#NAME?</v>
      </c>
      <c r="J46" s="25" t="e">
        <f ca="1">_xll.EVPRO($B$1,$H46,"CALC")</f>
        <v>#NAME?</v>
      </c>
      <c r="K46" s="24"/>
      <c r="L46" s="24" t="e">
        <f ca="1">_xll.EVPRO($B$1,H46,"JDEID")</f>
        <v>#NAME?</v>
      </c>
      <c r="M46" s="24" t="e">
        <f ca="1">IF(AND(I46="N",J46="N"),_xll.EVPRO($B$1,H46,"PSFTID"),"")</f>
        <v>#NAME?</v>
      </c>
      <c r="N46" s="24" t="e">
        <f ca="1">IF(_xll.EVDES(H46,$B$1)="#NODATA","",_xll.EVDES(H46,$B$1))</f>
        <v>#NAME?</v>
      </c>
      <c r="O46" s="19"/>
      <c r="P46" s="19"/>
      <c r="Q46" s="19"/>
      <c r="R46" s="19"/>
      <c r="S46" s="19"/>
      <c r="T46" s="19"/>
      <c r="U46" s="19"/>
      <c r="V46" s="19"/>
      <c r="W46" s="19"/>
      <c r="X46" s="19"/>
      <c r="Y46" s="19"/>
      <c r="Z46" s="19"/>
      <c r="AA46" s="19">
        <f t="shared" si="6"/>
        <v>0</v>
      </c>
      <c r="AB46" s="15" t="str">
        <f>IF(AA46=0,"",IFERROR(AA46/AA$19,""))</f>
        <v/>
      </c>
      <c r="AD46" s="19"/>
      <c r="AE46" s="15" t="str">
        <f>IF(AD46=0,"",IFERROR(AD46/AD$19,""))</f>
        <v/>
      </c>
      <c r="AF46" s="47">
        <f t="shared" si="7"/>
        <v>0</v>
      </c>
      <c r="AG46" s="19">
        <v>1557</v>
      </c>
      <c r="AH46" s="15" t="str">
        <f t="shared" ca="1" si="3"/>
        <v/>
      </c>
      <c r="AI46" s="47">
        <f t="shared" si="8"/>
        <v>-1557</v>
      </c>
    </row>
    <row r="47" spans="1:35" x14ac:dyDescent="0.2">
      <c r="A47" s="6" t="s">
        <v>35</v>
      </c>
      <c r="B47" s="7"/>
      <c r="H47" s="133" t="s">
        <v>305</v>
      </c>
      <c r="I47" s="25" t="e">
        <f ca="1">_xll.EVPRO($B$1,$H47,"STYLE")</f>
        <v>#NAME?</v>
      </c>
      <c r="J47" s="25" t="e">
        <f ca="1">_xll.EVPRO($B$1,$H47,"CALC")</f>
        <v>#NAME?</v>
      </c>
      <c r="K47" s="24"/>
      <c r="L47" s="24" t="e">
        <f ca="1">_xll.EVPRO($B$1,H47,"JDEID")</f>
        <v>#NAME?</v>
      </c>
      <c r="M47" s="24" t="e">
        <f ca="1">IF(AND(I47="N",J47="N"),_xll.EVPRO($B$1,H47,"PSFTID"),"")</f>
        <v>#NAME?</v>
      </c>
      <c r="N47" s="24" t="e">
        <f ca="1">IF(_xll.EVDES(H47,$B$1)="#NODATA","",_xll.EVDES(H47,$B$1))</f>
        <v>#NAME?</v>
      </c>
      <c r="O47" s="19"/>
      <c r="P47" s="19"/>
      <c r="Q47" s="19"/>
      <c r="R47" s="19"/>
      <c r="S47" s="19"/>
      <c r="T47" s="19"/>
      <c r="U47" s="19"/>
      <c r="V47" s="19"/>
      <c r="W47" s="19"/>
      <c r="X47" s="19"/>
      <c r="Y47" s="19"/>
      <c r="Z47" s="19"/>
      <c r="AA47" s="19">
        <f t="shared" si="6"/>
        <v>0</v>
      </c>
      <c r="AB47" s="15" t="str">
        <f>IF(AA47=0,"",IFERROR(AA47/AA$19,""))</f>
        <v/>
      </c>
      <c r="AD47" s="19"/>
      <c r="AE47" s="15" t="str">
        <f>IF(AD47=0,"",IFERROR(AD47/AD$19,""))</f>
        <v/>
      </c>
      <c r="AF47" s="47">
        <f t="shared" si="7"/>
        <v>0</v>
      </c>
      <c r="AG47" s="19">
        <v>856</v>
      </c>
      <c r="AH47" s="15" t="str">
        <f t="shared" ca="1" si="3"/>
        <v/>
      </c>
      <c r="AI47" s="47">
        <f t="shared" si="8"/>
        <v>-856</v>
      </c>
    </row>
    <row r="48" spans="1:35" x14ac:dyDescent="0.2">
      <c r="A48" s="6" t="s">
        <v>36</v>
      </c>
      <c r="B48" s="7"/>
      <c r="H48" s="133" t="s">
        <v>303</v>
      </c>
      <c r="I48" s="25" t="e">
        <f ca="1">_xll.EVPRO($B$1,$H48,"STYLE")</f>
        <v>#NAME?</v>
      </c>
      <c r="J48" s="25" t="e">
        <f ca="1">_xll.EVPRO($B$1,$H48,"CALC")</f>
        <v>#NAME?</v>
      </c>
      <c r="K48" s="24"/>
      <c r="L48" s="24" t="e">
        <f ca="1">_xll.EVPRO($B$1,H48,"JDEID")</f>
        <v>#NAME?</v>
      </c>
      <c r="M48" s="24" t="e">
        <f ca="1">IF(AND(I48="N",J48="N"),_xll.EVPRO($B$1,H48,"PSFTID"),"")</f>
        <v>#NAME?</v>
      </c>
      <c r="N48" s="24" t="e">
        <f ca="1">IF(_xll.EVDES(H48,$B$1)="#NODATA","",_xll.EVDES(H48,$B$1))</f>
        <v>#NAME?</v>
      </c>
      <c r="O48" s="28"/>
      <c r="P48" s="28"/>
      <c r="Q48" s="28"/>
      <c r="R48" s="28"/>
      <c r="S48" s="28"/>
      <c r="T48" s="28"/>
      <c r="U48" s="28"/>
      <c r="V48" s="28"/>
      <c r="W48" s="28"/>
      <c r="X48" s="28"/>
      <c r="Y48" s="28"/>
      <c r="Z48" s="28"/>
      <c r="AA48" s="28">
        <f t="shared" si="6"/>
        <v>0</v>
      </c>
      <c r="AB48" s="29" t="str">
        <f>IF(AA48=0,"",IFERROR(AA48/AA$19,""))</f>
        <v/>
      </c>
      <c r="AD48" s="28"/>
      <c r="AE48" s="29" t="str">
        <f>IF(AD48=0,"",IFERROR(AD48/AD$19,""))</f>
        <v/>
      </c>
      <c r="AF48" s="48">
        <f t="shared" si="7"/>
        <v>0</v>
      </c>
      <c r="AG48" s="28">
        <v>1021</v>
      </c>
      <c r="AH48" s="29" t="str">
        <f t="shared" ca="1" si="3"/>
        <v/>
      </c>
      <c r="AI48" s="48">
        <f t="shared" si="8"/>
        <v>-1021</v>
      </c>
    </row>
    <row r="49" spans="1:35" x14ac:dyDescent="0.2">
      <c r="A49" s="6" t="s">
        <v>37</v>
      </c>
      <c r="B49" s="7"/>
      <c r="H49" s="10" t="s">
        <v>319</v>
      </c>
      <c r="I49" s="25" t="e">
        <f ca="1">_xll.EVPRO($B$1,$H49,"STYLE")</f>
        <v>#NAME?</v>
      </c>
      <c r="J49" s="25" t="e">
        <f ca="1">_xll.EVPRO($B$1,$H49,"CALC")</f>
        <v>#NAME?</v>
      </c>
      <c r="K49" s="24"/>
      <c r="L49" s="24" t="e">
        <f ca="1">_xll.EVPRO($B$1,H49,"JDEID")</f>
        <v>#NAME?</v>
      </c>
      <c r="M49" s="24" t="e">
        <f ca="1">IF(AND(I49="N",J49="N"),_xll.EVPRO($B$1,H49,"PSFTID"),"")</f>
        <v>#NAME?</v>
      </c>
      <c r="N49" s="23" t="e">
        <f ca="1">IF(_xll.EVDES(H49,$B$1)="#NODATA","",_xll.EVDES(H49,$B$1))</f>
        <v>#NAME?</v>
      </c>
      <c r="O49" s="145"/>
      <c r="P49" s="145"/>
      <c r="Q49" s="145"/>
      <c r="R49" s="145"/>
      <c r="S49" s="145"/>
      <c r="T49" s="145"/>
      <c r="U49" s="145"/>
      <c r="V49" s="145"/>
      <c r="W49" s="145"/>
      <c r="X49" s="145"/>
      <c r="Y49" s="145"/>
      <c r="Z49" s="145"/>
      <c r="AA49" s="145">
        <f t="shared" si="6"/>
        <v>0</v>
      </c>
      <c r="AB49" s="156" t="str">
        <f>IF(AA49=0,"",IFERROR(AA49/AA$19,""))</f>
        <v/>
      </c>
      <c r="AD49" s="145"/>
      <c r="AE49" s="156" t="str">
        <f>IF(AD49=0,"",IFERROR(AD49/AD$19,""))</f>
        <v/>
      </c>
      <c r="AF49" s="146">
        <f t="shared" si="7"/>
        <v>0</v>
      </c>
      <c r="AG49" s="145">
        <v>102843.63</v>
      </c>
      <c r="AH49" s="156" t="str">
        <f t="shared" ca="1" si="3"/>
        <v/>
      </c>
      <c r="AI49" s="146">
        <f t="shared" si="8"/>
        <v>-102843.63</v>
      </c>
    </row>
    <row r="50" spans="1:35" x14ac:dyDescent="0.2">
      <c r="A50" s="6" t="s">
        <v>38</v>
      </c>
      <c r="B50" s="7"/>
      <c r="H50" s="10" t="s">
        <v>764</v>
      </c>
      <c r="I50" s="25" t="e">
        <f ca="1">_xll.EVPRO($B$1,$H50,"STYLE")</f>
        <v>#NAME?</v>
      </c>
      <c r="J50" s="25" t="e">
        <f ca="1">_xll.EVPRO($B$1,$H50,"CALC")</f>
        <v>#NAME?</v>
      </c>
      <c r="K50" s="24"/>
      <c r="L50" s="24" t="e">
        <f ca="1">_xll.EVPRO($B$1,H50,"JDEID")</f>
        <v>#NAME?</v>
      </c>
      <c r="M50" s="24" t="e">
        <f ca="1">IF(AND(I50="N",J50="N"),_xll.EVPRO($B$1,H50,"PSFTID"),"")</f>
        <v>#NAME?</v>
      </c>
      <c r="N50" s="24" t="e">
        <f ca="1">IF(_xll.EVDES(H50,$B$1)="#NODATA","",_xll.EVDES(H50,$B$1))</f>
        <v>#NAME?</v>
      </c>
      <c r="O50" s="35"/>
      <c r="P50" s="35"/>
      <c r="Q50" s="35"/>
      <c r="R50" s="35"/>
      <c r="S50" s="35"/>
      <c r="T50" s="35"/>
      <c r="U50" s="35"/>
      <c r="V50" s="35"/>
      <c r="W50" s="35"/>
      <c r="X50" s="35"/>
      <c r="Y50" s="35"/>
      <c r="Z50" s="35"/>
      <c r="AA50" s="35">
        <f t="shared" si="6"/>
        <v>0</v>
      </c>
      <c r="AB50" s="36"/>
      <c r="AD50" s="35"/>
      <c r="AE50" s="36"/>
      <c r="AF50" s="118">
        <f t="shared" si="7"/>
        <v>0</v>
      </c>
      <c r="AG50" s="35"/>
      <c r="AH50" s="36"/>
      <c r="AI50" s="118">
        <f t="shared" si="8"/>
        <v>0</v>
      </c>
    </row>
    <row r="51" spans="1:35" x14ac:dyDescent="0.2">
      <c r="A51" s="6" t="s">
        <v>39</v>
      </c>
      <c r="B51" s="7"/>
      <c r="H51" s="10" t="s">
        <v>298</v>
      </c>
      <c r="I51" s="25" t="e">
        <f ca="1">_xll.EVPRO($B$1,$H51,"STYLE")</f>
        <v>#NAME?</v>
      </c>
      <c r="J51" s="25" t="e">
        <f ca="1">_xll.EVPRO($B$1,$H51,"CALC")</f>
        <v>#NAME?</v>
      </c>
      <c r="K51" s="24"/>
      <c r="L51" s="24" t="e">
        <f ca="1">_xll.EVPRO($B$1,H51,"JDEID")</f>
        <v>#NAME?</v>
      </c>
      <c r="M51" s="24" t="e">
        <f ca="1">IF(AND(I51="N",J51="N"),_xll.EVPRO($B$1,H51,"PSFTID"),"")</f>
        <v>#NAME?</v>
      </c>
      <c r="N51" s="24" t="e">
        <f ca="1">IF(_xll.EVDES(H51,$B$1)="#NODATA","",_xll.EVDES(H51,$B$1))</f>
        <v>#NAME?</v>
      </c>
      <c r="O51" s="35"/>
      <c r="P51" s="35"/>
      <c r="Q51" s="35"/>
      <c r="R51" s="35"/>
      <c r="S51" s="35"/>
      <c r="T51" s="35"/>
      <c r="U51" s="35"/>
      <c r="V51" s="35"/>
      <c r="W51" s="35"/>
      <c r="X51" s="35"/>
      <c r="Y51" s="35"/>
      <c r="Z51" s="35"/>
      <c r="AA51" s="35">
        <f t="shared" si="6"/>
        <v>0</v>
      </c>
      <c r="AB51" s="36" t="str">
        <f>IF(AA51=0,"",IFERROR(AA51/AA$83,""))</f>
        <v/>
      </c>
      <c r="AD51" s="35"/>
      <c r="AE51" s="36" t="str">
        <f>IF(AD51=0,"",IFERROR(AD51/AD$83,""))</f>
        <v/>
      </c>
      <c r="AF51" s="118">
        <f t="shared" si="7"/>
        <v>0</v>
      </c>
      <c r="AG51" s="35">
        <v>1957</v>
      </c>
      <c r="AH51" s="36">
        <f>IF(AG51=0,"",IFERROR(AG51/AG$83,""))</f>
        <v>0.49834479246243951</v>
      </c>
      <c r="AI51" s="118">
        <f t="shared" si="8"/>
        <v>-1957</v>
      </c>
    </row>
    <row r="52" spans="1:35" x14ac:dyDescent="0.2">
      <c r="A52" s="6" t="s">
        <v>40</v>
      </c>
      <c r="B52" s="7"/>
      <c r="H52" s="10" t="s">
        <v>315</v>
      </c>
      <c r="I52" s="25" t="e">
        <f ca="1">_xll.EVPRO($B$1,$H52,"STYLE")</f>
        <v>#NAME?</v>
      </c>
      <c r="J52" s="25" t="e">
        <f ca="1">_xll.EVPRO($B$1,$H52,"CALC")</f>
        <v>#NAME?</v>
      </c>
      <c r="K52" s="24"/>
      <c r="L52" s="24" t="e">
        <f ca="1">_xll.EVPRO($B$1,H52,"JDEID")</f>
        <v>#NAME?</v>
      </c>
      <c r="M52" s="24" t="e">
        <f ca="1">IF(AND(I52="N",J52="N"),_xll.EVPRO($B$1,H52,"PSFTID"),"")</f>
        <v>#NAME?</v>
      </c>
      <c r="N52" s="151" t="e">
        <f ca="1">IF(_xll.EVDES(H52,$B$1)="#NODATA","",_xll.EVDES(H52,$B$1))</f>
        <v>#NAME?</v>
      </c>
      <c r="O52" s="157"/>
      <c r="P52" s="157"/>
      <c r="Q52" s="157"/>
      <c r="R52" s="157"/>
      <c r="S52" s="157"/>
      <c r="T52" s="157"/>
      <c r="U52" s="157"/>
      <c r="V52" s="157"/>
      <c r="W52" s="157"/>
      <c r="X52" s="157"/>
      <c r="Y52" s="157"/>
      <c r="Z52" s="157"/>
      <c r="AA52" s="157" t="str">
        <f>IFERROR(AA49/AA51,"")</f>
        <v/>
      </c>
      <c r="AB52" s="157"/>
      <c r="AD52" s="157"/>
      <c r="AE52" s="157"/>
      <c r="AF52" s="158" t="str">
        <f t="shared" si="7"/>
        <v/>
      </c>
      <c r="AG52" s="157">
        <v>52.551676034747103</v>
      </c>
      <c r="AH52" s="157"/>
      <c r="AI52" s="158" t="e">
        <f t="shared" si="8"/>
        <v>#VALUE!</v>
      </c>
    </row>
    <row r="53" spans="1:35" x14ac:dyDescent="0.2">
      <c r="A53" s="6" t="s">
        <v>41</v>
      </c>
      <c r="B53" s="7"/>
      <c r="H53" s="10"/>
      <c r="I53" s="25"/>
      <c r="J53" s="25"/>
      <c r="K53" s="24"/>
      <c r="L53" s="24"/>
      <c r="M53" s="24"/>
      <c r="N53" s="163" t="s">
        <v>345</v>
      </c>
      <c r="O53" s="160">
        <f t="shared" ref="O53:AA53" si="9">ROUND(IFERROR(O49/O51,0),2)</f>
        <v>0</v>
      </c>
      <c r="P53" s="165">
        <f t="shared" si="9"/>
        <v>0</v>
      </c>
      <c r="Q53" s="165">
        <f t="shared" si="9"/>
        <v>0</v>
      </c>
      <c r="R53" s="165">
        <f t="shared" si="9"/>
        <v>0</v>
      </c>
      <c r="S53" s="165">
        <f t="shared" si="9"/>
        <v>0</v>
      </c>
      <c r="T53" s="165">
        <f t="shared" si="9"/>
        <v>0</v>
      </c>
      <c r="U53" s="165">
        <f t="shared" si="9"/>
        <v>0</v>
      </c>
      <c r="V53" s="165">
        <f t="shared" si="9"/>
        <v>0</v>
      </c>
      <c r="W53" s="165">
        <f t="shared" si="9"/>
        <v>0</v>
      </c>
      <c r="X53" s="165">
        <f t="shared" si="9"/>
        <v>0</v>
      </c>
      <c r="Y53" s="165">
        <f t="shared" si="9"/>
        <v>0</v>
      </c>
      <c r="Z53" s="165">
        <f t="shared" si="9"/>
        <v>0</v>
      </c>
      <c r="AA53" s="165">
        <f t="shared" si="9"/>
        <v>0</v>
      </c>
      <c r="AB53" s="164"/>
      <c r="AD53" s="160">
        <f>ROUND(IFERROR(AD49/AD51,0),2)</f>
        <v>0</v>
      </c>
      <c r="AE53" s="165"/>
      <c r="AF53" s="161"/>
      <c r="AG53" s="160">
        <f>ROUND(IFERROR(AG49/AG51,0),2)</f>
        <v>52.55</v>
      </c>
      <c r="AH53" s="165"/>
      <c r="AI53" s="161"/>
    </row>
    <row r="54" spans="1:35" x14ac:dyDescent="0.2">
      <c r="A54" s="6" t="s">
        <v>42</v>
      </c>
      <c r="B54" s="7"/>
      <c r="G54" s="162">
        <f>COUNTIF(O54:AI54,FALSE)</f>
        <v>0</v>
      </c>
      <c r="H54" s="10"/>
      <c r="I54" s="25"/>
      <c r="J54" s="25"/>
      <c r="K54" s="24"/>
      <c r="L54" s="24"/>
      <c r="M54" s="24"/>
      <c r="N54" s="8" t="s">
        <v>316</v>
      </c>
      <c r="O54" s="292" t="b">
        <f t="shared" ref="O54:AA54" si="10">ROUND(O52,2)=ROUND(O53,2)</f>
        <v>1</v>
      </c>
      <c r="P54" s="293" t="b">
        <f t="shared" si="10"/>
        <v>1</v>
      </c>
      <c r="Q54" s="293" t="b">
        <f t="shared" si="10"/>
        <v>1</v>
      </c>
      <c r="R54" s="293" t="b">
        <f t="shared" si="10"/>
        <v>1</v>
      </c>
      <c r="S54" s="293" t="b">
        <f t="shared" si="10"/>
        <v>1</v>
      </c>
      <c r="T54" s="293" t="b">
        <f t="shared" si="10"/>
        <v>1</v>
      </c>
      <c r="U54" s="293" t="b">
        <f t="shared" si="10"/>
        <v>1</v>
      </c>
      <c r="V54" s="293" t="b">
        <f t="shared" si="10"/>
        <v>1</v>
      </c>
      <c r="W54" s="293" t="b">
        <f t="shared" si="10"/>
        <v>1</v>
      </c>
      <c r="X54" s="293" t="b">
        <f t="shared" si="10"/>
        <v>1</v>
      </c>
      <c r="Y54" s="293" t="b">
        <f t="shared" si="10"/>
        <v>1</v>
      </c>
      <c r="Z54" s="293" t="b">
        <f t="shared" si="10"/>
        <v>1</v>
      </c>
      <c r="AA54" s="293" t="e">
        <f t="shared" si="10"/>
        <v>#VALUE!</v>
      </c>
      <c r="AB54" s="294"/>
      <c r="AC54" s="206"/>
      <c r="AD54" s="292"/>
      <c r="AE54" s="293" t="b">
        <f>ROUND(AD52,2)=ROUND(AD53,2)</f>
        <v>1</v>
      </c>
      <c r="AF54" s="294"/>
      <c r="AG54" s="292"/>
      <c r="AH54" s="293" t="b">
        <f>ROUND(AG52,2)=ROUND(AG53,2)</f>
        <v>1</v>
      </c>
      <c r="AI54" s="294"/>
    </row>
    <row r="55" spans="1:35" x14ac:dyDescent="0.2">
      <c r="A55" s="6" t="s">
        <v>43</v>
      </c>
      <c r="B55" s="7"/>
      <c r="H55" s="10" t="s">
        <v>262</v>
      </c>
      <c r="I55" s="25" t="e">
        <f ca="1">_xll.EVPRO($B$1,$H55,"STYLE")</f>
        <v>#NAME?</v>
      </c>
      <c r="J55" s="25" t="e">
        <f ca="1">_xll.EVPRO($B$1,$H55,"CALC")</f>
        <v>#NAME?</v>
      </c>
      <c r="K55" s="24"/>
      <c r="L55" s="24" t="e">
        <f ca="1">_xll.EVPRO($B$1,H55,"JDEID")</f>
        <v>#NAME?</v>
      </c>
      <c r="M55" s="24" t="e">
        <f ca="1">IF(AND(I55="N",J55="N"),_xll.EVPRO($B$1,H55,"PSFTID"),"")</f>
        <v>#NAME?</v>
      </c>
      <c r="N55" s="24" t="e">
        <f ca="1">IF(_xll.EVDES(H55,$B$1)="#NODATA","",_xll.EVDES(H55,$B$1))</f>
        <v>#NAME?</v>
      </c>
      <c r="O55" s="19"/>
      <c r="P55" s="19"/>
      <c r="Q55" s="19"/>
      <c r="R55" s="19"/>
      <c r="S55" s="19"/>
      <c r="T55" s="19"/>
      <c r="U55" s="19"/>
      <c r="V55" s="19"/>
      <c r="W55" s="19"/>
      <c r="X55" s="19"/>
      <c r="Y55" s="19"/>
      <c r="Z55" s="19"/>
      <c r="AA55" s="19">
        <f t="shared" ref="AA55:AA61" si="11">SUM(O55:Z55)</f>
        <v>0</v>
      </c>
      <c r="AB55" s="15" t="str">
        <f>IF(AA55=0,"",IFERROR(AA55/AA$19,""))</f>
        <v/>
      </c>
      <c r="AD55" s="19"/>
      <c r="AE55" s="15" t="str">
        <f>IF(AD55=0,"",IFERROR(AD55/AD$19,""))</f>
        <v/>
      </c>
      <c r="AF55" s="47">
        <f t="shared" ref="AF55:AF62" si="12">IF(AND($AA55="",AD55=""),"",$AA55-AD55)</f>
        <v>0</v>
      </c>
      <c r="AG55" s="19">
        <v>77591.38</v>
      </c>
      <c r="AH55" s="15" t="str">
        <f t="shared" ca="1" si="3"/>
        <v/>
      </c>
      <c r="AI55" s="47">
        <f t="shared" ref="AI55:AI62" si="13">IF(AND($AA55="",AG55=""),"",$AA55-AG55)</f>
        <v>-77591.38</v>
      </c>
    </row>
    <row r="56" spans="1:35" x14ac:dyDescent="0.2">
      <c r="A56" s="6" t="s">
        <v>44</v>
      </c>
      <c r="B56" s="7"/>
      <c r="H56" s="10" t="s">
        <v>302</v>
      </c>
      <c r="I56" s="25" t="e">
        <f ca="1">_xll.EVPRO($B$1,$H56,"STYLE")</f>
        <v>#NAME?</v>
      </c>
      <c r="J56" s="25" t="e">
        <f ca="1">_xll.EVPRO($B$1,$H56,"CALC")</f>
        <v>#NAME?</v>
      </c>
      <c r="K56" s="24"/>
      <c r="L56" s="24" t="e">
        <f ca="1">_xll.EVPRO($B$1,H56,"JDEID")</f>
        <v>#NAME?</v>
      </c>
      <c r="M56" s="24" t="e">
        <f ca="1">IF(AND(I56="N",J56="N"),_xll.EVPRO($B$1,H56,"PSFTID"),"")</f>
        <v>#NAME?</v>
      </c>
      <c r="N56" s="24" t="e">
        <f ca="1">IF(_xll.EVDES(H56,$B$1)="#NODATA","",_xll.EVDES(H56,$B$1))</f>
        <v>#NAME?</v>
      </c>
      <c r="O56" s="19"/>
      <c r="P56" s="19"/>
      <c r="Q56" s="19"/>
      <c r="R56" s="19"/>
      <c r="S56" s="19"/>
      <c r="T56" s="19"/>
      <c r="U56" s="19"/>
      <c r="V56" s="19"/>
      <c r="W56" s="19"/>
      <c r="X56" s="19"/>
      <c r="Y56" s="19"/>
      <c r="Z56" s="19"/>
      <c r="AA56" s="19">
        <f t="shared" si="11"/>
        <v>0</v>
      </c>
      <c r="AB56" s="15" t="str">
        <f>IF(AA56=0,"",IFERROR(AA56/AA$19,""))</f>
        <v/>
      </c>
      <c r="AD56" s="19"/>
      <c r="AE56" s="15" t="str">
        <f>IF(AD56=0,"",IFERROR(AD56/AD$19,""))</f>
        <v/>
      </c>
      <c r="AF56" s="47">
        <f t="shared" si="12"/>
        <v>0</v>
      </c>
      <c r="AG56" s="19">
        <v>2032</v>
      </c>
      <c r="AH56" s="15" t="str">
        <f t="shared" ca="1" si="3"/>
        <v/>
      </c>
      <c r="AI56" s="47">
        <f t="shared" si="13"/>
        <v>-2032</v>
      </c>
    </row>
    <row r="57" spans="1:35" x14ac:dyDescent="0.2">
      <c r="A57" s="6" t="s">
        <v>45</v>
      </c>
      <c r="B57" s="7"/>
      <c r="H57" s="10" t="s">
        <v>306</v>
      </c>
      <c r="I57" s="25" t="e">
        <f ca="1">_xll.EVPRO($B$1,$H57,"STYLE")</f>
        <v>#NAME?</v>
      </c>
      <c r="J57" s="25" t="e">
        <f ca="1">_xll.EVPRO($B$1,$H57,"CALC")</f>
        <v>#NAME?</v>
      </c>
      <c r="K57" s="24"/>
      <c r="L57" s="24" t="e">
        <f ca="1">_xll.EVPRO($B$1,H57,"JDEID")</f>
        <v>#NAME?</v>
      </c>
      <c r="M57" s="24" t="e">
        <f ca="1">IF(AND(I57="N",J57="N"),_xll.EVPRO($B$1,H57,"PSFTID"),"")</f>
        <v>#NAME?</v>
      </c>
      <c r="N57" s="24" t="e">
        <f ca="1">IF(_xll.EVDES(H57,$B$1)="#NODATA","",_xll.EVDES(H57,$B$1))</f>
        <v>#NAME?</v>
      </c>
      <c r="O57" s="19"/>
      <c r="P57" s="19"/>
      <c r="Q57" s="19"/>
      <c r="R57" s="19"/>
      <c r="S57" s="19"/>
      <c r="T57" s="19"/>
      <c r="U57" s="19"/>
      <c r="V57" s="19"/>
      <c r="W57" s="19"/>
      <c r="X57" s="19"/>
      <c r="Y57" s="19"/>
      <c r="Z57" s="19"/>
      <c r="AA57" s="19">
        <f t="shared" si="11"/>
        <v>0</v>
      </c>
      <c r="AB57" s="15" t="str">
        <f>IF(AA57=0,"",IFERROR(AA57/AA$19,""))</f>
        <v/>
      </c>
      <c r="AD57" s="19"/>
      <c r="AE57" s="15" t="str">
        <f>IF(AD57=0,"",IFERROR(AD57/AD$19,""))</f>
        <v/>
      </c>
      <c r="AF57" s="47">
        <f t="shared" si="12"/>
        <v>0</v>
      </c>
      <c r="AG57" s="19">
        <v>2095</v>
      </c>
      <c r="AH57" s="15" t="str">
        <f t="shared" ca="1" si="3"/>
        <v/>
      </c>
      <c r="AI57" s="47">
        <f t="shared" si="13"/>
        <v>-2095</v>
      </c>
    </row>
    <row r="58" spans="1:35" x14ac:dyDescent="0.2">
      <c r="A58" s="6" t="s">
        <v>46</v>
      </c>
      <c r="B58" s="7"/>
      <c r="H58" s="10" t="s">
        <v>304</v>
      </c>
      <c r="I58" s="25" t="e">
        <f ca="1">_xll.EVPRO($B$1,$H58,"STYLE")</f>
        <v>#NAME?</v>
      </c>
      <c r="J58" s="25" t="e">
        <f ca="1">_xll.EVPRO($B$1,$H58,"CALC")</f>
        <v>#NAME?</v>
      </c>
      <c r="K58" s="24"/>
      <c r="L58" s="24" t="e">
        <f ca="1">_xll.EVPRO($B$1,H58,"JDEID")</f>
        <v>#NAME?</v>
      </c>
      <c r="M58" s="24" t="e">
        <f ca="1">IF(AND(I58="N",J58="N"),_xll.EVPRO($B$1,H58,"PSFTID"),"")</f>
        <v>#NAME?</v>
      </c>
      <c r="N58" s="24" t="e">
        <f ca="1">IF(_xll.EVDES(H58,$B$1)="#NODATA","",_xll.EVDES(H58,$B$1))</f>
        <v>#NAME?</v>
      </c>
      <c r="O58" s="28"/>
      <c r="P58" s="28"/>
      <c r="Q58" s="28"/>
      <c r="R58" s="28"/>
      <c r="S58" s="28"/>
      <c r="T58" s="28"/>
      <c r="U58" s="28"/>
      <c r="V58" s="28"/>
      <c r="W58" s="28"/>
      <c r="X58" s="28"/>
      <c r="Y58" s="28"/>
      <c r="Z58" s="28"/>
      <c r="AA58" s="28">
        <f t="shared" si="11"/>
        <v>0</v>
      </c>
      <c r="AB58" s="29" t="str">
        <f>IF(AA58=0,"",IFERROR(AA58/AA$19,""))</f>
        <v/>
      </c>
      <c r="AD58" s="28"/>
      <c r="AE58" s="29" t="str">
        <f>IF(AD58=0,"",IFERROR(AD58/AD$19,""))</f>
        <v/>
      </c>
      <c r="AF58" s="48">
        <f t="shared" si="12"/>
        <v>0</v>
      </c>
      <c r="AG58" s="28">
        <v>2402</v>
      </c>
      <c r="AH58" s="29" t="str">
        <f t="shared" ca="1" si="3"/>
        <v/>
      </c>
      <c r="AI58" s="48">
        <f t="shared" si="13"/>
        <v>-2402</v>
      </c>
    </row>
    <row r="59" spans="1:35" x14ac:dyDescent="0.2">
      <c r="H59" s="10" t="s">
        <v>320</v>
      </c>
      <c r="I59" s="25" t="e">
        <f ca="1">_xll.EVPRO($B$1,$H59,"STYLE")</f>
        <v>#NAME?</v>
      </c>
      <c r="J59" s="25" t="e">
        <f ca="1">_xll.EVPRO($B$1,$H59,"CALC")</f>
        <v>#NAME?</v>
      </c>
      <c r="K59" s="24"/>
      <c r="L59" s="24" t="e">
        <f ca="1">_xll.EVPRO($B$1,H59,"JDEID")</f>
        <v>#NAME?</v>
      </c>
      <c r="M59" s="24" t="e">
        <f ca="1">IF(AND(I59="N",J59="N"),_xll.EVPRO($B$1,H59,"PSFTID"),"")</f>
        <v>#NAME?</v>
      </c>
      <c r="N59" s="23" t="e">
        <f ca="1">IF(_xll.EVDES(H59,$B$1)="#NODATA","",_xll.EVDES(H59,$B$1))</f>
        <v>#NAME?</v>
      </c>
      <c r="O59" s="145"/>
      <c r="P59" s="145"/>
      <c r="Q59" s="145"/>
      <c r="R59" s="145"/>
      <c r="S59" s="145"/>
      <c r="T59" s="145"/>
      <c r="U59" s="145"/>
      <c r="V59" s="145"/>
      <c r="W59" s="145"/>
      <c r="X59" s="145"/>
      <c r="Y59" s="145"/>
      <c r="Z59" s="145"/>
      <c r="AA59" s="145">
        <f t="shared" si="11"/>
        <v>0</v>
      </c>
      <c r="AB59" s="156" t="str">
        <f>IF(AA59=0,"",IFERROR(AA59/AA$19,""))</f>
        <v/>
      </c>
      <c r="AD59" s="145"/>
      <c r="AE59" s="156" t="str">
        <f>IF(AD59=0,"",IFERROR(AD59/AD$19,""))</f>
        <v/>
      </c>
      <c r="AF59" s="146">
        <f t="shared" si="12"/>
        <v>0</v>
      </c>
      <c r="AG59" s="145">
        <v>84120.38</v>
      </c>
      <c r="AH59" s="156" t="str">
        <f t="shared" ca="1" si="3"/>
        <v/>
      </c>
      <c r="AI59" s="146">
        <f t="shared" si="13"/>
        <v>-84120.38</v>
      </c>
    </row>
    <row r="60" spans="1:35" x14ac:dyDescent="0.2">
      <c r="H60" s="10" t="s">
        <v>765</v>
      </c>
      <c r="I60" s="25" t="e">
        <f ca="1">_xll.EVPRO($B$1,$H60,"STYLE")</f>
        <v>#NAME?</v>
      </c>
      <c r="J60" s="25" t="e">
        <f ca="1">_xll.EVPRO($B$1,$H60,"CALC")</f>
        <v>#NAME?</v>
      </c>
      <c r="K60" s="24"/>
      <c r="L60" s="24" t="e">
        <f ca="1">_xll.EVPRO($B$1,H60,"JDEID")</f>
        <v>#NAME?</v>
      </c>
      <c r="M60" s="24" t="e">
        <f ca="1">IF(AND(I60="N",J60="N"),_xll.EVPRO($B$1,H60,"PSFTID"),"")</f>
        <v>#NAME?</v>
      </c>
      <c r="N60" s="24" t="e">
        <f ca="1">IF(_xll.EVDES(H60,$B$1)="#NODATA","",_xll.EVDES(H60,$B$1))</f>
        <v>#NAME?</v>
      </c>
      <c r="O60" s="35"/>
      <c r="P60" s="35"/>
      <c r="Q60" s="35"/>
      <c r="R60" s="35"/>
      <c r="S60" s="35"/>
      <c r="T60" s="35"/>
      <c r="U60" s="35"/>
      <c r="V60" s="35"/>
      <c r="W60" s="35"/>
      <c r="X60" s="35"/>
      <c r="Y60" s="35"/>
      <c r="Z60" s="35"/>
      <c r="AA60" s="35">
        <f t="shared" si="11"/>
        <v>0</v>
      </c>
      <c r="AB60" s="36"/>
      <c r="AD60" s="35"/>
      <c r="AE60" s="36"/>
      <c r="AF60" s="118">
        <f t="shared" si="12"/>
        <v>0</v>
      </c>
      <c r="AG60" s="35"/>
      <c r="AH60" s="36"/>
      <c r="AI60" s="118">
        <f t="shared" si="13"/>
        <v>0</v>
      </c>
    </row>
    <row r="61" spans="1:35" x14ac:dyDescent="0.2">
      <c r="H61" s="10" t="s">
        <v>299</v>
      </c>
      <c r="I61" s="25" t="e">
        <f ca="1">_xll.EVPRO($B$1,$H61,"STYLE")</f>
        <v>#NAME?</v>
      </c>
      <c r="J61" s="25" t="e">
        <f ca="1">_xll.EVPRO($B$1,$H61,"CALC")</f>
        <v>#NAME?</v>
      </c>
      <c r="K61" s="24"/>
      <c r="L61" s="24" t="e">
        <f ca="1">_xll.EVPRO($B$1,H61,"JDEID")</f>
        <v>#NAME?</v>
      </c>
      <c r="M61" s="24" t="e">
        <f ca="1">IF(AND(I61="N",J61="N"),_xll.EVPRO($B$1,H61,"PSFTID"),"")</f>
        <v>#NAME?</v>
      </c>
      <c r="N61" s="24" t="e">
        <f ca="1">IF(_xll.EVDES(H61,$B$1)="#NODATA","",_xll.EVDES(H61,$B$1))</f>
        <v>#NAME?</v>
      </c>
      <c r="O61" s="35"/>
      <c r="P61" s="35"/>
      <c r="Q61" s="35"/>
      <c r="R61" s="35"/>
      <c r="S61" s="35"/>
      <c r="T61" s="35"/>
      <c r="U61" s="35"/>
      <c r="V61" s="35"/>
      <c r="W61" s="35"/>
      <c r="X61" s="35"/>
      <c r="Y61" s="35"/>
      <c r="Z61" s="35"/>
      <c r="AA61" s="35">
        <f t="shared" si="11"/>
        <v>0</v>
      </c>
      <c r="AB61" s="36" t="str">
        <f>IF(AA61=0,"",IFERROR(AA61/AA$83,""))</f>
        <v/>
      </c>
      <c r="AD61" s="35"/>
      <c r="AE61" s="36" t="str">
        <f>IF(AD61=0,"",IFERROR(AD61/AD$83,""))</f>
        <v/>
      </c>
      <c r="AF61" s="118">
        <f t="shared" si="12"/>
        <v>0</v>
      </c>
      <c r="AG61" s="35">
        <v>1053</v>
      </c>
      <c r="AH61" s="36">
        <f>IF(AG61=0,"",IFERROR(AG61/AG$83,""))</f>
        <v>0.26814362108479756</v>
      </c>
      <c r="AI61" s="118">
        <f t="shared" si="13"/>
        <v>-1053</v>
      </c>
    </row>
    <row r="62" spans="1:35" x14ac:dyDescent="0.2">
      <c r="H62" s="133" t="s">
        <v>317</v>
      </c>
      <c r="I62" s="25" t="e">
        <f ca="1">_xll.EVPRO($B$1,$H62,"STYLE")</f>
        <v>#NAME?</v>
      </c>
      <c r="J62" s="25" t="e">
        <f ca="1">_xll.EVPRO($B$1,$H62,"CALC")</f>
        <v>#NAME?</v>
      </c>
      <c r="K62" s="24"/>
      <c r="L62" s="24" t="e">
        <f ca="1">_xll.EVPRO($B$1,H62,"JDEID")</f>
        <v>#NAME?</v>
      </c>
      <c r="M62" s="24" t="e">
        <f ca="1">IF(AND(I62="N",J62="N"),_xll.EVPRO($B$1,H62,"PSFTID"),"")</f>
        <v>#NAME?</v>
      </c>
      <c r="N62" s="151" t="e">
        <f ca="1">IF(_xll.EVDES(H62,$B$1)="#NODATA","",_xll.EVDES(H62,$B$1))</f>
        <v>#NAME?</v>
      </c>
      <c r="O62" s="157"/>
      <c r="P62" s="157"/>
      <c r="Q62" s="157"/>
      <c r="R62" s="157"/>
      <c r="S62" s="157"/>
      <c r="T62" s="157"/>
      <c r="U62" s="157"/>
      <c r="V62" s="157"/>
      <c r="W62" s="157"/>
      <c r="X62" s="157"/>
      <c r="Y62" s="157"/>
      <c r="Z62" s="157"/>
      <c r="AA62" s="157" t="str">
        <f>IFERROR(AA59/AA61,"")</f>
        <v/>
      </c>
      <c r="AB62" s="157"/>
      <c r="AD62" s="157"/>
      <c r="AE62" s="157"/>
      <c r="AF62" s="158" t="str">
        <f t="shared" si="12"/>
        <v/>
      </c>
      <c r="AG62" s="157">
        <v>79.886400759734101</v>
      </c>
      <c r="AH62" s="157"/>
      <c r="AI62" s="158" t="e">
        <f t="shared" si="13"/>
        <v>#VALUE!</v>
      </c>
    </row>
    <row r="63" spans="1:35" x14ac:dyDescent="0.2">
      <c r="H63" s="10"/>
      <c r="I63" s="25"/>
      <c r="J63" s="25"/>
      <c r="K63" s="24"/>
      <c r="L63" s="24"/>
      <c r="M63" s="24"/>
      <c r="N63" s="163" t="s">
        <v>345</v>
      </c>
      <c r="O63" s="160">
        <f t="shared" ref="O63:AA63" si="14">ROUND(IFERROR(O59/O61,0),2)</f>
        <v>0</v>
      </c>
      <c r="P63" s="165">
        <f t="shared" si="14"/>
        <v>0</v>
      </c>
      <c r="Q63" s="165">
        <f t="shared" si="14"/>
        <v>0</v>
      </c>
      <c r="R63" s="165">
        <f t="shared" si="14"/>
        <v>0</v>
      </c>
      <c r="S63" s="165">
        <f t="shared" si="14"/>
        <v>0</v>
      </c>
      <c r="T63" s="165">
        <f t="shared" si="14"/>
        <v>0</v>
      </c>
      <c r="U63" s="165">
        <f t="shared" si="14"/>
        <v>0</v>
      </c>
      <c r="V63" s="165">
        <f t="shared" si="14"/>
        <v>0</v>
      </c>
      <c r="W63" s="165">
        <f t="shared" si="14"/>
        <v>0</v>
      </c>
      <c r="X63" s="165">
        <f t="shared" si="14"/>
        <v>0</v>
      </c>
      <c r="Y63" s="165">
        <f t="shared" si="14"/>
        <v>0</v>
      </c>
      <c r="Z63" s="165">
        <f t="shared" si="14"/>
        <v>0</v>
      </c>
      <c r="AA63" s="165">
        <f t="shared" si="14"/>
        <v>0</v>
      </c>
      <c r="AB63" s="164"/>
      <c r="AD63" s="160">
        <f>ROUND(IFERROR(AD59/AD61,0),2)</f>
        <v>0</v>
      </c>
      <c r="AE63" s="165"/>
      <c r="AF63" s="161"/>
      <c r="AG63" s="160">
        <f>ROUND(IFERROR(AG59/AG61,0),2)</f>
        <v>79.89</v>
      </c>
      <c r="AH63" s="165"/>
      <c r="AI63" s="161"/>
    </row>
    <row r="64" spans="1:35" x14ac:dyDescent="0.2">
      <c r="G64" s="162">
        <f>COUNTIF(O64:AI64,FALSE)</f>
        <v>0</v>
      </c>
      <c r="H64" s="133"/>
      <c r="I64" s="25"/>
      <c r="J64" s="25"/>
      <c r="K64" s="24"/>
      <c r="L64" s="24"/>
      <c r="M64" s="24"/>
      <c r="N64" s="8" t="s">
        <v>807</v>
      </c>
      <c r="O64" s="292" t="b">
        <f t="shared" ref="O64:AA64" si="15">ROUND(O62,2)=ROUND(O63,2)</f>
        <v>1</v>
      </c>
      <c r="P64" s="293" t="b">
        <f t="shared" si="15"/>
        <v>1</v>
      </c>
      <c r="Q64" s="293" t="b">
        <f t="shared" si="15"/>
        <v>1</v>
      </c>
      <c r="R64" s="293" t="b">
        <f t="shared" si="15"/>
        <v>1</v>
      </c>
      <c r="S64" s="293" t="b">
        <f t="shared" si="15"/>
        <v>1</v>
      </c>
      <c r="T64" s="293" t="b">
        <f t="shared" si="15"/>
        <v>1</v>
      </c>
      <c r="U64" s="293" t="b">
        <f t="shared" si="15"/>
        <v>1</v>
      </c>
      <c r="V64" s="293" t="b">
        <f t="shared" si="15"/>
        <v>1</v>
      </c>
      <c r="W64" s="293" t="b">
        <f t="shared" si="15"/>
        <v>1</v>
      </c>
      <c r="X64" s="293" t="b">
        <f t="shared" si="15"/>
        <v>1</v>
      </c>
      <c r="Y64" s="293" t="b">
        <f t="shared" si="15"/>
        <v>1</v>
      </c>
      <c r="Z64" s="293" t="b">
        <f t="shared" si="15"/>
        <v>1</v>
      </c>
      <c r="AA64" s="293" t="e">
        <f t="shared" si="15"/>
        <v>#VALUE!</v>
      </c>
      <c r="AB64" s="294"/>
      <c r="AC64" s="206"/>
      <c r="AD64" s="292"/>
      <c r="AE64" s="293" t="b">
        <f>ROUND(AD62,2)=ROUND(AD63,2)</f>
        <v>1</v>
      </c>
      <c r="AF64" s="294"/>
      <c r="AG64" s="292"/>
      <c r="AH64" s="293" t="b">
        <f>ROUND(AG62,2)=ROUND(AG63,2)</f>
        <v>1</v>
      </c>
      <c r="AI64" s="294"/>
    </row>
    <row r="65" spans="3:35" x14ac:dyDescent="0.2">
      <c r="H65" s="133" t="s">
        <v>790</v>
      </c>
      <c r="I65" s="25" t="e">
        <f ca="1">_xll.EVPRO($B$1,$H65,"STYLE")</f>
        <v>#NAME?</v>
      </c>
      <c r="J65" s="25" t="e">
        <f ca="1">_xll.EVPRO($B$1,$H65,"CALC")</f>
        <v>#NAME?</v>
      </c>
      <c r="K65" s="24"/>
      <c r="L65" s="24" t="e">
        <f ca="1">_xll.EVPRO($B$1,H65,"JDEID")</f>
        <v>#NAME?</v>
      </c>
      <c r="M65" s="24" t="e">
        <f ca="1">IF(AND(I65="N",J65="N"),_xll.EVPRO($B$1,H65,"PSFTID"),"")</f>
        <v>#NAME?</v>
      </c>
      <c r="N65" s="24" t="e">
        <f ca="1">IF(_xll.EVDES(H65,$B$1)="#NODATA","",_xll.EVDES(H65,$B$1))</f>
        <v>#NAME?</v>
      </c>
      <c r="O65" s="19"/>
      <c r="P65" s="19"/>
      <c r="Q65" s="19"/>
      <c r="R65" s="19"/>
      <c r="S65" s="19"/>
      <c r="T65" s="19"/>
      <c r="U65" s="19"/>
      <c r="V65" s="19"/>
      <c r="W65" s="19"/>
      <c r="X65" s="19"/>
      <c r="Y65" s="19"/>
      <c r="Z65" s="19"/>
      <c r="AA65" s="19">
        <f t="shared" ref="AA65:AA70" si="16">SUM(O65:Z65)</f>
        <v>0</v>
      </c>
      <c r="AB65" s="15" t="str">
        <f>IF(AA65=0,"",IFERROR(AA65/AA$19,""))</f>
        <v/>
      </c>
      <c r="AD65" s="19"/>
      <c r="AE65" s="15" t="str">
        <f>IF(AD65=0,"",IFERROR(AD65/AD$19,""))</f>
        <v/>
      </c>
      <c r="AF65" s="47">
        <f t="shared" ref="AF65:AF71" si="17">IF(AND($AA65="",AD65=""),"",$AA65-AD65)</f>
        <v>0</v>
      </c>
      <c r="AG65" s="19">
        <v>27718.400000000001</v>
      </c>
      <c r="AH65" s="15" t="str">
        <f t="shared" ca="1" si="3"/>
        <v/>
      </c>
      <c r="AI65" s="47">
        <f t="shared" ref="AI65:AI71" si="18">IF(AND($AA65="",AG65=""),"",$AA65-AG65)</f>
        <v>-27718.400000000001</v>
      </c>
    </row>
    <row r="66" spans="3:35" x14ac:dyDescent="0.2">
      <c r="H66" s="133" t="s">
        <v>808</v>
      </c>
      <c r="I66" s="25" t="e">
        <f ca="1">_xll.EVPRO($B$1,$H66,"STYLE")</f>
        <v>#NAME?</v>
      </c>
      <c r="J66" s="25" t="e">
        <f ca="1">_xll.EVPRO($B$1,$H66,"CALC")</f>
        <v>#NAME?</v>
      </c>
      <c r="K66" s="24"/>
      <c r="L66" s="24" t="e">
        <f ca="1">_xll.EVPRO($B$1,H66,"JDEID")</f>
        <v>#NAME?</v>
      </c>
      <c r="M66" s="24" t="e">
        <f ca="1">IF(AND(I66="N",J66="N"),_xll.EVPRO($B$1,H66,"PSFTID"),"")</f>
        <v>#NAME?</v>
      </c>
      <c r="N66" s="24" t="e">
        <f ca="1">IF(_xll.EVDES(H66,$B$1)="#NODATA","",_xll.EVDES(H66,$B$1))</f>
        <v>#NAME?</v>
      </c>
      <c r="O66" s="19"/>
      <c r="P66" s="19"/>
      <c r="Q66" s="19"/>
      <c r="R66" s="19"/>
      <c r="S66" s="19"/>
      <c r="T66" s="19"/>
      <c r="U66" s="19"/>
      <c r="V66" s="19"/>
      <c r="W66" s="19"/>
      <c r="X66" s="19"/>
      <c r="Y66" s="19"/>
      <c r="Z66" s="19"/>
      <c r="AA66" s="19">
        <f t="shared" si="16"/>
        <v>0</v>
      </c>
      <c r="AB66" s="15" t="str">
        <f>IF(AA66=0,"",IFERROR(AA66/AA$19,""))</f>
        <v/>
      </c>
      <c r="AD66" s="19"/>
      <c r="AE66" s="15" t="str">
        <f>IF(AD66=0,"",IFERROR(AD66/AD$19,""))</f>
        <v/>
      </c>
      <c r="AF66" s="47">
        <f t="shared" si="17"/>
        <v>0</v>
      </c>
      <c r="AG66" s="19">
        <v>7252.96</v>
      </c>
      <c r="AH66" s="15" t="str">
        <f t="shared" ca="1" si="3"/>
        <v/>
      </c>
      <c r="AI66" s="47">
        <f t="shared" si="18"/>
        <v>-7252.96</v>
      </c>
    </row>
    <row r="67" spans="3:35" x14ac:dyDescent="0.2">
      <c r="H67" s="133" t="s">
        <v>809</v>
      </c>
      <c r="I67" s="25" t="e">
        <f ca="1">_xll.EVPRO($B$1,$H67,"STYLE")</f>
        <v>#NAME?</v>
      </c>
      <c r="J67" s="25" t="e">
        <f ca="1">_xll.EVPRO($B$1,$H67,"CALC")</f>
        <v>#NAME?</v>
      </c>
      <c r="K67" s="24"/>
      <c r="L67" s="24" t="e">
        <f ca="1">_xll.EVPRO($B$1,H67,"JDEID")</f>
        <v>#NAME?</v>
      </c>
      <c r="M67" s="24" t="e">
        <f ca="1">IF(AND(I67="N",J67="N"),_xll.EVPRO($B$1,H67,"PSFTID"),"")</f>
        <v>#NAME?</v>
      </c>
      <c r="N67" s="24" t="e">
        <f ca="1">IF(_xll.EVDES(H67,$B$1)="#NODATA","",_xll.EVDES(H67,$B$1))</f>
        <v>#NAME?</v>
      </c>
      <c r="O67" s="19"/>
      <c r="P67" s="19"/>
      <c r="Q67" s="19"/>
      <c r="R67" s="19"/>
      <c r="S67" s="19"/>
      <c r="T67" s="19"/>
      <c r="U67" s="19"/>
      <c r="V67" s="19"/>
      <c r="W67" s="19"/>
      <c r="X67" s="19"/>
      <c r="Y67" s="19"/>
      <c r="Z67" s="19"/>
      <c r="AA67" s="19">
        <f t="shared" si="16"/>
        <v>0</v>
      </c>
      <c r="AB67" s="15" t="str">
        <f>IF(AA67=0,"",IFERROR(AA67/AA$19,""))</f>
        <v/>
      </c>
      <c r="AD67" s="19"/>
      <c r="AE67" s="15" t="str">
        <f>IF(AD67=0,"",IFERROR(AD67/AD$19,""))</f>
        <v/>
      </c>
      <c r="AF67" s="47">
        <f t="shared" si="17"/>
        <v>0</v>
      </c>
      <c r="AG67" s="19">
        <v>530</v>
      </c>
      <c r="AH67" s="15" t="str">
        <f t="shared" ca="1" si="3"/>
        <v/>
      </c>
      <c r="AI67" s="47">
        <f t="shared" si="18"/>
        <v>-530</v>
      </c>
    </row>
    <row r="68" spans="3:35" x14ac:dyDescent="0.2">
      <c r="H68" s="133" t="s">
        <v>810</v>
      </c>
      <c r="I68" s="25" t="e">
        <f ca="1">_xll.EVPRO($B$1,$H68,"STYLE")</f>
        <v>#NAME?</v>
      </c>
      <c r="J68" s="25" t="e">
        <f ca="1">_xll.EVPRO($B$1,$H68,"CALC")</f>
        <v>#NAME?</v>
      </c>
      <c r="K68" s="24"/>
      <c r="L68" s="24" t="e">
        <f ca="1">_xll.EVPRO($B$1,H68,"JDEID")</f>
        <v>#NAME?</v>
      </c>
      <c r="M68" s="24" t="e">
        <f ca="1">IF(AND(I68="N",J68="N"),_xll.EVPRO($B$1,H68,"PSFTID"),"")</f>
        <v>#NAME?</v>
      </c>
      <c r="N68" s="24" t="e">
        <f ca="1">IF(_xll.EVDES(H68,$B$1)="#NODATA","",_xll.EVDES(H68,$B$1))</f>
        <v>#NAME?</v>
      </c>
      <c r="O68" s="28"/>
      <c r="P68" s="28"/>
      <c r="Q68" s="28"/>
      <c r="R68" s="28"/>
      <c r="S68" s="28"/>
      <c r="T68" s="28"/>
      <c r="U68" s="28"/>
      <c r="V68" s="28"/>
      <c r="W68" s="28"/>
      <c r="X68" s="28"/>
      <c r="Y68" s="28"/>
      <c r="Z68" s="28"/>
      <c r="AA68" s="28">
        <f t="shared" si="16"/>
        <v>0</v>
      </c>
      <c r="AB68" s="29" t="str">
        <f>IF(AA68=0,"",IFERROR(AA68/AA$19,""))</f>
        <v/>
      </c>
      <c r="AD68" s="28"/>
      <c r="AE68" s="29" t="str">
        <f>IF(AD68=0,"",IFERROR(AD68/AD$19,""))</f>
        <v/>
      </c>
      <c r="AF68" s="48">
        <f t="shared" si="17"/>
        <v>0</v>
      </c>
      <c r="AG68" s="28">
        <v>2554</v>
      </c>
      <c r="AH68" s="29" t="str">
        <f t="shared" ca="1" si="3"/>
        <v/>
      </c>
      <c r="AI68" s="48">
        <f t="shared" si="18"/>
        <v>-2554</v>
      </c>
    </row>
    <row r="69" spans="3:35" x14ac:dyDescent="0.2">
      <c r="H69" s="133" t="s">
        <v>811</v>
      </c>
      <c r="I69" s="25" t="e">
        <f ca="1">_xll.EVPRO($B$1,$H69,"STYLE")</f>
        <v>#NAME?</v>
      </c>
      <c r="J69" s="25" t="e">
        <f ca="1">_xll.EVPRO($B$1,$H69,"CALC")</f>
        <v>#NAME?</v>
      </c>
      <c r="K69" s="24"/>
      <c r="L69" s="24" t="e">
        <f ca="1">_xll.EVPRO($B$1,H69,"JDEID")</f>
        <v>#NAME?</v>
      </c>
      <c r="M69" s="24" t="e">
        <f ca="1">IF(AND(I69="N",J69="N"),_xll.EVPRO($B$1,H69,"PSFTID"),"")</f>
        <v>#NAME?</v>
      </c>
      <c r="N69" s="23" t="e">
        <f ca="1">IF(_xll.EVDES(H69,$B$1)="#NODATA","",_xll.EVDES(H69,$B$1))</f>
        <v>#NAME?</v>
      </c>
      <c r="O69" s="145"/>
      <c r="P69" s="145"/>
      <c r="Q69" s="145"/>
      <c r="R69" s="145"/>
      <c r="S69" s="145"/>
      <c r="T69" s="145"/>
      <c r="U69" s="145"/>
      <c r="V69" s="145"/>
      <c r="W69" s="145"/>
      <c r="X69" s="145"/>
      <c r="Y69" s="145"/>
      <c r="Z69" s="145"/>
      <c r="AA69" s="145">
        <f t="shared" si="16"/>
        <v>0</v>
      </c>
      <c r="AB69" s="156" t="str">
        <f>IF(AA69=0,"",IFERROR(AA69/AA$19,""))</f>
        <v/>
      </c>
      <c r="AD69" s="145"/>
      <c r="AE69" s="156" t="str">
        <f>IF(AD69=0,"",IFERROR(AD69/AD$19,""))</f>
        <v/>
      </c>
      <c r="AF69" s="146">
        <f t="shared" si="17"/>
        <v>0</v>
      </c>
      <c r="AG69" s="145">
        <v>38055.360000000001</v>
      </c>
      <c r="AH69" s="156" t="str">
        <f t="shared" ca="1" si="3"/>
        <v/>
      </c>
      <c r="AI69" s="146">
        <f t="shared" si="18"/>
        <v>-38055.360000000001</v>
      </c>
    </row>
    <row r="70" spans="3:35" x14ac:dyDescent="0.2">
      <c r="H70" s="133" t="s">
        <v>812</v>
      </c>
      <c r="I70" s="25" t="e">
        <f ca="1">_xll.EVPRO($B$1,$H70,"STYLE")</f>
        <v>#NAME?</v>
      </c>
      <c r="J70" s="25" t="e">
        <f ca="1">_xll.EVPRO($B$1,$H70,"CALC")</f>
        <v>#NAME?</v>
      </c>
      <c r="K70" s="24"/>
      <c r="L70" s="24" t="e">
        <f ca="1">_xll.EVPRO($B$1,H70,"JDEID")</f>
        <v>#NAME?</v>
      </c>
      <c r="M70" s="24" t="e">
        <f ca="1">IF(AND(I70="N",J70="N"),_xll.EVPRO($B$1,H70,"PSFTID"),"")</f>
        <v>#NAME?</v>
      </c>
      <c r="N70" s="24" t="e">
        <f ca="1">IF(_xll.EVDES(H70,$B$1)="#NODATA","",_xll.EVDES(H70,$B$1))</f>
        <v>#NAME?</v>
      </c>
      <c r="O70" s="35"/>
      <c r="P70" s="35"/>
      <c r="Q70" s="35"/>
      <c r="R70" s="35"/>
      <c r="S70" s="35"/>
      <c r="T70" s="35"/>
      <c r="U70" s="35"/>
      <c r="V70" s="35"/>
      <c r="W70" s="35"/>
      <c r="X70" s="35"/>
      <c r="Y70" s="35"/>
      <c r="Z70" s="35"/>
      <c r="AA70" s="35">
        <f t="shared" si="16"/>
        <v>0</v>
      </c>
      <c r="AB70" s="36" t="str">
        <f>IF(AA70=0,"",IFERROR(AA70/AA$83,""))</f>
        <v/>
      </c>
      <c r="AD70" s="35"/>
      <c r="AE70" s="36" t="str">
        <f>IF(AD70=0,"",IFERROR(AD70/AD$83,""))</f>
        <v/>
      </c>
      <c r="AF70" s="118">
        <f t="shared" si="17"/>
        <v>0</v>
      </c>
      <c r="AG70" s="35">
        <v>347</v>
      </c>
      <c r="AH70" s="36">
        <f>IF(AG70=0,"",IFERROR(AG70/AG$83,""))</f>
        <v>8.8362617774382479E-2</v>
      </c>
      <c r="AI70" s="118">
        <f t="shared" si="18"/>
        <v>-347</v>
      </c>
    </row>
    <row r="71" spans="3:35" x14ac:dyDescent="0.2">
      <c r="H71" s="133" t="s">
        <v>813</v>
      </c>
      <c r="I71" s="25" t="e">
        <f ca="1">_xll.EVPRO($B$1,$H71,"STYLE")</f>
        <v>#NAME?</v>
      </c>
      <c r="J71" s="25" t="e">
        <f ca="1">_xll.EVPRO($B$1,$H71,"CALC")</f>
        <v>#NAME?</v>
      </c>
      <c r="K71" s="24"/>
      <c r="L71" s="24" t="e">
        <f ca="1">_xll.EVPRO($B$1,H71,"JDEID")</f>
        <v>#NAME?</v>
      </c>
      <c r="M71" s="24" t="e">
        <f ca="1">IF(AND(I71="N",J71="N"),_xll.EVPRO($B$1,H71,"PSFTID"),"")</f>
        <v>#NAME?</v>
      </c>
      <c r="N71" s="151" t="e">
        <f ca="1">IF(_xll.EVDES(H71,$B$1)="#NODATA","",_xll.EVDES(H71,$B$1))</f>
        <v>#NAME?</v>
      </c>
      <c r="O71" s="157"/>
      <c r="P71" s="157"/>
      <c r="Q71" s="157"/>
      <c r="R71" s="157"/>
      <c r="S71" s="157"/>
      <c r="T71" s="157"/>
      <c r="U71" s="157"/>
      <c r="V71" s="157"/>
      <c r="W71" s="157"/>
      <c r="X71" s="157"/>
      <c r="Y71" s="157"/>
      <c r="Z71" s="157"/>
      <c r="AA71" s="157" t="str">
        <f>IFERROR(AA69/AA70,"")</f>
        <v/>
      </c>
      <c r="AB71" s="157"/>
      <c r="AD71" s="157"/>
      <c r="AE71" s="157"/>
      <c r="AF71" s="158" t="str">
        <f t="shared" si="17"/>
        <v/>
      </c>
      <c r="AG71" s="157">
        <v>109.669625360231</v>
      </c>
      <c r="AH71" s="157"/>
      <c r="AI71" s="158" t="e">
        <f t="shared" si="18"/>
        <v>#VALUE!</v>
      </c>
    </row>
    <row r="72" spans="3:35" x14ac:dyDescent="0.2">
      <c r="H72" s="10"/>
      <c r="I72" s="25"/>
      <c r="J72" s="25"/>
      <c r="K72" s="24"/>
      <c r="L72" s="24"/>
      <c r="M72" s="24"/>
      <c r="N72" s="163" t="s">
        <v>345</v>
      </c>
      <c r="O72" s="160">
        <f t="shared" ref="O72:AA72" si="19">ROUND(IFERROR(O69/O70,0),2)</f>
        <v>0</v>
      </c>
      <c r="P72" s="165">
        <f t="shared" si="19"/>
        <v>0</v>
      </c>
      <c r="Q72" s="165">
        <f t="shared" si="19"/>
        <v>0</v>
      </c>
      <c r="R72" s="165">
        <f t="shared" si="19"/>
        <v>0</v>
      </c>
      <c r="S72" s="165">
        <f t="shared" si="19"/>
        <v>0</v>
      </c>
      <c r="T72" s="165">
        <f t="shared" si="19"/>
        <v>0</v>
      </c>
      <c r="U72" s="165">
        <f t="shared" si="19"/>
        <v>0</v>
      </c>
      <c r="V72" s="165">
        <f t="shared" si="19"/>
        <v>0</v>
      </c>
      <c r="W72" s="165">
        <f t="shared" si="19"/>
        <v>0</v>
      </c>
      <c r="X72" s="165">
        <f t="shared" si="19"/>
        <v>0</v>
      </c>
      <c r="Y72" s="165">
        <f t="shared" si="19"/>
        <v>0</v>
      </c>
      <c r="Z72" s="165">
        <f t="shared" si="19"/>
        <v>0</v>
      </c>
      <c r="AA72" s="165">
        <f t="shared" si="19"/>
        <v>0</v>
      </c>
      <c r="AB72" s="164"/>
      <c r="AD72" s="160">
        <f>ROUND(IFERROR(AD69/AD70,0),2)</f>
        <v>0</v>
      </c>
      <c r="AE72" s="165"/>
      <c r="AF72" s="161"/>
      <c r="AG72" s="160">
        <f>ROUND(IFERROR(AG69/AG70,0),2)</f>
        <v>109.67</v>
      </c>
      <c r="AH72" s="165"/>
      <c r="AI72" s="161"/>
    </row>
    <row r="73" spans="3:35" x14ac:dyDescent="0.2">
      <c r="G73" s="162">
        <f>COUNTIF(O73:AI73,FALSE)</f>
        <v>0</v>
      </c>
      <c r="H73" s="133"/>
      <c r="I73" s="25"/>
      <c r="J73" s="25"/>
      <c r="K73" s="24"/>
      <c r="L73" s="24"/>
      <c r="M73" s="24"/>
      <c r="N73" s="8" t="s">
        <v>814</v>
      </c>
      <c r="O73" s="292" t="b">
        <f t="shared" ref="O73:AA73" si="20">ROUND(O71,2)=ROUND(O72,2)</f>
        <v>1</v>
      </c>
      <c r="P73" s="293" t="b">
        <f t="shared" si="20"/>
        <v>1</v>
      </c>
      <c r="Q73" s="293" t="b">
        <f t="shared" si="20"/>
        <v>1</v>
      </c>
      <c r="R73" s="293" t="b">
        <f t="shared" si="20"/>
        <v>1</v>
      </c>
      <c r="S73" s="293" t="b">
        <f t="shared" si="20"/>
        <v>1</v>
      </c>
      <c r="T73" s="293" t="b">
        <f t="shared" si="20"/>
        <v>1</v>
      </c>
      <c r="U73" s="293" t="b">
        <f t="shared" si="20"/>
        <v>1</v>
      </c>
      <c r="V73" s="293" t="b">
        <f t="shared" si="20"/>
        <v>1</v>
      </c>
      <c r="W73" s="293" t="b">
        <f t="shared" si="20"/>
        <v>1</v>
      </c>
      <c r="X73" s="293" t="b">
        <f t="shared" si="20"/>
        <v>1</v>
      </c>
      <c r="Y73" s="293" t="b">
        <f t="shared" si="20"/>
        <v>1</v>
      </c>
      <c r="Z73" s="293" t="b">
        <f t="shared" si="20"/>
        <v>1</v>
      </c>
      <c r="AA73" s="293" t="e">
        <f t="shared" si="20"/>
        <v>#VALUE!</v>
      </c>
      <c r="AB73" s="294"/>
      <c r="AC73" s="206"/>
      <c r="AD73" s="292"/>
      <c r="AE73" s="293" t="b">
        <f>ROUND(AD71,2)=ROUND(AD72,2)</f>
        <v>1</v>
      </c>
      <c r="AF73" s="294"/>
      <c r="AG73" s="292"/>
      <c r="AH73" s="293" t="b">
        <f>ROUND(AG71,2)=ROUND(AG72,2)</f>
        <v>1</v>
      </c>
      <c r="AI73" s="294"/>
    </row>
    <row r="74" spans="3:35" x14ac:dyDescent="0.2">
      <c r="H74" s="133" t="s">
        <v>789</v>
      </c>
      <c r="I74" s="25" t="e">
        <f ca="1">_xll.EVPRO($B$1,$H74,"STYLE")</f>
        <v>#NAME?</v>
      </c>
      <c r="J74" s="25" t="e">
        <f ca="1">_xll.EVPRO($B$1,$H74,"CALC")</f>
        <v>#NAME?</v>
      </c>
      <c r="K74" s="24"/>
      <c r="L74" s="24" t="e">
        <f ca="1">_xll.EVPRO($B$1,H74,"JDEID")</f>
        <v>#NAME?</v>
      </c>
      <c r="M74" s="24" t="e">
        <f ca="1">IF(AND(I74="N",J74="N"),_xll.EVPRO($B$1,H74,"PSFTID"),"")</f>
        <v>#NAME?</v>
      </c>
      <c r="N74" s="24" t="e">
        <f ca="1">IF(_xll.EVDES(H74,$B$1)="#NODATA","",_xll.EVDES(H74,$B$1))</f>
        <v>#NAME?</v>
      </c>
      <c r="O74" s="19">
        <v>964</v>
      </c>
      <c r="P74" s="19"/>
      <c r="Q74" s="19"/>
      <c r="R74" s="19"/>
      <c r="S74" s="19"/>
      <c r="T74" s="19"/>
      <c r="U74" s="19"/>
      <c r="V74" s="19"/>
      <c r="W74" s="19"/>
      <c r="X74" s="19"/>
      <c r="Y74" s="19"/>
      <c r="Z74" s="19"/>
      <c r="AA74" s="19">
        <f>SUM(O74:Z74)</f>
        <v>964</v>
      </c>
      <c r="AB74" s="15" t="str">
        <f ca="1">IF(AA74=0,"",IFERROR(AA74/AA$19,""))</f>
        <v/>
      </c>
      <c r="AD74" s="19"/>
      <c r="AE74" s="15" t="str">
        <f>IF(AD74=0,"",IFERROR(AD74/AD$19,""))</f>
        <v/>
      </c>
      <c r="AF74" s="47">
        <f>IF(AND($AA74="",AD74=""),"",$AA74-AD74)</f>
        <v>964</v>
      </c>
      <c r="AG74" s="19">
        <v>8454</v>
      </c>
      <c r="AH74" s="15" t="str">
        <f t="shared" ca="1" si="3"/>
        <v/>
      </c>
      <c r="AI74" s="47">
        <f>IF(AND($AA74="",AG74=""),"",$AA74-AG74)</f>
        <v>-7490</v>
      </c>
    </row>
    <row r="75" spans="3:35" x14ac:dyDescent="0.2">
      <c r="C75" s="23"/>
      <c r="H75" s="133" t="s">
        <v>815</v>
      </c>
      <c r="I75" s="25" t="e">
        <f ca="1">_xll.EVPRO($B$1,$H75,"STYLE")</f>
        <v>#NAME?</v>
      </c>
      <c r="J75" s="25" t="e">
        <f ca="1">_xll.EVPRO($B$1,$H75,"CALC")</f>
        <v>#NAME?</v>
      </c>
      <c r="K75" s="24"/>
      <c r="L75" s="24" t="e">
        <f ca="1">_xll.EVPRO($B$1,H75,"JDEID")</f>
        <v>#NAME?</v>
      </c>
      <c r="M75" s="24" t="e">
        <f ca="1">IF(AND(I75="N",J75="N"),_xll.EVPRO($B$1,H75,"PSFTID"),"")</f>
        <v>#NAME?</v>
      </c>
      <c r="N75" s="23" t="e">
        <f ca="1">IF(_xll.EVDES(H75,$B$1)="#NODATA","",_xll.EVDES(H75,$B$1))</f>
        <v>#NAME?</v>
      </c>
      <c r="O75" s="145">
        <v>964</v>
      </c>
      <c r="P75" s="145"/>
      <c r="Q75" s="145"/>
      <c r="R75" s="145"/>
      <c r="S75" s="145"/>
      <c r="T75" s="145"/>
      <c r="U75" s="145"/>
      <c r="V75" s="145"/>
      <c r="W75" s="145"/>
      <c r="X75" s="145"/>
      <c r="Y75" s="145"/>
      <c r="Z75" s="145"/>
      <c r="AA75" s="145">
        <f>SUM(O75:Z75)</f>
        <v>964</v>
      </c>
      <c r="AB75" s="156" t="str">
        <f ca="1">IF(AA75=0,"",IFERROR(AA75/AA$19,""))</f>
        <v/>
      </c>
      <c r="AD75" s="145"/>
      <c r="AE75" s="156" t="str">
        <f>IF(AD75=0,"",IFERROR(AD75/AD$19,""))</f>
        <v/>
      </c>
      <c r="AF75" s="146">
        <f>IF(AND($AA75="",AD75=""),"",$AA75-AD75)</f>
        <v>964</v>
      </c>
      <c r="AG75" s="145">
        <v>8454</v>
      </c>
      <c r="AH75" s="156" t="str">
        <f t="shared" ca="1" si="3"/>
        <v/>
      </c>
      <c r="AI75" s="146">
        <f>IF(AND($AA75="",AG75=""),"",$AA75-AG75)</f>
        <v>-7490</v>
      </c>
    </row>
    <row r="76" spans="3:35" x14ac:dyDescent="0.2">
      <c r="C76" s="23"/>
      <c r="H76" s="133" t="s">
        <v>816</v>
      </c>
      <c r="I76" s="25" t="e">
        <f ca="1">_xll.EVPRO($B$1,$H76,"STYLE")</f>
        <v>#NAME?</v>
      </c>
      <c r="J76" s="25" t="e">
        <f ca="1">_xll.EVPRO($B$1,$H76,"CALC")</f>
        <v>#NAME?</v>
      </c>
      <c r="K76" s="24"/>
      <c r="L76" s="24" t="e">
        <f ca="1">_xll.EVPRO($B$1,H76,"JDEID")</f>
        <v>#NAME?</v>
      </c>
      <c r="M76" s="24" t="e">
        <f ca="1">IF(AND(I76="N",J76="N"),_xll.EVPRO($B$1,H76,"PSFTID"),"")</f>
        <v>#NAME?</v>
      </c>
      <c r="N76" s="24" t="e">
        <f ca="1">IF(_xll.EVDES(H76,$B$1)="#NODATA","",_xll.EVDES(H76,$B$1))</f>
        <v>#NAME?</v>
      </c>
      <c r="O76" s="35">
        <v>26</v>
      </c>
      <c r="P76" s="35"/>
      <c r="Q76" s="35"/>
      <c r="R76" s="35"/>
      <c r="S76" s="35"/>
      <c r="T76" s="35"/>
      <c r="U76" s="35"/>
      <c r="V76" s="35"/>
      <c r="W76" s="35"/>
      <c r="X76" s="35"/>
      <c r="Y76" s="35"/>
      <c r="Z76" s="35"/>
      <c r="AA76" s="35">
        <f>SUM(O76:Z76)</f>
        <v>26</v>
      </c>
      <c r="AB76" s="36">
        <f>IF(AA76=0,"",IFERROR(AA76/AA$83,""))</f>
        <v>0.33333333333333331</v>
      </c>
      <c r="AD76" s="35"/>
      <c r="AE76" s="36" t="str">
        <f>IF(AD76=0,"",IFERROR(AD76/AD$83,""))</f>
        <v/>
      </c>
      <c r="AF76" s="118">
        <f>IF(AND($AA76="",AD76=""),"",$AA76-AD76)</f>
        <v>26</v>
      </c>
      <c r="AG76" s="35">
        <v>190</v>
      </c>
      <c r="AH76" s="36">
        <f>IF(AG76=0,"",IFERROR(AG76/AG$83,""))</f>
        <v>4.8382989559460146E-2</v>
      </c>
      <c r="AI76" s="118">
        <f>IF(AND($AA76="",AG76=""),"",$AA76-AG76)</f>
        <v>-164</v>
      </c>
    </row>
    <row r="77" spans="3:35" x14ac:dyDescent="0.2">
      <c r="C77" s="23"/>
      <c r="H77" s="133" t="s">
        <v>817</v>
      </c>
      <c r="I77" s="25" t="e">
        <f ca="1">_xll.EVPRO($B$1,$H77,"STYLE")</f>
        <v>#NAME?</v>
      </c>
      <c r="J77" s="25" t="e">
        <f ca="1">_xll.EVPRO($B$1,$H77,"CALC")</f>
        <v>#NAME?</v>
      </c>
      <c r="K77" s="24"/>
      <c r="L77" s="24" t="e">
        <f ca="1">_xll.EVPRO($B$1,H77,"JDEID")</f>
        <v>#NAME?</v>
      </c>
      <c r="M77" s="24" t="e">
        <f ca="1">IF(AND(I77="N",J77="N"),_xll.EVPRO($B$1,H77,"PSFTID"),"")</f>
        <v>#NAME?</v>
      </c>
      <c r="N77" s="151" t="e">
        <f ca="1">IF(_xll.EVDES(H77,$B$1)="#NODATA","",_xll.EVDES(H77,$B$1))</f>
        <v>#NAME?</v>
      </c>
      <c r="O77" s="157">
        <v>37.076923076923102</v>
      </c>
      <c r="P77" s="157"/>
      <c r="Q77" s="157"/>
      <c r="R77" s="157"/>
      <c r="S77" s="157"/>
      <c r="T77" s="157"/>
      <c r="U77" s="157"/>
      <c r="V77" s="157"/>
      <c r="W77" s="157"/>
      <c r="X77" s="157"/>
      <c r="Y77" s="157"/>
      <c r="Z77" s="157"/>
      <c r="AA77" s="157">
        <f>IFERROR(AA75/AA76,"")</f>
        <v>37.07692307692308</v>
      </c>
      <c r="AB77" s="157"/>
      <c r="AD77" s="157"/>
      <c r="AE77" s="157"/>
      <c r="AF77" s="158">
        <f>IF(AND($AA77="",AD77=""),"",$AA77-AD77)</f>
        <v>37.07692307692308</v>
      </c>
      <c r="AG77" s="157">
        <v>44.494736842105297</v>
      </c>
      <c r="AH77" s="157"/>
      <c r="AI77" s="158">
        <f>IF(AND($AA77="",AG77=""),"",$AA77-AG77)</f>
        <v>-7.4178137651822169</v>
      </c>
    </row>
    <row r="78" spans="3:35" x14ac:dyDescent="0.2">
      <c r="C78" s="23"/>
      <c r="H78" s="10"/>
      <c r="I78" s="25"/>
      <c r="J78" s="25"/>
      <c r="K78" s="24"/>
      <c r="L78" s="24"/>
      <c r="M78" s="24"/>
      <c r="N78" s="163" t="s">
        <v>345</v>
      </c>
      <c r="O78" s="160">
        <f t="shared" ref="O78:AA78" si="21">ROUND(IFERROR(O75/O76,0),2)</f>
        <v>37.08</v>
      </c>
      <c r="P78" s="165">
        <f t="shared" si="21"/>
        <v>0</v>
      </c>
      <c r="Q78" s="165">
        <f t="shared" si="21"/>
        <v>0</v>
      </c>
      <c r="R78" s="165">
        <f t="shared" si="21"/>
        <v>0</v>
      </c>
      <c r="S78" s="165">
        <f t="shared" si="21"/>
        <v>0</v>
      </c>
      <c r="T78" s="165">
        <f t="shared" si="21"/>
        <v>0</v>
      </c>
      <c r="U78" s="165">
        <f t="shared" si="21"/>
        <v>0</v>
      </c>
      <c r="V78" s="165">
        <f t="shared" si="21"/>
        <v>0</v>
      </c>
      <c r="W78" s="165">
        <f t="shared" si="21"/>
        <v>0</v>
      </c>
      <c r="X78" s="165">
        <f t="shared" si="21"/>
        <v>0</v>
      </c>
      <c r="Y78" s="165">
        <f t="shared" si="21"/>
        <v>0</v>
      </c>
      <c r="Z78" s="165">
        <f t="shared" si="21"/>
        <v>0</v>
      </c>
      <c r="AA78" s="165">
        <f t="shared" si="21"/>
        <v>37.08</v>
      </c>
      <c r="AB78" s="164"/>
      <c r="AD78" s="160">
        <f>ROUND(IFERROR(AD75/AD76,0),2)</f>
        <v>0</v>
      </c>
      <c r="AE78" s="165"/>
      <c r="AF78" s="161"/>
      <c r="AG78" s="160">
        <f>ROUND(IFERROR(AG75/AG76,0),2)</f>
        <v>44.49</v>
      </c>
      <c r="AH78" s="165"/>
      <c r="AI78" s="161"/>
    </row>
    <row r="79" spans="3:35" x14ac:dyDescent="0.2">
      <c r="C79" s="23"/>
      <c r="G79" s="162">
        <f>COUNTIF(O79:AI79,FALSE)</f>
        <v>0</v>
      </c>
      <c r="H79" s="10"/>
      <c r="I79" s="25"/>
      <c r="J79" s="25"/>
      <c r="K79" s="24"/>
      <c r="L79" s="24"/>
      <c r="M79" s="24"/>
      <c r="N79" s="163"/>
      <c r="O79" s="292" t="b">
        <f t="shared" ref="O79:AA79" si="22">ROUND(O77,2)=ROUND(O78,2)</f>
        <v>1</v>
      </c>
      <c r="P79" s="293" t="b">
        <f t="shared" si="22"/>
        <v>1</v>
      </c>
      <c r="Q79" s="293" t="b">
        <f t="shared" si="22"/>
        <v>1</v>
      </c>
      <c r="R79" s="293" t="b">
        <f t="shared" si="22"/>
        <v>1</v>
      </c>
      <c r="S79" s="293" t="b">
        <f t="shared" si="22"/>
        <v>1</v>
      </c>
      <c r="T79" s="293" t="b">
        <f t="shared" si="22"/>
        <v>1</v>
      </c>
      <c r="U79" s="293" t="b">
        <f t="shared" si="22"/>
        <v>1</v>
      </c>
      <c r="V79" s="293" t="b">
        <f t="shared" si="22"/>
        <v>1</v>
      </c>
      <c r="W79" s="293" t="b">
        <f t="shared" si="22"/>
        <v>1</v>
      </c>
      <c r="X79" s="293" t="b">
        <f t="shared" si="22"/>
        <v>1</v>
      </c>
      <c r="Y79" s="293" t="b">
        <f t="shared" si="22"/>
        <v>1</v>
      </c>
      <c r="Z79" s="293" t="b">
        <f t="shared" si="22"/>
        <v>1</v>
      </c>
      <c r="AA79" s="293" t="b">
        <f t="shared" si="22"/>
        <v>1</v>
      </c>
      <c r="AB79" s="294"/>
      <c r="AC79" s="206"/>
      <c r="AD79" s="292"/>
      <c r="AE79" s="293" t="b">
        <f>ROUND(AD77,2)=ROUND(AD78,2)</f>
        <v>1</v>
      </c>
      <c r="AF79" s="294"/>
      <c r="AG79" s="292"/>
      <c r="AH79" s="293" t="b">
        <f>ROUND(AG77,2)=ROUND(AG78,2)</f>
        <v>1</v>
      </c>
      <c r="AI79" s="294"/>
    </row>
    <row r="80" spans="3:35" x14ac:dyDescent="0.2">
      <c r="C80" s="23"/>
      <c r="H80" s="10" t="s">
        <v>486</v>
      </c>
      <c r="I80" s="25" t="e">
        <f ca="1">_xll.EVPRO($B$1,$H80,"STYLE")</f>
        <v>#NAME?</v>
      </c>
      <c r="J80" s="25" t="e">
        <f ca="1">_xll.EVPRO($B$1,$H80,"CALC")</f>
        <v>#NAME?</v>
      </c>
      <c r="K80" s="24"/>
      <c r="L80" s="24" t="e">
        <f ca="1">_xll.EVPRO($B$1,H80,"JDEID")</f>
        <v>#NAME?</v>
      </c>
      <c r="M80" s="24" t="e">
        <f ca="1">IF(AND(I80="N",J80="N"),_xll.EVPRO($B$1,H80,"PSFTID"),"")</f>
        <v>#NAME?</v>
      </c>
      <c r="N80" s="24" t="e">
        <f ca="1">IF(_xll.EVDES(H80,$B$1)="#NODATA","",_xll.EVDES(H80,$B$1))</f>
        <v>#NAME?</v>
      </c>
      <c r="O80" s="19"/>
      <c r="P80" s="19"/>
      <c r="Q80" s="19"/>
      <c r="R80" s="19"/>
      <c r="S80" s="19"/>
      <c r="T80" s="19"/>
      <c r="U80" s="19"/>
      <c r="V80" s="19"/>
      <c r="W80" s="19"/>
      <c r="X80" s="19"/>
      <c r="Y80" s="19"/>
      <c r="Z80" s="19"/>
      <c r="AA80" s="19">
        <f>SUM(O80:Z80)</f>
        <v>0</v>
      </c>
      <c r="AB80" s="15" t="str">
        <f>IF(AA80=0,"",IFERROR(AA80/AA$19,""))</f>
        <v/>
      </c>
      <c r="AD80" s="19"/>
      <c r="AE80" s="15" t="str">
        <f>IF(AD80=0,"",IFERROR(AD80/AD$19,""))</f>
        <v/>
      </c>
      <c r="AF80" s="47">
        <f>IF(AND($AA80="",AD80=""),"",$AA80-AD80)</f>
        <v>0</v>
      </c>
      <c r="AG80" s="19"/>
      <c r="AH80" s="15" t="str">
        <f>IF(AG80=0,"",IFERROR(AG80/AG$19,""))</f>
        <v/>
      </c>
      <c r="AI80" s="47">
        <f>IF(AND($AA80="",AG80=""),"",$AA80-AG80)</f>
        <v>0</v>
      </c>
    </row>
    <row r="81" spans="3:35" x14ac:dyDescent="0.2">
      <c r="C81" s="23"/>
      <c r="H81" s="10"/>
      <c r="I81" s="25"/>
      <c r="J81" s="25"/>
      <c r="K81" s="24"/>
      <c r="L81" s="24"/>
      <c r="M81" s="24"/>
      <c r="N81" s="8" t="s">
        <v>348</v>
      </c>
      <c r="O81" s="292"/>
      <c r="P81" s="293"/>
      <c r="Q81" s="293"/>
      <c r="R81" s="293"/>
      <c r="S81" s="293"/>
      <c r="T81" s="293"/>
      <c r="U81" s="293"/>
      <c r="V81" s="293"/>
      <c r="W81" s="293"/>
      <c r="X81" s="293"/>
      <c r="Y81" s="293"/>
      <c r="Z81" s="293"/>
      <c r="AA81" s="293"/>
      <c r="AB81" s="294"/>
      <c r="AC81" s="206"/>
      <c r="AD81" s="292"/>
      <c r="AE81" s="293"/>
      <c r="AF81" s="294"/>
      <c r="AG81" s="292"/>
      <c r="AH81" s="293"/>
      <c r="AI81" s="294"/>
    </row>
    <row r="82" spans="3:35" x14ac:dyDescent="0.2">
      <c r="C82" s="23"/>
      <c r="H82" s="133" t="s">
        <v>273</v>
      </c>
      <c r="I82" s="25" t="e">
        <f ca="1">_xll.EVPRO($B$1,$H82,"STYLE")</f>
        <v>#NAME?</v>
      </c>
      <c r="J82" s="25" t="e">
        <f ca="1">_xll.EVPRO($B$1,$H82,"CALC")</f>
        <v>#NAME?</v>
      </c>
      <c r="L82" s="24" t="e">
        <f ca="1">_xll.EVPRO($B$1,H82,"JDEID")</f>
        <v>#NAME?</v>
      </c>
      <c r="M82" s="24" t="e">
        <f ca="1">IF(AND(I82="N",J82="N"),_xll.EVPRO($B$1,H82,"PSFTID"),"")</f>
        <v>#NAME?</v>
      </c>
      <c r="N82" s="24" t="e">
        <f ca="1">IF(_xll.EVDES(H82,$B$1)="#NODATA","",_xll.EVDES(H82,$B$1))</f>
        <v>#NAME?</v>
      </c>
      <c r="O82" s="152">
        <v>8277.2099999999991</v>
      </c>
      <c r="P82" s="152"/>
      <c r="Q82" s="152"/>
      <c r="R82" s="152"/>
      <c r="S82" s="152"/>
      <c r="T82" s="152"/>
      <c r="U82" s="152"/>
      <c r="V82" s="152"/>
      <c r="W82" s="152"/>
      <c r="X82" s="152"/>
      <c r="Y82" s="152"/>
      <c r="Z82" s="152"/>
      <c r="AA82" s="152">
        <f>SUM(O82:Z82)</f>
        <v>8277.2099999999991</v>
      </c>
      <c r="AB82" s="153" t="str">
        <f ca="1">IF(AA82=0,"",IFERROR(AA82/AA$19,""))</f>
        <v/>
      </c>
      <c r="AD82" s="152"/>
      <c r="AE82" s="153" t="str">
        <f>IF(AD82=0,"",IFERROR(AD82/AD$19,""))</f>
        <v/>
      </c>
      <c r="AF82" s="154">
        <f>IF(AND($AA82="",AD82=""),"",$AA82-AD82)</f>
        <v>8277.2099999999991</v>
      </c>
      <c r="AG82" s="152">
        <v>253557.97</v>
      </c>
      <c r="AH82" s="153" t="str">
        <f t="shared" ref="AH82:AH92" ca="1" si="23">IF(AG82=0,"",IFERROR(AG82/AG$19,""))</f>
        <v/>
      </c>
      <c r="AI82" s="154">
        <f>IF(AND($AA82="",AG82=""),"",$AA82-AG82)</f>
        <v>-245280.76</v>
      </c>
    </row>
    <row r="83" spans="3:35" x14ac:dyDescent="0.2">
      <c r="C83" s="23"/>
      <c r="H83" s="133" t="s">
        <v>331</v>
      </c>
      <c r="I83" s="25" t="e">
        <f ca="1">_xll.EVPRO($B$1,$H83,"STYLE")</f>
        <v>#NAME?</v>
      </c>
      <c r="J83" s="25" t="e">
        <f ca="1">_xll.EVPRO($B$1,$H83,"CALC")</f>
        <v>#NAME?</v>
      </c>
      <c r="L83" s="24" t="e">
        <f ca="1">_xll.EVPRO($B$1,H83,"JDEID")</f>
        <v>#NAME?</v>
      </c>
      <c r="M83" s="24" t="e">
        <f ca="1">IF(AND(I83="N",J83="N"),_xll.EVPRO($B$1,H83,"PSFTID"),"")</f>
        <v>#NAME?</v>
      </c>
      <c r="N83" s="24" t="e">
        <f ca="1">IF(_xll.EVDES(H83,$B$1)="#NODATA","",_xll.EVDES(H83,$B$1))</f>
        <v>#NAME?</v>
      </c>
      <c r="O83" s="152">
        <v>78</v>
      </c>
      <c r="P83" s="152"/>
      <c r="Q83" s="152"/>
      <c r="R83" s="152"/>
      <c r="S83" s="152"/>
      <c r="T83" s="152"/>
      <c r="U83" s="152"/>
      <c r="V83" s="152"/>
      <c r="W83" s="152"/>
      <c r="X83" s="152"/>
      <c r="Y83" s="152"/>
      <c r="Z83" s="152"/>
      <c r="AA83" s="152">
        <f>SUM(O83:Z83)</f>
        <v>78</v>
      </c>
      <c r="AB83" s="153" t="str">
        <f ca="1">IF(AA83=0,"",IFERROR(AA83/AA$20,""))</f>
        <v/>
      </c>
      <c r="AD83" s="152"/>
      <c r="AE83" s="153" t="str">
        <f>IF(AD83=0,"",IFERROR(AD83/AD$20,""))</f>
        <v/>
      </c>
      <c r="AF83" s="154">
        <f>IF(AND($AA83="",AD83=""),"",$AA83-AD83)</f>
        <v>78</v>
      </c>
      <c r="AG83" s="152">
        <v>3927</v>
      </c>
      <c r="AH83" s="153" t="str">
        <f ca="1">IF(AG83=0,"",IFERROR(AG83/AG$20,""))</f>
        <v/>
      </c>
      <c r="AI83" s="154">
        <f>IF(AND($AA83="",AG83=""),"",$AA83-AG83)</f>
        <v>-3849</v>
      </c>
    </row>
    <row r="84" spans="3:35" x14ac:dyDescent="0.2">
      <c r="C84" s="23"/>
      <c r="H84" s="133" t="s">
        <v>311</v>
      </c>
      <c r="I84" s="25" t="e">
        <f ca="1">_xll.EVPRO($B$1,$H84,"STYLE")</f>
        <v>#NAME?</v>
      </c>
      <c r="J84" s="25" t="e">
        <f ca="1">_xll.EVPRO($B$1,$H84,"CALC")</f>
        <v>#NAME?</v>
      </c>
      <c r="L84" s="24"/>
      <c r="M84" s="24"/>
      <c r="N84" s="24" t="e">
        <f ca="1">IF(_xll.EVDES(H84,$B$1)="#NODATA","",_xll.EVDES(H84,$B$1))</f>
        <v>#NAME?</v>
      </c>
      <c r="O84" s="157">
        <v>106.118076923077</v>
      </c>
      <c r="P84" s="157"/>
      <c r="Q84" s="157"/>
      <c r="R84" s="157"/>
      <c r="S84" s="157"/>
      <c r="T84" s="157"/>
      <c r="U84" s="157"/>
      <c r="V84" s="157"/>
      <c r="W84" s="157"/>
      <c r="X84" s="157"/>
      <c r="Y84" s="157"/>
      <c r="Z84" s="157"/>
      <c r="AA84" s="157">
        <f>IFERROR(AA82/AA83,"")</f>
        <v>106.11807692307691</v>
      </c>
      <c r="AB84" s="157"/>
      <c r="AD84" s="157"/>
      <c r="AE84" s="157"/>
      <c r="AF84" s="158">
        <f>IF(AND($AA84="",AD84=""),"",$AA84-AD84)</f>
        <v>106.11807692307691</v>
      </c>
      <c r="AG84" s="157">
        <v>64.567855869620601</v>
      </c>
      <c r="AH84" s="157"/>
      <c r="AI84" s="158">
        <f>IF(AND($AA84="",AG84=""),"",$AA84-AG84)</f>
        <v>41.550221053456312</v>
      </c>
    </row>
    <row r="85" spans="3:35" x14ac:dyDescent="0.2">
      <c r="C85" s="23"/>
      <c r="H85" s="133"/>
      <c r="I85" s="25"/>
      <c r="J85" s="25"/>
      <c r="L85" s="24"/>
      <c r="M85" s="24"/>
      <c r="N85" s="24"/>
      <c r="O85" s="38"/>
      <c r="P85" s="42"/>
      <c r="Q85" s="42"/>
      <c r="R85" s="42"/>
      <c r="S85" s="42"/>
      <c r="T85" s="42"/>
      <c r="U85" s="42"/>
      <c r="V85" s="42"/>
      <c r="W85" s="42"/>
      <c r="X85" s="42"/>
      <c r="Y85" s="42"/>
      <c r="Z85" s="42"/>
      <c r="AA85" s="42"/>
      <c r="AB85" s="39"/>
      <c r="AD85" s="38"/>
      <c r="AE85" s="42"/>
      <c r="AF85" s="39"/>
      <c r="AG85" s="38"/>
      <c r="AH85" s="42"/>
      <c r="AI85" s="39"/>
    </row>
    <row r="86" spans="3:35" x14ac:dyDescent="0.2">
      <c r="C86" s="23"/>
      <c r="H86" s="133"/>
      <c r="I86" s="25"/>
      <c r="J86" s="25"/>
      <c r="L86" s="24"/>
      <c r="M86" s="24"/>
      <c r="N86" s="8" t="s">
        <v>343</v>
      </c>
      <c r="O86" s="50"/>
      <c r="AB86" s="149"/>
      <c r="AD86" s="148"/>
      <c r="AE86" s="150"/>
      <c r="AF86" s="51"/>
      <c r="AH86" s="150"/>
      <c r="AI86" s="51"/>
    </row>
    <row r="87" spans="3:35" x14ac:dyDescent="0.2">
      <c r="C87" s="23"/>
      <c r="H87" s="133"/>
      <c r="I87" s="25"/>
      <c r="J87" s="25"/>
      <c r="L87" s="24"/>
      <c r="M87" s="24"/>
      <c r="N87" s="8" t="s">
        <v>337</v>
      </c>
      <c r="O87" s="40"/>
      <c r="P87" s="43"/>
      <c r="Q87" s="43"/>
      <c r="R87" s="43"/>
      <c r="S87" s="43"/>
      <c r="T87" s="43"/>
      <c r="U87" s="43"/>
      <c r="V87" s="43"/>
      <c r="W87" s="43"/>
      <c r="X87" s="43"/>
      <c r="Y87" s="43"/>
      <c r="Z87" s="43"/>
      <c r="AA87" s="43"/>
      <c r="AB87" s="41"/>
      <c r="AD87" s="40"/>
      <c r="AE87" s="43"/>
      <c r="AF87" s="41"/>
      <c r="AG87" s="43"/>
      <c r="AH87" s="43"/>
      <c r="AI87" s="41"/>
    </row>
    <row r="88" spans="3:35" x14ac:dyDescent="0.2">
      <c r="C88" s="23"/>
      <c r="H88" s="133" t="s">
        <v>294</v>
      </c>
      <c r="I88" s="25"/>
      <c r="J88" s="25"/>
      <c r="L88" s="24" t="e">
        <f ca="1">_xll.EVPRO($B$1,H88,"JDEID")</f>
        <v>#NAME?</v>
      </c>
      <c r="M88" s="24" t="str">
        <f>IF(AND(I88="N",J88="N"),_xll.EVPRO($B$1,H88,"PSFTID"),"")</f>
        <v/>
      </c>
      <c r="N88" s="24" t="e">
        <f ca="1">IF(_xll.EVDES(H88,$B$1)="#NODATA","",_xll.EVDES(H88,$B$1))</f>
        <v>#NAME?</v>
      </c>
      <c r="O88" s="19"/>
      <c r="P88" s="19"/>
      <c r="Q88" s="19"/>
      <c r="R88" s="19"/>
      <c r="S88" s="19"/>
      <c r="T88" s="19"/>
      <c r="U88" s="19"/>
      <c r="V88" s="19"/>
      <c r="W88" s="19"/>
      <c r="X88" s="19"/>
      <c r="Y88" s="19"/>
      <c r="Z88" s="19"/>
      <c r="AA88" s="19">
        <f>SUM(O88:Z88)</f>
        <v>0</v>
      </c>
      <c r="AB88" s="15" t="str">
        <f>IF(AA88=0,"",IFERROR(AA88/AA$19,""))</f>
        <v/>
      </c>
      <c r="AD88" s="19"/>
      <c r="AE88" s="15" t="str">
        <f>IF(AD88=0,"",IFERROR(AD88/AD$19,""))</f>
        <v/>
      </c>
      <c r="AF88" s="47">
        <f>IF(AND($AA88="",AD88=""),"",$AA88-AD88)</f>
        <v>0</v>
      </c>
      <c r="AG88" s="19">
        <v>2633</v>
      </c>
      <c r="AH88" s="15" t="str">
        <f t="shared" ca="1" si="23"/>
        <v/>
      </c>
      <c r="AI88" s="47">
        <f>IF(AND($AA88="",AG88=""),"",$AA88-AG88)</f>
        <v>-2633</v>
      </c>
    </row>
    <row r="89" spans="3:35" x14ac:dyDescent="0.2">
      <c r="C89" s="23"/>
      <c r="H89" s="133" t="s">
        <v>301</v>
      </c>
      <c r="I89" s="25"/>
      <c r="J89" s="25"/>
      <c r="L89" s="24" t="e">
        <f ca="1">_xll.EVPRO($B$1,H89,"JDEID")</f>
        <v>#NAME?</v>
      </c>
      <c r="M89" s="24" t="str">
        <f>IF(AND(I89="N",J89="N"),_xll.EVPRO($B$1,H89,"PSFTID"),"")</f>
        <v/>
      </c>
      <c r="N89" s="24" t="e">
        <f ca="1">IF(_xll.EVDES(H89,$B$1)="#NODATA","",_xll.EVDES(H89,$B$1))</f>
        <v>#NAME?</v>
      </c>
      <c r="O89" s="19"/>
      <c r="P89" s="19"/>
      <c r="Q89" s="19"/>
      <c r="R89" s="19"/>
      <c r="S89" s="19"/>
      <c r="T89" s="19"/>
      <c r="U89" s="19"/>
      <c r="V89" s="19"/>
      <c r="W89" s="19"/>
      <c r="X89" s="19"/>
      <c r="Y89" s="19"/>
      <c r="Z89" s="19"/>
      <c r="AA89" s="19">
        <f>SUM(O89:Z89)</f>
        <v>0</v>
      </c>
      <c r="AB89" s="15" t="str">
        <f>IF(AA89=0,"",IFERROR(AA89/AA$19,""))</f>
        <v/>
      </c>
      <c r="AD89" s="19"/>
      <c r="AE89" s="15" t="str">
        <f>IF(AD89=0,"",IFERROR(AD89/AD$19,""))</f>
        <v/>
      </c>
      <c r="AF89" s="47">
        <f>IF(AND($AA89="",AD89=""),"",$AA89-AD89)</f>
        <v>0</v>
      </c>
      <c r="AG89" s="19">
        <v>1557</v>
      </c>
      <c r="AH89" s="15" t="str">
        <f t="shared" ca="1" si="23"/>
        <v/>
      </c>
      <c r="AI89" s="47">
        <f>IF(AND($AA89="",AG89=""),"",$AA89-AG89)</f>
        <v>-1557</v>
      </c>
    </row>
    <row r="90" spans="3:35" x14ac:dyDescent="0.2">
      <c r="C90" s="23"/>
      <c r="H90" s="133" t="s">
        <v>302</v>
      </c>
      <c r="I90" s="25"/>
      <c r="J90" s="25"/>
      <c r="L90" s="24" t="e">
        <f ca="1">_xll.EVPRO($B$1,H90,"JDEID")</f>
        <v>#NAME?</v>
      </c>
      <c r="M90" s="24" t="str">
        <f>IF(AND(I90="N",J90="N"),_xll.EVPRO($B$1,H90,"PSFTID"),"")</f>
        <v/>
      </c>
      <c r="N90" s="24" t="e">
        <f ca="1">IF(_xll.EVDES(H90,$B$1)="#NODATA","",_xll.EVDES(H90,$B$1))</f>
        <v>#NAME?</v>
      </c>
      <c r="O90" s="19"/>
      <c r="P90" s="19"/>
      <c r="Q90" s="19"/>
      <c r="R90" s="19"/>
      <c r="S90" s="19"/>
      <c r="T90" s="19"/>
      <c r="U90" s="19"/>
      <c r="V90" s="19"/>
      <c r="W90" s="19"/>
      <c r="X90" s="19"/>
      <c r="Y90" s="19"/>
      <c r="Z90" s="19"/>
      <c r="AA90" s="19">
        <f>SUM(O90:Z90)</f>
        <v>0</v>
      </c>
      <c r="AB90" s="15" t="str">
        <f>IF(AA90=0,"",IFERROR(AA90/AA$19,""))</f>
        <v/>
      </c>
      <c r="AD90" s="19"/>
      <c r="AE90" s="15" t="str">
        <f>IF(AD90=0,"",IFERROR(AD90/AD$19,""))</f>
        <v/>
      </c>
      <c r="AF90" s="47">
        <f>IF(AND($AA90="",AD90=""),"",$AA90-AD90)</f>
        <v>0</v>
      </c>
      <c r="AG90" s="19">
        <v>2032</v>
      </c>
      <c r="AH90" s="15" t="str">
        <f t="shared" ca="1" si="23"/>
        <v/>
      </c>
      <c r="AI90" s="47">
        <f>IF(AND($AA90="",AG90=""),"",$AA90-AG90)</f>
        <v>-2032</v>
      </c>
    </row>
    <row r="91" spans="3:35" x14ac:dyDescent="0.2">
      <c r="C91" s="23"/>
      <c r="H91" s="133" t="s">
        <v>808</v>
      </c>
      <c r="I91" s="25"/>
      <c r="J91" s="25"/>
      <c r="L91" s="24" t="e">
        <f ca="1">_xll.EVPRO($B$1,H91,"JDEID")</f>
        <v>#NAME?</v>
      </c>
      <c r="M91" s="24" t="str">
        <f>IF(AND(I91="N",J91="N"),_xll.EVPRO($B$1,H91,"PSFTID"),"")</f>
        <v/>
      </c>
      <c r="N91" s="24" t="e">
        <f ca="1">IF(_xll.EVDES(H91,$B$1)="#NODATA","",_xll.EVDES(H91,$B$1))</f>
        <v>#NAME?</v>
      </c>
      <c r="O91" s="19"/>
      <c r="P91" s="19"/>
      <c r="Q91" s="19"/>
      <c r="R91" s="19"/>
      <c r="S91" s="19"/>
      <c r="T91" s="19"/>
      <c r="U91" s="19"/>
      <c r="V91" s="19"/>
      <c r="W91" s="19"/>
      <c r="X91" s="19"/>
      <c r="Y91" s="19"/>
      <c r="Z91" s="19"/>
      <c r="AA91" s="19">
        <f>SUM(O91:Z91)</f>
        <v>0</v>
      </c>
      <c r="AB91" s="15" t="str">
        <f>IF(AA91=0,"",IFERROR(AA91/AA$19,""))</f>
        <v/>
      </c>
      <c r="AD91" s="19"/>
      <c r="AE91" s="15" t="str">
        <f>IF(AD91=0,"",IFERROR(AD91/AD$19,""))</f>
        <v/>
      </c>
      <c r="AF91" s="47">
        <f>IF(AND($AA91="",AD91=""),"",$AA91-AD91)</f>
        <v>0</v>
      </c>
      <c r="AG91" s="19">
        <v>7252.96</v>
      </c>
      <c r="AH91" s="15" t="str">
        <f t="shared" ca="1" si="23"/>
        <v/>
      </c>
      <c r="AI91" s="47">
        <f>IF(AND($AA91="",AG91=""),"",$AA91-AG91)</f>
        <v>-7252.96</v>
      </c>
    </row>
    <row r="92" spans="3:35" x14ac:dyDescent="0.2">
      <c r="C92" s="23"/>
      <c r="H92" s="133" t="s">
        <v>340</v>
      </c>
      <c r="I92" s="25"/>
      <c r="J92" s="25"/>
      <c r="L92" s="24" t="e">
        <f ca="1">_xll.EVPRO($B$1,H92,"JDEID")</f>
        <v>#NAME?</v>
      </c>
      <c r="M92" s="24" t="str">
        <f>IF(AND(I92="N",J92="N"),_xll.EVPRO($B$1,H92,"PSFTID"),"")</f>
        <v/>
      </c>
      <c r="N92" s="23" t="e">
        <f ca="1">IF(_xll.EVDES(H92,$B$1)="#NODATA","",_xll.EVDES(H92,$B$1))</f>
        <v>#NAME?</v>
      </c>
      <c r="O92" s="145"/>
      <c r="P92" s="145"/>
      <c r="Q92" s="145"/>
      <c r="R92" s="145"/>
      <c r="S92" s="145"/>
      <c r="T92" s="145"/>
      <c r="U92" s="145"/>
      <c r="V92" s="145"/>
      <c r="W92" s="145"/>
      <c r="X92" s="145"/>
      <c r="Y92" s="145"/>
      <c r="Z92" s="145"/>
      <c r="AA92" s="145">
        <f>SUM(O92:Z92)</f>
        <v>0</v>
      </c>
      <c r="AB92" s="156" t="str">
        <f>IF(AA92=0,"",IFERROR(AA92/AA$19,""))</f>
        <v/>
      </c>
      <c r="AD92" s="145"/>
      <c r="AE92" s="156" t="str">
        <f>IF(AD92=0,"",IFERROR(AD92/AD$19,""))</f>
        <v/>
      </c>
      <c r="AF92" s="146">
        <f>IF(AND($AA92="",AD92=""),"",$AA92-AD92)</f>
        <v>0</v>
      </c>
      <c r="AG92" s="145">
        <v>13474.96</v>
      </c>
      <c r="AH92" s="156" t="str">
        <f t="shared" ca="1" si="23"/>
        <v/>
      </c>
      <c r="AI92" s="146">
        <f>IF(AND($AA92="",AG92=""),"",$AA92-AG92)</f>
        <v>-13474.96</v>
      </c>
    </row>
    <row r="93" spans="3:35" x14ac:dyDescent="0.2">
      <c r="C93" s="23"/>
      <c r="H93" s="133"/>
      <c r="I93" s="25"/>
      <c r="J93" s="25"/>
      <c r="L93" s="24"/>
      <c r="M93" s="24"/>
      <c r="N93" s="8"/>
      <c r="O93" s="38"/>
      <c r="P93" s="42"/>
      <c r="Q93" s="42"/>
      <c r="R93" s="42"/>
      <c r="S93" s="42"/>
      <c r="T93" s="42"/>
      <c r="U93" s="42"/>
      <c r="V93" s="42"/>
      <c r="W93" s="42"/>
      <c r="X93" s="42"/>
      <c r="Y93" s="42"/>
      <c r="Z93" s="42"/>
      <c r="AA93" s="42"/>
      <c r="AB93" s="39"/>
      <c r="AD93" s="38"/>
      <c r="AE93" s="42"/>
      <c r="AF93" s="39"/>
      <c r="AG93" s="38"/>
      <c r="AH93" s="42"/>
      <c r="AI93" s="39"/>
    </row>
    <row r="94" spans="3:35" x14ac:dyDescent="0.2">
      <c r="C94" s="23"/>
      <c r="H94" s="133"/>
      <c r="I94" s="25"/>
      <c r="J94" s="25"/>
      <c r="L94" s="24"/>
      <c r="M94" s="24"/>
      <c r="N94" s="8" t="s">
        <v>339</v>
      </c>
      <c r="O94" s="40"/>
      <c r="P94" s="43"/>
      <c r="Q94" s="43"/>
      <c r="R94" s="43"/>
      <c r="S94" s="43"/>
      <c r="T94" s="43"/>
      <c r="U94" s="43"/>
      <c r="V94" s="43"/>
      <c r="W94" s="43"/>
      <c r="X94" s="43"/>
      <c r="Y94" s="43"/>
      <c r="Z94" s="43"/>
      <c r="AA94" s="43"/>
      <c r="AB94" s="41"/>
      <c r="AD94" s="40"/>
      <c r="AE94" s="43"/>
      <c r="AF94" s="41"/>
      <c r="AG94" s="40"/>
      <c r="AH94" s="43"/>
      <c r="AI94" s="41"/>
    </row>
    <row r="95" spans="3:35" x14ac:dyDescent="0.2">
      <c r="C95" s="23"/>
      <c r="H95" s="133" t="s">
        <v>295</v>
      </c>
      <c r="I95" s="25"/>
      <c r="J95" s="25"/>
      <c r="L95" s="24" t="e">
        <f ca="1">_xll.EVPRO($B$1,H95,"JDEID")</f>
        <v>#NAME?</v>
      </c>
      <c r="M95" s="24" t="str">
        <f>IF(AND(I95="N",J95="N"),_xll.EVPRO($B$1,H95,"PSFTID"),"")</f>
        <v/>
      </c>
      <c r="N95" s="24" t="e">
        <f ca="1">IF(_xll.EVDES(H95,$B$1)="#NODATA","",_xll.EVDES(H95,$B$1))</f>
        <v>#NAME?</v>
      </c>
      <c r="O95" s="19"/>
      <c r="P95" s="19"/>
      <c r="Q95" s="19"/>
      <c r="R95" s="19"/>
      <c r="S95" s="19"/>
      <c r="T95" s="19"/>
      <c r="U95" s="19"/>
      <c r="V95" s="19"/>
      <c r="W95" s="19"/>
      <c r="X95" s="19"/>
      <c r="Y95" s="19"/>
      <c r="Z95" s="19"/>
      <c r="AA95" s="19">
        <f>SUM(O95:Z95)</f>
        <v>0</v>
      </c>
      <c r="AB95" s="15" t="str">
        <f>IF(AA95=0,"",IFERROR(AA95/AA$19,""))</f>
        <v/>
      </c>
      <c r="AD95" s="19"/>
      <c r="AE95" s="15" t="str">
        <f>IF(AD95=0,"",IFERROR(AD95/AD$19,""))</f>
        <v/>
      </c>
      <c r="AF95" s="47">
        <f>IF(AND($AA95="",AD95=""),"",$AA95-AD95)</f>
        <v>0</v>
      </c>
      <c r="AG95" s="19"/>
      <c r="AH95" s="15" t="str">
        <f>IF(AG95=0,"",IFERROR(AG95/AG$19,""))</f>
        <v/>
      </c>
      <c r="AI95" s="47">
        <f>IF(AND($AA95="",AG95=""),"",$AA95-AG95)</f>
        <v>0</v>
      </c>
    </row>
    <row r="96" spans="3:35" x14ac:dyDescent="0.2">
      <c r="C96" s="23"/>
      <c r="H96" s="133" t="s">
        <v>305</v>
      </c>
      <c r="I96" s="25"/>
      <c r="J96" s="25"/>
      <c r="L96" s="24" t="e">
        <f ca="1">_xll.EVPRO($B$1,H96,"JDEID")</f>
        <v>#NAME?</v>
      </c>
      <c r="M96" s="24" t="str">
        <f>IF(AND(I96="N",J96="N"),_xll.EVPRO($B$1,H96,"PSFTID"),"")</f>
        <v/>
      </c>
      <c r="N96" s="24" t="e">
        <f ca="1">IF(_xll.EVDES(H96,$B$1)="#NODATA","",_xll.EVDES(H96,$B$1))</f>
        <v>#NAME?</v>
      </c>
      <c r="O96" s="19"/>
      <c r="P96" s="19"/>
      <c r="Q96" s="19"/>
      <c r="R96" s="19"/>
      <c r="S96" s="19"/>
      <c r="T96" s="19"/>
      <c r="U96" s="19"/>
      <c r="V96" s="19"/>
      <c r="W96" s="19"/>
      <c r="X96" s="19"/>
      <c r="Y96" s="19"/>
      <c r="Z96" s="19"/>
      <c r="AA96" s="19">
        <f>SUM(O96:Z96)</f>
        <v>0</v>
      </c>
      <c r="AB96" s="15" t="str">
        <f>IF(AA96=0,"",IFERROR(AA96/AA$19,""))</f>
        <v/>
      </c>
      <c r="AD96" s="19"/>
      <c r="AE96" s="15" t="str">
        <f>IF(AD96=0,"",IFERROR(AD96/AD$19,""))</f>
        <v/>
      </c>
      <c r="AF96" s="47">
        <f>IF(AND($AA96="",AD96=""),"",$AA96-AD96)</f>
        <v>0</v>
      </c>
      <c r="AG96" s="19">
        <v>856</v>
      </c>
      <c r="AH96" s="15" t="str">
        <f ca="1">IF(AG96=0,"",IFERROR(AG96/AG$19,""))</f>
        <v/>
      </c>
      <c r="AI96" s="47">
        <f>IF(AND($AA96="",AG96=""),"",$AA96-AG96)</f>
        <v>-856</v>
      </c>
    </row>
    <row r="97" spans="3:35" x14ac:dyDescent="0.2">
      <c r="C97" s="23"/>
      <c r="H97" s="133" t="s">
        <v>306</v>
      </c>
      <c r="I97" s="25"/>
      <c r="J97" s="25"/>
      <c r="L97" s="24" t="e">
        <f ca="1">_xll.EVPRO($B$1,H97,"JDEID")</f>
        <v>#NAME?</v>
      </c>
      <c r="M97" s="24" t="str">
        <f>IF(AND(I97="N",J97="N"),_xll.EVPRO($B$1,H97,"PSFTID"),"")</f>
        <v/>
      </c>
      <c r="N97" s="24" t="e">
        <f ca="1">IF(_xll.EVDES(H97,$B$1)="#NODATA","",_xll.EVDES(H97,$B$1))</f>
        <v>#NAME?</v>
      </c>
      <c r="O97" s="19"/>
      <c r="P97" s="19"/>
      <c r="Q97" s="19"/>
      <c r="R97" s="19"/>
      <c r="S97" s="19"/>
      <c r="T97" s="19"/>
      <c r="U97" s="19"/>
      <c r="V97" s="19"/>
      <c r="W97" s="19"/>
      <c r="X97" s="19"/>
      <c r="Y97" s="19"/>
      <c r="Z97" s="19"/>
      <c r="AA97" s="19">
        <f>SUM(O97:Z97)</f>
        <v>0</v>
      </c>
      <c r="AB97" s="15" t="str">
        <f>IF(AA97=0,"",IFERROR(AA97/AA$19,""))</f>
        <v/>
      </c>
      <c r="AD97" s="19"/>
      <c r="AE97" s="15" t="str">
        <f>IF(AD97=0,"",IFERROR(AD97/AD$19,""))</f>
        <v/>
      </c>
      <c r="AF97" s="47">
        <f>IF(AND($AA97="",AD97=""),"",$AA97-AD97)</f>
        <v>0</v>
      </c>
      <c r="AG97" s="19">
        <v>2095</v>
      </c>
      <c r="AH97" s="15" t="str">
        <f ca="1">IF(AG97=0,"",IFERROR(AG97/AG$19,""))</f>
        <v/>
      </c>
      <c r="AI97" s="47">
        <f>IF(AND($AA97="",AG97=""),"",$AA97-AG97)</f>
        <v>-2095</v>
      </c>
    </row>
    <row r="98" spans="3:35" x14ac:dyDescent="0.2">
      <c r="C98" s="23"/>
      <c r="H98" s="133" t="s">
        <v>809</v>
      </c>
      <c r="I98" s="25"/>
      <c r="J98" s="25"/>
      <c r="L98" s="24" t="e">
        <f ca="1">_xll.EVPRO($B$1,H98,"JDEID")</f>
        <v>#NAME?</v>
      </c>
      <c r="M98" s="24" t="str">
        <f>IF(AND(I98="N",J98="N"),_xll.EVPRO($B$1,H98,"PSFTID"),"")</f>
        <v/>
      </c>
      <c r="N98" s="24" t="e">
        <f ca="1">IF(_xll.EVDES(H98,$B$1)="#NODATA","",_xll.EVDES(H98,$B$1))</f>
        <v>#NAME?</v>
      </c>
      <c r="O98" s="19"/>
      <c r="P98" s="19"/>
      <c r="Q98" s="19"/>
      <c r="R98" s="19"/>
      <c r="S98" s="19"/>
      <c r="T98" s="19"/>
      <c r="U98" s="19"/>
      <c r="V98" s="19"/>
      <c r="W98" s="19"/>
      <c r="X98" s="19"/>
      <c r="Y98" s="19"/>
      <c r="Z98" s="19"/>
      <c r="AA98" s="19">
        <f>SUM(O98:Z98)</f>
        <v>0</v>
      </c>
      <c r="AB98" s="15" t="str">
        <f>IF(AA98=0,"",IFERROR(AA98/AA$19,""))</f>
        <v/>
      </c>
      <c r="AD98" s="19"/>
      <c r="AE98" s="15" t="str">
        <f>IF(AD98=0,"",IFERROR(AD98/AD$19,""))</f>
        <v/>
      </c>
      <c r="AF98" s="47">
        <f>IF(AND($AA98="",AD98=""),"",$AA98-AD98)</f>
        <v>0</v>
      </c>
      <c r="AG98" s="19">
        <v>530</v>
      </c>
      <c r="AH98" s="15" t="str">
        <f ca="1">IF(AG98=0,"",IFERROR(AG98/AG$19,""))</f>
        <v/>
      </c>
      <c r="AI98" s="47">
        <f>IF(AND($AA98="",AG98=""),"",$AA98-AG98)</f>
        <v>-530</v>
      </c>
    </row>
    <row r="99" spans="3:35" x14ac:dyDescent="0.2">
      <c r="C99" s="23"/>
      <c r="H99" s="133" t="s">
        <v>342</v>
      </c>
      <c r="I99" s="25"/>
      <c r="J99" s="25"/>
      <c r="L99" s="24" t="e">
        <f ca="1">_xll.EVPRO($B$1,H99,"JDEID")</f>
        <v>#NAME?</v>
      </c>
      <c r="M99" s="24" t="str">
        <f>IF(AND(I99="N",J99="N"),_xll.EVPRO($B$1,H99,"PSFTID"),"")</f>
        <v/>
      </c>
      <c r="N99" s="23" t="e">
        <f ca="1">IF(_xll.EVDES(H99,$B$1)="#NODATA","",_xll.EVDES(H99,$B$1))</f>
        <v>#NAME?</v>
      </c>
      <c r="O99" s="145"/>
      <c r="P99" s="145"/>
      <c r="Q99" s="145"/>
      <c r="R99" s="145"/>
      <c r="S99" s="145"/>
      <c r="T99" s="145"/>
      <c r="U99" s="145"/>
      <c r="V99" s="145"/>
      <c r="W99" s="145"/>
      <c r="X99" s="145"/>
      <c r="Y99" s="145"/>
      <c r="Z99" s="145"/>
      <c r="AA99" s="145">
        <f>SUM(O99:Z99)</f>
        <v>0</v>
      </c>
      <c r="AB99" s="156" t="str">
        <f>IF(AA99=0,"",IFERROR(AA99/AA$19,""))</f>
        <v/>
      </c>
      <c r="AD99" s="145"/>
      <c r="AE99" s="156" t="str">
        <f>IF(AD99=0,"",IFERROR(AD99/AD$19,""))</f>
        <v/>
      </c>
      <c r="AF99" s="146">
        <f>IF(AND($AA99="",AD99=""),"",$AA99-AD99)</f>
        <v>0</v>
      </c>
      <c r="AG99" s="145">
        <v>3481</v>
      </c>
      <c r="AH99" s="156" t="str">
        <f ca="1">IF(AG99=0,"",IFERROR(AG99/AG$19,""))</f>
        <v/>
      </c>
      <c r="AI99" s="146">
        <f>IF(AND($AA99="",AG99=""),"",$AA99-AG99)</f>
        <v>-3481</v>
      </c>
    </row>
    <row r="100" spans="3:35" x14ac:dyDescent="0.2">
      <c r="C100" s="23"/>
      <c r="H100" s="133"/>
      <c r="I100" s="25"/>
      <c r="J100" s="25"/>
      <c r="L100" s="24"/>
      <c r="M100" s="24"/>
      <c r="N100" s="8"/>
      <c r="O100" s="38"/>
      <c r="P100" s="42"/>
      <c r="Q100" s="42"/>
      <c r="R100" s="42"/>
      <c r="S100" s="42"/>
      <c r="T100" s="42"/>
      <c r="U100" s="42"/>
      <c r="V100" s="42"/>
      <c r="W100" s="42"/>
      <c r="X100" s="42"/>
      <c r="Y100" s="42"/>
      <c r="Z100" s="42"/>
      <c r="AA100" s="42"/>
      <c r="AB100" s="39"/>
      <c r="AD100" s="38"/>
      <c r="AE100" s="42"/>
      <c r="AF100" s="39"/>
      <c r="AG100" s="38"/>
      <c r="AH100" s="42"/>
      <c r="AI100" s="39"/>
    </row>
    <row r="101" spans="3:35" x14ac:dyDescent="0.2">
      <c r="C101" s="23"/>
      <c r="H101" s="133"/>
      <c r="I101" s="25"/>
      <c r="J101" s="25"/>
      <c r="L101" s="24"/>
      <c r="M101" s="24"/>
      <c r="N101" s="8" t="s">
        <v>338</v>
      </c>
      <c r="O101" s="40"/>
      <c r="P101" s="43"/>
      <c r="Q101" s="43"/>
      <c r="R101" s="43"/>
      <c r="S101" s="43"/>
      <c r="T101" s="43"/>
      <c r="U101" s="43"/>
      <c r="V101" s="43"/>
      <c r="W101" s="43"/>
      <c r="X101" s="43"/>
      <c r="Y101" s="43"/>
      <c r="Z101" s="43"/>
      <c r="AA101" s="43"/>
      <c r="AB101" s="41"/>
      <c r="AD101" s="40"/>
      <c r="AE101" s="43"/>
      <c r="AF101" s="41"/>
      <c r="AG101" s="40"/>
      <c r="AH101" s="43"/>
      <c r="AI101" s="41"/>
    </row>
    <row r="102" spans="3:35" x14ac:dyDescent="0.2">
      <c r="C102" s="23"/>
      <c r="H102" s="133" t="s">
        <v>296</v>
      </c>
      <c r="I102" s="25"/>
      <c r="J102" s="25"/>
      <c r="L102" s="24" t="e">
        <f ca="1">_xll.EVPRO($B$1,H102,"JDEID")</f>
        <v>#NAME?</v>
      </c>
      <c r="M102" s="24" t="str">
        <f>IF(AND(I102="N",J102="N"),_xll.EVPRO($B$1,H102,"PSFTID"),"")</f>
        <v/>
      </c>
      <c r="N102" s="24" t="e">
        <f ca="1">IF(_xll.EVDES(H102,$B$1)="#NODATA","",_xll.EVDES(H102,$B$1))</f>
        <v>#NAME?</v>
      </c>
      <c r="O102" s="19"/>
      <c r="P102" s="19"/>
      <c r="Q102" s="19"/>
      <c r="R102" s="19"/>
      <c r="S102" s="19"/>
      <c r="T102" s="19"/>
      <c r="U102" s="19"/>
      <c r="V102" s="19"/>
      <c r="W102" s="19"/>
      <c r="X102" s="19"/>
      <c r="Y102" s="19"/>
      <c r="Z102" s="19"/>
      <c r="AA102" s="19">
        <f>SUM(O102:Z102)</f>
        <v>0</v>
      </c>
      <c r="AB102" s="15" t="str">
        <f>IF(AA102=0,"",IFERROR(AA102/AA$19,""))</f>
        <v/>
      </c>
      <c r="AD102" s="19"/>
      <c r="AE102" s="15" t="str">
        <f>IF(AD102=0,"",IFERROR(AD102/AD$19,""))</f>
        <v/>
      </c>
      <c r="AF102" s="47">
        <f>IF(AND($AA102="",AD102=""),"",$AA102-AD102)</f>
        <v>0</v>
      </c>
      <c r="AG102" s="19">
        <v>152</v>
      </c>
      <c r="AH102" s="15" t="str">
        <f ca="1">IF(AG102=0,"",IFERROR(AG102/AG$19,""))</f>
        <v/>
      </c>
      <c r="AI102" s="47">
        <f>IF(AND($AA102="",AG102=""),"",$AA102-AG102)</f>
        <v>-152</v>
      </c>
    </row>
    <row r="103" spans="3:35" x14ac:dyDescent="0.2">
      <c r="C103" s="23"/>
      <c r="H103" s="133" t="s">
        <v>303</v>
      </c>
      <c r="I103" s="25"/>
      <c r="J103" s="25"/>
      <c r="L103" s="24" t="e">
        <f ca="1">_xll.EVPRO($B$1,H103,"JDEID")</f>
        <v>#NAME?</v>
      </c>
      <c r="M103" s="24" t="str">
        <f>IF(AND(I103="N",J103="N"),_xll.EVPRO($B$1,H103,"PSFTID"),"")</f>
        <v/>
      </c>
      <c r="N103" s="24" t="e">
        <f ca="1">IF(_xll.EVDES(H103,$B$1)="#NODATA","",_xll.EVDES(H103,$B$1))</f>
        <v>#NAME?</v>
      </c>
      <c r="O103" s="19"/>
      <c r="P103" s="19"/>
      <c r="Q103" s="19"/>
      <c r="R103" s="19"/>
      <c r="S103" s="19"/>
      <c r="T103" s="19"/>
      <c r="U103" s="19"/>
      <c r="V103" s="19"/>
      <c r="W103" s="19"/>
      <c r="X103" s="19"/>
      <c r="Y103" s="19"/>
      <c r="Z103" s="19"/>
      <c r="AA103" s="19">
        <f>SUM(O103:Z103)</f>
        <v>0</v>
      </c>
      <c r="AB103" s="15" t="str">
        <f>IF(AA103=0,"",IFERROR(AA103/AA$19,""))</f>
        <v/>
      </c>
      <c r="AD103" s="19"/>
      <c r="AE103" s="15" t="str">
        <f>IF(AD103=0,"",IFERROR(AD103/AD$19,""))</f>
        <v/>
      </c>
      <c r="AF103" s="47">
        <f>IF(AND($AA103="",AD103=""),"",$AA103-AD103)</f>
        <v>0</v>
      </c>
      <c r="AG103" s="19">
        <v>1021</v>
      </c>
      <c r="AH103" s="15" t="str">
        <f ca="1">IF(AG103=0,"",IFERROR(AG103/AG$19,""))</f>
        <v/>
      </c>
      <c r="AI103" s="47">
        <f>IF(AND($AA103="",AG103=""),"",$AA103-AG103)</f>
        <v>-1021</v>
      </c>
    </row>
    <row r="104" spans="3:35" x14ac:dyDescent="0.2">
      <c r="C104" s="23"/>
      <c r="H104" s="133" t="s">
        <v>304</v>
      </c>
      <c r="I104" s="25"/>
      <c r="J104" s="25"/>
      <c r="L104" s="24" t="e">
        <f ca="1">_xll.EVPRO($B$1,H104,"JDEID")</f>
        <v>#NAME?</v>
      </c>
      <c r="M104" s="24" t="str">
        <f>IF(AND(I104="N",J104="N"),_xll.EVPRO($B$1,H104,"PSFTID"),"")</f>
        <v/>
      </c>
      <c r="N104" s="24" t="e">
        <f ca="1">IF(_xll.EVDES(H104,$B$1)="#NODATA","",_xll.EVDES(H104,$B$1))</f>
        <v>#NAME?</v>
      </c>
      <c r="O104" s="19"/>
      <c r="P104" s="19"/>
      <c r="Q104" s="19"/>
      <c r="R104" s="19"/>
      <c r="S104" s="19"/>
      <c r="T104" s="19"/>
      <c r="U104" s="19"/>
      <c r="V104" s="19"/>
      <c r="W104" s="19"/>
      <c r="X104" s="19"/>
      <c r="Y104" s="19"/>
      <c r="Z104" s="19"/>
      <c r="AA104" s="19">
        <f>SUM(O104:Z104)</f>
        <v>0</v>
      </c>
      <c r="AB104" s="15" t="str">
        <f>IF(AA104=0,"",IFERROR(AA104/AA$19,""))</f>
        <v/>
      </c>
      <c r="AD104" s="19"/>
      <c r="AE104" s="15" t="str">
        <f>IF(AD104=0,"",IFERROR(AD104/AD$19,""))</f>
        <v/>
      </c>
      <c r="AF104" s="47">
        <f>IF(AND($AA104="",AD104=""),"",$AA104-AD104)</f>
        <v>0</v>
      </c>
      <c r="AG104" s="19">
        <v>2402</v>
      </c>
      <c r="AH104" s="15" t="str">
        <f ca="1">IF(AG104=0,"",IFERROR(AG104/AG$19,""))</f>
        <v/>
      </c>
      <c r="AI104" s="47">
        <f>IF(AND($AA104="",AG104=""),"",$AA104-AG104)</f>
        <v>-2402</v>
      </c>
    </row>
    <row r="105" spans="3:35" x14ac:dyDescent="0.2">
      <c r="C105" s="23"/>
      <c r="H105" s="133" t="s">
        <v>810</v>
      </c>
      <c r="I105" s="25"/>
      <c r="J105" s="25"/>
      <c r="L105" s="24" t="e">
        <f ca="1">_xll.EVPRO($B$1,H105,"JDEID")</f>
        <v>#NAME?</v>
      </c>
      <c r="M105" s="24" t="str">
        <f>IF(AND(I105="N",J105="N"),_xll.EVPRO($B$1,H105,"PSFTID"),"")</f>
        <v/>
      </c>
      <c r="N105" s="24" t="e">
        <f ca="1">IF(_xll.EVDES(H105,$B$1)="#NODATA","",_xll.EVDES(H105,$B$1))</f>
        <v>#NAME?</v>
      </c>
      <c r="O105" s="19"/>
      <c r="P105" s="19"/>
      <c r="Q105" s="19"/>
      <c r="R105" s="19"/>
      <c r="S105" s="19"/>
      <c r="T105" s="19"/>
      <c r="U105" s="19"/>
      <c r="V105" s="19"/>
      <c r="W105" s="19"/>
      <c r="X105" s="19"/>
      <c r="Y105" s="19"/>
      <c r="Z105" s="19"/>
      <c r="AA105" s="19">
        <f>SUM(O105:Z105)</f>
        <v>0</v>
      </c>
      <c r="AB105" s="15" t="str">
        <f>IF(AA105=0,"",IFERROR(AA105/AA$19,""))</f>
        <v/>
      </c>
      <c r="AD105" s="19"/>
      <c r="AE105" s="15" t="str">
        <f>IF(AD105=0,"",IFERROR(AD105/AD$19,""))</f>
        <v/>
      </c>
      <c r="AF105" s="47">
        <f>IF(AND($AA105="",AD105=""),"",$AA105-AD105)</f>
        <v>0</v>
      </c>
      <c r="AG105" s="19">
        <v>2554</v>
      </c>
      <c r="AH105" s="15" t="str">
        <f ca="1">IF(AG105=0,"",IFERROR(AG105/AG$19,""))</f>
        <v/>
      </c>
      <c r="AI105" s="47">
        <f>IF(AND($AA105="",AG105=""),"",$AA105-AG105)</f>
        <v>-2554</v>
      </c>
    </row>
    <row r="106" spans="3:35" x14ac:dyDescent="0.2">
      <c r="C106" s="23"/>
      <c r="H106" s="133" t="s">
        <v>341</v>
      </c>
      <c r="I106" s="25"/>
      <c r="J106" s="25"/>
      <c r="L106" s="24" t="e">
        <f ca="1">_xll.EVPRO($B$1,H106,"JDEID")</f>
        <v>#NAME?</v>
      </c>
      <c r="M106" s="24" t="str">
        <f>IF(AND(I106="N",J106="N"),_xll.EVPRO($B$1,H106,"PSFTID"),"")</f>
        <v/>
      </c>
      <c r="N106" s="23" t="e">
        <f ca="1">IF(_xll.EVDES(H106,$B$1)="#NODATA","",_xll.EVDES(H106,$B$1))</f>
        <v>#NAME?</v>
      </c>
      <c r="O106" s="145"/>
      <c r="P106" s="145"/>
      <c r="Q106" s="145"/>
      <c r="R106" s="145"/>
      <c r="S106" s="145"/>
      <c r="T106" s="145"/>
      <c r="U106" s="145"/>
      <c r="V106" s="145"/>
      <c r="W106" s="145"/>
      <c r="X106" s="145"/>
      <c r="Y106" s="145"/>
      <c r="Z106" s="145"/>
      <c r="AA106" s="145">
        <f>SUM(O106:Z106)</f>
        <v>0</v>
      </c>
      <c r="AB106" s="156" t="str">
        <f>IF(AA106=0,"",IFERROR(AA106/AA$19,""))</f>
        <v/>
      </c>
      <c r="AD106" s="145"/>
      <c r="AE106" s="156" t="str">
        <f>IF(AD106=0,"",IFERROR(AD106/AD$19,""))</f>
        <v/>
      </c>
      <c r="AF106" s="146">
        <f>IF(AND($AA106="",AD106=""),"",$AA106-AD106)</f>
        <v>0</v>
      </c>
      <c r="AG106" s="145">
        <v>6129</v>
      </c>
      <c r="AH106" s="156" t="str">
        <f ca="1">IF(AG106=0,"",IFERROR(AG106/AG$19,""))</f>
        <v/>
      </c>
      <c r="AI106" s="146">
        <f>IF(AND($AA106="",AG106=""),"",$AA106-AG106)</f>
        <v>-6129</v>
      </c>
    </row>
    <row r="107" spans="3:35" x14ac:dyDescent="0.2">
      <c r="C107" s="23"/>
      <c r="H107" s="133"/>
      <c r="I107" s="25"/>
      <c r="J107" s="25"/>
      <c r="L107" s="24"/>
      <c r="M107" s="24"/>
      <c r="O107" s="38"/>
      <c r="P107" s="42"/>
      <c r="Q107" s="42"/>
      <c r="R107" s="42"/>
      <c r="S107" s="42"/>
      <c r="T107" s="42"/>
      <c r="U107" s="42"/>
      <c r="V107" s="42"/>
      <c r="W107" s="42"/>
      <c r="X107" s="42"/>
      <c r="Y107" s="42"/>
      <c r="Z107" s="42"/>
      <c r="AA107" s="42"/>
      <c r="AB107" s="39"/>
      <c r="AD107" s="38"/>
      <c r="AE107" s="42"/>
      <c r="AF107" s="39"/>
      <c r="AG107" s="38"/>
      <c r="AH107" s="42"/>
      <c r="AI107" s="39"/>
    </row>
    <row r="108" spans="3:35" x14ac:dyDescent="0.2">
      <c r="C108" s="23"/>
      <c r="H108" s="10" t="s">
        <v>267</v>
      </c>
      <c r="I108" s="25"/>
      <c r="J108" s="25"/>
      <c r="L108" s="24" t="e">
        <f ca="1">_xll.EVPRO($B$1,H108,"JDEID")</f>
        <v>#NAME?</v>
      </c>
      <c r="M108" s="24" t="str">
        <f>IF(AND(I108="N",J108="N"),_xll.EVPRO($B$1,H108,"PSFTID"),"")</f>
        <v/>
      </c>
      <c r="N108" s="24" t="e">
        <f ca="1">IF(_xll.EVDES(H108,$B$1)="#NODATA","",_xll.EVDES(H108,$B$1))</f>
        <v>#NAME?</v>
      </c>
      <c r="O108" s="19">
        <f t="shared" ref="O108:Z111" si="24">O88+O95+O102</f>
        <v>0</v>
      </c>
      <c r="P108" s="19">
        <f t="shared" si="24"/>
        <v>0</v>
      </c>
      <c r="Q108" s="19">
        <f t="shared" si="24"/>
        <v>0</v>
      </c>
      <c r="R108" s="19">
        <f t="shared" si="24"/>
        <v>0</v>
      </c>
      <c r="S108" s="19">
        <f t="shared" si="24"/>
        <v>0</v>
      </c>
      <c r="T108" s="19">
        <f t="shared" si="24"/>
        <v>0</v>
      </c>
      <c r="U108" s="19">
        <f t="shared" si="24"/>
        <v>0</v>
      </c>
      <c r="V108" s="19">
        <f t="shared" si="24"/>
        <v>0</v>
      </c>
      <c r="W108" s="19">
        <f t="shared" si="24"/>
        <v>0</v>
      </c>
      <c r="X108" s="19">
        <f t="shared" si="24"/>
        <v>0</v>
      </c>
      <c r="Y108" s="19">
        <f t="shared" si="24"/>
        <v>0</v>
      </c>
      <c r="Z108" s="19">
        <f t="shared" si="24"/>
        <v>0</v>
      </c>
      <c r="AA108" s="19">
        <f>SUM(O108:Z108)</f>
        <v>0</v>
      </c>
      <c r="AB108" s="15" t="str">
        <f>IF(AA108=0,"",IFERROR(AA108/AA$19,""))</f>
        <v/>
      </c>
      <c r="AD108" s="19">
        <f>AD88+AD95+AD102</f>
        <v>0</v>
      </c>
      <c r="AE108" s="15" t="str">
        <f>IF(AD108=0,"",IFERROR(AD108/AD$19,""))</f>
        <v/>
      </c>
      <c r="AF108" s="47">
        <f>IF(AND($AA108="",AD108=""),"",$AA108-AD108)</f>
        <v>0</v>
      </c>
      <c r="AG108" s="19">
        <f>AG88+AG95+AG102</f>
        <v>2785</v>
      </c>
      <c r="AH108" s="15" t="str">
        <f ca="1">IF(AG108=0,"",IFERROR(AG108/AG$19,""))</f>
        <v/>
      </c>
      <c r="AI108" s="47">
        <f>IF(AND($AA108="",AG108=""),"",$AA108-AG108)</f>
        <v>-2785</v>
      </c>
    </row>
    <row r="109" spans="3:35" x14ac:dyDescent="0.2">
      <c r="C109" s="23"/>
      <c r="H109" s="10" t="s">
        <v>268</v>
      </c>
      <c r="I109" s="25"/>
      <c r="J109" s="25"/>
      <c r="L109" s="24" t="e">
        <f ca="1">_xll.EVPRO($B$1,H109,"JDEID")</f>
        <v>#NAME?</v>
      </c>
      <c r="M109" s="24" t="str">
        <f>IF(AND(I109="N",J109="N"),_xll.EVPRO($B$1,H109,"PSFTID"),"")</f>
        <v/>
      </c>
      <c r="N109" s="24" t="e">
        <f ca="1">IF(_xll.EVDES(H109,$B$1)="#NODATA","",_xll.EVDES(H109,$B$1))</f>
        <v>#NAME?</v>
      </c>
      <c r="O109" s="19">
        <f t="shared" si="24"/>
        <v>0</v>
      </c>
      <c r="P109" s="19">
        <f t="shared" si="24"/>
        <v>0</v>
      </c>
      <c r="Q109" s="19">
        <f t="shared" si="24"/>
        <v>0</v>
      </c>
      <c r="R109" s="19">
        <f t="shared" si="24"/>
        <v>0</v>
      </c>
      <c r="S109" s="19">
        <f t="shared" si="24"/>
        <v>0</v>
      </c>
      <c r="T109" s="19">
        <f t="shared" si="24"/>
        <v>0</v>
      </c>
      <c r="U109" s="19">
        <f t="shared" si="24"/>
        <v>0</v>
      </c>
      <c r="V109" s="19">
        <f t="shared" si="24"/>
        <v>0</v>
      </c>
      <c r="W109" s="19">
        <f t="shared" si="24"/>
        <v>0</v>
      </c>
      <c r="X109" s="19">
        <f t="shared" si="24"/>
        <v>0</v>
      </c>
      <c r="Y109" s="19">
        <f t="shared" si="24"/>
        <v>0</v>
      </c>
      <c r="Z109" s="19">
        <f t="shared" si="24"/>
        <v>0</v>
      </c>
      <c r="AA109" s="19">
        <f>SUM(O109:Z109)</f>
        <v>0</v>
      </c>
      <c r="AB109" s="15" t="str">
        <f>IF(AA109=0,"",IFERROR(AA109/AA$19,""))</f>
        <v/>
      </c>
      <c r="AD109" s="19">
        <f>AD89+AD96+AD103</f>
        <v>0</v>
      </c>
      <c r="AE109" s="15" t="str">
        <f>IF(AD109=0,"",IFERROR(AD109/AD$19,""))</f>
        <v/>
      </c>
      <c r="AF109" s="47">
        <f>IF(AND($AA109="",AD109=""),"",$AA109-AD109)</f>
        <v>0</v>
      </c>
      <c r="AG109" s="19">
        <f>AG89+AG96+AG103</f>
        <v>3434</v>
      </c>
      <c r="AH109" s="15" t="str">
        <f ca="1">IF(AG109=0,"",IFERROR(AG109/AG$19,""))</f>
        <v/>
      </c>
      <c r="AI109" s="47">
        <f>IF(AND($AA109="",AG109=""),"",$AA109-AG109)</f>
        <v>-3434</v>
      </c>
    </row>
    <row r="110" spans="3:35" x14ac:dyDescent="0.2">
      <c r="C110" s="23"/>
      <c r="H110" s="133" t="s">
        <v>269</v>
      </c>
      <c r="I110" s="25"/>
      <c r="J110" s="25"/>
      <c r="L110" s="24" t="e">
        <f ca="1">_xll.EVPRO($B$1,H110,"JDEID")</f>
        <v>#NAME?</v>
      </c>
      <c r="M110" s="24" t="str">
        <f>IF(AND(I110="N",J110="N"),_xll.EVPRO($B$1,H110,"PSFTID"),"")</f>
        <v/>
      </c>
      <c r="N110" s="24" t="e">
        <f ca="1">IF(_xll.EVDES(H110,$B$1)="#NODATA","",_xll.EVDES(H110,$B$1))</f>
        <v>#NAME?</v>
      </c>
      <c r="O110" s="19">
        <f t="shared" si="24"/>
        <v>0</v>
      </c>
      <c r="P110" s="19">
        <f t="shared" si="24"/>
        <v>0</v>
      </c>
      <c r="Q110" s="19">
        <f t="shared" si="24"/>
        <v>0</v>
      </c>
      <c r="R110" s="19">
        <f t="shared" si="24"/>
        <v>0</v>
      </c>
      <c r="S110" s="19">
        <f t="shared" si="24"/>
        <v>0</v>
      </c>
      <c r="T110" s="19">
        <f t="shared" si="24"/>
        <v>0</v>
      </c>
      <c r="U110" s="19">
        <f t="shared" si="24"/>
        <v>0</v>
      </c>
      <c r="V110" s="19">
        <f t="shared" si="24"/>
        <v>0</v>
      </c>
      <c r="W110" s="19">
        <f t="shared" si="24"/>
        <v>0</v>
      </c>
      <c r="X110" s="19">
        <f t="shared" si="24"/>
        <v>0</v>
      </c>
      <c r="Y110" s="19">
        <f t="shared" si="24"/>
        <v>0</v>
      </c>
      <c r="Z110" s="19">
        <f t="shared" si="24"/>
        <v>0</v>
      </c>
      <c r="AA110" s="19">
        <f>SUM(O110:Z110)</f>
        <v>0</v>
      </c>
      <c r="AB110" s="15" t="str">
        <f>IF(AA110=0,"",IFERROR(AA110/AA$19,""))</f>
        <v/>
      </c>
      <c r="AD110" s="19">
        <f>AD90+AD97+AD104</f>
        <v>0</v>
      </c>
      <c r="AE110" s="15" t="str">
        <f>IF(AD110=0,"",IFERROR(AD110/AD$19,""))</f>
        <v/>
      </c>
      <c r="AF110" s="47">
        <f>IF(AND($AA110="",AD110=""),"",$AA110-AD110)</f>
        <v>0</v>
      </c>
      <c r="AG110" s="19">
        <f>AG90+AG97+AG104</f>
        <v>6529</v>
      </c>
      <c r="AH110" s="15" t="str">
        <f ca="1">IF(AG110=0,"",IFERROR(AG110/AG$19,""))</f>
        <v/>
      </c>
      <c r="AI110" s="47">
        <f>IF(AND($AA110="",AG110=""),"",$AA110-AG110)</f>
        <v>-6529</v>
      </c>
    </row>
    <row r="111" spans="3:35" x14ac:dyDescent="0.2">
      <c r="C111" s="23"/>
      <c r="H111" s="133" t="s">
        <v>791</v>
      </c>
      <c r="I111" s="25"/>
      <c r="J111" s="25"/>
      <c r="L111" s="24" t="e">
        <f ca="1">_xll.EVPRO($B$1,H111,"JDEID")</f>
        <v>#NAME?</v>
      </c>
      <c r="M111" s="24" t="str">
        <f>IF(AND(I111="N",J111="N"),_xll.EVPRO($B$1,H111,"PSFTID"),"")</f>
        <v/>
      </c>
      <c r="N111" s="24" t="e">
        <f ca="1">IF(_xll.EVDES(H111,$B$1)="#NODATA","",_xll.EVDES(H111,$B$1))</f>
        <v>#NAME?</v>
      </c>
      <c r="O111" s="19">
        <f t="shared" si="24"/>
        <v>0</v>
      </c>
      <c r="P111" s="19">
        <f t="shared" si="24"/>
        <v>0</v>
      </c>
      <c r="Q111" s="19">
        <f t="shared" si="24"/>
        <v>0</v>
      </c>
      <c r="R111" s="19">
        <f t="shared" si="24"/>
        <v>0</v>
      </c>
      <c r="S111" s="19">
        <f t="shared" si="24"/>
        <v>0</v>
      </c>
      <c r="T111" s="19">
        <f t="shared" si="24"/>
        <v>0</v>
      </c>
      <c r="U111" s="19">
        <f t="shared" si="24"/>
        <v>0</v>
      </c>
      <c r="V111" s="19">
        <f t="shared" si="24"/>
        <v>0</v>
      </c>
      <c r="W111" s="19">
        <f t="shared" si="24"/>
        <v>0</v>
      </c>
      <c r="X111" s="19">
        <f t="shared" si="24"/>
        <v>0</v>
      </c>
      <c r="Y111" s="19">
        <f t="shared" si="24"/>
        <v>0</v>
      </c>
      <c r="Z111" s="19">
        <f t="shared" si="24"/>
        <v>0</v>
      </c>
      <c r="AA111" s="19">
        <f>SUM(O111:Z111)</f>
        <v>0</v>
      </c>
      <c r="AB111" s="15" t="str">
        <f>IF(AA111=0,"",IFERROR(AA111/AA$19,""))</f>
        <v/>
      </c>
      <c r="AD111" s="19">
        <f>AD91+AD98+AD105</f>
        <v>0</v>
      </c>
      <c r="AE111" s="15" t="str">
        <f>IF(AD111=0,"",IFERROR(AD111/AD$19,""))</f>
        <v/>
      </c>
      <c r="AF111" s="47">
        <f>IF(AND($AA111="",AD111=""),"",$AA111-AD111)</f>
        <v>0</v>
      </c>
      <c r="AG111" s="19">
        <f>AG91+AG98+AG105</f>
        <v>10336.959999999999</v>
      </c>
      <c r="AH111" s="15" t="str">
        <f ca="1">IF(AG111=0,"",IFERROR(AG111/AG$19,""))</f>
        <v/>
      </c>
      <c r="AI111" s="47">
        <f>IF(AND($AA111="",AG111=""),"",$AA111-AG111)</f>
        <v>-10336.959999999999</v>
      </c>
    </row>
    <row r="112" spans="3:35" x14ac:dyDescent="0.2">
      <c r="C112" s="23"/>
      <c r="H112" s="10" t="s">
        <v>272</v>
      </c>
      <c r="I112" s="25"/>
      <c r="J112" s="25"/>
      <c r="L112" s="24" t="e">
        <f ca="1">_xll.EVPRO($B$1,H112,"JDEID")</f>
        <v>#NAME?</v>
      </c>
      <c r="M112" s="24" t="str">
        <f>IF(AND(I112="N",J112="N"),_xll.EVPRO($B$1,H112,"PSFTID"),"")</f>
        <v/>
      </c>
      <c r="N112" s="23" t="e">
        <f ca="1">IF(_xll.EVDES(H112,$B$1)="#NODATA","",_xll.EVDES(H112,$B$1))</f>
        <v>#NAME?</v>
      </c>
      <c r="O112" s="145">
        <f t="shared" ref="O112:Z112" si="25">SUM(O108:O111)</f>
        <v>0</v>
      </c>
      <c r="P112" s="145">
        <f t="shared" si="25"/>
        <v>0</v>
      </c>
      <c r="Q112" s="145">
        <f t="shared" si="25"/>
        <v>0</v>
      </c>
      <c r="R112" s="145">
        <f t="shared" si="25"/>
        <v>0</v>
      </c>
      <c r="S112" s="145">
        <f t="shared" si="25"/>
        <v>0</v>
      </c>
      <c r="T112" s="145">
        <f t="shared" si="25"/>
        <v>0</v>
      </c>
      <c r="U112" s="145">
        <f t="shared" si="25"/>
        <v>0</v>
      </c>
      <c r="V112" s="145">
        <f t="shared" si="25"/>
        <v>0</v>
      </c>
      <c r="W112" s="145">
        <f t="shared" si="25"/>
        <v>0</v>
      </c>
      <c r="X112" s="145">
        <f t="shared" si="25"/>
        <v>0</v>
      </c>
      <c r="Y112" s="145">
        <f t="shared" si="25"/>
        <v>0</v>
      </c>
      <c r="Z112" s="145">
        <f t="shared" si="25"/>
        <v>0</v>
      </c>
      <c r="AA112" s="145">
        <f>SUM(O112:Z112)</f>
        <v>0</v>
      </c>
      <c r="AB112" s="156" t="str">
        <f>IF(AA112=0,"",IFERROR(AA112/AA$19,""))</f>
        <v/>
      </c>
      <c r="AD112" s="145">
        <f>SUM(AD108:AD111)</f>
        <v>0</v>
      </c>
      <c r="AE112" s="156" t="str">
        <f>IF(AD112=0,"",IFERROR(AD112/AD$19,""))</f>
        <v/>
      </c>
      <c r="AF112" s="146">
        <f>IF(AND($AA112="",AD112=""),"",$AA112-AD112)</f>
        <v>0</v>
      </c>
      <c r="AG112" s="145">
        <f>SUM(AG108:AG111)</f>
        <v>23084.959999999999</v>
      </c>
      <c r="AH112" s="156" t="str">
        <f ca="1">IF(AG112=0,"",IFERROR(AG112/AG$19,""))</f>
        <v/>
      </c>
      <c r="AI112" s="146">
        <f>IF(AND($AA112="",AG112=""),"",$AA112-AG112)</f>
        <v>-23084.959999999999</v>
      </c>
    </row>
    <row r="113" spans="3:35" x14ac:dyDescent="0.2">
      <c r="C113" s="23"/>
      <c r="H113" s="133"/>
      <c r="I113" s="25"/>
      <c r="J113" s="25"/>
      <c r="O113" s="124">
        <f t="shared" ref="O113:AA113" si="26">O92+O99+O106-O112</f>
        <v>0</v>
      </c>
      <c r="P113" s="124">
        <f t="shared" si="26"/>
        <v>0</v>
      </c>
      <c r="Q113" s="124">
        <f t="shared" si="26"/>
        <v>0</v>
      </c>
      <c r="R113" s="124">
        <f t="shared" si="26"/>
        <v>0</v>
      </c>
      <c r="S113" s="124">
        <f t="shared" si="26"/>
        <v>0</v>
      </c>
      <c r="T113" s="124">
        <f t="shared" si="26"/>
        <v>0</v>
      </c>
      <c r="U113" s="124">
        <f t="shared" si="26"/>
        <v>0</v>
      </c>
      <c r="V113" s="124">
        <f t="shared" si="26"/>
        <v>0</v>
      </c>
      <c r="W113" s="124">
        <f t="shared" si="26"/>
        <v>0</v>
      </c>
      <c r="X113" s="124">
        <f t="shared" si="26"/>
        <v>0</v>
      </c>
      <c r="Y113" s="124">
        <f t="shared" si="26"/>
        <v>0</v>
      </c>
      <c r="Z113" s="124">
        <f t="shared" si="26"/>
        <v>0</v>
      </c>
      <c r="AA113" s="124">
        <f t="shared" si="26"/>
        <v>0</v>
      </c>
      <c r="AB113" s="15"/>
      <c r="AD113" s="124">
        <f>AD92+AD99+AD106-AD112</f>
        <v>0</v>
      </c>
      <c r="AE113" s="15"/>
      <c r="AF113" s="19"/>
      <c r="AG113" s="124">
        <f>AG92+AG99+AG106-AG112</f>
        <v>0</v>
      </c>
      <c r="AH113" s="15"/>
      <c r="AI113" s="19"/>
    </row>
    <row r="114" spans="3:35" x14ac:dyDescent="0.2">
      <c r="C114" s="23"/>
      <c r="I114" s="1"/>
      <c r="J114" s="1"/>
    </row>
    <row r="115" spans="3:35" x14ac:dyDescent="0.2">
      <c r="C115" s="23"/>
      <c r="H115" s="10"/>
      <c r="I115" s="25"/>
      <c r="J115" s="25"/>
      <c r="L115" s="24" t="e">
        <f ca="1">_xll.EVPRO($B$1,H115,"JDEID")</f>
        <v>#NAME?</v>
      </c>
      <c r="M115" s="24" t="str">
        <f>IF(AND(I115="N",J115="N"),_xll.EVPRO($B$1,H115,"PSFTID"),"")</f>
        <v/>
      </c>
      <c r="N115" s="23" t="s">
        <v>820</v>
      </c>
      <c r="O115" s="470">
        <f ca="1">IFERROR(O19/O21,0)</f>
        <v>0</v>
      </c>
      <c r="P115" s="470">
        <f t="shared" ref="P115:AA115" ca="1" si="27">IFERROR(P19/P21,0)</f>
        <v>0</v>
      </c>
      <c r="Q115" s="470">
        <f t="shared" ca="1" si="27"/>
        <v>0</v>
      </c>
      <c r="R115" s="470">
        <f t="shared" ca="1" si="27"/>
        <v>0</v>
      </c>
      <c r="S115" s="470">
        <f t="shared" ca="1" si="27"/>
        <v>0</v>
      </c>
      <c r="T115" s="470">
        <f t="shared" ca="1" si="27"/>
        <v>0</v>
      </c>
      <c r="U115" s="470">
        <f t="shared" ca="1" si="27"/>
        <v>0</v>
      </c>
      <c r="V115" s="470">
        <f t="shared" ca="1" si="27"/>
        <v>0</v>
      </c>
      <c r="W115" s="470">
        <f t="shared" ca="1" si="27"/>
        <v>0</v>
      </c>
      <c r="X115" s="470">
        <f t="shared" ca="1" si="27"/>
        <v>0</v>
      </c>
      <c r="Y115" s="470">
        <f t="shared" ca="1" si="27"/>
        <v>0</v>
      </c>
      <c r="Z115" s="470">
        <f t="shared" ca="1" si="27"/>
        <v>0</v>
      </c>
      <c r="AA115" s="470">
        <f t="shared" ca="1" si="27"/>
        <v>0</v>
      </c>
      <c r="AB115" s="156"/>
      <c r="AD115" s="470">
        <f ca="1">IFERROR(AD19/AD21,0)</f>
        <v>0</v>
      </c>
      <c r="AE115" s="156"/>
      <c r="AF115" s="129">
        <f>IFERROR(AF19/AF21,0)</f>
        <v>0</v>
      </c>
      <c r="AG115" s="470">
        <f ca="1">IFERROR(AG19/AG21,0)</f>
        <v>0</v>
      </c>
      <c r="AH115" s="156"/>
      <c r="AI115" s="129">
        <f>IFERROR(AI19/AI21,0)</f>
        <v>0</v>
      </c>
    </row>
    <row r="116" spans="3:35" x14ac:dyDescent="0.2">
      <c r="C116" s="23"/>
      <c r="I116" s="1"/>
      <c r="J116" s="1"/>
    </row>
    <row r="117" spans="3:35" x14ac:dyDescent="0.2">
      <c r="C117" s="23"/>
      <c r="H117" s="133"/>
      <c r="I117" s="25"/>
      <c r="J117" s="25"/>
      <c r="O117" s="38"/>
      <c r="P117" s="42"/>
      <c r="Q117" s="42"/>
      <c r="R117" s="42"/>
      <c r="S117" s="42"/>
      <c r="T117" s="42"/>
      <c r="U117" s="42"/>
      <c r="V117" s="42"/>
      <c r="W117" s="42"/>
      <c r="X117" s="42"/>
      <c r="Y117" s="42"/>
      <c r="Z117" s="42"/>
      <c r="AA117" s="42"/>
      <c r="AB117" s="39"/>
      <c r="AD117" s="38"/>
      <c r="AE117" s="42"/>
      <c r="AF117" s="39"/>
      <c r="AG117" s="38"/>
      <c r="AH117" s="42"/>
      <c r="AI117" s="39"/>
    </row>
    <row r="118" spans="3:35" x14ac:dyDescent="0.2">
      <c r="C118" s="23"/>
      <c r="H118" s="133"/>
      <c r="I118" s="25"/>
      <c r="J118" s="25"/>
      <c r="N118" s="24" t="e">
        <f ca="1">N82&amp;" - Check"</f>
        <v>#NAME?</v>
      </c>
      <c r="O118" s="124">
        <f t="shared" ref="O118:AA118" si="28">O39+O49+O59+O69+O75+O80-O82</f>
        <v>0</v>
      </c>
      <c r="P118" s="124">
        <f t="shared" si="28"/>
        <v>0</v>
      </c>
      <c r="Q118" s="124">
        <f t="shared" si="28"/>
        <v>0</v>
      </c>
      <c r="R118" s="124">
        <f t="shared" si="28"/>
        <v>0</v>
      </c>
      <c r="S118" s="124">
        <f t="shared" si="28"/>
        <v>0</v>
      </c>
      <c r="T118" s="124">
        <f t="shared" si="28"/>
        <v>0</v>
      </c>
      <c r="U118" s="124">
        <f t="shared" si="28"/>
        <v>0</v>
      </c>
      <c r="V118" s="124">
        <f t="shared" si="28"/>
        <v>0</v>
      </c>
      <c r="W118" s="124">
        <f t="shared" si="28"/>
        <v>0</v>
      </c>
      <c r="X118" s="124">
        <f t="shared" si="28"/>
        <v>0</v>
      </c>
      <c r="Y118" s="124">
        <f t="shared" si="28"/>
        <v>0</v>
      </c>
      <c r="Z118" s="124">
        <f t="shared" si="28"/>
        <v>0</v>
      </c>
      <c r="AA118" s="124">
        <f t="shared" si="28"/>
        <v>0</v>
      </c>
      <c r="AB118" s="15"/>
      <c r="AD118" s="124">
        <f>AD39+AD49+AD59+AD69+AD75+AD80-AD82</f>
        <v>0</v>
      </c>
      <c r="AE118" s="15"/>
      <c r="AF118" s="19"/>
      <c r="AG118" s="124">
        <f>AG39+AG49+AG59+AG69+AG75+AG80-AG82</f>
        <v>0</v>
      </c>
      <c r="AH118" s="15"/>
      <c r="AI118" s="19"/>
    </row>
    <row r="119" spans="3:35" x14ac:dyDescent="0.2">
      <c r="C119" s="23"/>
      <c r="H119" s="133"/>
      <c r="I119" s="25"/>
      <c r="J119" s="25"/>
      <c r="N119" s="24" t="e">
        <f ca="1">N83&amp;" - Check"</f>
        <v>#NAME?</v>
      </c>
      <c r="O119" s="124">
        <f t="shared" ref="O119:AA119" si="29">O41+O51+O61+O70+O76-O83</f>
        <v>0</v>
      </c>
      <c r="P119" s="124">
        <f t="shared" si="29"/>
        <v>0</v>
      </c>
      <c r="Q119" s="124">
        <f t="shared" si="29"/>
        <v>0</v>
      </c>
      <c r="R119" s="124">
        <f t="shared" si="29"/>
        <v>0</v>
      </c>
      <c r="S119" s="124">
        <f t="shared" si="29"/>
        <v>0</v>
      </c>
      <c r="T119" s="124">
        <f t="shared" si="29"/>
        <v>0</v>
      </c>
      <c r="U119" s="124">
        <f t="shared" si="29"/>
        <v>0</v>
      </c>
      <c r="V119" s="124">
        <f t="shared" si="29"/>
        <v>0</v>
      </c>
      <c r="W119" s="124">
        <f t="shared" si="29"/>
        <v>0</v>
      </c>
      <c r="X119" s="124">
        <f t="shared" si="29"/>
        <v>0</v>
      </c>
      <c r="Y119" s="124">
        <f t="shared" si="29"/>
        <v>0</v>
      </c>
      <c r="Z119" s="124">
        <f t="shared" si="29"/>
        <v>0</v>
      </c>
      <c r="AA119" s="124">
        <f t="shared" si="29"/>
        <v>0</v>
      </c>
      <c r="AB119" s="15"/>
      <c r="AD119" s="124">
        <f>AD41+AD51+AD61+AD70+AD76-AD83</f>
        <v>0</v>
      </c>
      <c r="AE119" s="15"/>
      <c r="AF119" s="19"/>
      <c r="AG119" s="124">
        <f>AG41+AG51+AG61+AG70+AG76-AG83</f>
        <v>0</v>
      </c>
      <c r="AH119" s="15"/>
      <c r="AI119" s="19"/>
    </row>
    <row r="120" spans="3:35" x14ac:dyDescent="0.2">
      <c r="C120" s="23"/>
      <c r="H120" s="133"/>
      <c r="I120" s="25"/>
      <c r="J120" s="25"/>
      <c r="N120" s="24" t="e">
        <f ca="1">N84&amp;" - Check"</f>
        <v>#NAME?</v>
      </c>
      <c r="O120" s="159">
        <f t="shared" ref="O120:AA120" si="30">IFERROR(O$82/O83,"")-O84</f>
        <v>0</v>
      </c>
      <c r="P120" s="159" t="e">
        <f t="shared" si="30"/>
        <v>#VALUE!</v>
      </c>
      <c r="Q120" s="159" t="e">
        <f t="shared" si="30"/>
        <v>#VALUE!</v>
      </c>
      <c r="R120" s="159" t="e">
        <f t="shared" si="30"/>
        <v>#VALUE!</v>
      </c>
      <c r="S120" s="159" t="e">
        <f t="shared" si="30"/>
        <v>#VALUE!</v>
      </c>
      <c r="T120" s="159" t="e">
        <f t="shared" si="30"/>
        <v>#VALUE!</v>
      </c>
      <c r="U120" s="159" t="e">
        <f t="shared" si="30"/>
        <v>#VALUE!</v>
      </c>
      <c r="V120" s="159" t="e">
        <f t="shared" si="30"/>
        <v>#VALUE!</v>
      </c>
      <c r="W120" s="159" t="e">
        <f t="shared" si="30"/>
        <v>#VALUE!</v>
      </c>
      <c r="X120" s="159" t="e">
        <f t="shared" si="30"/>
        <v>#VALUE!</v>
      </c>
      <c r="Y120" s="159" t="e">
        <f t="shared" si="30"/>
        <v>#VALUE!</v>
      </c>
      <c r="Z120" s="159" t="e">
        <f t="shared" si="30"/>
        <v>#VALUE!</v>
      </c>
      <c r="AA120" s="159">
        <f t="shared" si="30"/>
        <v>0</v>
      </c>
      <c r="AB120" s="15"/>
      <c r="AD120" s="159" t="e">
        <f>IFERROR(AD$82/AD83,"")-AD84</f>
        <v>#VALUE!</v>
      </c>
      <c r="AE120" s="15"/>
      <c r="AF120" s="19"/>
      <c r="AG120" s="159">
        <f>IFERROR(AG$82/AG83,"")-AG84</f>
        <v>0</v>
      </c>
      <c r="AH120" s="15"/>
      <c r="AI120" s="19"/>
    </row>
    <row r="121" spans="3:35" x14ac:dyDescent="0.2">
      <c r="C121" s="23"/>
    </row>
    <row r="122" spans="3:35" x14ac:dyDescent="0.2">
      <c r="C122" s="23"/>
    </row>
    <row r="123" spans="3:35" x14ac:dyDescent="0.2">
      <c r="C123" s="23"/>
    </row>
    <row r="124" spans="3:35" x14ac:dyDescent="0.2">
      <c r="C124" s="23"/>
    </row>
    <row r="125" spans="3:35" x14ac:dyDescent="0.2">
      <c r="C125" s="23"/>
    </row>
    <row r="126" spans="3:35" x14ac:dyDescent="0.2">
      <c r="C126" s="23"/>
    </row>
    <row r="127" spans="3:35" x14ac:dyDescent="0.2">
      <c r="C127" s="23"/>
    </row>
    <row r="128" spans="3:35" x14ac:dyDescent="0.2">
      <c r="C128" s="23"/>
    </row>
    <row r="129" spans="3:34" x14ac:dyDescent="0.2">
      <c r="C129" s="23"/>
    </row>
    <row r="130" spans="3:34" x14ac:dyDescent="0.2">
      <c r="C130" s="23"/>
    </row>
    <row r="131" spans="3:34" x14ac:dyDescent="0.2">
      <c r="C131" s="23"/>
    </row>
    <row r="132" spans="3:34" x14ac:dyDescent="0.2">
      <c r="C132" s="23"/>
    </row>
    <row r="133" spans="3:34" x14ac:dyDescent="0.2">
      <c r="C133" s="23"/>
    </row>
    <row r="135" spans="3:34" x14ac:dyDescent="0.2">
      <c r="C135" s="23"/>
    </row>
    <row r="136" spans="3:34" x14ac:dyDescent="0.2">
      <c r="C136" s="23"/>
    </row>
    <row r="137" spans="3:34" x14ac:dyDescent="0.2">
      <c r="C137" s="23"/>
    </row>
    <row r="138" spans="3:34" x14ac:dyDescent="0.2">
      <c r="C138" s="23"/>
    </row>
    <row r="139" spans="3:34" x14ac:dyDescent="0.2">
      <c r="C139" s="23"/>
    </row>
    <row r="140" spans="3:34" x14ac:dyDescent="0.2">
      <c r="C140" s="23"/>
    </row>
    <row r="141" spans="3:34" x14ac:dyDescent="0.2">
      <c r="C141" s="23"/>
    </row>
    <row r="142" spans="3:34" x14ac:dyDescent="0.2">
      <c r="C142" s="23"/>
    </row>
    <row r="143" spans="3:34" x14ac:dyDescent="0.2">
      <c r="C143" s="23"/>
      <c r="I143" s="72"/>
      <c r="J143" s="1"/>
      <c r="K143" s="72"/>
      <c r="L143" s="72"/>
      <c r="M143" s="72"/>
      <c r="O143" s="72"/>
      <c r="P143" s="72"/>
      <c r="Q143" s="72"/>
      <c r="R143" s="72"/>
      <c r="S143" s="72"/>
      <c r="T143" s="72"/>
      <c r="U143" s="72"/>
      <c r="V143" s="72"/>
      <c r="W143" s="72"/>
      <c r="X143" s="72"/>
      <c r="Y143" s="72"/>
      <c r="Z143" s="72"/>
      <c r="AA143" s="72"/>
      <c r="AD143" s="72"/>
      <c r="AF143" s="72"/>
      <c r="AH143" s="72"/>
    </row>
    <row r="144" spans="3:34" x14ac:dyDescent="0.2">
      <c r="C144" s="23"/>
    </row>
    <row r="145" spans="3:34" x14ac:dyDescent="0.2">
      <c r="C145" s="23"/>
    </row>
    <row r="146" spans="3:34" x14ac:dyDescent="0.2">
      <c r="C146" s="23"/>
    </row>
    <row r="147" spans="3:34" x14ac:dyDescent="0.2">
      <c r="C147" s="23"/>
      <c r="I147" s="72"/>
      <c r="J147" s="1"/>
      <c r="K147" s="72"/>
      <c r="L147" s="72"/>
      <c r="M147" s="72"/>
      <c r="O147" s="72"/>
      <c r="P147" s="72"/>
      <c r="Q147" s="72"/>
      <c r="R147" s="72"/>
      <c r="S147" s="72"/>
      <c r="T147" s="72"/>
      <c r="U147" s="72"/>
      <c r="V147" s="72"/>
      <c r="W147" s="72"/>
      <c r="X147" s="72"/>
      <c r="Y147" s="72"/>
      <c r="Z147" s="72"/>
      <c r="AA147" s="72"/>
      <c r="AD147" s="72"/>
      <c r="AF147" s="72"/>
      <c r="AH147" s="72"/>
    </row>
    <row r="148" spans="3:34" x14ac:dyDescent="0.2">
      <c r="C148" s="23"/>
    </row>
    <row r="149" spans="3:34" x14ac:dyDescent="0.2">
      <c r="C149" s="23"/>
    </row>
    <row r="203" spans="5:5" x14ac:dyDescent="0.2">
      <c r="E203" s="72"/>
    </row>
    <row r="207" spans="5:5" x14ac:dyDescent="0.2">
      <c r="E207" s="72"/>
    </row>
  </sheetData>
  <mergeCells count="2">
    <mergeCell ref="AD31:AE31"/>
    <mergeCell ref="AG31:AH31"/>
  </mergeCells>
  <conditionalFormatting sqref="N43 N53 N63 N72 N78">
    <cfRule type="expression" dxfId="23" priority="11">
      <formula>$G44&lt;&gt;0</formula>
    </cfRule>
  </conditionalFormatting>
  <conditionalFormatting sqref="N79">
    <cfRule type="expression" dxfId="22" priority="12">
      <formula>#REF!&lt;&gt;0</formula>
    </cfRule>
  </conditionalFormatting>
  <conditionalFormatting sqref="O43:AA43 AD43 AF43:AG43">
    <cfRule type="expression" dxfId="21" priority="10">
      <formula>ROUND(O42,2)&lt;&gt;ROUND(O43,2)</formula>
    </cfRule>
  </conditionalFormatting>
  <conditionalFormatting sqref="O53:AA53 AD53 AF53:AG53">
    <cfRule type="expression" dxfId="20" priority="9">
      <formula>ROUND(O52,2)&lt;&gt;ROUND(O53,2)</formula>
    </cfRule>
  </conditionalFormatting>
  <conditionalFormatting sqref="O63:AA63 AD63 AF63:AG63">
    <cfRule type="expression" dxfId="19" priority="8">
      <formula>ROUND(O62,2)&lt;&gt;ROUND(O63,2)</formula>
    </cfRule>
  </conditionalFormatting>
  <conditionalFormatting sqref="O72:AA72 AD72 AF72:AG72">
    <cfRule type="expression" dxfId="18" priority="7">
      <formula>ROUND(O71,2)&lt;&gt;ROUND(O72,2)</formula>
    </cfRule>
  </conditionalFormatting>
  <conditionalFormatting sqref="O78:AA78 AD78 AF78:AG78">
    <cfRule type="expression" dxfId="17" priority="6">
      <formula>ROUND(O77,2)&lt;&gt;ROUND(O78,2)</formula>
    </cfRule>
  </conditionalFormatting>
  <conditionalFormatting sqref="AI43">
    <cfRule type="expression" dxfId="16" priority="5">
      <formula>ROUND(AI42,2)&lt;&gt;ROUND(AI43,2)</formula>
    </cfRule>
  </conditionalFormatting>
  <conditionalFormatting sqref="AI53">
    <cfRule type="expression" dxfId="15" priority="4">
      <formula>ROUND(AI52,2)&lt;&gt;ROUND(AI53,2)</formula>
    </cfRule>
  </conditionalFormatting>
  <conditionalFormatting sqref="AI63">
    <cfRule type="expression" dxfId="14" priority="3">
      <formula>ROUND(AI62,2)&lt;&gt;ROUND(AI63,2)</formula>
    </cfRule>
  </conditionalFormatting>
  <conditionalFormatting sqref="AI72">
    <cfRule type="expression" dxfId="13" priority="2">
      <formula>ROUND(AI71,2)&lt;&gt;ROUND(AI72,2)</formula>
    </cfRule>
  </conditionalFormatting>
  <conditionalFormatting sqref="AI78">
    <cfRule type="expression" dxfId="12" priority="1">
      <formula>ROUND(AI77,2)&lt;&gt;ROUND(AI78,2)</formula>
    </cfRule>
  </conditionalFormatting>
  <dataValidations count="2">
    <dataValidation type="list" allowBlank="1" sqref="B29" xr:uid="{00000000-0002-0000-3400-000000000000}">
      <formula1>"SELF,ALL,BAS,DEP,BASMEMBERS,MEMBERS,NOEXPAND,GDEP"</formula1>
    </dataValidation>
    <dataValidation type="list" allowBlank="1" sqref="B28" xr:uid="{00000000-0002-0000-3400-000001000000}">
      <formula1>"ACCOUNT,BUSINESSUNIT,CATEGORY,DATASRC,DEPARTMENT,INTCO,MEASURES,RPTCURRENCY,TIME"</formula1>
    </dataValidation>
  </dataValidations>
  <pageMargins left="0.25" right="0.25" top="0.5" bottom="0.5" header="0.3" footer="0.3"/>
  <pageSetup scale="48" fitToHeight="0" orientation="landscape" r:id="rId1"/>
  <rowBreaks count="1" manualBreakCount="1">
    <brk id="85" min="13" max="34" man="1"/>
  </rowBreaks>
  <customProperties>
    <customPr name="EpmWorksheetKeyString_GUID" r:id="rId2"/>
    <customPr name="FPMExcelClientCellBasedFunctionStatus" r:id="rId3"/>
    <customPr name="FPMExcelClientRefreshTime" r:id="rId4"/>
  </customProperties>
  <drawing r:id="rId5"/>
  <legacyDrawing r:id="rId6"/>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34">
    <tabColor theme="6" tint="0.39997558519241921"/>
    <pageSetUpPr fitToPage="1"/>
  </sheetPr>
  <dimension ref="A1:AO171"/>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806</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_xll.EVRNG(H35:H56)</f>
        <v>#NAME?</v>
      </c>
      <c r="G19" s="16" t="str">
        <f>$B$6</f>
        <v>D2348</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tr">
        <f>$B$6</f>
        <v>D2348</v>
      </c>
      <c r="H20" s="16">
        <v>946000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I21" s="1"/>
      <c r="J21" s="1"/>
    </row>
    <row r="22" spans="1:40" hidden="1" outlineLevel="1" x14ac:dyDescent="0.2">
      <c r="A22" s="6" t="s">
        <v>7</v>
      </c>
      <c r="B22" s="7" t="e">
        <f ca="1">_xll.EVRNG(A36:F44)</f>
        <v>#NAME?</v>
      </c>
      <c r="I22" s="1"/>
      <c r="J22" s="1"/>
    </row>
    <row r="23" spans="1:40" hidden="1" outlineLevel="1" x14ac:dyDescent="0.2">
      <c r="A23" s="6" t="s">
        <v>47</v>
      </c>
      <c r="B23" s="7" t="e">
        <f ca="1">_xll.EVRNG($A$125:$B$146)</f>
        <v>#NAME?</v>
      </c>
      <c r="K23" s="53"/>
      <c r="L23" s="53"/>
      <c r="M23" s="53"/>
      <c r="AD23" s="136"/>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IF(_xll.EVDES(B6,$B$1)="#NODATA","",_xll.EVDES(B6,$B$1)&amp;" Department")</f>
        <v>#NAME?</v>
      </c>
    </row>
    <row r="28" spans="1:40" ht="16" x14ac:dyDescent="0.2">
      <c r="A28" s="6" t="s">
        <v>12</v>
      </c>
      <c r="B28" s="7" t="s">
        <v>22</v>
      </c>
      <c r="N28" s="67" t="e">
        <f ca="1">"For the Period ended"&amp;" "&amp;IF(_xll.EVDES($B$10,$B$1)="#NODATA","",_xll.EVDES($B$10,$B$1))</f>
        <v>#NAME?</v>
      </c>
    </row>
    <row r="29" spans="1:40" ht="15" customHeight="1" x14ac:dyDescent="0.2">
      <c r="A29" s="6" t="s">
        <v>13</v>
      </c>
      <c r="B29" s="7" t="e">
        <f ca="1">"DEP(REV_F) AND "&amp;$E$6&amp;"=Y,REV_F,BEV,DEP(REV_BEV) AND "&amp;$E$6&amp;"=Y,REV_BEV,ALLOW_FB,REV_FB,OTHR_REV,DEP(REV_OTHR) AND "&amp;$E$6&amp;"=Y,REV_OTHR,400000"</f>
        <v>#NAME?</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751</v>
      </c>
      <c r="AK30" s="209"/>
      <c r="AL30" s="210"/>
      <c r="AM30" s="209" t="s">
        <v>750</v>
      </c>
      <c r="AN30" s="209"/>
    </row>
    <row r="31" spans="1:40" x14ac:dyDescent="0.2">
      <c r="A31" s="6" t="s">
        <v>15</v>
      </c>
      <c r="B31" s="7"/>
      <c r="G31" s="13"/>
      <c r="I31" s="1"/>
      <c r="J31" s="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69</v>
      </c>
      <c r="I33" s="11" t="e">
        <f ca="1">_xll.EVPRO($B$1,$H33,"STYLE")</f>
        <v>#NAME?</v>
      </c>
      <c r="J33" s="11" t="e">
        <f ca="1">_xll.EVPRO($B$1,$H33,"CALC")</f>
        <v>#NAME?</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0" x14ac:dyDescent="0.2">
      <c r="H34" s="1" t="s">
        <v>259</v>
      </c>
      <c r="I34" s="11" t="e">
        <f ca="1">_xll.EVPRO($B$1,$H34,"STYLE")</f>
        <v>#NAME?</v>
      </c>
      <c r="J34" s="11" t="e">
        <f ca="1">_xll.EVPRO($B$1,$H34,"CALC")</f>
        <v>#NAME?</v>
      </c>
      <c r="L34" s="175" t="s">
        <v>364</v>
      </c>
      <c r="M34" s="175" t="s">
        <v>782</v>
      </c>
      <c r="N34" s="8" t="e">
        <f ca="1">IF(_xll.EVDES(H34,$B$1)="#NODATA","",_xll.EVDES(H34,$B$1))</f>
        <v>#NAME?</v>
      </c>
      <c r="O34" s="50"/>
      <c r="AB34" s="51"/>
      <c r="AD34" s="50"/>
      <c r="AF34" s="51"/>
      <c r="AG34" s="50"/>
      <c r="AI34" s="51"/>
    </row>
    <row r="35" spans="1:40" x14ac:dyDescent="0.2">
      <c r="A35" s="20" t="s">
        <v>92</v>
      </c>
      <c r="B35" s="21" t="s">
        <v>93</v>
      </c>
      <c r="C35" s="21" t="s">
        <v>94</v>
      </c>
      <c r="D35" s="21" t="s">
        <v>95</v>
      </c>
      <c r="E35" s="21" t="s">
        <v>96</v>
      </c>
      <c r="F35" s="22" t="s">
        <v>97</v>
      </c>
      <c r="H35" s="10" t="s">
        <v>260</v>
      </c>
      <c r="I35" s="25" t="e">
        <f ca="1">_xll.EVPRO($B$1,$H35,"STYLE")</f>
        <v>#NAME?</v>
      </c>
      <c r="J35" s="25" t="e">
        <f ca="1">_xll.EVPRO($B$1,$H35,"CALC")</f>
        <v>#NAME?</v>
      </c>
      <c r="K35" s="64" t="e">
        <f ca="1">IF(AND(I35&gt;="T5"),"&gt;","")</f>
        <v>#NAME?</v>
      </c>
      <c r="L35" s="24" t="e">
        <f ca="1">_xll.EVPRO($B$1,H35,"JDEID")</f>
        <v>#NAME?</v>
      </c>
      <c r="M35" s="24" t="e">
        <f ca="1">IF(AND(I35="N",J35="N"),_xll.EVPRO($B$1,H35,"PSFTID"),"")</f>
        <v>#NAME?</v>
      </c>
      <c r="N35" s="24" t="e">
        <f ca="1">IF(_xll.EVDES(H35,$B$1)="#NODATA","",_xll.EVDES(H35,$B$1))</f>
        <v>#NAME?</v>
      </c>
      <c r="O35" s="304"/>
      <c r="P35" s="305"/>
      <c r="Q35" s="305"/>
      <c r="R35" s="305"/>
      <c r="S35" s="305"/>
      <c r="T35" s="305"/>
      <c r="U35" s="305"/>
      <c r="V35" s="305"/>
      <c r="W35" s="305"/>
      <c r="X35" s="305"/>
      <c r="Y35" s="305"/>
      <c r="Z35" s="305"/>
      <c r="AA35" s="283" t="e">
        <f t="shared" ref="AA35:AA56" ca="1" si="0">IF($I35="B1","",SUM(O35:Z35))</f>
        <v>#NAME?</v>
      </c>
      <c r="AB35" s="306" t="e">
        <f t="shared" ref="AB35:AB56" ca="1" si="1">IF(AA35=0,"",IFERROR(AA35/AA$19,""))</f>
        <v>#NAME?</v>
      </c>
      <c r="AC35" s="263"/>
      <c r="AD35" s="305"/>
      <c r="AE35" s="306" t="str">
        <f t="shared" ref="AE35:AE56" si="2">IF(AD35=0,"",IFERROR(AD35/AD$19,""))</f>
        <v/>
      </c>
      <c r="AF35" s="307" t="e">
        <f t="shared" ref="AF35:AF56" ca="1" si="3">IF(AND($AA35="",AD35=""),"",$AA35-AD35)</f>
        <v>#NAME?</v>
      </c>
      <c r="AG35" s="305">
        <v>2361</v>
      </c>
      <c r="AH35" s="306" t="str">
        <f ca="1">IF(AG35=0,"",IFERROR(AG35/AG$19,""))</f>
        <v/>
      </c>
      <c r="AI35" s="308" t="e">
        <f ca="1">IF(AND($AA35="",AG35=""),"",$AA35-AG35)</f>
        <v>#NAME?</v>
      </c>
      <c r="AJ35" s="371">
        <f ca="1">IFERROR(AA35/AA$20,0)</f>
        <v>0</v>
      </c>
      <c r="AK35" s="372">
        <f ca="1">IFERROR(AD35/AD$20,0)</f>
        <v>0</v>
      </c>
      <c r="AL35" s="373">
        <f ca="1">IFERROR(AG35/AG$20,0)</f>
        <v>0</v>
      </c>
      <c r="AM35" s="374">
        <f ca="1">+IFERROR(ROUND(($AB35-AE35)*100,2)&amp;" pts.",0)</f>
        <v>0</v>
      </c>
      <c r="AN35" s="375">
        <f ca="1">+IFERROR(ROUND(($AB35-AH35)*100,2)&amp;" pts.",0)</f>
        <v>0</v>
      </c>
    </row>
    <row r="36" spans="1:40" x14ac:dyDescent="0.2">
      <c r="H36" s="10" t="s">
        <v>261</v>
      </c>
      <c r="I36" s="25" t="e">
        <f ca="1">_xll.EVPRO($B$1,$H36,"STYLE")</f>
        <v>#NAME?</v>
      </c>
      <c r="J36" s="25" t="e">
        <f ca="1">_xll.EVPRO($B$1,$H36,"CALC")</f>
        <v>#NAME?</v>
      </c>
      <c r="K36" s="64" t="e">
        <f t="shared" ref="K36:K56" ca="1" si="4">IF(AND(I36&gt;="T5"),"&gt;","")</f>
        <v>#NAME?</v>
      </c>
      <c r="L36" s="24" t="e">
        <f ca="1">_xll.EVPRO($B$1,H36,"JDEID")</f>
        <v>#NAME?</v>
      </c>
      <c r="M36" s="24" t="e">
        <f ca="1">IF(AND(I36="N",J36="N"),_xll.EVPRO($B$1,H36,"PSFTID"),"")</f>
        <v>#NAME?</v>
      </c>
      <c r="N36" s="24" t="e">
        <f ca="1">IF(_xll.EVDES(H36,$B$1)="#NODATA","",_xll.EVDES(H36,$B$1))</f>
        <v>#NAME?</v>
      </c>
      <c r="O36" s="304"/>
      <c r="P36" s="305"/>
      <c r="Q36" s="305"/>
      <c r="R36" s="305"/>
      <c r="S36" s="305"/>
      <c r="T36" s="305"/>
      <c r="U36" s="305"/>
      <c r="V36" s="305"/>
      <c r="W36" s="305"/>
      <c r="X36" s="305"/>
      <c r="Y36" s="305"/>
      <c r="Z36" s="305"/>
      <c r="AA36" s="283" t="e">
        <f t="shared" ca="1" si="0"/>
        <v>#NAME?</v>
      </c>
      <c r="AB36" s="306" t="e">
        <f t="shared" ca="1" si="1"/>
        <v>#NAME?</v>
      </c>
      <c r="AC36" s="263"/>
      <c r="AD36" s="305"/>
      <c r="AE36" s="306" t="str">
        <f t="shared" si="2"/>
        <v/>
      </c>
      <c r="AF36" s="307" t="e">
        <f t="shared" ca="1" si="3"/>
        <v>#NAME?</v>
      </c>
      <c r="AG36" s="305"/>
      <c r="AH36" s="306" t="str">
        <f t="shared" ref="AH36:AH56" si="5">IF(AG36=0,"",IFERROR(AG36/AG$19,""))</f>
        <v/>
      </c>
      <c r="AI36" s="308" t="e">
        <f t="shared" ref="AI36:AI56" ca="1" si="6">IF(AND($AA36="",AG36=""),"",$AA36-AG36)</f>
        <v>#NAME?</v>
      </c>
      <c r="AJ36" s="371">
        <f t="shared" ref="AJ36:AJ56" ca="1" si="7">IFERROR(AA36/AA$20,0)</f>
        <v>0</v>
      </c>
      <c r="AK36" s="372">
        <f t="shared" ref="AK36:AK56" ca="1" si="8">IFERROR(AD36/AD$20,0)</f>
        <v>0</v>
      </c>
      <c r="AL36" s="373">
        <f t="shared" ref="AL36:AL56" ca="1" si="9">IFERROR(AG36/AG$20,0)</f>
        <v>0</v>
      </c>
      <c r="AM36" s="374">
        <f t="shared" ref="AM36:AM56" ca="1" si="10">+IFERROR(ROUND(($AB36-AE36)*100,2)&amp;" pts.",0)</f>
        <v>0</v>
      </c>
      <c r="AN36" s="375">
        <f t="shared" ref="AN36:AN56" ca="1" si="11">+IFERROR(ROUND(($AB36-AH36)*100,2)&amp;" pts.",0)</f>
        <v>0</v>
      </c>
    </row>
    <row r="37" spans="1:40" x14ac:dyDescent="0.2">
      <c r="A37" s="1" t="s">
        <v>209</v>
      </c>
      <c r="B37" s="1" t="s">
        <v>21</v>
      </c>
      <c r="C37" s="70"/>
      <c r="D37" s="1" t="s">
        <v>590</v>
      </c>
      <c r="F37" s="1" t="s">
        <v>99</v>
      </c>
      <c r="H37" s="10" t="s">
        <v>262</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304"/>
      <c r="P37" s="305"/>
      <c r="Q37" s="305"/>
      <c r="R37" s="305"/>
      <c r="S37" s="305"/>
      <c r="T37" s="305"/>
      <c r="U37" s="305"/>
      <c r="V37" s="305"/>
      <c r="W37" s="305"/>
      <c r="X37" s="305"/>
      <c r="Y37" s="305"/>
      <c r="Z37" s="305"/>
      <c r="AA37" s="283" t="e">
        <f t="shared" ca="1" si="0"/>
        <v>#NAME?</v>
      </c>
      <c r="AB37" s="306" t="e">
        <f t="shared" ca="1" si="1"/>
        <v>#NAME?</v>
      </c>
      <c r="AC37" s="263"/>
      <c r="AD37" s="305"/>
      <c r="AE37" s="306" t="str">
        <f t="shared" si="2"/>
        <v/>
      </c>
      <c r="AF37" s="307" t="e">
        <f t="shared" ca="1" si="3"/>
        <v>#NAME?</v>
      </c>
      <c r="AG37" s="305">
        <v>5899.21</v>
      </c>
      <c r="AH37" s="306" t="str">
        <f t="shared" ca="1" si="5"/>
        <v/>
      </c>
      <c r="AI37" s="308" t="e">
        <f t="shared" ca="1" si="6"/>
        <v>#NAME?</v>
      </c>
      <c r="AJ37" s="371">
        <f t="shared" ca="1" si="7"/>
        <v>0</v>
      </c>
      <c r="AK37" s="372">
        <f t="shared" ca="1" si="8"/>
        <v>0</v>
      </c>
      <c r="AL37" s="373">
        <f t="shared" ca="1" si="9"/>
        <v>0</v>
      </c>
      <c r="AM37" s="374">
        <f t="shared" ca="1" si="10"/>
        <v>0</v>
      </c>
      <c r="AN37" s="375">
        <f t="shared" ca="1" si="11"/>
        <v>0</v>
      </c>
    </row>
    <row r="38" spans="1:40" x14ac:dyDescent="0.2">
      <c r="A38" s="1" t="s">
        <v>105</v>
      </c>
      <c r="C38" s="24" t="s">
        <v>101</v>
      </c>
      <c r="D38" s="1" t="s">
        <v>106</v>
      </c>
      <c r="F38" s="1" t="s">
        <v>98</v>
      </c>
      <c r="H38" s="10" t="s">
        <v>789</v>
      </c>
      <c r="I38" s="25" t="e">
        <f ca="1">_xll.EVPRO($B$1,$H38,"STYLE")</f>
        <v>#NAME?</v>
      </c>
      <c r="J38" s="25" t="e">
        <f ca="1">_xll.EVPRO($B$1,$H38,"CALC")</f>
        <v>#NAME?</v>
      </c>
      <c r="K38" s="64" t="e">
        <f t="shared" ca="1" si="4"/>
        <v>#NAME?</v>
      </c>
      <c r="L38" s="24" t="e">
        <f ca="1">_xll.EVPRO($B$1,H38,"JDEID")</f>
        <v>#NAME?</v>
      </c>
      <c r="M38" s="24" t="e">
        <f ca="1">IF(AND(I38="N",J38="N"),_xll.EVPRO($B$1,H38,"PSFTID"),"")</f>
        <v>#NAME?</v>
      </c>
      <c r="N38" s="24" t="e">
        <f ca="1">IF(_xll.EVDES(H38,$B$1)="#NODATA","",_xll.EVDES(H38,$B$1))</f>
        <v>#NAME?</v>
      </c>
      <c r="O38" s="304"/>
      <c r="P38" s="305"/>
      <c r="Q38" s="305"/>
      <c r="R38" s="305"/>
      <c r="S38" s="305"/>
      <c r="T38" s="305"/>
      <c r="U38" s="305"/>
      <c r="V38" s="305"/>
      <c r="W38" s="305"/>
      <c r="X38" s="305"/>
      <c r="Y38" s="305"/>
      <c r="Z38" s="305"/>
      <c r="AA38" s="283" t="e">
        <f t="shared" ca="1" si="0"/>
        <v>#NAME?</v>
      </c>
      <c r="AB38" s="306" t="e">
        <f t="shared" ca="1" si="1"/>
        <v>#NAME?</v>
      </c>
      <c r="AC38" s="263"/>
      <c r="AD38" s="305"/>
      <c r="AE38" s="306" t="str">
        <f t="shared" si="2"/>
        <v/>
      </c>
      <c r="AF38" s="307" t="e">
        <f t="shared" ca="1" si="3"/>
        <v>#NAME?</v>
      </c>
      <c r="AG38" s="305"/>
      <c r="AH38" s="306" t="str">
        <f t="shared" si="5"/>
        <v/>
      </c>
      <c r="AI38" s="308" t="e">
        <f t="shared" ca="1" si="6"/>
        <v>#NAME?</v>
      </c>
      <c r="AJ38" s="371">
        <f t="shared" ca="1" si="7"/>
        <v>0</v>
      </c>
      <c r="AK38" s="372">
        <f t="shared" ca="1" si="8"/>
        <v>0</v>
      </c>
      <c r="AL38" s="373">
        <f t="shared" ca="1" si="9"/>
        <v>0</v>
      </c>
      <c r="AM38" s="374">
        <f t="shared" ca="1" si="10"/>
        <v>0</v>
      </c>
      <c r="AN38" s="375">
        <f t="shared" ca="1" si="11"/>
        <v>0</v>
      </c>
    </row>
    <row r="39" spans="1:40" x14ac:dyDescent="0.2">
      <c r="A39" s="1" t="s">
        <v>104</v>
      </c>
      <c r="C39" s="24" t="s">
        <v>101</v>
      </c>
      <c r="D39" s="1" t="s">
        <v>106</v>
      </c>
      <c r="F39" s="1" t="s">
        <v>98</v>
      </c>
      <c r="H39" s="10" t="s">
        <v>790</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295"/>
      <c r="P39" s="296"/>
      <c r="Q39" s="296"/>
      <c r="R39" s="296"/>
      <c r="S39" s="296"/>
      <c r="T39" s="296"/>
      <c r="U39" s="296"/>
      <c r="V39" s="296"/>
      <c r="W39" s="296"/>
      <c r="X39" s="296"/>
      <c r="Y39" s="296"/>
      <c r="Z39" s="296"/>
      <c r="AA39" s="296" t="e">
        <f t="shared" ca="1" si="0"/>
        <v>#NAME?</v>
      </c>
      <c r="AB39" s="297" t="e">
        <f t="shared" ca="1" si="1"/>
        <v>#NAME?</v>
      </c>
      <c r="AC39" s="263"/>
      <c r="AD39" s="296"/>
      <c r="AE39" s="297" t="str">
        <f t="shared" si="2"/>
        <v/>
      </c>
      <c r="AF39" s="298" t="e">
        <f t="shared" ca="1" si="3"/>
        <v>#NAME?</v>
      </c>
      <c r="AG39" s="296">
        <v>2087</v>
      </c>
      <c r="AH39" s="297" t="str">
        <f t="shared" ca="1" si="5"/>
        <v/>
      </c>
      <c r="AI39" s="299" t="e">
        <f t="shared" ca="1" si="6"/>
        <v>#NAME?</v>
      </c>
      <c r="AJ39" s="381">
        <f t="shared" ca="1" si="7"/>
        <v>0</v>
      </c>
      <c r="AK39" s="382">
        <f t="shared" ca="1" si="8"/>
        <v>0</v>
      </c>
      <c r="AL39" s="383">
        <f t="shared" ca="1" si="9"/>
        <v>0</v>
      </c>
      <c r="AM39" s="384">
        <f t="shared" ca="1" si="10"/>
        <v>0</v>
      </c>
      <c r="AN39" s="385">
        <f t="shared" ca="1" si="11"/>
        <v>0</v>
      </c>
    </row>
    <row r="40" spans="1:40" x14ac:dyDescent="0.2">
      <c r="A40" s="1" t="s">
        <v>100</v>
      </c>
      <c r="C40" s="8" t="s">
        <v>101</v>
      </c>
      <c r="D40" s="1" t="s">
        <v>106</v>
      </c>
      <c r="F40" s="1" t="s">
        <v>98</v>
      </c>
      <c r="H40" s="10" t="s">
        <v>265</v>
      </c>
      <c r="I40" s="447" t="e">
        <f ca="1">_xll.EVPRO($B$1,$H40,"STYLE")</f>
        <v>#NAME?</v>
      </c>
      <c r="J40" s="447" t="e">
        <f ca="1">_xll.EVPRO($B$1,$H40,"CALC")</f>
        <v>#NAME?</v>
      </c>
      <c r="K40" s="448" t="e">
        <f t="shared" ca="1" si="4"/>
        <v>#NAME?</v>
      </c>
      <c r="L40" s="151" t="e">
        <f ca="1">_xll.EVPRO($B$1,H40,"JDEID")</f>
        <v>#NAME?</v>
      </c>
      <c r="M40" s="151" t="e">
        <f ca="1">IF(AND(I40="N",J40="N"),_xll.EVPRO($B$1,H40,"PSFTID"),"")</f>
        <v>#NAME?</v>
      </c>
      <c r="N40" s="151" t="e">
        <f ca="1">IF(_xll.EVDES(H40,$B$1)="#NODATA","",_xll.EVDES(H40,$B$1))</f>
        <v>#NAME?</v>
      </c>
      <c r="O40" s="202"/>
      <c r="P40" s="120"/>
      <c r="Q40" s="120"/>
      <c r="R40" s="120"/>
      <c r="S40" s="120"/>
      <c r="T40" s="120"/>
      <c r="U40" s="120"/>
      <c r="V40" s="120"/>
      <c r="W40" s="120"/>
      <c r="X40" s="120"/>
      <c r="Y40" s="120"/>
      <c r="Z40" s="120"/>
      <c r="AA40" s="120" t="e">
        <f t="shared" ca="1" si="0"/>
        <v>#NAME?</v>
      </c>
      <c r="AB40" s="121" t="e">
        <f t="shared" ca="1" si="1"/>
        <v>#NAME?</v>
      </c>
      <c r="AC40" s="123"/>
      <c r="AD40" s="120"/>
      <c r="AE40" s="121" t="str">
        <f t="shared" si="2"/>
        <v/>
      </c>
      <c r="AF40" s="122" t="e">
        <f t="shared" ca="1" si="3"/>
        <v>#NAME?</v>
      </c>
      <c r="AG40" s="120">
        <v>10347.209999999999</v>
      </c>
      <c r="AH40" s="121" t="str">
        <f t="shared" ca="1" si="5"/>
        <v/>
      </c>
      <c r="AI40" s="264" t="e">
        <f t="shared" ca="1" si="6"/>
        <v>#NAME?</v>
      </c>
      <c r="AJ40" s="332">
        <f t="shared" ca="1" si="7"/>
        <v>0</v>
      </c>
      <c r="AK40" s="333">
        <f t="shared" ca="1" si="8"/>
        <v>0</v>
      </c>
      <c r="AL40" s="335">
        <f t="shared" ca="1" si="9"/>
        <v>0</v>
      </c>
      <c r="AM40" s="377">
        <f t="shared" ca="1" si="10"/>
        <v>0</v>
      </c>
      <c r="AN40" s="378">
        <f t="shared" ca="1" si="11"/>
        <v>0</v>
      </c>
    </row>
    <row r="41" spans="1:40" x14ac:dyDescent="0.2">
      <c r="A41" s="1" t="s">
        <v>102</v>
      </c>
      <c r="C41" s="23" t="s">
        <v>101</v>
      </c>
      <c r="D41" s="1" t="s">
        <v>106</v>
      </c>
      <c r="F41" s="1" t="s">
        <v>98</v>
      </c>
      <c r="H41" s="10" t="s">
        <v>266</v>
      </c>
      <c r="I41" s="447" t="e">
        <f ca="1">_xll.EVPRO($B$1,$H41,"STYLE")</f>
        <v>#NAME?</v>
      </c>
      <c r="J41" s="447" t="e">
        <f ca="1">_xll.EVPRO($B$1,$H41,"CALC")</f>
        <v>#NAME?</v>
      </c>
      <c r="K41" s="448" t="e">
        <f t="shared" ca="1" si="4"/>
        <v>#NAME?</v>
      </c>
      <c r="L41" s="151" t="e">
        <f ca="1">_xll.EVPRO($B$1,H41,"JDEID")</f>
        <v>#NAME?</v>
      </c>
      <c r="M41" s="151" t="e">
        <f ca="1">IF(AND(I41="N",J41="N"),_xll.EVPRO($B$1,H41,"PSFTID"),"")</f>
        <v>#NAME?</v>
      </c>
      <c r="N41" s="151" t="e">
        <f ca="1">IF(_xll.EVDES(H41,$B$1)="#NODATA","",_xll.EVDES(H41,$B$1))</f>
        <v>#NAME?</v>
      </c>
      <c r="O41" s="309"/>
      <c r="P41" s="35"/>
      <c r="Q41" s="35"/>
      <c r="R41" s="35"/>
      <c r="S41" s="35"/>
      <c r="T41" s="35"/>
      <c r="U41" s="35"/>
      <c r="V41" s="35"/>
      <c r="W41" s="35"/>
      <c r="X41" s="35"/>
      <c r="Y41" s="35"/>
      <c r="Z41" s="35"/>
      <c r="AA41" s="288" t="e">
        <f t="shared" ca="1" si="0"/>
        <v>#NAME?</v>
      </c>
      <c r="AB41" s="36" t="e">
        <f t="shared" ca="1" si="1"/>
        <v>#NAME?</v>
      </c>
      <c r="AD41" s="35"/>
      <c r="AE41" s="36" t="str">
        <f t="shared" si="2"/>
        <v/>
      </c>
      <c r="AF41" s="118" t="e">
        <f t="shared" ca="1" si="3"/>
        <v>#NAME?</v>
      </c>
      <c r="AG41" s="35"/>
      <c r="AH41" s="36" t="str">
        <f t="shared" si="5"/>
        <v/>
      </c>
      <c r="AI41" s="310" t="e">
        <f t="shared" ca="1" si="6"/>
        <v>#NAME?</v>
      </c>
      <c r="AJ41" s="325">
        <f t="shared" ca="1" si="7"/>
        <v>0</v>
      </c>
      <c r="AK41" s="326">
        <f t="shared" ca="1" si="8"/>
        <v>0</v>
      </c>
      <c r="AL41" s="328">
        <f t="shared" ca="1" si="9"/>
        <v>0</v>
      </c>
      <c r="AM41" s="362">
        <f t="shared" ca="1" si="10"/>
        <v>0</v>
      </c>
      <c r="AN41" s="376">
        <f t="shared" ca="1" si="11"/>
        <v>0</v>
      </c>
    </row>
    <row r="42" spans="1:40" x14ac:dyDescent="0.2">
      <c r="A42" s="1" t="s">
        <v>102</v>
      </c>
      <c r="C42" s="135" t="s">
        <v>101</v>
      </c>
      <c r="D42" s="1" t="s">
        <v>107</v>
      </c>
      <c r="F42" s="1" t="s">
        <v>99</v>
      </c>
      <c r="H42" s="10" t="s">
        <v>267</v>
      </c>
      <c r="I42" s="25" t="e">
        <f ca="1">_xll.EVPRO($B$1,$H42,"STYLE")</f>
        <v>#NAME?</v>
      </c>
      <c r="J42" s="25" t="e">
        <f ca="1">_xll.EVPRO($B$1,$H42,"CALC")</f>
        <v>#NAME?</v>
      </c>
      <c r="K42" s="64" t="e">
        <f t="shared" ca="1" si="4"/>
        <v>#NAME?</v>
      </c>
      <c r="L42" s="24" t="e">
        <f ca="1">_xll.EVPRO($B$1,H42,"JDEID")</f>
        <v>#NAME?</v>
      </c>
      <c r="M42" s="24" t="e">
        <f ca="1">IF(AND(I42="N",J42="N"),_xll.EVPRO($B$1,H42,"PSFTID"),"")</f>
        <v>#NAME?</v>
      </c>
      <c r="N42" s="24" t="e">
        <f ca="1">IF(_xll.EVDES(H42,$B$1)="#NODATA","",_xll.EVDES(H42,$B$1))</f>
        <v>#NAME?</v>
      </c>
      <c r="O42" s="304"/>
      <c r="P42" s="305"/>
      <c r="Q42" s="305"/>
      <c r="R42" s="305"/>
      <c r="S42" s="305"/>
      <c r="T42" s="305"/>
      <c r="U42" s="305"/>
      <c r="V42" s="305"/>
      <c r="W42" s="305"/>
      <c r="X42" s="305"/>
      <c r="Y42" s="305"/>
      <c r="Z42" s="305"/>
      <c r="AA42" s="283" t="e">
        <f t="shared" ca="1" si="0"/>
        <v>#NAME?</v>
      </c>
      <c r="AB42" s="306" t="e">
        <f t="shared" ca="1" si="1"/>
        <v>#NAME?</v>
      </c>
      <c r="AC42" s="263"/>
      <c r="AD42" s="305"/>
      <c r="AE42" s="306" t="str">
        <f t="shared" si="2"/>
        <v/>
      </c>
      <c r="AF42" s="307" t="e">
        <f t="shared" ca="1" si="3"/>
        <v>#NAME?</v>
      </c>
      <c r="AG42" s="305"/>
      <c r="AH42" s="306" t="str">
        <f t="shared" si="5"/>
        <v/>
      </c>
      <c r="AI42" s="308" t="e">
        <f t="shared" ca="1" si="6"/>
        <v>#NAME?</v>
      </c>
      <c r="AJ42" s="371">
        <f t="shared" ca="1" si="7"/>
        <v>0</v>
      </c>
      <c r="AK42" s="372">
        <f t="shared" ca="1" si="8"/>
        <v>0</v>
      </c>
      <c r="AL42" s="373">
        <f t="shared" ca="1" si="9"/>
        <v>0</v>
      </c>
      <c r="AM42" s="374">
        <f t="shared" ca="1" si="10"/>
        <v>0</v>
      </c>
      <c r="AN42" s="375">
        <f t="shared" ca="1" si="11"/>
        <v>0</v>
      </c>
    </row>
    <row r="43" spans="1:40" ht="16" thickBot="1" x14ac:dyDescent="0.25">
      <c r="A43" s="1" t="s">
        <v>108</v>
      </c>
      <c r="C43" s="458" t="s">
        <v>101</v>
      </c>
      <c r="D43" s="1" t="s">
        <v>106</v>
      </c>
      <c r="F43" s="1" t="s">
        <v>98</v>
      </c>
      <c r="H43" s="10" t="s">
        <v>268</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304"/>
      <c r="P43" s="305"/>
      <c r="Q43" s="305"/>
      <c r="R43" s="305"/>
      <c r="S43" s="305"/>
      <c r="T43" s="305"/>
      <c r="U43" s="305"/>
      <c r="V43" s="305"/>
      <c r="W43" s="305"/>
      <c r="X43" s="305"/>
      <c r="Y43" s="305"/>
      <c r="Z43" s="305"/>
      <c r="AA43" s="283" t="e">
        <f t="shared" ca="1" si="0"/>
        <v>#NAME?</v>
      </c>
      <c r="AB43" s="306" t="e">
        <f t="shared" ca="1" si="1"/>
        <v>#NAME?</v>
      </c>
      <c r="AC43" s="263"/>
      <c r="AD43" s="305"/>
      <c r="AE43" s="306" t="str">
        <f t="shared" si="2"/>
        <v/>
      </c>
      <c r="AF43" s="307" t="e">
        <f t="shared" ca="1" si="3"/>
        <v>#NAME?</v>
      </c>
      <c r="AG43" s="305"/>
      <c r="AH43" s="306" t="str">
        <f t="shared" si="5"/>
        <v/>
      </c>
      <c r="AI43" s="308" t="e">
        <f t="shared" ca="1" si="6"/>
        <v>#NAME?</v>
      </c>
      <c r="AJ43" s="371">
        <f t="shared" ca="1" si="7"/>
        <v>0</v>
      </c>
      <c r="AK43" s="372">
        <f t="shared" ca="1" si="8"/>
        <v>0</v>
      </c>
      <c r="AL43" s="373">
        <f t="shared" ca="1" si="9"/>
        <v>0</v>
      </c>
      <c r="AM43" s="374">
        <f t="shared" ca="1" si="10"/>
        <v>0</v>
      </c>
      <c r="AN43" s="375">
        <f t="shared" ca="1" si="11"/>
        <v>0</v>
      </c>
    </row>
    <row r="44" spans="1:40" ht="17" thickTop="1" thickBot="1" x14ac:dyDescent="0.25">
      <c r="A44" s="1" t="s">
        <v>108</v>
      </c>
      <c r="C44" s="458" t="s">
        <v>101</v>
      </c>
      <c r="D44" s="1" t="s">
        <v>107</v>
      </c>
      <c r="F44" s="1" t="s">
        <v>99</v>
      </c>
      <c r="H44" s="10" t="s">
        <v>269</v>
      </c>
      <c r="I44" s="25" t="e">
        <f ca="1">_xll.EVPRO($B$1,$H44,"STYLE")</f>
        <v>#NAME?</v>
      </c>
      <c r="J44" s="25" t="e">
        <f ca="1">_xll.EVPRO($B$1,$H44,"CALC")</f>
        <v>#NAME?</v>
      </c>
      <c r="K44" s="64" t="e">
        <f t="shared" ca="1" si="4"/>
        <v>#NAME?</v>
      </c>
      <c r="L44" s="24" t="e">
        <f ca="1">_xll.EVPRO($B$1,H44,"JDEID")</f>
        <v>#NAME?</v>
      </c>
      <c r="M44" s="24" t="e">
        <f ca="1">IF(AND(I44="N",J44="N"),_xll.EVPRO($B$1,H44,"PSFTID"),"")</f>
        <v>#NAME?</v>
      </c>
      <c r="N44" s="24" t="e">
        <f ca="1">IF(_xll.EVDES(H44,$B$1)="#NODATA","",_xll.EVDES(H44,$B$1))</f>
        <v>#NAME?</v>
      </c>
      <c r="O44" s="304"/>
      <c r="P44" s="305"/>
      <c r="Q44" s="305"/>
      <c r="R44" s="305"/>
      <c r="S44" s="305"/>
      <c r="T44" s="305"/>
      <c r="U44" s="305"/>
      <c r="V44" s="305"/>
      <c r="W44" s="305"/>
      <c r="X44" s="305"/>
      <c r="Y44" s="305"/>
      <c r="Z44" s="305"/>
      <c r="AA44" s="283" t="e">
        <f t="shared" ca="1" si="0"/>
        <v>#NAME?</v>
      </c>
      <c r="AB44" s="306" t="e">
        <f t="shared" ca="1" si="1"/>
        <v>#NAME?</v>
      </c>
      <c r="AC44" s="263"/>
      <c r="AD44" s="305"/>
      <c r="AE44" s="306" t="str">
        <f t="shared" si="2"/>
        <v/>
      </c>
      <c r="AF44" s="307" t="e">
        <f t="shared" ca="1" si="3"/>
        <v>#NAME?</v>
      </c>
      <c r="AG44" s="305">
        <v>8291.7900000000009</v>
      </c>
      <c r="AH44" s="306" t="str">
        <f t="shared" ca="1" si="5"/>
        <v/>
      </c>
      <c r="AI44" s="308" t="e">
        <f t="shared" ca="1" si="6"/>
        <v>#NAME?</v>
      </c>
      <c r="AJ44" s="371">
        <f t="shared" ca="1" si="7"/>
        <v>0</v>
      </c>
      <c r="AK44" s="372">
        <f t="shared" ca="1" si="8"/>
        <v>0</v>
      </c>
      <c r="AL44" s="373">
        <f t="shared" ca="1" si="9"/>
        <v>0</v>
      </c>
      <c r="AM44" s="374">
        <f t="shared" ca="1" si="10"/>
        <v>0</v>
      </c>
      <c r="AN44" s="375">
        <f t="shared" ca="1" si="11"/>
        <v>0</v>
      </c>
    </row>
    <row r="45" spans="1:40" ht="16" thickTop="1" x14ac:dyDescent="0.2">
      <c r="H45" s="10" t="s">
        <v>791</v>
      </c>
      <c r="I45" s="25" t="e">
        <f ca="1">_xll.EVPRO($B$1,$H45,"STYLE")</f>
        <v>#NAME?</v>
      </c>
      <c r="J45" s="25" t="e">
        <f ca="1">_xll.EVPRO($B$1,$H45,"CALC")</f>
        <v>#NAME?</v>
      </c>
      <c r="K45" s="64" t="e">
        <f t="shared" ca="1" si="4"/>
        <v>#NAME?</v>
      </c>
      <c r="L45" s="24" t="e">
        <f ca="1">_xll.EVPRO($B$1,H45,"JDEID")</f>
        <v>#NAME?</v>
      </c>
      <c r="M45" s="24" t="e">
        <f ca="1">IF(AND(I45="N",J45="N"),_xll.EVPRO($B$1,H45,"PSFTID"),"")</f>
        <v>#NAME?</v>
      </c>
      <c r="N45" s="24" t="e">
        <f ca="1">IF(_xll.EVDES(H45,$B$1)="#NODATA","",_xll.EVDES(H45,$B$1))</f>
        <v>#NAME?</v>
      </c>
      <c r="O45" s="295"/>
      <c r="P45" s="296"/>
      <c r="Q45" s="296"/>
      <c r="R45" s="296"/>
      <c r="S45" s="296"/>
      <c r="T45" s="296"/>
      <c r="U45" s="296"/>
      <c r="V45" s="296"/>
      <c r="W45" s="296"/>
      <c r="X45" s="296"/>
      <c r="Y45" s="296"/>
      <c r="Z45" s="296"/>
      <c r="AA45" s="296" t="e">
        <f t="shared" ca="1" si="0"/>
        <v>#NAME?</v>
      </c>
      <c r="AB45" s="297" t="e">
        <f t="shared" ca="1" si="1"/>
        <v>#NAME?</v>
      </c>
      <c r="AC45" s="263"/>
      <c r="AD45" s="296"/>
      <c r="AE45" s="297" t="str">
        <f t="shared" si="2"/>
        <v/>
      </c>
      <c r="AF45" s="298" t="e">
        <f t="shared" ca="1" si="3"/>
        <v>#NAME?</v>
      </c>
      <c r="AG45" s="296">
        <v>2240</v>
      </c>
      <c r="AH45" s="297" t="str">
        <f t="shared" ca="1" si="5"/>
        <v/>
      </c>
      <c r="AI45" s="299" t="e">
        <f t="shared" ca="1" si="6"/>
        <v>#NAME?</v>
      </c>
      <c r="AJ45" s="381">
        <f t="shared" ca="1" si="7"/>
        <v>0</v>
      </c>
      <c r="AK45" s="382">
        <f t="shared" ca="1" si="8"/>
        <v>0</v>
      </c>
      <c r="AL45" s="383">
        <f t="shared" ca="1" si="9"/>
        <v>0</v>
      </c>
      <c r="AM45" s="384">
        <f t="shared" ca="1" si="10"/>
        <v>0</v>
      </c>
      <c r="AN45" s="385">
        <f t="shared" ca="1" si="11"/>
        <v>0</v>
      </c>
    </row>
    <row r="46" spans="1:40" x14ac:dyDescent="0.2">
      <c r="H46" s="10" t="s">
        <v>272</v>
      </c>
      <c r="I46" s="447" t="e">
        <f ca="1">_xll.EVPRO($B$1,$H46,"STYLE")</f>
        <v>#NAME?</v>
      </c>
      <c r="J46" s="447" t="e">
        <f ca="1">_xll.EVPRO($B$1,$H46,"CALC")</f>
        <v>#NAME?</v>
      </c>
      <c r="K46" s="448" t="e">
        <f t="shared" ca="1" si="4"/>
        <v>#NAME?</v>
      </c>
      <c r="L46" s="151" t="e">
        <f ca="1">_xll.EVPRO($B$1,H46,"JDEID")</f>
        <v>#NAME?</v>
      </c>
      <c r="M46" s="151" t="e">
        <f ca="1">IF(AND(I46="N",J46="N"),_xll.EVPRO($B$1,H46,"PSFTID"),"")</f>
        <v>#NAME?</v>
      </c>
      <c r="N46" s="151" t="e">
        <f ca="1">IF(_xll.EVDES(H46,$B$1)="#NODATA","",_xll.EVDES(H46,$B$1))</f>
        <v>#NAME?</v>
      </c>
      <c r="O46" s="202"/>
      <c r="P46" s="120"/>
      <c r="Q46" s="120"/>
      <c r="R46" s="120"/>
      <c r="S46" s="120"/>
      <c r="T46" s="120"/>
      <c r="U46" s="120"/>
      <c r="V46" s="120"/>
      <c r="W46" s="120"/>
      <c r="X46" s="120"/>
      <c r="Y46" s="120"/>
      <c r="Z46" s="120"/>
      <c r="AA46" s="120" t="e">
        <f t="shared" ca="1" si="0"/>
        <v>#NAME?</v>
      </c>
      <c r="AB46" s="121" t="e">
        <f t="shared" ca="1" si="1"/>
        <v>#NAME?</v>
      </c>
      <c r="AC46" s="123"/>
      <c r="AD46" s="120"/>
      <c r="AE46" s="121" t="str">
        <f t="shared" si="2"/>
        <v/>
      </c>
      <c r="AF46" s="122" t="e">
        <f t="shared" ca="1" si="3"/>
        <v>#NAME?</v>
      </c>
      <c r="AG46" s="120">
        <v>10531.79</v>
      </c>
      <c r="AH46" s="121" t="str">
        <f t="shared" ca="1" si="5"/>
        <v/>
      </c>
      <c r="AI46" s="264" t="e">
        <f t="shared" ca="1" si="6"/>
        <v>#NAME?</v>
      </c>
      <c r="AJ46" s="332">
        <f t="shared" ca="1" si="7"/>
        <v>0</v>
      </c>
      <c r="AK46" s="333">
        <f t="shared" ca="1" si="8"/>
        <v>0</v>
      </c>
      <c r="AL46" s="335">
        <f t="shared" ca="1" si="9"/>
        <v>0</v>
      </c>
      <c r="AM46" s="377">
        <f t="shared" ca="1" si="10"/>
        <v>0</v>
      </c>
      <c r="AN46" s="378">
        <f t="shared" ca="1" si="11"/>
        <v>0</v>
      </c>
    </row>
    <row r="47" spans="1:40" x14ac:dyDescent="0.2">
      <c r="A47" s="4"/>
      <c r="B47" s="1" t="s">
        <v>821</v>
      </c>
      <c r="H47" s="10" t="s">
        <v>486</v>
      </c>
      <c r="I47" s="25" t="e">
        <f ca="1">_xll.EVPRO($B$1,$H47,"STYLE")</f>
        <v>#NAME?</v>
      </c>
      <c r="J47" s="25" t="e">
        <f ca="1">_xll.EVPRO($B$1,$H47,"CALC")</f>
        <v>#NAME?</v>
      </c>
      <c r="K47" s="64" t="e">
        <f t="shared" ca="1" si="4"/>
        <v>#NAME?</v>
      </c>
      <c r="L47" s="24" t="e">
        <f ca="1">_xll.EVPRO($B$1,H47,"JDEID")</f>
        <v>#NAME?</v>
      </c>
      <c r="M47" s="24" t="e">
        <f ca="1">IF(AND(I47="N",J47="N"),_xll.EVPRO($B$1,H47,"PSFTID"),"")</f>
        <v>#NAME?</v>
      </c>
      <c r="N47" s="24" t="e">
        <f ca="1">IF(_xll.EVDES(H47,$B$1)="#NODATA","",_xll.EVDES(H47,$B$1))</f>
        <v>#NAME?</v>
      </c>
      <c r="O47" s="302"/>
      <c r="P47" s="44"/>
      <c r="Q47" s="44"/>
      <c r="R47" s="44"/>
      <c r="S47" s="44"/>
      <c r="T47" s="44"/>
      <c r="U47" s="44"/>
      <c r="V47" s="44"/>
      <c r="W47" s="44"/>
      <c r="X47" s="44"/>
      <c r="Y47" s="44"/>
      <c r="Z47" s="44"/>
      <c r="AA47" s="44" t="e">
        <f t="shared" ca="1" si="0"/>
        <v>#NAME?</v>
      </c>
      <c r="AB47" s="45" t="e">
        <f t="shared" ca="1" si="1"/>
        <v>#NAME?</v>
      </c>
      <c r="AD47" s="44"/>
      <c r="AE47" s="45" t="str">
        <f t="shared" si="2"/>
        <v/>
      </c>
      <c r="AF47" s="134" t="e">
        <f t="shared" ca="1" si="3"/>
        <v>#NAME?</v>
      </c>
      <c r="AG47" s="44"/>
      <c r="AH47" s="45" t="str">
        <f t="shared" si="5"/>
        <v/>
      </c>
      <c r="AI47" s="303" t="e">
        <f t="shared" ca="1" si="6"/>
        <v>#NAME?</v>
      </c>
      <c r="AJ47" s="392">
        <f t="shared" ca="1" si="7"/>
        <v>0</v>
      </c>
      <c r="AK47" s="393">
        <f t="shared" ca="1" si="8"/>
        <v>0</v>
      </c>
      <c r="AL47" s="394">
        <f t="shared" ca="1" si="9"/>
        <v>0</v>
      </c>
      <c r="AM47" s="395">
        <f t="shared" ca="1" si="10"/>
        <v>0</v>
      </c>
      <c r="AN47" s="396">
        <f t="shared" ca="1" si="11"/>
        <v>0</v>
      </c>
    </row>
    <row r="48" spans="1:40" x14ac:dyDescent="0.2">
      <c r="H48" s="10" t="s">
        <v>273</v>
      </c>
      <c r="I48" s="447" t="e">
        <f ca="1">_xll.EVPRO($B$1,$H48,"STYLE")</f>
        <v>#NAME?</v>
      </c>
      <c r="J48" s="447" t="e">
        <f ca="1">_xll.EVPRO($B$1,$H48,"CALC")</f>
        <v>#NAME?</v>
      </c>
      <c r="K48" s="448" t="e">
        <f t="shared" ca="1" si="4"/>
        <v>#NAME?</v>
      </c>
      <c r="L48" s="151" t="e">
        <f ca="1">_xll.EVPRO($B$1,H48,"JDEID")</f>
        <v>#NAME?</v>
      </c>
      <c r="M48" s="151" t="e">
        <f ca="1">IF(AND(I48="N",J48="N"),_xll.EVPRO($B$1,H48,"PSFTID"),"")</f>
        <v>#NAME?</v>
      </c>
      <c r="N48" s="151" t="e">
        <f ca="1">IF(_xll.EVDES(H48,$B$1)="#NODATA","",_xll.EVDES(H48,$B$1))</f>
        <v>#NAME?</v>
      </c>
      <c r="O48" s="202"/>
      <c r="P48" s="120"/>
      <c r="Q48" s="120"/>
      <c r="R48" s="120"/>
      <c r="S48" s="120"/>
      <c r="T48" s="120"/>
      <c r="U48" s="120"/>
      <c r="V48" s="120"/>
      <c r="W48" s="120"/>
      <c r="X48" s="120"/>
      <c r="Y48" s="120"/>
      <c r="Z48" s="120"/>
      <c r="AA48" s="120" t="e">
        <f t="shared" ca="1" si="0"/>
        <v>#NAME?</v>
      </c>
      <c r="AB48" s="121" t="e">
        <f t="shared" ca="1" si="1"/>
        <v>#NAME?</v>
      </c>
      <c r="AC48" s="123"/>
      <c r="AD48" s="120"/>
      <c r="AE48" s="121" t="str">
        <f t="shared" si="2"/>
        <v/>
      </c>
      <c r="AF48" s="122" t="e">
        <f t="shared" ca="1" si="3"/>
        <v>#NAME?</v>
      </c>
      <c r="AG48" s="120">
        <v>20879</v>
      </c>
      <c r="AH48" s="121" t="str">
        <f t="shared" ca="1" si="5"/>
        <v/>
      </c>
      <c r="AI48" s="264" t="e">
        <f t="shared" ca="1" si="6"/>
        <v>#NAME?</v>
      </c>
      <c r="AJ48" s="332">
        <f t="shared" ca="1" si="7"/>
        <v>0</v>
      </c>
      <c r="AK48" s="333">
        <f t="shared" ca="1" si="8"/>
        <v>0</v>
      </c>
      <c r="AL48" s="335">
        <f t="shared" ca="1" si="9"/>
        <v>0</v>
      </c>
      <c r="AM48" s="377">
        <f t="shared" ca="1" si="10"/>
        <v>0</v>
      </c>
      <c r="AN48" s="378">
        <f t="shared" ca="1" si="11"/>
        <v>0</v>
      </c>
    </row>
    <row r="49" spans="1:40" x14ac:dyDescent="0.2">
      <c r="A49" s="3" t="s">
        <v>0</v>
      </c>
      <c r="B49" s="5" t="s">
        <v>1</v>
      </c>
      <c r="H49" s="10" t="s">
        <v>279</v>
      </c>
      <c r="I49" s="447" t="e">
        <f ca="1">_xll.EVPRO($B$1,$H49,"STYLE")</f>
        <v>#NAME?</v>
      </c>
      <c r="J49" s="447" t="e">
        <f ca="1">_xll.EVPRO($B$1,$H49,"CALC")</f>
        <v>#NAME?</v>
      </c>
      <c r="K49" s="448" t="e">
        <f t="shared" ca="1" si="4"/>
        <v>#NAME?</v>
      </c>
      <c r="L49" s="151" t="e">
        <f ca="1">_xll.EVPRO($B$1,H49,"JDEID")</f>
        <v>#NAME?</v>
      </c>
      <c r="M49" s="151" t="e">
        <f ca="1">IF(AND(I49="N",J49="N"),_xll.EVPRO($B$1,H49,"PSFTID"),"")</f>
        <v>#NAME?</v>
      </c>
      <c r="N49" s="151" t="e">
        <f ca="1">IF(_xll.EVDES(H49,$B$1)="#NODATA","",_xll.EVDES(H49,$B$1))</f>
        <v>#NAME?</v>
      </c>
      <c r="O49" s="309"/>
      <c r="P49" s="35"/>
      <c r="Q49" s="35"/>
      <c r="R49" s="35"/>
      <c r="S49" s="35"/>
      <c r="T49" s="35"/>
      <c r="U49" s="35"/>
      <c r="V49" s="35"/>
      <c r="W49" s="35"/>
      <c r="X49" s="35"/>
      <c r="Y49" s="35"/>
      <c r="Z49" s="35"/>
      <c r="AA49" s="288" t="e">
        <f t="shared" ca="1" si="0"/>
        <v>#NAME?</v>
      </c>
      <c r="AB49" s="36" t="e">
        <f t="shared" ca="1" si="1"/>
        <v>#NAME?</v>
      </c>
      <c r="AD49" s="35"/>
      <c r="AE49" s="36" t="str">
        <f t="shared" si="2"/>
        <v/>
      </c>
      <c r="AF49" s="118" t="e">
        <f t="shared" ca="1" si="3"/>
        <v>#NAME?</v>
      </c>
      <c r="AG49" s="35"/>
      <c r="AH49" s="36" t="str">
        <f t="shared" si="5"/>
        <v/>
      </c>
      <c r="AI49" s="310" t="e">
        <f t="shared" ca="1" si="6"/>
        <v>#NAME?</v>
      </c>
      <c r="AJ49" s="325">
        <f t="shared" ca="1" si="7"/>
        <v>0</v>
      </c>
      <c r="AK49" s="326">
        <f t="shared" ca="1" si="8"/>
        <v>0</v>
      </c>
      <c r="AL49" s="328">
        <f t="shared" ca="1" si="9"/>
        <v>0</v>
      </c>
      <c r="AM49" s="362">
        <f t="shared" ca="1" si="10"/>
        <v>0</v>
      </c>
      <c r="AN49" s="376">
        <f t="shared" ca="1" si="11"/>
        <v>0</v>
      </c>
    </row>
    <row r="50" spans="1:40" x14ac:dyDescent="0.2">
      <c r="A50" s="6" t="s">
        <v>2</v>
      </c>
      <c r="B50" s="7" t="e">
        <f ca="1">_xll.EVRNG($B$2:$B$10)</f>
        <v>#NAME?</v>
      </c>
      <c r="H50" s="10" t="s">
        <v>274</v>
      </c>
      <c r="I50" s="25" t="e">
        <f ca="1">_xll.EVPRO($B$1,$H50,"STYLE")</f>
        <v>#NAME?</v>
      </c>
      <c r="J50" s="25" t="e">
        <f ca="1">_xll.EVPRO($B$1,$H50,"CALC")</f>
        <v>#NAME?</v>
      </c>
      <c r="K50" s="64" t="e">
        <f t="shared" ca="1" si="4"/>
        <v>#NAME?</v>
      </c>
      <c r="L50" s="24" t="e">
        <f ca="1">_xll.EVPRO($B$1,H50,"JDEID")</f>
        <v>#NAME?</v>
      </c>
      <c r="M50" s="24" t="e">
        <f ca="1">IF(AND(I50="N",J50="N"),_xll.EVPRO($B$1,H50,"PSFTID"),"")</f>
        <v>#NAME?</v>
      </c>
      <c r="N50" s="24" t="e">
        <f ca="1">IF(_xll.EVDES(H50,$B$1)="#NODATA","",_xll.EVDES(H50,$B$1))</f>
        <v>#NAME?</v>
      </c>
      <c r="O50" s="304"/>
      <c r="P50" s="305"/>
      <c r="Q50" s="305"/>
      <c r="R50" s="305"/>
      <c r="S50" s="305"/>
      <c r="T50" s="305"/>
      <c r="U50" s="305"/>
      <c r="V50" s="305"/>
      <c r="W50" s="305"/>
      <c r="X50" s="305"/>
      <c r="Y50" s="305"/>
      <c r="Z50" s="305"/>
      <c r="AA50" s="283" t="e">
        <f t="shared" ca="1" si="0"/>
        <v>#NAME?</v>
      </c>
      <c r="AB50" s="306" t="e">
        <f t="shared" ca="1" si="1"/>
        <v>#NAME?</v>
      </c>
      <c r="AC50" s="263"/>
      <c r="AD50" s="305"/>
      <c r="AE50" s="306" t="str">
        <f t="shared" si="2"/>
        <v/>
      </c>
      <c r="AF50" s="307" t="e">
        <f t="shared" ca="1" si="3"/>
        <v>#NAME?</v>
      </c>
      <c r="AG50" s="305">
        <v>690.2</v>
      </c>
      <c r="AH50" s="306" t="str">
        <f t="shared" ca="1" si="5"/>
        <v/>
      </c>
      <c r="AI50" s="308" t="e">
        <f t="shared" ca="1" si="6"/>
        <v>#NAME?</v>
      </c>
      <c r="AJ50" s="371">
        <f t="shared" ca="1" si="7"/>
        <v>0</v>
      </c>
      <c r="AK50" s="372">
        <f t="shared" ca="1" si="8"/>
        <v>0</v>
      </c>
      <c r="AL50" s="373">
        <f t="shared" ca="1" si="9"/>
        <v>0</v>
      </c>
      <c r="AM50" s="374">
        <f t="shared" ca="1" si="10"/>
        <v>0</v>
      </c>
      <c r="AN50" s="375">
        <f t="shared" ca="1" si="11"/>
        <v>0</v>
      </c>
    </row>
    <row r="51" spans="1:40" x14ac:dyDescent="0.2">
      <c r="A51" s="6" t="s">
        <v>3</v>
      </c>
      <c r="B51" s="7" t="e">
        <f ca="1">_xll.EVRNG($O$16:$AN$18)</f>
        <v>#NAME?</v>
      </c>
      <c r="H51" s="10" t="s">
        <v>275</v>
      </c>
      <c r="I51" s="25" t="e">
        <f ca="1">_xll.EVPRO($B$1,$H51,"STYLE")</f>
        <v>#NAME?</v>
      </c>
      <c r="J51" s="25" t="e">
        <f ca="1">_xll.EVPRO($B$1,$H51,"CALC")</f>
        <v>#NAME?</v>
      </c>
      <c r="K51" s="64" t="e">
        <f t="shared" ca="1" si="4"/>
        <v>#NAME?</v>
      </c>
      <c r="L51" s="24" t="e">
        <f ca="1">_xll.EVPRO($B$1,H51,"JDEID")</f>
        <v>#NAME?</v>
      </c>
      <c r="M51" s="24" t="e">
        <f ca="1">IF(AND(I51="N",J51="N"),_xll.EVPRO($B$1,H51,"PSFTID"),"")</f>
        <v>#NAME?</v>
      </c>
      <c r="N51" s="24" t="e">
        <f ca="1">IF(_xll.EVDES(H51,$B$1)="#NODATA","",_xll.EVDES(H51,$B$1))</f>
        <v>#NAME?</v>
      </c>
      <c r="O51" s="304"/>
      <c r="P51" s="305"/>
      <c r="Q51" s="305"/>
      <c r="R51" s="305"/>
      <c r="S51" s="305"/>
      <c r="T51" s="305"/>
      <c r="U51" s="305"/>
      <c r="V51" s="305"/>
      <c r="W51" s="305"/>
      <c r="X51" s="305"/>
      <c r="Y51" s="305"/>
      <c r="Z51" s="305"/>
      <c r="AA51" s="283" t="e">
        <f t="shared" ca="1" si="0"/>
        <v>#NAME?</v>
      </c>
      <c r="AB51" s="306" t="e">
        <f t="shared" ca="1" si="1"/>
        <v>#NAME?</v>
      </c>
      <c r="AC51" s="263"/>
      <c r="AD51" s="305"/>
      <c r="AE51" s="306" t="str">
        <f t="shared" si="2"/>
        <v/>
      </c>
      <c r="AF51" s="307" t="e">
        <f t="shared" ca="1" si="3"/>
        <v>#NAME?</v>
      </c>
      <c r="AG51" s="305">
        <v>14164.95</v>
      </c>
      <c r="AH51" s="306" t="str">
        <f t="shared" ca="1" si="5"/>
        <v/>
      </c>
      <c r="AI51" s="308" t="e">
        <f t="shared" ca="1" si="6"/>
        <v>#NAME?</v>
      </c>
      <c r="AJ51" s="371">
        <f t="shared" ca="1" si="7"/>
        <v>0</v>
      </c>
      <c r="AK51" s="372">
        <f t="shared" ca="1" si="8"/>
        <v>0</v>
      </c>
      <c r="AL51" s="373">
        <f t="shared" ca="1" si="9"/>
        <v>0</v>
      </c>
      <c r="AM51" s="374">
        <f t="shared" ca="1" si="10"/>
        <v>0</v>
      </c>
      <c r="AN51" s="375">
        <f t="shared" ca="1" si="11"/>
        <v>0</v>
      </c>
    </row>
    <row r="52" spans="1:40" x14ac:dyDescent="0.2">
      <c r="A52" s="6" t="s">
        <v>4</v>
      </c>
      <c r="B52" s="7" t="e">
        <f ca="1">_xll.EVRNG(#REF!)</f>
        <v>#NAME?</v>
      </c>
      <c r="H52" s="10" t="s">
        <v>282</v>
      </c>
      <c r="I52" s="25" t="e">
        <f ca="1">_xll.EVPRO($B$1,$H52,"STYLE")</f>
        <v>#NAME?</v>
      </c>
      <c r="J52" s="25" t="e">
        <f ca="1">_xll.EVPRO($B$1,$H52,"CALC")</f>
        <v>#NAME?</v>
      </c>
      <c r="K52" s="64" t="e">
        <f t="shared" ca="1" si="4"/>
        <v>#NAME?</v>
      </c>
      <c r="L52" s="24" t="e">
        <f ca="1">_xll.EVPRO($B$1,H52,"JDEID")</f>
        <v>#NAME?</v>
      </c>
      <c r="M52" s="24" t="e">
        <f ca="1">IF(AND(I52="N",J52="N"),_xll.EVPRO($B$1,H52,"PSFTID"),"")</f>
        <v>#NAME?</v>
      </c>
      <c r="N52" s="24" t="e">
        <f ca="1">IF(_xll.EVDES(H52,$B$1)="#NODATA","",_xll.EVDES(H52,$B$1))</f>
        <v>#NAME?</v>
      </c>
      <c r="O52" s="304"/>
      <c r="P52" s="305"/>
      <c r="Q52" s="305"/>
      <c r="R52" s="305"/>
      <c r="S52" s="305"/>
      <c r="T52" s="305"/>
      <c r="U52" s="305"/>
      <c r="V52" s="305"/>
      <c r="W52" s="305"/>
      <c r="X52" s="305"/>
      <c r="Y52" s="305"/>
      <c r="Z52" s="305"/>
      <c r="AA52" s="283" t="e">
        <f t="shared" ca="1" si="0"/>
        <v>#NAME?</v>
      </c>
      <c r="AB52" s="306" t="e">
        <f t="shared" ca="1" si="1"/>
        <v>#NAME?</v>
      </c>
      <c r="AC52" s="263"/>
      <c r="AD52" s="305"/>
      <c r="AE52" s="306" t="str">
        <f t="shared" si="2"/>
        <v/>
      </c>
      <c r="AF52" s="307" t="e">
        <f t="shared" ca="1" si="3"/>
        <v>#NAME?</v>
      </c>
      <c r="AG52" s="305">
        <v>4568.88</v>
      </c>
      <c r="AH52" s="306" t="str">
        <f t="shared" ca="1" si="5"/>
        <v/>
      </c>
      <c r="AI52" s="308" t="e">
        <f t="shared" ca="1" si="6"/>
        <v>#NAME?</v>
      </c>
      <c r="AJ52" s="371">
        <f t="shared" ca="1" si="7"/>
        <v>0</v>
      </c>
      <c r="AK52" s="372">
        <f t="shared" ca="1" si="8"/>
        <v>0</v>
      </c>
      <c r="AL52" s="373">
        <f t="shared" ca="1" si="9"/>
        <v>0</v>
      </c>
      <c r="AM52" s="374">
        <f t="shared" ca="1" si="10"/>
        <v>0</v>
      </c>
      <c r="AN52" s="375">
        <f t="shared" ca="1" si="11"/>
        <v>0</v>
      </c>
    </row>
    <row r="53" spans="1:40" x14ac:dyDescent="0.2">
      <c r="A53" s="6" t="s">
        <v>5</v>
      </c>
      <c r="B53" s="7"/>
      <c r="F53" s="136"/>
      <c r="H53" s="10" t="s">
        <v>283</v>
      </c>
      <c r="I53" s="25" t="e">
        <f ca="1">_xll.EVPRO($B$1,$H53,"STYLE")</f>
        <v>#NAME?</v>
      </c>
      <c r="J53" s="25" t="e">
        <f ca="1">_xll.EVPRO($B$1,$H53,"CALC")</f>
        <v>#NAME?</v>
      </c>
      <c r="K53" s="64" t="e">
        <f t="shared" ca="1" si="4"/>
        <v>#NAME?</v>
      </c>
      <c r="L53" s="24" t="e">
        <f ca="1">_xll.EVPRO($B$1,H53,"JDEID")</f>
        <v>#NAME?</v>
      </c>
      <c r="M53" s="24" t="e">
        <f ca="1">IF(AND(I53="N",J53="N"),_xll.EVPRO($B$1,H53,"PSFTID"),"")</f>
        <v>#NAME?</v>
      </c>
      <c r="N53" s="24" t="e">
        <f ca="1">IF(_xll.EVDES(H53,$B$1)="#NODATA","",_xll.EVDES(H53,$B$1))</f>
        <v>#NAME?</v>
      </c>
      <c r="O53" s="304"/>
      <c r="P53" s="305"/>
      <c r="Q53" s="305"/>
      <c r="R53" s="305"/>
      <c r="S53" s="305"/>
      <c r="T53" s="305"/>
      <c r="U53" s="305"/>
      <c r="V53" s="305"/>
      <c r="W53" s="305"/>
      <c r="X53" s="305"/>
      <c r="Y53" s="305"/>
      <c r="Z53" s="305"/>
      <c r="AA53" s="283" t="e">
        <f t="shared" ca="1" si="0"/>
        <v>#NAME?</v>
      </c>
      <c r="AB53" s="306" t="e">
        <f t="shared" ca="1" si="1"/>
        <v>#NAME?</v>
      </c>
      <c r="AC53" s="263"/>
      <c r="AD53" s="305"/>
      <c r="AE53" s="306" t="str">
        <f t="shared" si="2"/>
        <v/>
      </c>
      <c r="AF53" s="307" t="e">
        <f t="shared" ca="1" si="3"/>
        <v>#NAME?</v>
      </c>
      <c r="AG53" s="305">
        <v>189.91</v>
      </c>
      <c r="AH53" s="306" t="str">
        <f t="shared" ca="1" si="5"/>
        <v/>
      </c>
      <c r="AI53" s="308" t="e">
        <f t="shared" ca="1" si="6"/>
        <v>#NAME?</v>
      </c>
      <c r="AJ53" s="371">
        <f t="shared" ca="1" si="7"/>
        <v>0</v>
      </c>
      <c r="AK53" s="372">
        <f t="shared" ca="1" si="8"/>
        <v>0</v>
      </c>
      <c r="AL53" s="373">
        <f t="shared" ca="1" si="9"/>
        <v>0</v>
      </c>
      <c r="AM53" s="374">
        <f t="shared" ca="1" si="10"/>
        <v>0</v>
      </c>
      <c r="AN53" s="375">
        <f t="shared" ca="1" si="11"/>
        <v>0</v>
      </c>
    </row>
    <row r="54" spans="1:40" x14ac:dyDescent="0.2">
      <c r="A54" s="6" t="s">
        <v>6</v>
      </c>
      <c r="B54" s="7"/>
      <c r="F54" s="136"/>
      <c r="H54" s="10" t="s">
        <v>473</v>
      </c>
      <c r="I54" s="25" t="e">
        <f ca="1">_xll.EVPRO($B$1,$H54,"STYLE")</f>
        <v>#NAME?</v>
      </c>
      <c r="J54" s="25" t="e">
        <f ca="1">_xll.EVPRO($B$1,$H54,"CALC")</f>
        <v>#NAME?</v>
      </c>
      <c r="K54" s="64" t="e">
        <f t="shared" ca="1" si="4"/>
        <v>#NAME?</v>
      </c>
      <c r="L54" s="24" t="e">
        <f ca="1">_xll.EVPRO($B$1,H54,"JDEID")</f>
        <v>#NAME?</v>
      </c>
      <c r="M54" s="24" t="e">
        <f ca="1">IF(AND(I54="N",J54="N"),_xll.EVPRO($B$1,H54,"PSFTID"),"")</f>
        <v>#NAME?</v>
      </c>
      <c r="N54" s="24" t="e">
        <f ca="1">IF(_xll.EVDES(H54,$B$1)="#NODATA","",_xll.EVDES(H54,$B$1))</f>
        <v>#NAME?</v>
      </c>
      <c r="O54" s="295"/>
      <c r="P54" s="296"/>
      <c r="Q54" s="296"/>
      <c r="R54" s="296"/>
      <c r="S54" s="296"/>
      <c r="T54" s="296"/>
      <c r="U54" s="296"/>
      <c r="V54" s="296"/>
      <c r="W54" s="296"/>
      <c r="X54" s="296"/>
      <c r="Y54" s="296"/>
      <c r="Z54" s="296"/>
      <c r="AA54" s="296" t="e">
        <f t="shared" ca="1" si="0"/>
        <v>#NAME?</v>
      </c>
      <c r="AB54" s="297" t="e">
        <f t="shared" ca="1" si="1"/>
        <v>#NAME?</v>
      </c>
      <c r="AC54" s="263"/>
      <c r="AD54" s="296"/>
      <c r="AE54" s="297" t="str">
        <f t="shared" si="2"/>
        <v/>
      </c>
      <c r="AF54" s="298" t="e">
        <f t="shared" ca="1" si="3"/>
        <v>#NAME?</v>
      </c>
      <c r="AG54" s="296"/>
      <c r="AH54" s="297" t="str">
        <f t="shared" si="5"/>
        <v/>
      </c>
      <c r="AI54" s="299" t="e">
        <f t="shared" ca="1" si="6"/>
        <v>#NAME?</v>
      </c>
      <c r="AJ54" s="381">
        <f t="shared" ca="1" si="7"/>
        <v>0</v>
      </c>
      <c r="AK54" s="382">
        <f t="shared" ca="1" si="8"/>
        <v>0</v>
      </c>
      <c r="AL54" s="383">
        <f t="shared" ca="1" si="9"/>
        <v>0</v>
      </c>
      <c r="AM54" s="384">
        <f t="shared" ca="1" si="10"/>
        <v>0</v>
      </c>
      <c r="AN54" s="385">
        <f t="shared" ca="1" si="11"/>
        <v>0</v>
      </c>
    </row>
    <row r="55" spans="1:40" ht="16" thickBot="1" x14ac:dyDescent="0.25">
      <c r="A55" s="6" t="s">
        <v>7</v>
      </c>
      <c r="B55" s="7" t="e">
        <f ca="1">_xll.EVRNG(A69:F77)</f>
        <v>#NAME?</v>
      </c>
      <c r="F55" s="136"/>
      <c r="H55" s="10" t="s">
        <v>277</v>
      </c>
      <c r="I55" s="447" t="e">
        <f ca="1">_xll.EVPRO($B$1,$H55,"STYLE")</f>
        <v>#NAME?</v>
      </c>
      <c r="J55" s="447" t="e">
        <f ca="1">_xll.EVPRO($B$1,$H55,"CALC")</f>
        <v>#NAME?</v>
      </c>
      <c r="K55" s="448" t="e">
        <f t="shared" ca="1" si="4"/>
        <v>#NAME?</v>
      </c>
      <c r="L55" s="151" t="e">
        <f ca="1">_xll.EVPRO($B$1,H55,"JDEID")</f>
        <v>#NAME?</v>
      </c>
      <c r="M55" s="151" t="e">
        <f ca="1">IF(AND(I55="N",J55="N"),_xll.EVPRO($B$1,H55,"PSFTID"),"")</f>
        <v>#NAME?</v>
      </c>
      <c r="N55" s="151" t="e">
        <f ca="1">IF(_xll.EVDES(H55,$B$1)="#NODATA","",_xll.EVDES(H55,$B$1))</f>
        <v>#NAME?</v>
      </c>
      <c r="O55" s="203"/>
      <c r="P55" s="33"/>
      <c r="Q55" s="33"/>
      <c r="R55" s="33"/>
      <c r="S55" s="33"/>
      <c r="T55" s="33"/>
      <c r="U55" s="33"/>
      <c r="V55" s="33"/>
      <c r="W55" s="33"/>
      <c r="X55" s="33"/>
      <c r="Y55" s="33"/>
      <c r="Z55" s="33"/>
      <c r="AA55" s="33" t="e">
        <f t="shared" ca="1" si="0"/>
        <v>#NAME?</v>
      </c>
      <c r="AB55" s="34" t="e">
        <f t="shared" ca="1" si="1"/>
        <v>#NAME?</v>
      </c>
      <c r="AC55" s="32"/>
      <c r="AD55" s="33"/>
      <c r="AE55" s="34" t="str">
        <f t="shared" si="2"/>
        <v/>
      </c>
      <c r="AF55" s="54" t="e">
        <f t="shared" ca="1" si="3"/>
        <v>#NAME?</v>
      </c>
      <c r="AG55" s="33">
        <v>19613.939999999999</v>
      </c>
      <c r="AH55" s="34" t="str">
        <f t="shared" ca="1" si="5"/>
        <v/>
      </c>
      <c r="AI55" s="265" t="e">
        <f t="shared" ca="1" si="6"/>
        <v>#NAME?</v>
      </c>
      <c r="AJ55" s="344">
        <f t="shared" ca="1" si="7"/>
        <v>0</v>
      </c>
      <c r="AK55" s="345">
        <f t="shared" ca="1" si="8"/>
        <v>0</v>
      </c>
      <c r="AL55" s="347">
        <f t="shared" ca="1" si="9"/>
        <v>0</v>
      </c>
      <c r="AM55" s="379">
        <f t="shared" ca="1" si="10"/>
        <v>0</v>
      </c>
      <c r="AN55" s="380">
        <f t="shared" ca="1" si="11"/>
        <v>0</v>
      </c>
    </row>
    <row r="56" spans="1:40" ht="17" thickTop="1" thickBot="1" x14ac:dyDescent="0.25">
      <c r="A56" s="6" t="s">
        <v>47</v>
      </c>
      <c r="B56" s="7" t="e">
        <f ca="1">_xll.EVRNG($A$125:$B$146)</f>
        <v>#NAME?</v>
      </c>
      <c r="H56" s="10" t="s">
        <v>280</v>
      </c>
      <c r="I56" s="447" t="e">
        <f ca="1">_xll.EVPRO($B$1,$H56,"STYLE")</f>
        <v>#NAME?</v>
      </c>
      <c r="J56" s="447" t="e">
        <f ca="1">_xll.EVPRO($B$1,$H56,"CALC")</f>
        <v>#NAME?</v>
      </c>
      <c r="K56" s="448" t="e">
        <f t="shared" ca="1" si="4"/>
        <v>#NAME?</v>
      </c>
      <c r="L56" s="151" t="e">
        <f ca="1">_xll.EVPRO($B$1,H56,"JDEID")</f>
        <v>#NAME?</v>
      </c>
      <c r="M56" s="151" t="e">
        <f ca="1">IF(AND(I56="N",J56="N"),_xll.EVPRO($B$1,H56,"PSFTID"),"")</f>
        <v>#NAME?</v>
      </c>
      <c r="N56" s="151" t="e">
        <f ca="1">IF(_xll.EVDES(H56,$B$1)="#NODATA","",_xll.EVDES(H56,$B$1))</f>
        <v>#NAME?</v>
      </c>
      <c r="O56" s="459"/>
      <c r="P56" s="460"/>
      <c r="Q56" s="460"/>
      <c r="R56" s="460"/>
      <c r="S56" s="460"/>
      <c r="T56" s="460"/>
      <c r="U56" s="460"/>
      <c r="V56" s="460"/>
      <c r="W56" s="460"/>
      <c r="X56" s="460"/>
      <c r="Y56" s="460"/>
      <c r="Z56" s="460"/>
      <c r="AA56" s="460" t="e">
        <f t="shared" ca="1" si="0"/>
        <v>#NAME?</v>
      </c>
      <c r="AB56" s="461" t="e">
        <f t="shared" ca="1" si="1"/>
        <v>#NAME?</v>
      </c>
      <c r="AC56" s="462"/>
      <c r="AD56" s="460"/>
      <c r="AE56" s="461" t="str">
        <f t="shared" si="2"/>
        <v/>
      </c>
      <c r="AF56" s="463" t="e">
        <f t="shared" ca="1" si="3"/>
        <v>#NAME?</v>
      </c>
      <c r="AG56" s="460">
        <v>40492.94</v>
      </c>
      <c r="AH56" s="461" t="str">
        <f t="shared" ca="1" si="5"/>
        <v/>
      </c>
      <c r="AI56" s="464" t="e">
        <f t="shared" ca="1" si="6"/>
        <v>#NAME?</v>
      </c>
      <c r="AJ56" s="465">
        <f t="shared" ca="1" si="7"/>
        <v>0</v>
      </c>
      <c r="AK56" s="466">
        <f t="shared" ca="1" si="8"/>
        <v>0</v>
      </c>
      <c r="AL56" s="467">
        <f t="shared" ca="1" si="9"/>
        <v>0</v>
      </c>
      <c r="AM56" s="468">
        <f t="shared" ca="1" si="10"/>
        <v>0</v>
      </c>
      <c r="AN56" s="469">
        <f t="shared" ca="1" si="11"/>
        <v>0</v>
      </c>
    </row>
    <row r="57" spans="1:40" ht="16" thickTop="1" x14ac:dyDescent="0.2">
      <c r="A57" s="6" t="s">
        <v>8</v>
      </c>
      <c r="B57" s="7"/>
    </row>
    <row r="58" spans="1:40" x14ac:dyDescent="0.2">
      <c r="G58" s="13"/>
      <c r="O58" s="147"/>
      <c r="P58" s="147"/>
      <c r="Q58" s="147"/>
      <c r="R58" s="147"/>
      <c r="S58" s="147"/>
      <c r="T58" s="147"/>
      <c r="U58" s="147"/>
      <c r="V58" s="147"/>
      <c r="W58" s="147"/>
      <c r="X58" s="147"/>
      <c r="Y58" s="147"/>
      <c r="Z58" s="147"/>
      <c r="AA58" s="147"/>
      <c r="AD58" s="147"/>
      <c r="AG58" s="147"/>
    </row>
    <row r="59" spans="1:40" x14ac:dyDescent="0.2">
      <c r="A59" s="3" t="s">
        <v>9</v>
      </c>
      <c r="B59" s="5" t="s">
        <v>10</v>
      </c>
    </row>
    <row r="60" spans="1:40" x14ac:dyDescent="0.2">
      <c r="A60" s="6" t="s">
        <v>11</v>
      </c>
      <c r="B60" s="7" t="s">
        <v>21</v>
      </c>
      <c r="O60" s="147"/>
      <c r="P60" s="147"/>
      <c r="Q60" s="147"/>
      <c r="R60" s="147"/>
      <c r="S60" s="147"/>
      <c r="T60" s="147"/>
      <c r="U60" s="147"/>
      <c r="V60" s="147"/>
      <c r="W60" s="147"/>
      <c r="X60" s="147"/>
      <c r="Y60" s="147"/>
      <c r="Z60" s="147"/>
      <c r="AA60" s="147"/>
      <c r="AD60" s="147"/>
      <c r="AG60" s="147"/>
    </row>
    <row r="61" spans="1:40" x14ac:dyDescent="0.2">
      <c r="A61" s="6" t="s">
        <v>12</v>
      </c>
      <c r="B61" s="7" t="s">
        <v>22</v>
      </c>
    </row>
    <row r="62" spans="1:40" x14ac:dyDescent="0.2">
      <c r="A62" s="6" t="s">
        <v>13</v>
      </c>
      <c r="B62" s="7" t="e">
        <f ca="1">"DEP(COS_FB) AND "&amp;$E$6&amp;"=Y,COS_FB,COSOTH,DEP(COS_OTHR) AND "&amp;$E$6&amp;"=Y,COS_OTHR,500001"</f>
        <v>#NAME?</v>
      </c>
    </row>
    <row r="63" spans="1:40" x14ac:dyDescent="0.2">
      <c r="A63" s="6" t="s">
        <v>14</v>
      </c>
      <c r="B63" s="7"/>
      <c r="H63" s="11"/>
      <c r="J63" s="1"/>
    </row>
    <row r="64" spans="1:40" x14ac:dyDescent="0.2">
      <c r="A64" s="6" t="s">
        <v>15</v>
      </c>
      <c r="B64" s="7"/>
      <c r="H64" s="11"/>
      <c r="J64" s="1"/>
    </row>
    <row r="65" spans="1:10" x14ac:dyDescent="0.2">
      <c r="A65" s="6" t="s">
        <v>16</v>
      </c>
      <c r="B65" s="7"/>
      <c r="H65" s="11"/>
      <c r="J65" s="1"/>
    </row>
    <row r="66" spans="1:10" x14ac:dyDescent="0.2">
      <c r="A66" s="6" t="s">
        <v>17</v>
      </c>
      <c r="B66" s="7"/>
      <c r="H66" s="11"/>
      <c r="J66" s="1"/>
    </row>
    <row r="67" spans="1:10" x14ac:dyDescent="0.2">
      <c r="H67" s="11"/>
      <c r="J67" s="1"/>
    </row>
    <row r="68" spans="1:10" x14ac:dyDescent="0.2">
      <c r="A68" s="20" t="s">
        <v>92</v>
      </c>
      <c r="B68" s="21" t="s">
        <v>93</v>
      </c>
      <c r="C68" s="21" t="s">
        <v>94</v>
      </c>
      <c r="D68" s="21" t="s">
        <v>95</v>
      </c>
      <c r="E68" s="21" t="s">
        <v>96</v>
      </c>
      <c r="F68" s="22" t="s">
        <v>97</v>
      </c>
      <c r="H68" s="11"/>
      <c r="J68" s="1"/>
    </row>
    <row r="69" spans="1:10" x14ac:dyDescent="0.2">
      <c r="H69" s="11"/>
      <c r="J69" s="1"/>
    </row>
    <row r="70" spans="1:10" x14ac:dyDescent="0.2">
      <c r="A70" s="1" t="s">
        <v>209</v>
      </c>
      <c r="B70" s="1" t="s">
        <v>21</v>
      </c>
      <c r="C70" s="70"/>
      <c r="D70" s="1" t="s">
        <v>590</v>
      </c>
      <c r="F70" s="1" t="s">
        <v>99</v>
      </c>
      <c r="H70" s="11"/>
      <c r="J70" s="1"/>
    </row>
    <row r="71" spans="1:10" x14ac:dyDescent="0.2">
      <c r="A71" s="1" t="s">
        <v>105</v>
      </c>
      <c r="C71" s="24" t="s">
        <v>101</v>
      </c>
      <c r="D71" s="1" t="s">
        <v>106</v>
      </c>
      <c r="F71" s="1" t="s">
        <v>98</v>
      </c>
      <c r="H71" s="11"/>
      <c r="J71" s="1"/>
    </row>
    <row r="72" spans="1:10" x14ac:dyDescent="0.2">
      <c r="A72" s="1" t="s">
        <v>104</v>
      </c>
      <c r="C72" s="24" t="s">
        <v>101</v>
      </c>
      <c r="D72" s="1" t="s">
        <v>106</v>
      </c>
      <c r="F72" s="1" t="s">
        <v>98</v>
      </c>
      <c r="H72" s="11"/>
      <c r="J72" s="1"/>
    </row>
    <row r="73" spans="1:10" x14ac:dyDescent="0.2">
      <c r="A73" s="1" t="s">
        <v>100</v>
      </c>
      <c r="C73" s="8" t="s">
        <v>101</v>
      </c>
      <c r="D73" s="1" t="s">
        <v>106</v>
      </c>
      <c r="F73" s="1" t="s">
        <v>98</v>
      </c>
      <c r="H73" s="11"/>
      <c r="J73" s="1"/>
    </row>
    <row r="74" spans="1:10" hidden="1" x14ac:dyDescent="0.2">
      <c r="A74" s="1" t="s">
        <v>102</v>
      </c>
      <c r="C74" s="23" t="s">
        <v>101</v>
      </c>
      <c r="D74" s="1" t="s">
        <v>106</v>
      </c>
      <c r="F74" s="1" t="s">
        <v>98</v>
      </c>
      <c r="H74" s="11"/>
      <c r="J74" s="1"/>
    </row>
    <row r="75" spans="1:10" hidden="1" x14ac:dyDescent="0.2">
      <c r="A75" s="1" t="s">
        <v>102</v>
      </c>
      <c r="C75" s="135" t="s">
        <v>101</v>
      </c>
      <c r="D75" s="1" t="s">
        <v>107</v>
      </c>
      <c r="F75" s="1" t="s">
        <v>99</v>
      </c>
      <c r="H75" s="11"/>
      <c r="J75" s="1"/>
    </row>
    <row r="76" spans="1:10" x14ac:dyDescent="0.2">
      <c r="A76" s="1" t="s">
        <v>108</v>
      </c>
      <c r="C76" s="23" t="s">
        <v>101</v>
      </c>
      <c r="D76" s="1" t="s">
        <v>106</v>
      </c>
      <c r="F76" s="1" t="s">
        <v>98</v>
      </c>
      <c r="H76" s="11"/>
      <c r="J76" s="1"/>
    </row>
    <row r="77" spans="1:10" hidden="1" x14ac:dyDescent="0.2">
      <c r="A77" s="1" t="s">
        <v>108</v>
      </c>
      <c r="C77" s="135" t="s">
        <v>101</v>
      </c>
      <c r="D77" s="1" t="s">
        <v>107</v>
      </c>
      <c r="F77" s="1" t="s">
        <v>99</v>
      </c>
      <c r="H77" s="11"/>
      <c r="J77" s="1"/>
    </row>
    <row r="78" spans="1:10" hidden="1" x14ac:dyDescent="0.2">
      <c r="H78" s="11"/>
      <c r="J78" s="1"/>
    </row>
    <row r="79" spans="1:10" x14ac:dyDescent="0.2">
      <c r="C79" s="23"/>
      <c r="H79" s="11"/>
      <c r="J79" s="1"/>
    </row>
    <row r="80" spans="1:10" x14ac:dyDescent="0.2">
      <c r="A80" s="4"/>
      <c r="B80" s="1" t="s">
        <v>822</v>
      </c>
      <c r="H80" s="11"/>
      <c r="J80" s="1"/>
    </row>
    <row r="81" spans="1:10" hidden="1" x14ac:dyDescent="0.2">
      <c r="H81" s="11"/>
      <c r="J81" s="1"/>
    </row>
    <row r="82" spans="1:10" hidden="1" x14ac:dyDescent="0.2">
      <c r="A82" s="3" t="s">
        <v>0</v>
      </c>
      <c r="B82" s="5" t="s">
        <v>1</v>
      </c>
      <c r="H82" s="11"/>
      <c r="J82" s="1"/>
    </row>
    <row r="83" spans="1:10" x14ac:dyDescent="0.2">
      <c r="A83" s="6" t="s">
        <v>2</v>
      </c>
      <c r="B83" s="7" t="e">
        <f ca="1">_xll.EVRNG($B$2:$B$10)</f>
        <v>#NAME?</v>
      </c>
      <c r="H83" s="11"/>
      <c r="J83" s="1"/>
    </row>
    <row r="84" spans="1:10" x14ac:dyDescent="0.2">
      <c r="A84" s="6" t="s">
        <v>3</v>
      </c>
      <c r="B84" s="7" t="e">
        <f ca="1">_xll.EVRNG($O$16:$AN$18)</f>
        <v>#NAME?</v>
      </c>
      <c r="H84" s="11"/>
      <c r="J84" s="1"/>
    </row>
    <row r="85" spans="1:10" x14ac:dyDescent="0.2">
      <c r="A85" s="6" t="s">
        <v>4</v>
      </c>
      <c r="B85" s="7" t="e">
        <f ca="1">_xll.EVRNG(#REF!,#REF!,#REF!)</f>
        <v>#NAME?</v>
      </c>
      <c r="H85" s="11"/>
      <c r="J85" s="1"/>
    </row>
    <row r="86" spans="1:10" x14ac:dyDescent="0.2">
      <c r="A86" s="6" t="s">
        <v>5</v>
      </c>
      <c r="B86" s="7"/>
    </row>
    <row r="87" spans="1:10" x14ac:dyDescent="0.2">
      <c r="A87" s="6" t="s">
        <v>6</v>
      </c>
      <c r="B87" s="7"/>
    </row>
    <row r="88" spans="1:10" x14ac:dyDescent="0.2">
      <c r="A88" s="6" t="s">
        <v>7</v>
      </c>
      <c r="B88" s="7" t="e">
        <f ca="1">_xll.EVRNG(A102:F108)</f>
        <v>#NAME?</v>
      </c>
    </row>
    <row r="89" spans="1:10" x14ac:dyDescent="0.2">
      <c r="A89" s="6" t="s">
        <v>47</v>
      </c>
      <c r="B89" s="7" t="e">
        <f ca="1">_xll.EVRNG($A$125:$B$146)</f>
        <v>#NAME?</v>
      </c>
    </row>
    <row r="90" spans="1:10" x14ac:dyDescent="0.2">
      <c r="A90" s="6" t="s">
        <v>8</v>
      </c>
      <c r="B90" s="7"/>
    </row>
    <row r="91" spans="1:10" x14ac:dyDescent="0.2">
      <c r="G91" s="13"/>
    </row>
    <row r="92" spans="1:10" x14ac:dyDescent="0.2">
      <c r="A92" s="3" t="s">
        <v>9</v>
      </c>
      <c r="B92" s="5" t="s">
        <v>10</v>
      </c>
    </row>
    <row r="93" spans="1:10" x14ac:dyDescent="0.2">
      <c r="A93" s="6" t="s">
        <v>11</v>
      </c>
      <c r="B93" s="7" t="s">
        <v>21</v>
      </c>
    </row>
    <row r="94" spans="1:10" x14ac:dyDescent="0.2">
      <c r="A94" s="6" t="s">
        <v>12</v>
      </c>
      <c r="B94" s="7" t="s">
        <v>22</v>
      </c>
    </row>
    <row r="95" spans="1:10" x14ac:dyDescent="0.2">
      <c r="A95" s="6" t="s">
        <v>13</v>
      </c>
      <c r="B95" s="7" t="s">
        <v>737</v>
      </c>
    </row>
    <row r="96" spans="1:10" x14ac:dyDescent="0.2">
      <c r="A96" s="6" t="s">
        <v>14</v>
      </c>
      <c r="B96" s="7"/>
    </row>
    <row r="97" spans="1:7" x14ac:dyDescent="0.2">
      <c r="A97" s="6" t="s">
        <v>15</v>
      </c>
      <c r="B97" s="7"/>
    </row>
    <row r="98" spans="1:7" x14ac:dyDescent="0.2">
      <c r="A98" s="6" t="s">
        <v>16</v>
      </c>
      <c r="B98" s="7" t="s">
        <v>78</v>
      </c>
    </row>
    <row r="99" spans="1:7" x14ac:dyDescent="0.2">
      <c r="A99" s="6" t="s">
        <v>17</v>
      </c>
      <c r="B99" s="7"/>
    </row>
    <row r="101" spans="1:7" x14ac:dyDescent="0.2">
      <c r="A101" s="20" t="s">
        <v>92</v>
      </c>
      <c r="B101" s="21" t="s">
        <v>93</v>
      </c>
      <c r="C101" s="21" t="s">
        <v>94</v>
      </c>
      <c r="D101" s="21" t="s">
        <v>95</v>
      </c>
      <c r="E101" s="21" t="s">
        <v>96</v>
      </c>
      <c r="F101" s="22" t="s">
        <v>97</v>
      </c>
    </row>
    <row r="103" spans="1:7" x14ac:dyDescent="0.2">
      <c r="A103" s="1" t="s">
        <v>108</v>
      </c>
      <c r="C103" s="24" t="s">
        <v>101</v>
      </c>
      <c r="D103" s="1" t="s">
        <v>106</v>
      </c>
      <c r="F103" s="1" t="s">
        <v>98</v>
      </c>
    </row>
    <row r="104" spans="1:7" x14ac:dyDescent="0.2">
      <c r="A104" s="1" t="s">
        <v>100</v>
      </c>
      <c r="C104" s="8" t="s">
        <v>101</v>
      </c>
      <c r="D104" s="1" t="s">
        <v>106</v>
      </c>
      <c r="F104" s="1" t="s">
        <v>98</v>
      </c>
    </row>
    <row r="105" spans="1:7" x14ac:dyDescent="0.2">
      <c r="A105" s="1" t="s">
        <v>109</v>
      </c>
      <c r="C105" s="23" t="s">
        <v>101</v>
      </c>
      <c r="D105" s="1" t="s">
        <v>106</v>
      </c>
      <c r="F105" s="1" t="s">
        <v>98</v>
      </c>
      <c r="G105" s="13"/>
    </row>
    <row r="106" spans="1:7" x14ac:dyDescent="0.2">
      <c r="A106" s="1" t="s">
        <v>109</v>
      </c>
      <c r="C106" s="135" t="s">
        <v>101</v>
      </c>
      <c r="D106" s="1" t="s">
        <v>107</v>
      </c>
      <c r="F106" s="1" t="s">
        <v>99</v>
      </c>
    </row>
    <row r="107" spans="1:7" x14ac:dyDescent="0.2">
      <c r="A107" s="1" t="s">
        <v>110</v>
      </c>
      <c r="C107" s="23" t="s">
        <v>101</v>
      </c>
      <c r="D107" s="1" t="s">
        <v>106</v>
      </c>
      <c r="F107" s="1" t="s">
        <v>98</v>
      </c>
    </row>
    <row r="108" spans="1:7" x14ac:dyDescent="0.2">
      <c r="A108" s="1" t="s">
        <v>110</v>
      </c>
      <c r="C108" s="27" t="s">
        <v>101</v>
      </c>
      <c r="D108" s="1" t="s">
        <v>107</v>
      </c>
      <c r="F108" s="1" t="s">
        <v>99</v>
      </c>
    </row>
    <row r="109" spans="1:7" x14ac:dyDescent="0.2">
      <c r="C109" s="23"/>
    </row>
    <row r="111" spans="1:7" x14ac:dyDescent="0.2">
      <c r="A111" s="4"/>
      <c r="B111" s="1" t="s">
        <v>736</v>
      </c>
      <c r="C111" s="1" t="s">
        <v>823</v>
      </c>
    </row>
    <row r="113" spans="1:34" x14ac:dyDescent="0.2">
      <c r="A113" s="3" t="s">
        <v>0</v>
      </c>
      <c r="B113" s="5" t="s">
        <v>1</v>
      </c>
    </row>
    <row r="114" spans="1:34" x14ac:dyDescent="0.2">
      <c r="A114" s="6" t="s">
        <v>2</v>
      </c>
      <c r="B114" s="7" t="e">
        <f ca="1">_xll.EVRNG($B$2:$B$10)</f>
        <v>#NAME?</v>
      </c>
    </row>
    <row r="115" spans="1:34" x14ac:dyDescent="0.2">
      <c r="A115" s="6" t="s">
        <v>3</v>
      </c>
      <c r="B115" s="7" t="e">
        <f ca="1">_xll.EVRNG($O$16:$AN$18)</f>
        <v>#NAME?</v>
      </c>
    </row>
    <row r="116" spans="1:34" x14ac:dyDescent="0.2">
      <c r="A116" s="6" t="s">
        <v>4</v>
      </c>
      <c r="B116" s="7" t="e">
        <f ca="1">_xll.EVRNG(#REF!)</f>
        <v>#NAME?</v>
      </c>
    </row>
    <row r="117" spans="1:34" x14ac:dyDescent="0.2">
      <c r="A117" s="6" t="s">
        <v>5</v>
      </c>
      <c r="B117" s="7"/>
    </row>
    <row r="118" spans="1:34" x14ac:dyDescent="0.2">
      <c r="A118" s="6" t="s">
        <v>6</v>
      </c>
      <c r="B118" s="7"/>
    </row>
    <row r="119" spans="1:34" x14ac:dyDescent="0.2">
      <c r="A119" s="6" t="s">
        <v>7</v>
      </c>
      <c r="B119" s="7"/>
    </row>
    <row r="120" spans="1:34" x14ac:dyDescent="0.2">
      <c r="A120" s="6" t="s">
        <v>47</v>
      </c>
      <c r="B120" s="7" t="e">
        <f ca="1">_xll.EVRNG($A$125:$B$146)</f>
        <v>#NAME?</v>
      </c>
    </row>
    <row r="121" spans="1:34" x14ac:dyDescent="0.2">
      <c r="A121" s="6" t="s">
        <v>8</v>
      </c>
      <c r="B121" s="7"/>
    </row>
    <row r="124" spans="1:34" x14ac:dyDescent="0.2">
      <c r="A124" s="3" t="s">
        <v>23</v>
      </c>
      <c r="B124" s="5" t="s">
        <v>24</v>
      </c>
    </row>
    <row r="125" spans="1:34" x14ac:dyDescent="0.2">
      <c r="A125" s="6" t="s">
        <v>25</v>
      </c>
      <c r="B125" s="7"/>
    </row>
    <row r="126" spans="1:34" x14ac:dyDescent="0.2">
      <c r="A126" s="6" t="s">
        <v>26</v>
      </c>
      <c r="B126" s="7"/>
      <c r="I126" s="72"/>
      <c r="J126" s="1"/>
      <c r="K126" s="72"/>
      <c r="L126" s="72"/>
      <c r="M126" s="72"/>
      <c r="O126" s="72"/>
      <c r="P126" s="72"/>
      <c r="Q126" s="72"/>
      <c r="R126" s="72"/>
      <c r="S126" s="72"/>
      <c r="T126" s="72"/>
      <c r="U126" s="72"/>
      <c r="V126" s="72"/>
      <c r="W126" s="72"/>
      <c r="X126" s="72"/>
      <c r="Y126" s="72"/>
      <c r="Z126" s="72"/>
      <c r="AA126" s="72"/>
      <c r="AD126" s="72"/>
      <c r="AF126" s="72"/>
      <c r="AH126" s="72"/>
    </row>
    <row r="127" spans="1:34" x14ac:dyDescent="0.2">
      <c r="A127" s="6" t="s">
        <v>27</v>
      </c>
      <c r="B127" s="7"/>
    </row>
    <row r="128" spans="1:34" x14ac:dyDescent="0.2">
      <c r="A128" s="6" t="s">
        <v>28</v>
      </c>
      <c r="B128" s="7"/>
    </row>
    <row r="129" spans="1:34" x14ac:dyDescent="0.2">
      <c r="A129" s="6" t="s">
        <v>29</v>
      </c>
      <c r="B129" s="7"/>
    </row>
    <row r="130" spans="1:34" x14ac:dyDescent="0.2">
      <c r="A130" s="6" t="s">
        <v>30</v>
      </c>
      <c r="B130" s="7" t="s">
        <v>78</v>
      </c>
      <c r="I130" s="72"/>
      <c r="J130" s="1"/>
      <c r="K130" s="72"/>
      <c r="L130" s="72"/>
      <c r="M130" s="72"/>
      <c r="O130" s="72"/>
      <c r="P130" s="72"/>
      <c r="Q130" s="72"/>
      <c r="R130" s="72"/>
      <c r="S130" s="72"/>
      <c r="T130" s="72"/>
      <c r="U130" s="72"/>
      <c r="V130" s="72"/>
      <c r="W130" s="72"/>
      <c r="X130" s="72"/>
      <c r="Y130" s="72"/>
      <c r="Z130" s="72"/>
      <c r="AA130" s="72"/>
      <c r="AD130" s="72"/>
      <c r="AF130" s="72"/>
      <c r="AH130" s="72"/>
    </row>
    <row r="131" spans="1:34" x14ac:dyDescent="0.2">
      <c r="A131" s="6" t="s">
        <v>31</v>
      </c>
      <c r="B131" s="7" t="s">
        <v>78</v>
      </c>
    </row>
    <row r="132" spans="1:34" x14ac:dyDescent="0.2">
      <c r="A132" s="6" t="s">
        <v>32</v>
      </c>
      <c r="B132" s="7"/>
    </row>
    <row r="133" spans="1:34" x14ac:dyDescent="0.2">
      <c r="A133" s="6" t="s">
        <v>33</v>
      </c>
      <c r="B133" s="7"/>
    </row>
    <row r="134" spans="1:34" x14ac:dyDescent="0.2">
      <c r="A134" s="6" t="s">
        <v>34</v>
      </c>
      <c r="B134" s="7"/>
    </row>
    <row r="135" spans="1:34" x14ac:dyDescent="0.2">
      <c r="A135" s="6" t="s">
        <v>35</v>
      </c>
      <c r="B135" s="7"/>
    </row>
    <row r="136" spans="1:34" x14ac:dyDescent="0.2">
      <c r="A136" s="6" t="s">
        <v>36</v>
      </c>
      <c r="B136" s="7"/>
    </row>
    <row r="137" spans="1:34" x14ac:dyDescent="0.2">
      <c r="A137" s="6" t="s">
        <v>37</v>
      </c>
      <c r="B137" s="7"/>
    </row>
    <row r="138" spans="1:34" x14ac:dyDescent="0.2">
      <c r="A138" s="6" t="s">
        <v>38</v>
      </c>
      <c r="B138" s="7"/>
    </row>
    <row r="139" spans="1:34" x14ac:dyDescent="0.2">
      <c r="A139" s="6" t="s">
        <v>39</v>
      </c>
      <c r="B139" s="7"/>
    </row>
    <row r="140" spans="1:34" x14ac:dyDescent="0.2">
      <c r="A140" s="6" t="s">
        <v>40</v>
      </c>
      <c r="B140" s="7"/>
    </row>
    <row r="141" spans="1:34" x14ac:dyDescent="0.2">
      <c r="A141" s="6" t="s">
        <v>41</v>
      </c>
      <c r="B141" s="7"/>
    </row>
    <row r="142" spans="1:34" x14ac:dyDescent="0.2">
      <c r="A142" s="6" t="s">
        <v>42</v>
      </c>
      <c r="B142" s="7"/>
    </row>
    <row r="143" spans="1:34" x14ac:dyDescent="0.2">
      <c r="A143" s="6" t="s">
        <v>43</v>
      </c>
      <c r="B143" s="7"/>
    </row>
    <row r="144" spans="1:34" x14ac:dyDescent="0.2">
      <c r="A144" s="6" t="s">
        <v>44</v>
      </c>
      <c r="B144" s="7"/>
    </row>
    <row r="145" spans="1:2" x14ac:dyDescent="0.2">
      <c r="A145" s="6" t="s">
        <v>45</v>
      </c>
      <c r="B145" s="7"/>
    </row>
    <row r="146" spans="1:2" x14ac:dyDescent="0.2">
      <c r="A146" s="6" t="s">
        <v>46</v>
      </c>
      <c r="B146" s="7"/>
    </row>
    <row r="163" spans="5:7" x14ac:dyDescent="0.2">
      <c r="E163" s="72"/>
    </row>
    <row r="167" spans="5:7" x14ac:dyDescent="0.2">
      <c r="E167" s="72"/>
      <c r="G167" s="72"/>
    </row>
    <row r="171" spans="5:7" x14ac:dyDescent="0.2">
      <c r="G171" s="72"/>
    </row>
  </sheetData>
  <mergeCells count="2">
    <mergeCell ref="AD31:AE31"/>
    <mergeCell ref="AG31:AH31"/>
  </mergeCells>
  <dataValidations count="2">
    <dataValidation type="list" allowBlank="1" sqref="B94 B28 B61" xr:uid="{00000000-0002-0000-3600-000000000000}">
      <formula1>"ACCOUNT,BUSINESSUNIT,CATEGORY,DATASRC,DEPARTMENT,INTCO,MEASURES,RPTCURRENCY,TIME"</formula1>
    </dataValidation>
    <dataValidation type="list" allowBlank="1" sqref="B95 B29 B62" xr:uid="{00000000-0002-0000-3600-000001000000}">
      <formula1>"SELF,ALL,BAS,DEP,BASMEMBERS,MEMBERS,NOEXPAND,GDEP"</formula1>
    </dataValidation>
  </dataValidations>
  <pageMargins left="0.25" right="0.25" top="0.5" bottom="0.5" header="0.3" footer="0.3"/>
  <pageSetup scale="50" fitToHeight="0" orientation="landscape" r:id="rId1"/>
  <customProperties>
    <customPr name="EpmWorksheetKeyString_GUID" r:id="rId2"/>
    <customPr name="FPMExcelClientCellBasedFunctionStatus" r:id="rId3"/>
    <customPr name="FPMExcelClientRefreshTime" r:id="rId4"/>
  </customProperties>
  <drawing r:id="rId5"/>
  <legacyDrawing r:id="rId6"/>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6" tint="0.39997558519241921"/>
    <pageSetUpPr fitToPage="1"/>
  </sheetPr>
  <dimension ref="A1:AI206"/>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8"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16384" width="9.1640625" style="1"/>
  </cols>
  <sheetData>
    <row r="1" spans="1:35" hidden="1" outlineLevel="1" x14ac:dyDescent="0.2">
      <c r="A1" s="8" t="s">
        <v>48</v>
      </c>
      <c r="B1" s="2" t="s">
        <v>49</v>
      </c>
      <c r="C1" s="8" t="e">
        <f ca="1">_xll.EVAPD($B$1)</f>
        <v>#NAME?</v>
      </c>
      <c r="I1" s="1"/>
      <c r="J1" s="1"/>
      <c r="N1" s="16"/>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806</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35"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35" hidden="1" outlineLevel="1" x14ac:dyDescent="0.2">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2" t="e">
        <f ca="1">AA11</f>
        <v>#NAME?</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35" hidden="1" outlineLevel="1" x14ac:dyDescent="0.2">
      <c r="A19" s="6" t="s">
        <v>4</v>
      </c>
      <c r="B19" s="7" t="e">
        <f ca="1">_xll.EVRNG(H35:H118)</f>
        <v>#NAME?</v>
      </c>
      <c r="G19" s="16" t="str">
        <f>$B$6</f>
        <v>D2348</v>
      </c>
      <c r="H19" s="16" t="s">
        <v>273</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35" hidden="1" outlineLevel="1" x14ac:dyDescent="0.2">
      <c r="A20" s="6" t="s">
        <v>5</v>
      </c>
      <c r="B20" s="7"/>
      <c r="G20" s="16" t="str">
        <f>$B$6</f>
        <v>D2348</v>
      </c>
      <c r="H20" s="16">
        <v>946000</v>
      </c>
      <c r="I20" s="17"/>
      <c r="J20" s="17"/>
      <c r="K20" s="16"/>
      <c r="L20" s="16"/>
      <c r="M20" s="16"/>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35" hidden="1" outlineLevel="1" x14ac:dyDescent="0.2">
      <c r="A21" s="6" t="s">
        <v>6</v>
      </c>
      <c r="B21" s="7"/>
      <c r="I21" s="1"/>
      <c r="J21" s="1"/>
    </row>
    <row r="22" spans="1:35" hidden="1" outlineLevel="1" x14ac:dyDescent="0.2">
      <c r="A22" s="6" t="s">
        <v>7</v>
      </c>
      <c r="B22" s="7"/>
      <c r="I22" s="1"/>
      <c r="J22" s="1"/>
    </row>
    <row r="23" spans="1:35" hidden="1" outlineLevel="1" x14ac:dyDescent="0.2">
      <c r="A23" s="6" t="s">
        <v>47</v>
      </c>
      <c r="B23" s="7" t="e">
        <f ca="1">_xll.EVRNG($A$37:$B$58)</f>
        <v>#NAME?</v>
      </c>
      <c r="K23" s="53"/>
      <c r="L23" s="53"/>
      <c r="M23" s="53"/>
      <c r="AD23" s="136"/>
    </row>
    <row r="24" spans="1:35" hidden="1" outlineLevel="1" x14ac:dyDescent="0.2">
      <c r="A24" s="6" t="s">
        <v>8</v>
      </c>
      <c r="B24" s="7"/>
    </row>
    <row r="25" spans="1:35" collapsed="1" x14ac:dyDescent="0.2"/>
    <row r="26" spans="1:35" ht="23" x14ac:dyDescent="0.25">
      <c r="A26" s="3" t="s">
        <v>9</v>
      </c>
      <c r="B26" s="5" t="s">
        <v>10</v>
      </c>
      <c r="N26" s="61" t="e">
        <f ca="1">IF(_xll.EVDES(B3,$B$1)="#NODATA","",_xll.EVDES(B3,$B$1))</f>
        <v>#NAME?</v>
      </c>
    </row>
    <row r="27" spans="1:35" ht="18" x14ac:dyDescent="0.2">
      <c r="A27" s="6" t="s">
        <v>11</v>
      </c>
      <c r="B27" s="7" t="s">
        <v>21</v>
      </c>
      <c r="N27" s="66" t="e">
        <f ca="1">IF($N$1="",IF(_xll.EVDES(B6,$B$1)="#NODATA","",_xll.EVDES(B6,$B$1)&amp;" Department"),$N$1)</f>
        <v>#NAME?</v>
      </c>
    </row>
    <row r="28" spans="1:35" ht="16" x14ac:dyDescent="0.2">
      <c r="A28" s="6" t="s">
        <v>12</v>
      </c>
      <c r="B28" s="7" t="s">
        <v>22</v>
      </c>
      <c r="N28" s="67" t="e">
        <f ca="1">"For the Period ended"&amp;" "&amp;IF(_xll.EVDES($B$10,$B$1)="#NODATA","",_xll.EVDES($B$10,$B$1))</f>
        <v>#NAME?</v>
      </c>
    </row>
    <row r="29" spans="1:35" ht="15" customHeight="1" x14ac:dyDescent="0.2">
      <c r="A29" s="6" t="s">
        <v>13</v>
      </c>
      <c r="B29" s="7" t="s">
        <v>293</v>
      </c>
      <c r="N29" s="67" t="e">
        <f ca="1">_xll.EVDES(B9,B1)</f>
        <v>#NAME?</v>
      </c>
      <c r="O29" s="62" t="s">
        <v>344</v>
      </c>
      <c r="P29" s="62"/>
      <c r="Q29" s="62"/>
      <c r="R29" s="62"/>
      <c r="S29" s="62"/>
      <c r="T29" s="62"/>
      <c r="U29" s="62"/>
      <c r="V29" s="62"/>
      <c r="W29" s="62"/>
      <c r="X29" s="62"/>
      <c r="Y29" s="62"/>
      <c r="Z29" s="62"/>
      <c r="AA29" s="62"/>
    </row>
    <row r="30" spans="1:35"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row>
    <row r="31" spans="1:35" x14ac:dyDescent="0.2">
      <c r="A31" s="6" t="s">
        <v>15</v>
      </c>
      <c r="B31" s="7"/>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row>
    <row r="32" spans="1:35" s="232" customFormat="1" ht="30" customHeight="1" x14ac:dyDescent="0.2">
      <c r="A32" s="230" t="s">
        <v>16</v>
      </c>
      <c r="B32" s="231"/>
      <c r="E32" s="1"/>
      <c r="H32" s="233"/>
      <c r="I32" s="234"/>
      <c r="J32" s="234"/>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row>
    <row r="33" spans="1:35" ht="16" x14ac:dyDescent="0.2">
      <c r="A33" s="6" t="s">
        <v>17</v>
      </c>
      <c r="B33" s="7"/>
      <c r="N33" s="155" t="s">
        <v>330</v>
      </c>
      <c r="O33" s="38"/>
      <c r="P33" s="42"/>
      <c r="Q33" s="42"/>
      <c r="R33" s="42"/>
      <c r="S33" s="42"/>
      <c r="T33" s="42"/>
      <c r="U33" s="42"/>
      <c r="V33" s="42"/>
      <c r="W33" s="42"/>
      <c r="X33" s="42"/>
      <c r="Y33" s="42"/>
      <c r="Z33" s="42"/>
      <c r="AA33" s="42"/>
      <c r="AB33" s="39"/>
      <c r="AD33" s="38"/>
      <c r="AE33" s="42"/>
      <c r="AF33" s="39"/>
      <c r="AG33" s="38"/>
      <c r="AH33" s="42"/>
      <c r="AI33" s="39"/>
    </row>
    <row r="34" spans="1:35" x14ac:dyDescent="0.2">
      <c r="L34" s="175" t="s">
        <v>364</v>
      </c>
      <c r="M34" s="175" t="s">
        <v>782</v>
      </c>
      <c r="N34" s="8" t="s">
        <v>312</v>
      </c>
      <c r="O34" s="50"/>
      <c r="AB34" s="51"/>
      <c r="AD34" s="50"/>
      <c r="AF34" s="51"/>
      <c r="AG34" s="50"/>
      <c r="AI34" s="51"/>
    </row>
    <row r="35" spans="1:35" x14ac:dyDescent="0.2">
      <c r="H35" s="10" t="s">
        <v>260</v>
      </c>
      <c r="I35" s="25" t="e">
        <f ca="1">_xll.EVPRO($B$1,$H35,"STYLE")</f>
        <v>#NAME?</v>
      </c>
      <c r="J35" s="25" t="e">
        <f ca="1">_xll.EVPRO($B$1,$H35,"CALC")</f>
        <v>#NAME?</v>
      </c>
      <c r="K35" s="24"/>
      <c r="L35" s="24" t="e">
        <f ca="1">_xll.EVPRO($B$1,H35,"JDEID")</f>
        <v>#NAME?</v>
      </c>
      <c r="M35" s="24" t="e">
        <f ca="1">IF(AND(I35="N",J35="N"),_xll.EVPRO($B$1,H35,"PSFTID"),"")</f>
        <v>#NAME?</v>
      </c>
      <c r="N35" s="24" t="e">
        <f ca="1">IF(_xll.EVDES(H35,$B$1)="#NODATA","",_xll.EVDES(H35,$B$1))</f>
        <v>#NAME?</v>
      </c>
      <c r="O35" s="19"/>
      <c r="P35" s="19"/>
      <c r="Q35" s="19"/>
      <c r="R35" s="19"/>
      <c r="S35" s="19"/>
      <c r="T35" s="19"/>
      <c r="U35" s="19"/>
      <c r="V35" s="19"/>
      <c r="W35" s="19"/>
      <c r="X35" s="19"/>
      <c r="Y35" s="19"/>
      <c r="Z35" s="19"/>
      <c r="AA35" s="19">
        <f t="shared" ref="AA35:AA41" si="0">SUM(O35:Z35)</f>
        <v>0</v>
      </c>
      <c r="AB35" s="15" t="str">
        <f>IF(AA35=0,"",IFERROR(AA35/AA$19,""))</f>
        <v/>
      </c>
      <c r="AD35" s="19"/>
      <c r="AE35" s="15" t="str">
        <f>IF(AD35=0,"",IFERROR(AD35/AD$19,""))</f>
        <v/>
      </c>
      <c r="AF35" s="47">
        <f t="shared" ref="AF35:AF42" si="1">IF(AND($AA35="",AD35=""),"",$AA35-AD35)</f>
        <v>0</v>
      </c>
      <c r="AG35" s="19">
        <v>2361</v>
      </c>
      <c r="AH35" s="15" t="str">
        <f ca="1">IF(AG35=0,"",IFERROR(AG35/AG$19,""))</f>
        <v/>
      </c>
      <c r="AI35" s="47">
        <f t="shared" ref="AI35:AI42" si="2">IF(AND($AA35="",AG35=""),"",$AA35-AG35)</f>
        <v>-2361</v>
      </c>
    </row>
    <row r="36" spans="1:35" x14ac:dyDescent="0.2">
      <c r="A36" s="3" t="s">
        <v>23</v>
      </c>
      <c r="B36" s="5" t="s">
        <v>24</v>
      </c>
      <c r="H36" s="10" t="s">
        <v>294</v>
      </c>
      <c r="I36" s="25" t="e">
        <f ca="1">_xll.EVPRO($B$1,$H36,"STYLE")</f>
        <v>#NAME?</v>
      </c>
      <c r="J36" s="25" t="e">
        <f ca="1">_xll.EVPRO($B$1,$H36,"CALC")</f>
        <v>#NAME?</v>
      </c>
      <c r="K36" s="24"/>
      <c r="L36" s="24" t="e">
        <f ca="1">_xll.EVPRO($B$1,H36,"JDEID")</f>
        <v>#NAME?</v>
      </c>
      <c r="M36" s="24" t="e">
        <f ca="1">IF(AND(I36="N",J36="N"),_xll.EVPRO($B$1,H36,"PSFTID"),"")</f>
        <v>#NAME?</v>
      </c>
      <c r="N36" s="24" t="e">
        <f ca="1">IF(_xll.EVDES(H36,$B$1)="#NODATA","",_xll.EVDES(H36,$B$1))</f>
        <v>#NAME?</v>
      </c>
      <c r="O36" s="19"/>
      <c r="P36" s="19"/>
      <c r="Q36" s="19"/>
      <c r="R36" s="19"/>
      <c r="S36" s="19"/>
      <c r="T36" s="19"/>
      <c r="U36" s="19"/>
      <c r="V36" s="19"/>
      <c r="W36" s="19"/>
      <c r="X36" s="19"/>
      <c r="Y36" s="19"/>
      <c r="Z36" s="19"/>
      <c r="AA36" s="19">
        <f t="shared" si="0"/>
        <v>0</v>
      </c>
      <c r="AB36" s="15" t="str">
        <f>IF(AA36=0,"",IFERROR(AA36/AA$19,""))</f>
        <v/>
      </c>
      <c r="AD36" s="19"/>
      <c r="AE36" s="15" t="str">
        <f>IF(AD36=0,"",IFERROR(AD36/AD$19,""))</f>
        <v/>
      </c>
      <c r="AF36" s="47">
        <f t="shared" si="1"/>
        <v>0</v>
      </c>
      <c r="AG36" s="19"/>
      <c r="AH36" s="15" t="str">
        <f t="shared" ref="AH36:AH75" si="3">IF(AG36=0,"",IFERROR(AG36/AG$19,""))</f>
        <v/>
      </c>
      <c r="AI36" s="47">
        <f t="shared" si="2"/>
        <v>0</v>
      </c>
    </row>
    <row r="37" spans="1:35" x14ac:dyDescent="0.2">
      <c r="A37" s="6" t="s">
        <v>25</v>
      </c>
      <c r="B37" s="7"/>
      <c r="H37" s="10" t="s">
        <v>295</v>
      </c>
      <c r="I37" s="25" t="e">
        <f ca="1">_xll.EVPRO($B$1,$H37,"STYLE")</f>
        <v>#NAME?</v>
      </c>
      <c r="J37" s="25" t="e">
        <f ca="1">_xll.EVPRO($B$1,$H37,"CALC")</f>
        <v>#NAME?</v>
      </c>
      <c r="K37" s="24"/>
      <c r="L37" s="24" t="e">
        <f ca="1">_xll.EVPRO($B$1,H37,"JDEID")</f>
        <v>#NAME?</v>
      </c>
      <c r="M37" s="24" t="e">
        <f ca="1">IF(AND(I37="N",J37="N"),_xll.EVPRO($B$1,H37,"PSFTID"),"")</f>
        <v>#NAME?</v>
      </c>
      <c r="N37" s="24" t="e">
        <f ca="1">IF(_xll.EVDES(H37,$B$1)="#NODATA","",_xll.EVDES(H37,$B$1))</f>
        <v>#NAME?</v>
      </c>
      <c r="O37" s="19"/>
      <c r="P37" s="19"/>
      <c r="Q37" s="19"/>
      <c r="R37" s="19"/>
      <c r="S37" s="19"/>
      <c r="T37" s="19"/>
      <c r="U37" s="19"/>
      <c r="V37" s="19"/>
      <c r="W37" s="19"/>
      <c r="X37" s="19"/>
      <c r="Y37" s="19"/>
      <c r="Z37" s="19"/>
      <c r="AA37" s="19">
        <f t="shared" si="0"/>
        <v>0</v>
      </c>
      <c r="AB37" s="15" t="str">
        <f>IF(AA37=0,"",IFERROR(AA37/AA$19,""))</f>
        <v/>
      </c>
      <c r="AD37" s="19"/>
      <c r="AE37" s="15" t="str">
        <f>IF(AD37=0,"",IFERROR(AD37/AD$19,""))</f>
        <v/>
      </c>
      <c r="AF37" s="47">
        <f t="shared" si="1"/>
        <v>0</v>
      </c>
      <c r="AG37" s="19"/>
      <c r="AH37" s="15" t="str">
        <f t="shared" si="3"/>
        <v/>
      </c>
      <c r="AI37" s="47">
        <f t="shared" si="2"/>
        <v>0</v>
      </c>
    </row>
    <row r="38" spans="1:35" x14ac:dyDescent="0.2">
      <c r="A38" s="6" t="s">
        <v>26</v>
      </c>
      <c r="B38" s="7"/>
      <c r="H38" s="10" t="s">
        <v>296</v>
      </c>
      <c r="I38" s="25" t="e">
        <f ca="1">_xll.EVPRO($B$1,$H38,"STYLE")</f>
        <v>#NAME?</v>
      </c>
      <c r="J38" s="25" t="e">
        <f ca="1">_xll.EVPRO($B$1,$H38,"CALC")</f>
        <v>#NAME?</v>
      </c>
      <c r="K38" s="24"/>
      <c r="L38" s="24" t="e">
        <f ca="1">_xll.EVPRO($B$1,H38,"JDEID")</f>
        <v>#NAME?</v>
      </c>
      <c r="M38" s="24" t="e">
        <f ca="1">IF(AND(I38="N",J38="N"),_xll.EVPRO($B$1,H38,"PSFTID"),"")</f>
        <v>#NAME?</v>
      </c>
      <c r="N38" s="24" t="e">
        <f ca="1">IF(_xll.EVDES(H38,$B$1)="#NODATA","",_xll.EVDES(H38,$B$1))</f>
        <v>#NAME?</v>
      </c>
      <c r="O38" s="28"/>
      <c r="P38" s="28"/>
      <c r="Q38" s="28"/>
      <c r="R38" s="28"/>
      <c r="S38" s="28"/>
      <c r="T38" s="28"/>
      <c r="U38" s="28"/>
      <c r="V38" s="28"/>
      <c r="W38" s="28"/>
      <c r="X38" s="28"/>
      <c r="Y38" s="28"/>
      <c r="Z38" s="28"/>
      <c r="AA38" s="28">
        <f t="shared" si="0"/>
        <v>0</v>
      </c>
      <c r="AB38" s="29" t="str">
        <f>IF(AA38=0,"",IFERROR(AA38/AA$19,""))</f>
        <v/>
      </c>
      <c r="AD38" s="28"/>
      <c r="AE38" s="29" t="str">
        <f>IF(AD38=0,"",IFERROR(AD38/AD$19,""))</f>
        <v/>
      </c>
      <c r="AF38" s="48">
        <f t="shared" si="1"/>
        <v>0</v>
      </c>
      <c r="AG38" s="28"/>
      <c r="AH38" s="29" t="str">
        <f t="shared" si="3"/>
        <v/>
      </c>
      <c r="AI38" s="48">
        <f t="shared" si="2"/>
        <v>0</v>
      </c>
    </row>
    <row r="39" spans="1:35" x14ac:dyDescent="0.2">
      <c r="A39" s="6" t="s">
        <v>27</v>
      </c>
      <c r="B39" s="7"/>
      <c r="H39" s="10" t="s">
        <v>318</v>
      </c>
      <c r="I39" s="25" t="e">
        <f ca="1">_xll.EVPRO($B$1,$H39,"STYLE")</f>
        <v>#NAME?</v>
      </c>
      <c r="J39" s="25" t="e">
        <f ca="1">_xll.EVPRO($B$1,$H39,"CALC")</f>
        <v>#NAME?</v>
      </c>
      <c r="K39" s="24"/>
      <c r="L39" s="24" t="e">
        <f ca="1">_xll.EVPRO($B$1,H39,"JDEID")</f>
        <v>#NAME?</v>
      </c>
      <c r="M39" s="24" t="e">
        <f ca="1">IF(AND(I39="N",J39="N"),_xll.EVPRO($B$1,H39,"PSFTID"),"")</f>
        <v>#NAME?</v>
      </c>
      <c r="N39" s="23" t="e">
        <f ca="1">IF(_xll.EVDES(H39,$B$1)="#NODATA","",_xll.EVDES(H39,$B$1))</f>
        <v>#NAME?</v>
      </c>
      <c r="O39" s="145"/>
      <c r="P39" s="145"/>
      <c r="Q39" s="145"/>
      <c r="R39" s="145"/>
      <c r="S39" s="145"/>
      <c r="T39" s="145"/>
      <c r="U39" s="145"/>
      <c r="V39" s="145"/>
      <c r="W39" s="145"/>
      <c r="X39" s="145"/>
      <c r="Y39" s="145"/>
      <c r="Z39" s="145"/>
      <c r="AA39" s="145">
        <f t="shared" si="0"/>
        <v>0</v>
      </c>
      <c r="AB39" s="156" t="str">
        <f>IF(AA39=0,"",IFERROR(AA39/AA$19,""))</f>
        <v/>
      </c>
      <c r="AD39" s="145"/>
      <c r="AE39" s="156" t="str">
        <f>IF(AD39=0,"",IFERROR(AD39/AD$19,""))</f>
        <v/>
      </c>
      <c r="AF39" s="146">
        <f t="shared" si="1"/>
        <v>0</v>
      </c>
      <c r="AG39" s="145">
        <v>2361</v>
      </c>
      <c r="AH39" s="156" t="str">
        <f t="shared" ca="1" si="3"/>
        <v/>
      </c>
      <c r="AI39" s="146">
        <f t="shared" si="2"/>
        <v>-2361</v>
      </c>
    </row>
    <row r="40" spans="1:35" x14ac:dyDescent="0.2">
      <c r="A40" s="6" t="s">
        <v>28</v>
      </c>
      <c r="B40" s="7"/>
      <c r="H40" s="10" t="s">
        <v>763</v>
      </c>
      <c r="I40" s="25" t="e">
        <f ca="1">_xll.EVPRO($B$1,$H40,"STYLE")</f>
        <v>#NAME?</v>
      </c>
      <c r="J40" s="25" t="e">
        <f ca="1">_xll.EVPRO($B$1,$H40,"CALC")</f>
        <v>#NAME?</v>
      </c>
      <c r="K40" s="24"/>
      <c r="L40" s="24" t="e">
        <f ca="1">_xll.EVPRO($B$1,H40,"JDEID")</f>
        <v>#NAME?</v>
      </c>
      <c r="M40" s="24" t="e">
        <f ca="1">IF(AND(I40="N",J40="N"),_xll.EVPRO($B$1,H40,"PSFTID"),"")</f>
        <v>#NAME?</v>
      </c>
      <c r="N40" s="24" t="e">
        <f ca="1">IF(_xll.EVDES(H40,$B$1)="#NODATA","",_xll.EVDES(H40,$B$1))</f>
        <v>#NAME?</v>
      </c>
      <c r="O40" s="35"/>
      <c r="P40" s="35"/>
      <c r="Q40" s="35"/>
      <c r="R40" s="35"/>
      <c r="S40" s="35"/>
      <c r="T40" s="35"/>
      <c r="U40" s="35"/>
      <c r="V40" s="35"/>
      <c r="W40" s="35"/>
      <c r="X40" s="35"/>
      <c r="Y40" s="35"/>
      <c r="Z40" s="35"/>
      <c r="AA40" s="35">
        <f t="shared" si="0"/>
        <v>0</v>
      </c>
      <c r="AB40" s="36"/>
      <c r="AD40" s="35"/>
      <c r="AE40" s="36"/>
      <c r="AF40" s="118">
        <f t="shared" si="1"/>
        <v>0</v>
      </c>
      <c r="AG40" s="35"/>
      <c r="AH40" s="36"/>
      <c r="AI40" s="118">
        <f t="shared" si="2"/>
        <v>0</v>
      </c>
    </row>
    <row r="41" spans="1:35" x14ac:dyDescent="0.2">
      <c r="A41" s="6" t="s">
        <v>29</v>
      </c>
      <c r="B41" s="7"/>
      <c r="H41" s="10" t="s">
        <v>297</v>
      </c>
      <c r="I41" s="25" t="e">
        <f ca="1">_xll.EVPRO($B$1,$H41,"STYLE")</f>
        <v>#NAME?</v>
      </c>
      <c r="J41" s="25" t="e">
        <f ca="1">_xll.EVPRO($B$1,$H41,"CALC")</f>
        <v>#NAME?</v>
      </c>
      <c r="K41" s="24"/>
      <c r="L41" s="24" t="e">
        <f ca="1">_xll.EVPRO($B$1,H41,"JDEID")</f>
        <v>#NAME?</v>
      </c>
      <c r="M41" s="24" t="e">
        <f ca="1">IF(AND(I41="N",J41="N"),_xll.EVPRO($B$1,H41,"PSFTID"),"")</f>
        <v>#NAME?</v>
      </c>
      <c r="N41" s="24" t="e">
        <f ca="1">IF(_xll.EVDES(H41,$B$1)="#NODATA","",_xll.EVDES(H41,$B$1))</f>
        <v>#NAME?</v>
      </c>
      <c r="O41" s="35"/>
      <c r="P41" s="35"/>
      <c r="Q41" s="35"/>
      <c r="R41" s="35"/>
      <c r="S41" s="35"/>
      <c r="T41" s="35"/>
      <c r="U41" s="35"/>
      <c r="V41" s="35"/>
      <c r="W41" s="35"/>
      <c r="X41" s="35"/>
      <c r="Y41" s="35"/>
      <c r="Z41" s="35"/>
      <c r="AA41" s="35">
        <f t="shared" si="0"/>
        <v>0</v>
      </c>
      <c r="AB41" s="36" t="str">
        <f>IF(AA41=0,"",IFERROR(AA41/AA$83,""))</f>
        <v/>
      </c>
      <c r="AD41" s="35"/>
      <c r="AE41" s="36" t="str">
        <f>IF(AD41=0,"",IFERROR(AD41/AD$83,""))</f>
        <v/>
      </c>
      <c r="AF41" s="118">
        <f t="shared" si="1"/>
        <v>0</v>
      </c>
      <c r="AG41" s="35">
        <v>31</v>
      </c>
      <c r="AH41" s="36">
        <f>IF(AG41=0,"",IFERROR(AG41/AG$83,""))</f>
        <v>9.1445427728613568E-2</v>
      </c>
      <c r="AI41" s="118">
        <f t="shared" si="2"/>
        <v>-31</v>
      </c>
    </row>
    <row r="42" spans="1:35" x14ac:dyDescent="0.2">
      <c r="A42" s="6" t="s">
        <v>30</v>
      </c>
      <c r="B42" s="7" t="s">
        <v>78</v>
      </c>
      <c r="H42" s="10" t="s">
        <v>313</v>
      </c>
      <c r="I42" s="25" t="e">
        <f ca="1">_xll.EVPRO($B$1,$H42,"STYLE")</f>
        <v>#NAME?</v>
      </c>
      <c r="J42" s="25" t="e">
        <f ca="1">_xll.EVPRO($B$1,$H42,"CALC")</f>
        <v>#NAME?</v>
      </c>
      <c r="K42" s="24"/>
      <c r="L42" s="24" t="e">
        <f ca="1">_xll.EVPRO($B$1,H42,"JDEID")</f>
        <v>#NAME?</v>
      </c>
      <c r="M42" s="24" t="e">
        <f ca="1">IF(AND(I42="N",J42="N"),_xll.EVPRO($B$1,H42,"PSFTID"),"")</f>
        <v>#NAME?</v>
      </c>
      <c r="N42" s="151" t="e">
        <f ca="1">IF(_xll.EVDES(H42,$B$1)="#NODATA","",_xll.EVDES(H42,$B$1))</f>
        <v>#NAME?</v>
      </c>
      <c r="O42" s="157"/>
      <c r="P42" s="157"/>
      <c r="Q42" s="157"/>
      <c r="R42" s="157"/>
      <c r="S42" s="157"/>
      <c r="T42" s="157"/>
      <c r="U42" s="157"/>
      <c r="V42" s="157"/>
      <c r="W42" s="157"/>
      <c r="X42" s="157"/>
      <c r="Y42" s="157"/>
      <c r="Z42" s="157"/>
      <c r="AA42" s="157" t="str">
        <f>IFERROR(AA39/AA41,"")</f>
        <v/>
      </c>
      <c r="AB42" s="157"/>
      <c r="AD42" s="157"/>
      <c r="AE42" s="157"/>
      <c r="AF42" s="158" t="str">
        <f t="shared" si="1"/>
        <v/>
      </c>
      <c r="AG42" s="157">
        <v>76.161290322580598</v>
      </c>
      <c r="AH42" s="157"/>
      <c r="AI42" s="158" t="e">
        <f t="shared" si="2"/>
        <v>#VALUE!</v>
      </c>
    </row>
    <row r="43" spans="1:35" x14ac:dyDescent="0.2">
      <c r="A43" s="6" t="s">
        <v>31</v>
      </c>
      <c r="B43" s="7" t="s">
        <v>78</v>
      </c>
      <c r="H43" s="10"/>
      <c r="I43" s="25"/>
      <c r="J43" s="25"/>
      <c r="K43" s="24"/>
      <c r="L43" s="24"/>
      <c r="M43" s="24"/>
      <c r="N43" s="163" t="s">
        <v>345</v>
      </c>
      <c r="O43" s="160">
        <f t="shared" ref="O43:AA43" si="4">ROUND(IFERROR(O39/O41,0),2)</f>
        <v>0</v>
      </c>
      <c r="P43" s="165">
        <f t="shared" si="4"/>
        <v>0</v>
      </c>
      <c r="Q43" s="165">
        <f t="shared" si="4"/>
        <v>0</v>
      </c>
      <c r="R43" s="165">
        <f t="shared" si="4"/>
        <v>0</v>
      </c>
      <c r="S43" s="165">
        <f t="shared" si="4"/>
        <v>0</v>
      </c>
      <c r="T43" s="165">
        <f t="shared" si="4"/>
        <v>0</v>
      </c>
      <c r="U43" s="165">
        <f t="shared" si="4"/>
        <v>0</v>
      </c>
      <c r="V43" s="165">
        <f t="shared" si="4"/>
        <v>0</v>
      </c>
      <c r="W43" s="165">
        <f t="shared" si="4"/>
        <v>0</v>
      </c>
      <c r="X43" s="165">
        <f t="shared" si="4"/>
        <v>0</v>
      </c>
      <c r="Y43" s="165">
        <f t="shared" si="4"/>
        <v>0</v>
      </c>
      <c r="Z43" s="165">
        <f t="shared" si="4"/>
        <v>0</v>
      </c>
      <c r="AA43" s="165">
        <f t="shared" si="4"/>
        <v>0</v>
      </c>
      <c r="AB43" s="164"/>
      <c r="AD43" s="160">
        <f>ROUND(IFERROR(AD39/AD41,0),2)</f>
        <v>0</v>
      </c>
      <c r="AE43" s="165"/>
      <c r="AF43" s="161"/>
      <c r="AG43" s="160">
        <f>ROUND(IFERROR(AG39/AG41,0),2)</f>
        <v>76.16</v>
      </c>
      <c r="AH43" s="165"/>
      <c r="AI43" s="161"/>
    </row>
    <row r="44" spans="1:35" x14ac:dyDescent="0.2">
      <c r="A44" s="6" t="s">
        <v>32</v>
      </c>
      <c r="B44" s="7"/>
      <c r="G44" s="162">
        <f>COUNTIF(O44:AI44,FALSE)</f>
        <v>0</v>
      </c>
      <c r="H44" s="10"/>
      <c r="I44" s="25"/>
      <c r="J44" s="25"/>
      <c r="K44" s="24"/>
      <c r="L44" s="24"/>
      <c r="M44" s="24"/>
      <c r="N44" s="8" t="s">
        <v>314</v>
      </c>
      <c r="O44" s="292" t="b">
        <f t="shared" ref="O44:AA44" si="5">ROUND(O42,2)=ROUND(O43,2)</f>
        <v>1</v>
      </c>
      <c r="P44" s="293" t="b">
        <f t="shared" si="5"/>
        <v>1</v>
      </c>
      <c r="Q44" s="293" t="b">
        <f t="shared" si="5"/>
        <v>1</v>
      </c>
      <c r="R44" s="293" t="b">
        <f t="shared" si="5"/>
        <v>1</v>
      </c>
      <c r="S44" s="293" t="b">
        <f t="shared" si="5"/>
        <v>1</v>
      </c>
      <c r="T44" s="293" t="b">
        <f t="shared" si="5"/>
        <v>1</v>
      </c>
      <c r="U44" s="293" t="b">
        <f t="shared" si="5"/>
        <v>1</v>
      </c>
      <c r="V44" s="293" t="b">
        <f t="shared" si="5"/>
        <v>1</v>
      </c>
      <c r="W44" s="293" t="b">
        <f t="shared" si="5"/>
        <v>1</v>
      </c>
      <c r="X44" s="293" t="b">
        <f t="shared" si="5"/>
        <v>1</v>
      </c>
      <c r="Y44" s="293" t="b">
        <f t="shared" si="5"/>
        <v>1</v>
      </c>
      <c r="Z44" s="293" t="b">
        <f t="shared" si="5"/>
        <v>1</v>
      </c>
      <c r="AA44" s="293" t="e">
        <f t="shared" si="5"/>
        <v>#VALUE!</v>
      </c>
      <c r="AB44" s="294"/>
      <c r="AC44" s="206"/>
      <c r="AD44" s="292"/>
      <c r="AE44" s="293" t="b">
        <f>ROUND(AD42,2)=ROUND(AD43,2)</f>
        <v>1</v>
      </c>
      <c r="AF44" s="294"/>
      <c r="AG44" s="292"/>
      <c r="AH44" s="293" t="b">
        <f>ROUND(AG42,2)=ROUND(AG43,2)</f>
        <v>1</v>
      </c>
      <c r="AI44" s="294"/>
    </row>
    <row r="45" spans="1:35" x14ac:dyDescent="0.2">
      <c r="A45" s="6" t="s">
        <v>33</v>
      </c>
      <c r="B45" s="7"/>
      <c r="H45" s="10" t="s">
        <v>261</v>
      </c>
      <c r="I45" s="25" t="e">
        <f ca="1">_xll.EVPRO($B$1,$H45,"STYLE")</f>
        <v>#NAME?</v>
      </c>
      <c r="J45" s="25" t="e">
        <f ca="1">_xll.EVPRO($B$1,$H45,"CALC")</f>
        <v>#NAME?</v>
      </c>
      <c r="K45" s="24"/>
      <c r="L45" s="24" t="e">
        <f ca="1">_xll.EVPRO($B$1,H45,"JDEID")</f>
        <v>#NAME?</v>
      </c>
      <c r="M45" s="24" t="e">
        <f ca="1">IF(AND(I45="N",J45="N"),_xll.EVPRO($B$1,H45,"PSFTID"),"")</f>
        <v>#NAME?</v>
      </c>
      <c r="N45" s="24" t="e">
        <f ca="1">IF(_xll.EVDES(H45,$B$1)="#NODATA","",_xll.EVDES(H45,$B$1))</f>
        <v>#NAME?</v>
      </c>
      <c r="O45" s="19"/>
      <c r="P45" s="19"/>
      <c r="Q45" s="19"/>
      <c r="R45" s="19"/>
      <c r="S45" s="19"/>
      <c r="T45" s="19"/>
      <c r="U45" s="19"/>
      <c r="V45" s="19"/>
      <c r="W45" s="19"/>
      <c r="X45" s="19"/>
      <c r="Y45" s="19"/>
      <c r="Z45" s="19"/>
      <c r="AA45" s="19">
        <f t="shared" ref="AA45:AA51" si="6">SUM(O45:Z45)</f>
        <v>0</v>
      </c>
      <c r="AB45" s="15" t="str">
        <f>IF(AA45=0,"",IFERROR(AA45/AA$19,""))</f>
        <v/>
      </c>
      <c r="AD45" s="19"/>
      <c r="AE45" s="15" t="str">
        <f>IF(AD45=0,"",IFERROR(AD45/AD$19,""))</f>
        <v/>
      </c>
      <c r="AF45" s="47">
        <f t="shared" ref="AF45:AF52" si="7">IF(AND($AA45="",AD45=""),"",$AA45-AD45)</f>
        <v>0</v>
      </c>
      <c r="AG45" s="19"/>
      <c r="AH45" s="15" t="str">
        <f t="shared" si="3"/>
        <v/>
      </c>
      <c r="AI45" s="47">
        <f t="shared" ref="AI45:AI52" si="8">IF(AND($AA45="",AG45=""),"",$AA45-AG45)</f>
        <v>0</v>
      </c>
    </row>
    <row r="46" spans="1:35" x14ac:dyDescent="0.2">
      <c r="A46" s="6" t="s">
        <v>34</v>
      </c>
      <c r="B46" s="7"/>
      <c r="H46" s="133" t="s">
        <v>301</v>
      </c>
      <c r="I46" s="25" t="e">
        <f ca="1">_xll.EVPRO($B$1,$H46,"STYLE")</f>
        <v>#NAME?</v>
      </c>
      <c r="J46" s="25" t="e">
        <f ca="1">_xll.EVPRO($B$1,$H46,"CALC")</f>
        <v>#NAME?</v>
      </c>
      <c r="K46" s="24"/>
      <c r="L46" s="24" t="e">
        <f ca="1">_xll.EVPRO($B$1,H46,"JDEID")</f>
        <v>#NAME?</v>
      </c>
      <c r="M46" s="24" t="e">
        <f ca="1">IF(AND(I46="N",J46="N"),_xll.EVPRO($B$1,H46,"PSFTID"),"")</f>
        <v>#NAME?</v>
      </c>
      <c r="N46" s="24" t="e">
        <f ca="1">IF(_xll.EVDES(H46,$B$1)="#NODATA","",_xll.EVDES(H46,$B$1))</f>
        <v>#NAME?</v>
      </c>
      <c r="O46" s="19"/>
      <c r="P46" s="19"/>
      <c r="Q46" s="19"/>
      <c r="R46" s="19"/>
      <c r="S46" s="19"/>
      <c r="T46" s="19"/>
      <c r="U46" s="19"/>
      <c r="V46" s="19"/>
      <c r="W46" s="19"/>
      <c r="X46" s="19"/>
      <c r="Y46" s="19"/>
      <c r="Z46" s="19"/>
      <c r="AA46" s="19">
        <f t="shared" si="6"/>
        <v>0</v>
      </c>
      <c r="AB46" s="15" t="str">
        <f>IF(AA46=0,"",IFERROR(AA46/AA$19,""))</f>
        <v/>
      </c>
      <c r="AD46" s="19"/>
      <c r="AE46" s="15" t="str">
        <f>IF(AD46=0,"",IFERROR(AD46/AD$19,""))</f>
        <v/>
      </c>
      <c r="AF46" s="47">
        <f t="shared" si="7"/>
        <v>0</v>
      </c>
      <c r="AG46" s="19"/>
      <c r="AH46" s="15" t="str">
        <f t="shared" si="3"/>
        <v/>
      </c>
      <c r="AI46" s="47">
        <f t="shared" si="8"/>
        <v>0</v>
      </c>
    </row>
    <row r="47" spans="1:35" x14ac:dyDescent="0.2">
      <c r="A47" s="6" t="s">
        <v>35</v>
      </c>
      <c r="B47" s="7"/>
      <c r="H47" s="133" t="s">
        <v>305</v>
      </c>
      <c r="I47" s="25" t="e">
        <f ca="1">_xll.EVPRO($B$1,$H47,"STYLE")</f>
        <v>#NAME?</v>
      </c>
      <c r="J47" s="25" t="e">
        <f ca="1">_xll.EVPRO($B$1,$H47,"CALC")</f>
        <v>#NAME?</v>
      </c>
      <c r="K47" s="24"/>
      <c r="L47" s="24" t="e">
        <f ca="1">_xll.EVPRO($B$1,H47,"JDEID")</f>
        <v>#NAME?</v>
      </c>
      <c r="M47" s="24" t="e">
        <f ca="1">IF(AND(I47="N",J47="N"),_xll.EVPRO($B$1,H47,"PSFTID"),"")</f>
        <v>#NAME?</v>
      </c>
      <c r="N47" s="24" t="e">
        <f ca="1">IF(_xll.EVDES(H47,$B$1)="#NODATA","",_xll.EVDES(H47,$B$1))</f>
        <v>#NAME?</v>
      </c>
      <c r="O47" s="19"/>
      <c r="P47" s="19"/>
      <c r="Q47" s="19"/>
      <c r="R47" s="19"/>
      <c r="S47" s="19"/>
      <c r="T47" s="19"/>
      <c r="U47" s="19"/>
      <c r="V47" s="19"/>
      <c r="W47" s="19"/>
      <c r="X47" s="19"/>
      <c r="Y47" s="19"/>
      <c r="Z47" s="19"/>
      <c r="AA47" s="19">
        <f t="shared" si="6"/>
        <v>0</v>
      </c>
      <c r="AB47" s="15" t="str">
        <f>IF(AA47=0,"",IFERROR(AA47/AA$19,""))</f>
        <v/>
      </c>
      <c r="AD47" s="19"/>
      <c r="AE47" s="15" t="str">
        <f>IF(AD47=0,"",IFERROR(AD47/AD$19,""))</f>
        <v/>
      </c>
      <c r="AF47" s="47">
        <f t="shared" si="7"/>
        <v>0</v>
      </c>
      <c r="AG47" s="19"/>
      <c r="AH47" s="15" t="str">
        <f t="shared" si="3"/>
        <v/>
      </c>
      <c r="AI47" s="47">
        <f t="shared" si="8"/>
        <v>0</v>
      </c>
    </row>
    <row r="48" spans="1:35" x14ac:dyDescent="0.2">
      <c r="A48" s="6" t="s">
        <v>36</v>
      </c>
      <c r="B48" s="7"/>
      <c r="H48" s="133" t="s">
        <v>303</v>
      </c>
      <c r="I48" s="25" t="e">
        <f ca="1">_xll.EVPRO($B$1,$H48,"STYLE")</f>
        <v>#NAME?</v>
      </c>
      <c r="J48" s="25" t="e">
        <f ca="1">_xll.EVPRO($B$1,$H48,"CALC")</f>
        <v>#NAME?</v>
      </c>
      <c r="K48" s="24"/>
      <c r="L48" s="24" t="e">
        <f ca="1">_xll.EVPRO($B$1,H48,"JDEID")</f>
        <v>#NAME?</v>
      </c>
      <c r="M48" s="24" t="e">
        <f ca="1">IF(AND(I48="N",J48="N"),_xll.EVPRO($B$1,H48,"PSFTID"),"")</f>
        <v>#NAME?</v>
      </c>
      <c r="N48" s="24" t="e">
        <f ca="1">IF(_xll.EVDES(H48,$B$1)="#NODATA","",_xll.EVDES(H48,$B$1))</f>
        <v>#NAME?</v>
      </c>
      <c r="O48" s="28"/>
      <c r="P48" s="28"/>
      <c r="Q48" s="28"/>
      <c r="R48" s="28"/>
      <c r="S48" s="28"/>
      <c r="T48" s="28"/>
      <c r="U48" s="28"/>
      <c r="V48" s="28"/>
      <c r="W48" s="28"/>
      <c r="X48" s="28"/>
      <c r="Y48" s="28"/>
      <c r="Z48" s="28"/>
      <c r="AA48" s="28">
        <f t="shared" si="6"/>
        <v>0</v>
      </c>
      <c r="AB48" s="29" t="str">
        <f>IF(AA48=0,"",IFERROR(AA48/AA$19,""))</f>
        <v/>
      </c>
      <c r="AD48" s="28"/>
      <c r="AE48" s="29" t="str">
        <f>IF(AD48=0,"",IFERROR(AD48/AD$19,""))</f>
        <v/>
      </c>
      <c r="AF48" s="48">
        <f t="shared" si="7"/>
        <v>0</v>
      </c>
      <c r="AG48" s="28"/>
      <c r="AH48" s="29" t="str">
        <f t="shared" si="3"/>
        <v/>
      </c>
      <c r="AI48" s="48">
        <f t="shared" si="8"/>
        <v>0</v>
      </c>
    </row>
    <row r="49" spans="1:35" x14ac:dyDescent="0.2">
      <c r="A49" s="6" t="s">
        <v>37</v>
      </c>
      <c r="B49" s="7"/>
      <c r="H49" s="10" t="s">
        <v>319</v>
      </c>
      <c r="I49" s="25" t="e">
        <f ca="1">_xll.EVPRO($B$1,$H49,"STYLE")</f>
        <v>#NAME?</v>
      </c>
      <c r="J49" s="25" t="e">
        <f ca="1">_xll.EVPRO($B$1,$H49,"CALC")</f>
        <v>#NAME?</v>
      </c>
      <c r="K49" s="24"/>
      <c r="L49" s="24" t="e">
        <f ca="1">_xll.EVPRO($B$1,H49,"JDEID")</f>
        <v>#NAME?</v>
      </c>
      <c r="M49" s="24" t="e">
        <f ca="1">IF(AND(I49="N",J49="N"),_xll.EVPRO($B$1,H49,"PSFTID"),"")</f>
        <v>#NAME?</v>
      </c>
      <c r="N49" s="23" t="e">
        <f ca="1">IF(_xll.EVDES(H49,$B$1)="#NODATA","",_xll.EVDES(H49,$B$1))</f>
        <v>#NAME?</v>
      </c>
      <c r="O49" s="145"/>
      <c r="P49" s="145"/>
      <c r="Q49" s="145"/>
      <c r="R49" s="145"/>
      <c r="S49" s="145"/>
      <c r="T49" s="145"/>
      <c r="U49" s="145"/>
      <c r="V49" s="145"/>
      <c r="W49" s="145"/>
      <c r="X49" s="145"/>
      <c r="Y49" s="145"/>
      <c r="Z49" s="145"/>
      <c r="AA49" s="145">
        <f t="shared" si="6"/>
        <v>0</v>
      </c>
      <c r="AB49" s="156" t="str">
        <f>IF(AA49=0,"",IFERROR(AA49/AA$19,""))</f>
        <v/>
      </c>
      <c r="AD49" s="145"/>
      <c r="AE49" s="156" t="str">
        <f>IF(AD49=0,"",IFERROR(AD49/AD$19,""))</f>
        <v/>
      </c>
      <c r="AF49" s="146">
        <f t="shared" si="7"/>
        <v>0</v>
      </c>
      <c r="AG49" s="145"/>
      <c r="AH49" s="156" t="str">
        <f t="shared" si="3"/>
        <v/>
      </c>
      <c r="AI49" s="146">
        <f t="shared" si="8"/>
        <v>0</v>
      </c>
    </row>
    <row r="50" spans="1:35" x14ac:dyDescent="0.2">
      <c r="A50" s="6" t="s">
        <v>38</v>
      </c>
      <c r="B50" s="7"/>
      <c r="H50" s="10" t="s">
        <v>764</v>
      </c>
      <c r="I50" s="25" t="e">
        <f ca="1">_xll.EVPRO($B$1,$H50,"STYLE")</f>
        <v>#NAME?</v>
      </c>
      <c r="J50" s="25" t="e">
        <f ca="1">_xll.EVPRO($B$1,$H50,"CALC")</f>
        <v>#NAME?</v>
      </c>
      <c r="K50" s="24"/>
      <c r="L50" s="24" t="e">
        <f ca="1">_xll.EVPRO($B$1,H50,"JDEID")</f>
        <v>#NAME?</v>
      </c>
      <c r="M50" s="24" t="e">
        <f ca="1">IF(AND(I50="N",J50="N"),_xll.EVPRO($B$1,H50,"PSFTID"),"")</f>
        <v>#NAME?</v>
      </c>
      <c r="N50" s="24" t="e">
        <f ca="1">IF(_xll.EVDES(H50,$B$1)="#NODATA","",_xll.EVDES(H50,$B$1))</f>
        <v>#NAME?</v>
      </c>
      <c r="O50" s="35"/>
      <c r="P50" s="35"/>
      <c r="Q50" s="35"/>
      <c r="R50" s="35"/>
      <c r="S50" s="35"/>
      <c r="T50" s="35"/>
      <c r="U50" s="35"/>
      <c r="V50" s="35"/>
      <c r="W50" s="35"/>
      <c r="X50" s="35"/>
      <c r="Y50" s="35"/>
      <c r="Z50" s="35"/>
      <c r="AA50" s="35">
        <f t="shared" si="6"/>
        <v>0</v>
      </c>
      <c r="AB50" s="36"/>
      <c r="AD50" s="35"/>
      <c r="AE50" s="36"/>
      <c r="AF50" s="118">
        <f t="shared" si="7"/>
        <v>0</v>
      </c>
      <c r="AG50" s="35"/>
      <c r="AH50" s="36"/>
      <c r="AI50" s="118">
        <f t="shared" si="8"/>
        <v>0</v>
      </c>
    </row>
    <row r="51" spans="1:35" x14ac:dyDescent="0.2">
      <c r="A51" s="6" t="s">
        <v>39</v>
      </c>
      <c r="B51" s="7"/>
      <c r="H51" s="10" t="s">
        <v>298</v>
      </c>
      <c r="I51" s="25" t="e">
        <f ca="1">_xll.EVPRO($B$1,$H51,"STYLE")</f>
        <v>#NAME?</v>
      </c>
      <c r="J51" s="25" t="e">
        <f ca="1">_xll.EVPRO($B$1,$H51,"CALC")</f>
        <v>#NAME?</v>
      </c>
      <c r="K51" s="24"/>
      <c r="L51" s="24" t="e">
        <f ca="1">_xll.EVPRO($B$1,H51,"JDEID")</f>
        <v>#NAME?</v>
      </c>
      <c r="M51" s="24" t="e">
        <f ca="1">IF(AND(I51="N",J51="N"),_xll.EVPRO($B$1,H51,"PSFTID"),"")</f>
        <v>#NAME?</v>
      </c>
      <c r="N51" s="24" t="e">
        <f ca="1">IF(_xll.EVDES(H51,$B$1)="#NODATA","",_xll.EVDES(H51,$B$1))</f>
        <v>#NAME?</v>
      </c>
      <c r="O51" s="35"/>
      <c r="P51" s="35"/>
      <c r="Q51" s="35"/>
      <c r="R51" s="35"/>
      <c r="S51" s="35"/>
      <c r="T51" s="35"/>
      <c r="U51" s="35"/>
      <c r="V51" s="35"/>
      <c r="W51" s="35"/>
      <c r="X51" s="35"/>
      <c r="Y51" s="35"/>
      <c r="Z51" s="35"/>
      <c r="AA51" s="35">
        <f t="shared" si="6"/>
        <v>0</v>
      </c>
      <c r="AB51" s="36" t="str">
        <f>IF(AA51=0,"",IFERROR(AA51/AA$83,""))</f>
        <v/>
      </c>
      <c r="AD51" s="35"/>
      <c r="AE51" s="36" t="str">
        <f>IF(AD51=0,"",IFERROR(AD51/AD$83,""))</f>
        <v/>
      </c>
      <c r="AF51" s="118">
        <f t="shared" si="7"/>
        <v>0</v>
      </c>
      <c r="AG51" s="35"/>
      <c r="AH51" s="36" t="str">
        <f>IF(AG51=0,"",IFERROR(AG51/AG$83,""))</f>
        <v/>
      </c>
      <c r="AI51" s="118">
        <f t="shared" si="8"/>
        <v>0</v>
      </c>
    </row>
    <row r="52" spans="1:35" x14ac:dyDescent="0.2">
      <c r="A52" s="6" t="s">
        <v>40</v>
      </c>
      <c r="B52" s="7"/>
      <c r="H52" s="10" t="s">
        <v>315</v>
      </c>
      <c r="I52" s="25" t="e">
        <f ca="1">_xll.EVPRO($B$1,$H52,"STYLE")</f>
        <v>#NAME?</v>
      </c>
      <c r="J52" s="25" t="e">
        <f ca="1">_xll.EVPRO($B$1,$H52,"CALC")</f>
        <v>#NAME?</v>
      </c>
      <c r="K52" s="24"/>
      <c r="L52" s="24" t="e">
        <f ca="1">_xll.EVPRO($B$1,H52,"JDEID")</f>
        <v>#NAME?</v>
      </c>
      <c r="M52" s="24" t="e">
        <f ca="1">IF(AND(I52="N",J52="N"),_xll.EVPRO($B$1,H52,"PSFTID"),"")</f>
        <v>#NAME?</v>
      </c>
      <c r="N52" s="151" t="e">
        <f ca="1">IF(_xll.EVDES(H52,$B$1)="#NODATA","",_xll.EVDES(H52,$B$1))</f>
        <v>#NAME?</v>
      </c>
      <c r="O52" s="157"/>
      <c r="P52" s="157"/>
      <c r="Q52" s="157"/>
      <c r="R52" s="157"/>
      <c r="S52" s="157"/>
      <c r="T52" s="157"/>
      <c r="U52" s="157"/>
      <c r="V52" s="157"/>
      <c r="W52" s="157"/>
      <c r="X52" s="157"/>
      <c r="Y52" s="157"/>
      <c r="Z52" s="157"/>
      <c r="AA52" s="157" t="str">
        <f>IFERROR(AA49/AA51,"")</f>
        <v/>
      </c>
      <c r="AB52" s="157"/>
      <c r="AD52" s="157"/>
      <c r="AE52" s="157"/>
      <c r="AF52" s="158" t="str">
        <f t="shared" si="7"/>
        <v/>
      </c>
      <c r="AG52" s="157"/>
      <c r="AH52" s="157"/>
      <c r="AI52" s="158" t="str">
        <f t="shared" si="8"/>
        <v/>
      </c>
    </row>
    <row r="53" spans="1:35" x14ac:dyDescent="0.2">
      <c r="A53" s="6" t="s">
        <v>41</v>
      </c>
      <c r="B53" s="7"/>
      <c r="H53" s="10"/>
      <c r="I53" s="25"/>
      <c r="J53" s="25"/>
      <c r="K53" s="24"/>
      <c r="L53" s="24"/>
      <c r="M53" s="24"/>
      <c r="N53" s="163" t="s">
        <v>345</v>
      </c>
      <c r="O53" s="160">
        <f t="shared" ref="O53:AA53" si="9">ROUND(IFERROR(O49/O51,0),2)</f>
        <v>0</v>
      </c>
      <c r="P53" s="165">
        <f t="shared" si="9"/>
        <v>0</v>
      </c>
      <c r="Q53" s="165">
        <f t="shared" si="9"/>
        <v>0</v>
      </c>
      <c r="R53" s="165">
        <f t="shared" si="9"/>
        <v>0</v>
      </c>
      <c r="S53" s="165">
        <f t="shared" si="9"/>
        <v>0</v>
      </c>
      <c r="T53" s="165">
        <f t="shared" si="9"/>
        <v>0</v>
      </c>
      <c r="U53" s="165">
        <f t="shared" si="9"/>
        <v>0</v>
      </c>
      <c r="V53" s="165">
        <f t="shared" si="9"/>
        <v>0</v>
      </c>
      <c r="W53" s="165">
        <f t="shared" si="9"/>
        <v>0</v>
      </c>
      <c r="X53" s="165">
        <f t="shared" si="9"/>
        <v>0</v>
      </c>
      <c r="Y53" s="165">
        <f t="shared" si="9"/>
        <v>0</v>
      </c>
      <c r="Z53" s="165">
        <f t="shared" si="9"/>
        <v>0</v>
      </c>
      <c r="AA53" s="165">
        <f t="shared" si="9"/>
        <v>0</v>
      </c>
      <c r="AB53" s="164"/>
      <c r="AD53" s="160">
        <f>ROUND(IFERROR(AD49/AD51,0),2)</f>
        <v>0</v>
      </c>
      <c r="AE53" s="165"/>
      <c r="AF53" s="161"/>
      <c r="AG53" s="160">
        <f>ROUND(IFERROR(AG49/AG51,0),2)</f>
        <v>0</v>
      </c>
      <c r="AH53" s="165"/>
      <c r="AI53" s="161"/>
    </row>
    <row r="54" spans="1:35" x14ac:dyDescent="0.2">
      <c r="A54" s="6" t="s">
        <v>42</v>
      </c>
      <c r="B54" s="7"/>
      <c r="G54" s="162">
        <f>COUNTIF(O54:AI54,FALSE)</f>
        <v>0</v>
      </c>
      <c r="H54" s="10"/>
      <c r="I54" s="25"/>
      <c r="J54" s="25"/>
      <c r="K54" s="24"/>
      <c r="L54" s="24"/>
      <c r="M54" s="24"/>
      <c r="N54" s="8" t="s">
        <v>316</v>
      </c>
      <c r="O54" s="292" t="b">
        <f t="shared" ref="O54:AA54" si="10">ROUND(O52,2)=ROUND(O53,2)</f>
        <v>1</v>
      </c>
      <c r="P54" s="293" t="b">
        <f t="shared" si="10"/>
        <v>1</v>
      </c>
      <c r="Q54" s="293" t="b">
        <f t="shared" si="10"/>
        <v>1</v>
      </c>
      <c r="R54" s="293" t="b">
        <f t="shared" si="10"/>
        <v>1</v>
      </c>
      <c r="S54" s="293" t="b">
        <f t="shared" si="10"/>
        <v>1</v>
      </c>
      <c r="T54" s="293" t="b">
        <f t="shared" si="10"/>
        <v>1</v>
      </c>
      <c r="U54" s="293" t="b">
        <f t="shared" si="10"/>
        <v>1</v>
      </c>
      <c r="V54" s="293" t="b">
        <f t="shared" si="10"/>
        <v>1</v>
      </c>
      <c r="W54" s="293" t="b">
        <f t="shared" si="10"/>
        <v>1</v>
      </c>
      <c r="X54" s="293" t="b">
        <f t="shared" si="10"/>
        <v>1</v>
      </c>
      <c r="Y54" s="293" t="b">
        <f t="shared" si="10"/>
        <v>1</v>
      </c>
      <c r="Z54" s="293" t="b">
        <f t="shared" si="10"/>
        <v>1</v>
      </c>
      <c r="AA54" s="293" t="e">
        <f t="shared" si="10"/>
        <v>#VALUE!</v>
      </c>
      <c r="AB54" s="294"/>
      <c r="AC54" s="206"/>
      <c r="AD54" s="292"/>
      <c r="AE54" s="293" t="b">
        <f>ROUND(AD52,2)=ROUND(AD53,2)</f>
        <v>1</v>
      </c>
      <c r="AF54" s="294"/>
      <c r="AG54" s="292"/>
      <c r="AH54" s="293" t="b">
        <f>ROUND(AG52,2)=ROUND(AG53,2)</f>
        <v>1</v>
      </c>
      <c r="AI54" s="294"/>
    </row>
    <row r="55" spans="1:35" x14ac:dyDescent="0.2">
      <c r="A55" s="6" t="s">
        <v>43</v>
      </c>
      <c r="B55" s="7"/>
      <c r="H55" s="10" t="s">
        <v>262</v>
      </c>
      <c r="I55" s="25" t="e">
        <f ca="1">_xll.EVPRO($B$1,$H55,"STYLE")</f>
        <v>#NAME?</v>
      </c>
      <c r="J55" s="25" t="e">
        <f ca="1">_xll.EVPRO($B$1,$H55,"CALC")</f>
        <v>#NAME?</v>
      </c>
      <c r="K55" s="24"/>
      <c r="L55" s="24" t="e">
        <f ca="1">_xll.EVPRO($B$1,H55,"JDEID")</f>
        <v>#NAME?</v>
      </c>
      <c r="M55" s="24" t="e">
        <f ca="1">IF(AND(I55="N",J55="N"),_xll.EVPRO($B$1,H55,"PSFTID"),"")</f>
        <v>#NAME?</v>
      </c>
      <c r="N55" s="24" t="e">
        <f ca="1">IF(_xll.EVDES(H55,$B$1)="#NODATA","",_xll.EVDES(H55,$B$1))</f>
        <v>#NAME?</v>
      </c>
      <c r="O55" s="19"/>
      <c r="P55" s="19"/>
      <c r="Q55" s="19"/>
      <c r="R55" s="19"/>
      <c r="S55" s="19"/>
      <c r="T55" s="19"/>
      <c r="U55" s="19"/>
      <c r="V55" s="19"/>
      <c r="W55" s="19"/>
      <c r="X55" s="19"/>
      <c r="Y55" s="19"/>
      <c r="Z55" s="19"/>
      <c r="AA55" s="19">
        <f t="shared" ref="AA55:AA61" si="11">SUM(O55:Z55)</f>
        <v>0</v>
      </c>
      <c r="AB55" s="15" t="str">
        <f>IF(AA55=0,"",IFERROR(AA55/AA$19,""))</f>
        <v/>
      </c>
      <c r="AD55" s="19"/>
      <c r="AE55" s="15" t="str">
        <f>IF(AD55=0,"",IFERROR(AD55/AD$19,""))</f>
        <v/>
      </c>
      <c r="AF55" s="47">
        <f t="shared" ref="AF55:AF62" si="12">IF(AND($AA55="",AD55=""),"",$AA55-AD55)</f>
        <v>0</v>
      </c>
      <c r="AG55" s="19">
        <v>5899.21</v>
      </c>
      <c r="AH55" s="15" t="str">
        <f t="shared" ca="1" si="3"/>
        <v/>
      </c>
      <c r="AI55" s="47">
        <f t="shared" ref="AI55:AI62" si="13">IF(AND($AA55="",AG55=""),"",$AA55-AG55)</f>
        <v>-5899.21</v>
      </c>
    </row>
    <row r="56" spans="1:35" x14ac:dyDescent="0.2">
      <c r="A56" s="6" t="s">
        <v>44</v>
      </c>
      <c r="B56" s="7"/>
      <c r="H56" s="10" t="s">
        <v>302</v>
      </c>
      <c r="I56" s="25" t="e">
        <f ca="1">_xll.EVPRO($B$1,$H56,"STYLE")</f>
        <v>#NAME?</v>
      </c>
      <c r="J56" s="25" t="e">
        <f ca="1">_xll.EVPRO($B$1,$H56,"CALC")</f>
        <v>#NAME?</v>
      </c>
      <c r="K56" s="24"/>
      <c r="L56" s="24" t="e">
        <f ca="1">_xll.EVPRO($B$1,H56,"JDEID")</f>
        <v>#NAME?</v>
      </c>
      <c r="M56" s="24" t="e">
        <f ca="1">IF(AND(I56="N",J56="N"),_xll.EVPRO($B$1,H56,"PSFTID"),"")</f>
        <v>#NAME?</v>
      </c>
      <c r="N56" s="24" t="e">
        <f ca="1">IF(_xll.EVDES(H56,$B$1)="#NODATA","",_xll.EVDES(H56,$B$1))</f>
        <v>#NAME?</v>
      </c>
      <c r="O56" s="19"/>
      <c r="P56" s="19"/>
      <c r="Q56" s="19"/>
      <c r="R56" s="19"/>
      <c r="S56" s="19"/>
      <c r="T56" s="19"/>
      <c r="U56" s="19"/>
      <c r="V56" s="19"/>
      <c r="W56" s="19"/>
      <c r="X56" s="19"/>
      <c r="Y56" s="19"/>
      <c r="Z56" s="19"/>
      <c r="AA56" s="19">
        <f t="shared" si="11"/>
        <v>0</v>
      </c>
      <c r="AB56" s="15" t="str">
        <f>IF(AA56=0,"",IFERROR(AA56/AA$19,""))</f>
        <v/>
      </c>
      <c r="AD56" s="19"/>
      <c r="AE56" s="15" t="str">
        <f>IF(AD56=0,"",IFERROR(AD56/AD$19,""))</f>
        <v/>
      </c>
      <c r="AF56" s="47">
        <f t="shared" si="12"/>
        <v>0</v>
      </c>
      <c r="AG56" s="19">
        <v>7028</v>
      </c>
      <c r="AH56" s="15" t="str">
        <f t="shared" ca="1" si="3"/>
        <v/>
      </c>
      <c r="AI56" s="47">
        <f t="shared" si="13"/>
        <v>-7028</v>
      </c>
    </row>
    <row r="57" spans="1:35" x14ac:dyDescent="0.2">
      <c r="A57" s="6" t="s">
        <v>45</v>
      </c>
      <c r="B57" s="7"/>
      <c r="H57" s="10" t="s">
        <v>306</v>
      </c>
      <c r="I57" s="25" t="e">
        <f ca="1">_xll.EVPRO($B$1,$H57,"STYLE")</f>
        <v>#NAME?</v>
      </c>
      <c r="J57" s="25" t="e">
        <f ca="1">_xll.EVPRO($B$1,$H57,"CALC")</f>
        <v>#NAME?</v>
      </c>
      <c r="K57" s="24"/>
      <c r="L57" s="24" t="e">
        <f ca="1">_xll.EVPRO($B$1,H57,"JDEID")</f>
        <v>#NAME?</v>
      </c>
      <c r="M57" s="24" t="e">
        <f ca="1">IF(AND(I57="N",J57="N"),_xll.EVPRO($B$1,H57,"PSFTID"),"")</f>
        <v>#NAME?</v>
      </c>
      <c r="N57" s="24" t="e">
        <f ca="1">IF(_xll.EVDES(H57,$B$1)="#NODATA","",_xll.EVDES(H57,$B$1))</f>
        <v>#NAME?</v>
      </c>
      <c r="O57" s="19"/>
      <c r="P57" s="19"/>
      <c r="Q57" s="19"/>
      <c r="R57" s="19"/>
      <c r="S57" s="19"/>
      <c r="T57" s="19"/>
      <c r="U57" s="19"/>
      <c r="V57" s="19"/>
      <c r="W57" s="19"/>
      <c r="X57" s="19"/>
      <c r="Y57" s="19"/>
      <c r="Z57" s="19"/>
      <c r="AA57" s="19">
        <f t="shared" si="11"/>
        <v>0</v>
      </c>
      <c r="AB57" s="15" t="str">
        <f>IF(AA57=0,"",IFERROR(AA57/AA$19,""))</f>
        <v/>
      </c>
      <c r="AD57" s="19"/>
      <c r="AE57" s="15" t="str">
        <f>IF(AD57=0,"",IFERROR(AD57/AD$19,""))</f>
        <v/>
      </c>
      <c r="AF57" s="47">
        <f t="shared" si="12"/>
        <v>0</v>
      </c>
      <c r="AG57" s="19">
        <v>510</v>
      </c>
      <c r="AH57" s="15" t="str">
        <f t="shared" ca="1" si="3"/>
        <v/>
      </c>
      <c r="AI57" s="47">
        <f t="shared" si="13"/>
        <v>-510</v>
      </c>
    </row>
    <row r="58" spans="1:35" x14ac:dyDescent="0.2">
      <c r="A58" s="6" t="s">
        <v>46</v>
      </c>
      <c r="B58" s="7"/>
      <c r="H58" s="10" t="s">
        <v>304</v>
      </c>
      <c r="I58" s="25" t="e">
        <f ca="1">_xll.EVPRO($B$1,$H58,"STYLE")</f>
        <v>#NAME?</v>
      </c>
      <c r="J58" s="25" t="e">
        <f ca="1">_xll.EVPRO($B$1,$H58,"CALC")</f>
        <v>#NAME?</v>
      </c>
      <c r="K58" s="24"/>
      <c r="L58" s="24" t="e">
        <f ca="1">_xll.EVPRO($B$1,H58,"JDEID")</f>
        <v>#NAME?</v>
      </c>
      <c r="M58" s="24" t="e">
        <f ca="1">IF(AND(I58="N",J58="N"),_xll.EVPRO($B$1,H58,"PSFTID"),"")</f>
        <v>#NAME?</v>
      </c>
      <c r="N58" s="24" t="e">
        <f ca="1">IF(_xll.EVDES(H58,$B$1)="#NODATA","",_xll.EVDES(H58,$B$1))</f>
        <v>#NAME?</v>
      </c>
      <c r="O58" s="28"/>
      <c r="P58" s="28"/>
      <c r="Q58" s="28"/>
      <c r="R58" s="28"/>
      <c r="S58" s="28"/>
      <c r="T58" s="28"/>
      <c r="U58" s="28"/>
      <c r="V58" s="28"/>
      <c r="W58" s="28"/>
      <c r="X58" s="28"/>
      <c r="Y58" s="28"/>
      <c r="Z58" s="28"/>
      <c r="AA58" s="28">
        <f t="shared" si="11"/>
        <v>0</v>
      </c>
      <c r="AB58" s="29" t="str">
        <f>IF(AA58=0,"",IFERROR(AA58/AA$19,""))</f>
        <v/>
      </c>
      <c r="AD58" s="28"/>
      <c r="AE58" s="29" t="str">
        <f>IF(AD58=0,"",IFERROR(AD58/AD$19,""))</f>
        <v/>
      </c>
      <c r="AF58" s="48">
        <f t="shared" si="12"/>
        <v>0</v>
      </c>
      <c r="AG58" s="28">
        <v>753.79</v>
      </c>
      <c r="AH58" s="29" t="str">
        <f t="shared" ca="1" si="3"/>
        <v/>
      </c>
      <c r="AI58" s="48">
        <f t="shared" si="13"/>
        <v>-753.79</v>
      </c>
    </row>
    <row r="59" spans="1:35" x14ac:dyDescent="0.2">
      <c r="H59" s="10" t="s">
        <v>320</v>
      </c>
      <c r="I59" s="25" t="e">
        <f ca="1">_xll.EVPRO($B$1,$H59,"STYLE")</f>
        <v>#NAME?</v>
      </c>
      <c r="J59" s="25" t="e">
        <f ca="1">_xll.EVPRO($B$1,$H59,"CALC")</f>
        <v>#NAME?</v>
      </c>
      <c r="K59" s="24"/>
      <c r="L59" s="24" t="e">
        <f ca="1">_xll.EVPRO($B$1,H59,"JDEID")</f>
        <v>#NAME?</v>
      </c>
      <c r="M59" s="24" t="e">
        <f ca="1">IF(AND(I59="N",J59="N"),_xll.EVPRO($B$1,H59,"PSFTID"),"")</f>
        <v>#NAME?</v>
      </c>
      <c r="N59" s="23" t="e">
        <f ca="1">IF(_xll.EVDES(H59,$B$1)="#NODATA","",_xll.EVDES(H59,$B$1))</f>
        <v>#NAME?</v>
      </c>
      <c r="O59" s="145"/>
      <c r="P59" s="145"/>
      <c r="Q59" s="145"/>
      <c r="R59" s="145"/>
      <c r="S59" s="145"/>
      <c r="T59" s="145"/>
      <c r="U59" s="145"/>
      <c r="V59" s="145"/>
      <c r="W59" s="145"/>
      <c r="X59" s="145"/>
      <c r="Y59" s="145"/>
      <c r="Z59" s="145"/>
      <c r="AA59" s="145">
        <f t="shared" si="11"/>
        <v>0</v>
      </c>
      <c r="AB59" s="156" t="str">
        <f>IF(AA59=0,"",IFERROR(AA59/AA$19,""))</f>
        <v/>
      </c>
      <c r="AD59" s="145"/>
      <c r="AE59" s="156" t="str">
        <f>IF(AD59=0,"",IFERROR(AD59/AD$19,""))</f>
        <v/>
      </c>
      <c r="AF59" s="146">
        <f t="shared" si="12"/>
        <v>0</v>
      </c>
      <c r="AG59" s="145">
        <v>14191</v>
      </c>
      <c r="AH59" s="156" t="str">
        <f t="shared" ca="1" si="3"/>
        <v/>
      </c>
      <c r="AI59" s="146">
        <f t="shared" si="13"/>
        <v>-14191</v>
      </c>
    </row>
    <row r="60" spans="1:35" x14ac:dyDescent="0.2">
      <c r="H60" s="10" t="s">
        <v>765</v>
      </c>
      <c r="I60" s="25" t="e">
        <f ca="1">_xll.EVPRO($B$1,$H60,"STYLE")</f>
        <v>#NAME?</v>
      </c>
      <c r="J60" s="25" t="e">
        <f ca="1">_xll.EVPRO($B$1,$H60,"CALC")</f>
        <v>#NAME?</v>
      </c>
      <c r="K60" s="24"/>
      <c r="L60" s="24" t="e">
        <f ca="1">_xll.EVPRO($B$1,H60,"JDEID")</f>
        <v>#NAME?</v>
      </c>
      <c r="M60" s="24" t="e">
        <f ca="1">IF(AND(I60="N",J60="N"),_xll.EVPRO($B$1,H60,"PSFTID"),"")</f>
        <v>#NAME?</v>
      </c>
      <c r="N60" s="24" t="e">
        <f ca="1">IF(_xll.EVDES(H60,$B$1)="#NODATA","",_xll.EVDES(H60,$B$1))</f>
        <v>#NAME?</v>
      </c>
      <c r="O60" s="35"/>
      <c r="P60" s="35"/>
      <c r="Q60" s="35"/>
      <c r="R60" s="35"/>
      <c r="S60" s="35"/>
      <c r="T60" s="35"/>
      <c r="U60" s="35"/>
      <c r="V60" s="35"/>
      <c r="W60" s="35"/>
      <c r="X60" s="35"/>
      <c r="Y60" s="35"/>
      <c r="Z60" s="35"/>
      <c r="AA60" s="35">
        <f t="shared" si="11"/>
        <v>0</v>
      </c>
      <c r="AB60" s="36"/>
      <c r="AD60" s="35"/>
      <c r="AE60" s="36"/>
      <c r="AF60" s="118">
        <f t="shared" si="12"/>
        <v>0</v>
      </c>
      <c r="AG60" s="35"/>
      <c r="AH60" s="36"/>
      <c r="AI60" s="118">
        <f t="shared" si="13"/>
        <v>0</v>
      </c>
    </row>
    <row r="61" spans="1:35" x14ac:dyDescent="0.2">
      <c r="H61" s="10" t="s">
        <v>299</v>
      </c>
      <c r="I61" s="25" t="e">
        <f ca="1">_xll.EVPRO($B$1,$H61,"STYLE")</f>
        <v>#NAME?</v>
      </c>
      <c r="J61" s="25" t="e">
        <f ca="1">_xll.EVPRO($B$1,$H61,"CALC")</f>
        <v>#NAME?</v>
      </c>
      <c r="K61" s="24"/>
      <c r="L61" s="24" t="e">
        <f ca="1">_xll.EVPRO($B$1,H61,"JDEID")</f>
        <v>#NAME?</v>
      </c>
      <c r="M61" s="24" t="e">
        <f ca="1">IF(AND(I61="N",J61="N"),_xll.EVPRO($B$1,H61,"PSFTID"),"")</f>
        <v>#NAME?</v>
      </c>
      <c r="N61" s="24" t="e">
        <f ca="1">IF(_xll.EVDES(H61,$B$1)="#NODATA","",_xll.EVDES(H61,$B$1))</f>
        <v>#NAME?</v>
      </c>
      <c r="O61" s="35"/>
      <c r="P61" s="35"/>
      <c r="Q61" s="35"/>
      <c r="R61" s="35"/>
      <c r="S61" s="35"/>
      <c r="T61" s="35"/>
      <c r="U61" s="35"/>
      <c r="V61" s="35"/>
      <c r="W61" s="35"/>
      <c r="X61" s="35"/>
      <c r="Y61" s="35"/>
      <c r="Z61" s="35"/>
      <c r="AA61" s="35">
        <f t="shared" si="11"/>
        <v>0</v>
      </c>
      <c r="AB61" s="36" t="str">
        <f>IF(AA61=0,"",IFERROR(AA61/AA$83,""))</f>
        <v/>
      </c>
      <c r="AD61" s="35"/>
      <c r="AE61" s="36" t="str">
        <f>IF(AD61=0,"",IFERROR(AD61/AD$83,""))</f>
        <v/>
      </c>
      <c r="AF61" s="118">
        <f t="shared" si="12"/>
        <v>0</v>
      </c>
      <c r="AG61" s="35">
        <v>266</v>
      </c>
      <c r="AH61" s="36">
        <f>IF(AG61=0,"",IFERROR(AG61/AG$83,""))</f>
        <v>0.78466076696165188</v>
      </c>
      <c r="AI61" s="118">
        <f t="shared" si="13"/>
        <v>-266</v>
      </c>
    </row>
    <row r="62" spans="1:35" x14ac:dyDescent="0.2">
      <c r="H62" s="133" t="s">
        <v>317</v>
      </c>
      <c r="I62" s="25" t="e">
        <f ca="1">_xll.EVPRO($B$1,$H62,"STYLE")</f>
        <v>#NAME?</v>
      </c>
      <c r="J62" s="25" t="e">
        <f ca="1">_xll.EVPRO($B$1,$H62,"CALC")</f>
        <v>#NAME?</v>
      </c>
      <c r="K62" s="24"/>
      <c r="L62" s="24" t="e">
        <f ca="1">_xll.EVPRO($B$1,H62,"JDEID")</f>
        <v>#NAME?</v>
      </c>
      <c r="M62" s="24" t="e">
        <f ca="1">IF(AND(I62="N",J62="N"),_xll.EVPRO($B$1,H62,"PSFTID"),"")</f>
        <v>#NAME?</v>
      </c>
      <c r="N62" s="151" t="e">
        <f ca="1">IF(_xll.EVDES(H62,$B$1)="#NODATA","",_xll.EVDES(H62,$B$1))</f>
        <v>#NAME?</v>
      </c>
      <c r="O62" s="157"/>
      <c r="P62" s="157"/>
      <c r="Q62" s="157"/>
      <c r="R62" s="157"/>
      <c r="S62" s="157"/>
      <c r="T62" s="157"/>
      <c r="U62" s="157"/>
      <c r="V62" s="157"/>
      <c r="W62" s="157"/>
      <c r="X62" s="157"/>
      <c r="Y62" s="157"/>
      <c r="Z62" s="157"/>
      <c r="AA62" s="157" t="str">
        <f>IFERROR(AA59/AA61,"")</f>
        <v/>
      </c>
      <c r="AB62" s="157"/>
      <c r="AD62" s="157"/>
      <c r="AE62" s="157"/>
      <c r="AF62" s="158" t="str">
        <f t="shared" si="12"/>
        <v/>
      </c>
      <c r="AG62" s="157">
        <v>53.349624060150397</v>
      </c>
      <c r="AH62" s="157"/>
      <c r="AI62" s="158" t="e">
        <f t="shared" si="13"/>
        <v>#VALUE!</v>
      </c>
    </row>
    <row r="63" spans="1:35" x14ac:dyDescent="0.2">
      <c r="H63" s="10"/>
      <c r="I63" s="25"/>
      <c r="J63" s="25"/>
      <c r="K63" s="24"/>
      <c r="L63" s="24"/>
      <c r="M63" s="24"/>
      <c r="N63" s="163" t="s">
        <v>345</v>
      </c>
      <c r="O63" s="160">
        <f t="shared" ref="O63:AA63" si="14">ROUND(IFERROR(O59/O61,0),2)</f>
        <v>0</v>
      </c>
      <c r="P63" s="165">
        <f t="shared" si="14"/>
        <v>0</v>
      </c>
      <c r="Q63" s="165">
        <f t="shared" si="14"/>
        <v>0</v>
      </c>
      <c r="R63" s="165">
        <f t="shared" si="14"/>
        <v>0</v>
      </c>
      <c r="S63" s="165">
        <f t="shared" si="14"/>
        <v>0</v>
      </c>
      <c r="T63" s="165">
        <f t="shared" si="14"/>
        <v>0</v>
      </c>
      <c r="U63" s="165">
        <f t="shared" si="14"/>
        <v>0</v>
      </c>
      <c r="V63" s="165">
        <f t="shared" si="14"/>
        <v>0</v>
      </c>
      <c r="W63" s="165">
        <f t="shared" si="14"/>
        <v>0</v>
      </c>
      <c r="X63" s="165">
        <f t="shared" si="14"/>
        <v>0</v>
      </c>
      <c r="Y63" s="165">
        <f t="shared" si="14"/>
        <v>0</v>
      </c>
      <c r="Z63" s="165">
        <f t="shared" si="14"/>
        <v>0</v>
      </c>
      <c r="AA63" s="165">
        <f t="shared" si="14"/>
        <v>0</v>
      </c>
      <c r="AB63" s="164"/>
      <c r="AD63" s="160">
        <f>ROUND(IFERROR(AD59/AD61,0),2)</f>
        <v>0</v>
      </c>
      <c r="AE63" s="165"/>
      <c r="AF63" s="161"/>
      <c r="AG63" s="160">
        <f>ROUND(IFERROR(AG59/AG61,0),2)</f>
        <v>53.35</v>
      </c>
      <c r="AH63" s="165"/>
      <c r="AI63" s="161"/>
    </row>
    <row r="64" spans="1:35" x14ac:dyDescent="0.2">
      <c r="G64" s="162">
        <f>COUNTIF(O64:AI64,FALSE)</f>
        <v>0</v>
      </c>
      <c r="H64" s="133"/>
      <c r="I64" s="25"/>
      <c r="J64" s="25"/>
      <c r="K64" s="24"/>
      <c r="L64" s="24"/>
      <c r="M64" s="24"/>
      <c r="N64" s="8" t="s">
        <v>807</v>
      </c>
      <c r="O64" s="292" t="b">
        <f t="shared" ref="O64:AA64" si="15">ROUND(O62,2)=ROUND(O63,2)</f>
        <v>1</v>
      </c>
      <c r="P64" s="293" t="b">
        <f t="shared" si="15"/>
        <v>1</v>
      </c>
      <c r="Q64" s="293" t="b">
        <f t="shared" si="15"/>
        <v>1</v>
      </c>
      <c r="R64" s="293" t="b">
        <f t="shared" si="15"/>
        <v>1</v>
      </c>
      <c r="S64" s="293" t="b">
        <f t="shared" si="15"/>
        <v>1</v>
      </c>
      <c r="T64" s="293" t="b">
        <f t="shared" si="15"/>
        <v>1</v>
      </c>
      <c r="U64" s="293" t="b">
        <f t="shared" si="15"/>
        <v>1</v>
      </c>
      <c r="V64" s="293" t="b">
        <f t="shared" si="15"/>
        <v>1</v>
      </c>
      <c r="W64" s="293" t="b">
        <f t="shared" si="15"/>
        <v>1</v>
      </c>
      <c r="X64" s="293" t="b">
        <f t="shared" si="15"/>
        <v>1</v>
      </c>
      <c r="Y64" s="293" t="b">
        <f t="shared" si="15"/>
        <v>1</v>
      </c>
      <c r="Z64" s="293" t="b">
        <f t="shared" si="15"/>
        <v>1</v>
      </c>
      <c r="AA64" s="293" t="e">
        <f t="shared" si="15"/>
        <v>#VALUE!</v>
      </c>
      <c r="AB64" s="294"/>
      <c r="AC64" s="206"/>
      <c r="AD64" s="292"/>
      <c r="AE64" s="293" t="b">
        <f>ROUND(AD62,2)=ROUND(AD63,2)</f>
        <v>1</v>
      </c>
      <c r="AF64" s="294"/>
      <c r="AG64" s="292"/>
      <c r="AH64" s="293" t="b">
        <f>ROUND(AG62,2)=ROUND(AG63,2)</f>
        <v>1</v>
      </c>
      <c r="AI64" s="294"/>
    </row>
    <row r="65" spans="3:35" x14ac:dyDescent="0.2">
      <c r="H65" s="133" t="s">
        <v>790</v>
      </c>
      <c r="I65" s="25" t="e">
        <f ca="1">_xll.EVPRO($B$1,$H65,"STYLE")</f>
        <v>#NAME?</v>
      </c>
      <c r="J65" s="25" t="e">
        <f ca="1">_xll.EVPRO($B$1,$H65,"CALC")</f>
        <v>#NAME?</v>
      </c>
      <c r="K65" s="24"/>
      <c r="L65" s="24" t="e">
        <f ca="1">_xll.EVPRO($B$1,H65,"JDEID")</f>
        <v>#NAME?</v>
      </c>
      <c r="M65" s="24" t="e">
        <f ca="1">IF(AND(I65="N",J65="N"),_xll.EVPRO($B$1,H65,"PSFTID"),"")</f>
        <v>#NAME?</v>
      </c>
      <c r="N65" s="24" t="e">
        <f ca="1">IF(_xll.EVDES(H65,$B$1)="#NODATA","",_xll.EVDES(H65,$B$1))</f>
        <v>#NAME?</v>
      </c>
      <c r="O65" s="19"/>
      <c r="P65" s="19"/>
      <c r="Q65" s="19"/>
      <c r="R65" s="19"/>
      <c r="S65" s="19"/>
      <c r="T65" s="19"/>
      <c r="U65" s="19"/>
      <c r="V65" s="19"/>
      <c r="W65" s="19"/>
      <c r="X65" s="19"/>
      <c r="Y65" s="19"/>
      <c r="Z65" s="19"/>
      <c r="AA65" s="19">
        <f t="shared" ref="AA65:AA70" si="16">SUM(O65:Z65)</f>
        <v>0</v>
      </c>
      <c r="AB65" s="15" t="str">
        <f>IF(AA65=0,"",IFERROR(AA65/AA$19,""))</f>
        <v/>
      </c>
      <c r="AD65" s="19"/>
      <c r="AE65" s="15" t="str">
        <f>IF(AD65=0,"",IFERROR(AD65/AD$19,""))</f>
        <v/>
      </c>
      <c r="AF65" s="47">
        <f t="shared" ref="AF65:AF71" si="17">IF(AND($AA65="",AD65=""),"",$AA65-AD65)</f>
        <v>0</v>
      </c>
      <c r="AG65" s="19">
        <v>2087</v>
      </c>
      <c r="AH65" s="15" t="str">
        <f t="shared" ca="1" si="3"/>
        <v/>
      </c>
      <c r="AI65" s="47">
        <f t="shared" ref="AI65:AI71" si="18">IF(AND($AA65="",AG65=""),"",$AA65-AG65)</f>
        <v>-2087</v>
      </c>
    </row>
    <row r="66" spans="3:35" x14ac:dyDescent="0.2">
      <c r="H66" s="133" t="s">
        <v>808</v>
      </c>
      <c r="I66" s="25" t="e">
        <f ca="1">_xll.EVPRO($B$1,$H66,"STYLE")</f>
        <v>#NAME?</v>
      </c>
      <c r="J66" s="25" t="e">
        <f ca="1">_xll.EVPRO($B$1,$H66,"CALC")</f>
        <v>#NAME?</v>
      </c>
      <c r="K66" s="24"/>
      <c r="L66" s="24" t="e">
        <f ca="1">_xll.EVPRO($B$1,H66,"JDEID")</f>
        <v>#NAME?</v>
      </c>
      <c r="M66" s="24" t="e">
        <f ca="1">IF(AND(I66="N",J66="N"),_xll.EVPRO($B$1,H66,"PSFTID"),"")</f>
        <v>#NAME?</v>
      </c>
      <c r="N66" s="24" t="e">
        <f ca="1">IF(_xll.EVDES(H66,$B$1)="#NODATA","",_xll.EVDES(H66,$B$1))</f>
        <v>#NAME?</v>
      </c>
      <c r="O66" s="19"/>
      <c r="P66" s="19"/>
      <c r="Q66" s="19"/>
      <c r="R66" s="19"/>
      <c r="S66" s="19"/>
      <c r="T66" s="19"/>
      <c r="U66" s="19"/>
      <c r="V66" s="19"/>
      <c r="W66" s="19"/>
      <c r="X66" s="19"/>
      <c r="Y66" s="19"/>
      <c r="Z66" s="19"/>
      <c r="AA66" s="19">
        <f t="shared" si="16"/>
        <v>0</v>
      </c>
      <c r="AB66" s="15" t="str">
        <f>IF(AA66=0,"",IFERROR(AA66/AA$19,""))</f>
        <v/>
      </c>
      <c r="AD66" s="19"/>
      <c r="AE66" s="15" t="str">
        <f>IF(AD66=0,"",IFERROR(AD66/AD$19,""))</f>
        <v/>
      </c>
      <c r="AF66" s="47">
        <f t="shared" si="17"/>
        <v>0</v>
      </c>
      <c r="AG66" s="19">
        <v>2240</v>
      </c>
      <c r="AH66" s="15" t="str">
        <f t="shared" ca="1" si="3"/>
        <v/>
      </c>
      <c r="AI66" s="47">
        <f t="shared" si="18"/>
        <v>-2240</v>
      </c>
    </row>
    <row r="67" spans="3:35" x14ac:dyDescent="0.2">
      <c r="H67" s="133" t="s">
        <v>809</v>
      </c>
      <c r="I67" s="25" t="e">
        <f ca="1">_xll.EVPRO($B$1,$H67,"STYLE")</f>
        <v>#NAME?</v>
      </c>
      <c r="J67" s="25" t="e">
        <f ca="1">_xll.EVPRO($B$1,$H67,"CALC")</f>
        <v>#NAME?</v>
      </c>
      <c r="K67" s="24"/>
      <c r="L67" s="24" t="e">
        <f ca="1">_xll.EVPRO($B$1,H67,"JDEID")</f>
        <v>#NAME?</v>
      </c>
      <c r="M67" s="24" t="e">
        <f ca="1">IF(AND(I67="N",J67="N"),_xll.EVPRO($B$1,H67,"PSFTID"),"")</f>
        <v>#NAME?</v>
      </c>
      <c r="N67" s="24" t="e">
        <f ca="1">IF(_xll.EVDES(H67,$B$1)="#NODATA","",_xll.EVDES(H67,$B$1))</f>
        <v>#NAME?</v>
      </c>
      <c r="O67" s="19"/>
      <c r="P67" s="19"/>
      <c r="Q67" s="19"/>
      <c r="R67" s="19"/>
      <c r="S67" s="19"/>
      <c r="T67" s="19"/>
      <c r="U67" s="19"/>
      <c r="V67" s="19"/>
      <c r="W67" s="19"/>
      <c r="X67" s="19"/>
      <c r="Y67" s="19"/>
      <c r="Z67" s="19"/>
      <c r="AA67" s="19">
        <f t="shared" si="16"/>
        <v>0</v>
      </c>
      <c r="AB67" s="15" t="str">
        <f>IF(AA67=0,"",IFERROR(AA67/AA$19,""))</f>
        <v/>
      </c>
      <c r="AD67" s="19"/>
      <c r="AE67" s="15" t="str">
        <f>IF(AD67=0,"",IFERROR(AD67/AD$19,""))</f>
        <v/>
      </c>
      <c r="AF67" s="47">
        <f t="shared" si="17"/>
        <v>0</v>
      </c>
      <c r="AG67" s="19"/>
      <c r="AH67" s="15" t="str">
        <f t="shared" si="3"/>
        <v/>
      </c>
      <c r="AI67" s="47">
        <f t="shared" si="18"/>
        <v>0</v>
      </c>
    </row>
    <row r="68" spans="3:35" x14ac:dyDescent="0.2">
      <c r="H68" s="133" t="s">
        <v>810</v>
      </c>
      <c r="I68" s="25" t="e">
        <f ca="1">_xll.EVPRO($B$1,$H68,"STYLE")</f>
        <v>#NAME?</v>
      </c>
      <c r="J68" s="25" t="e">
        <f ca="1">_xll.EVPRO($B$1,$H68,"CALC")</f>
        <v>#NAME?</v>
      </c>
      <c r="K68" s="24"/>
      <c r="L68" s="24" t="e">
        <f ca="1">_xll.EVPRO($B$1,H68,"JDEID")</f>
        <v>#NAME?</v>
      </c>
      <c r="M68" s="24" t="e">
        <f ca="1">IF(AND(I68="N",J68="N"),_xll.EVPRO($B$1,H68,"PSFTID"),"")</f>
        <v>#NAME?</v>
      </c>
      <c r="N68" s="24" t="e">
        <f ca="1">IF(_xll.EVDES(H68,$B$1)="#NODATA","",_xll.EVDES(H68,$B$1))</f>
        <v>#NAME?</v>
      </c>
      <c r="O68" s="28"/>
      <c r="P68" s="28"/>
      <c r="Q68" s="28"/>
      <c r="R68" s="28"/>
      <c r="S68" s="28"/>
      <c r="T68" s="28"/>
      <c r="U68" s="28"/>
      <c r="V68" s="28"/>
      <c r="W68" s="28"/>
      <c r="X68" s="28"/>
      <c r="Y68" s="28"/>
      <c r="Z68" s="28"/>
      <c r="AA68" s="28">
        <f t="shared" si="16"/>
        <v>0</v>
      </c>
      <c r="AB68" s="29" t="str">
        <f>IF(AA68=0,"",IFERROR(AA68/AA$19,""))</f>
        <v/>
      </c>
      <c r="AD68" s="28"/>
      <c r="AE68" s="29" t="str">
        <f>IF(AD68=0,"",IFERROR(AD68/AD$19,""))</f>
        <v/>
      </c>
      <c r="AF68" s="48">
        <f t="shared" si="17"/>
        <v>0</v>
      </c>
      <c r="AG68" s="28"/>
      <c r="AH68" s="29" t="str">
        <f t="shared" si="3"/>
        <v/>
      </c>
      <c r="AI68" s="48">
        <f t="shared" si="18"/>
        <v>0</v>
      </c>
    </row>
    <row r="69" spans="3:35" x14ac:dyDescent="0.2">
      <c r="H69" s="133" t="s">
        <v>811</v>
      </c>
      <c r="I69" s="25" t="e">
        <f ca="1">_xll.EVPRO($B$1,$H69,"STYLE")</f>
        <v>#NAME?</v>
      </c>
      <c r="J69" s="25" t="e">
        <f ca="1">_xll.EVPRO($B$1,$H69,"CALC")</f>
        <v>#NAME?</v>
      </c>
      <c r="K69" s="24"/>
      <c r="L69" s="24" t="e">
        <f ca="1">_xll.EVPRO($B$1,H69,"JDEID")</f>
        <v>#NAME?</v>
      </c>
      <c r="M69" s="24" t="e">
        <f ca="1">IF(AND(I69="N",J69="N"),_xll.EVPRO($B$1,H69,"PSFTID"),"")</f>
        <v>#NAME?</v>
      </c>
      <c r="N69" s="23" t="e">
        <f ca="1">IF(_xll.EVDES(H69,$B$1)="#NODATA","",_xll.EVDES(H69,$B$1))</f>
        <v>#NAME?</v>
      </c>
      <c r="O69" s="145"/>
      <c r="P69" s="145"/>
      <c r="Q69" s="145"/>
      <c r="R69" s="145"/>
      <c r="S69" s="145"/>
      <c r="T69" s="145"/>
      <c r="U69" s="145"/>
      <c r="V69" s="145"/>
      <c r="W69" s="145"/>
      <c r="X69" s="145"/>
      <c r="Y69" s="145"/>
      <c r="Z69" s="145"/>
      <c r="AA69" s="145">
        <f t="shared" si="16"/>
        <v>0</v>
      </c>
      <c r="AB69" s="156" t="str">
        <f>IF(AA69=0,"",IFERROR(AA69/AA$19,""))</f>
        <v/>
      </c>
      <c r="AD69" s="145"/>
      <c r="AE69" s="156" t="str">
        <f>IF(AD69=0,"",IFERROR(AD69/AD$19,""))</f>
        <v/>
      </c>
      <c r="AF69" s="146">
        <f t="shared" si="17"/>
        <v>0</v>
      </c>
      <c r="AG69" s="145">
        <v>4327</v>
      </c>
      <c r="AH69" s="156" t="str">
        <f t="shared" ca="1" si="3"/>
        <v/>
      </c>
      <c r="AI69" s="146">
        <f t="shared" si="18"/>
        <v>-4327</v>
      </c>
    </row>
    <row r="70" spans="3:35" x14ac:dyDescent="0.2">
      <c r="H70" s="133" t="s">
        <v>812</v>
      </c>
      <c r="I70" s="25" t="e">
        <f ca="1">_xll.EVPRO($B$1,$H70,"STYLE")</f>
        <v>#NAME?</v>
      </c>
      <c r="J70" s="25" t="e">
        <f ca="1">_xll.EVPRO($B$1,$H70,"CALC")</f>
        <v>#NAME?</v>
      </c>
      <c r="K70" s="24"/>
      <c r="L70" s="24" t="e">
        <f ca="1">_xll.EVPRO($B$1,H70,"JDEID")</f>
        <v>#NAME?</v>
      </c>
      <c r="M70" s="24" t="e">
        <f ca="1">IF(AND(I70="N",J70="N"),_xll.EVPRO($B$1,H70,"PSFTID"),"")</f>
        <v>#NAME?</v>
      </c>
      <c r="N70" s="24" t="e">
        <f ca="1">IF(_xll.EVDES(H70,$B$1)="#NODATA","",_xll.EVDES(H70,$B$1))</f>
        <v>#NAME?</v>
      </c>
      <c r="O70" s="35"/>
      <c r="P70" s="35"/>
      <c r="Q70" s="35"/>
      <c r="R70" s="35"/>
      <c r="S70" s="35"/>
      <c r="T70" s="35"/>
      <c r="U70" s="35"/>
      <c r="V70" s="35"/>
      <c r="W70" s="35"/>
      <c r="X70" s="35"/>
      <c r="Y70" s="35"/>
      <c r="Z70" s="35"/>
      <c r="AA70" s="35">
        <f t="shared" si="16"/>
        <v>0</v>
      </c>
      <c r="AB70" s="36" t="str">
        <f>IF(AA70=0,"",IFERROR(AA70/AA$83,""))</f>
        <v/>
      </c>
      <c r="AD70" s="35"/>
      <c r="AE70" s="36" t="str">
        <f>IF(AD70=0,"",IFERROR(AD70/AD$83,""))</f>
        <v/>
      </c>
      <c r="AF70" s="118">
        <f t="shared" si="17"/>
        <v>0</v>
      </c>
      <c r="AG70" s="35">
        <v>42</v>
      </c>
      <c r="AH70" s="36">
        <f>IF(AG70=0,"",IFERROR(AG70/AG$83,""))</f>
        <v>0.12389380530973451</v>
      </c>
      <c r="AI70" s="118">
        <f t="shared" si="18"/>
        <v>-42</v>
      </c>
    </row>
    <row r="71" spans="3:35" x14ac:dyDescent="0.2">
      <c r="H71" s="133" t="s">
        <v>813</v>
      </c>
      <c r="I71" s="25" t="e">
        <f ca="1">_xll.EVPRO($B$1,$H71,"STYLE")</f>
        <v>#NAME?</v>
      </c>
      <c r="J71" s="25" t="e">
        <f ca="1">_xll.EVPRO($B$1,$H71,"CALC")</f>
        <v>#NAME?</v>
      </c>
      <c r="K71" s="24"/>
      <c r="L71" s="24" t="e">
        <f ca="1">_xll.EVPRO($B$1,H71,"JDEID")</f>
        <v>#NAME?</v>
      </c>
      <c r="M71" s="24" t="e">
        <f ca="1">IF(AND(I71="N",J71="N"),_xll.EVPRO($B$1,H71,"PSFTID"),"")</f>
        <v>#NAME?</v>
      </c>
      <c r="N71" s="151" t="e">
        <f ca="1">IF(_xll.EVDES(H71,$B$1)="#NODATA","",_xll.EVDES(H71,$B$1))</f>
        <v>#NAME?</v>
      </c>
      <c r="O71" s="157"/>
      <c r="P71" s="157"/>
      <c r="Q71" s="157"/>
      <c r="R71" s="157"/>
      <c r="S71" s="157"/>
      <c r="T71" s="157"/>
      <c r="U71" s="157"/>
      <c r="V71" s="157"/>
      <c r="W71" s="157"/>
      <c r="X71" s="157"/>
      <c r="Y71" s="157"/>
      <c r="Z71" s="157"/>
      <c r="AA71" s="157" t="str">
        <f>IFERROR(AA69/AA70,"")</f>
        <v/>
      </c>
      <c r="AB71" s="157"/>
      <c r="AD71" s="157"/>
      <c r="AE71" s="157"/>
      <c r="AF71" s="158" t="str">
        <f t="shared" si="17"/>
        <v/>
      </c>
      <c r="AG71" s="157">
        <v>103.02380952381</v>
      </c>
      <c r="AH71" s="157"/>
      <c r="AI71" s="158" t="e">
        <f t="shared" si="18"/>
        <v>#VALUE!</v>
      </c>
    </row>
    <row r="72" spans="3:35" x14ac:dyDescent="0.2">
      <c r="H72" s="10"/>
      <c r="I72" s="25"/>
      <c r="J72" s="25"/>
      <c r="K72" s="24"/>
      <c r="L72" s="24"/>
      <c r="M72" s="24"/>
      <c r="N72" s="163" t="s">
        <v>345</v>
      </c>
      <c r="O72" s="160">
        <f t="shared" ref="O72:AA72" si="19">ROUND(IFERROR(O69/O70,0),2)</f>
        <v>0</v>
      </c>
      <c r="P72" s="165">
        <f t="shared" si="19"/>
        <v>0</v>
      </c>
      <c r="Q72" s="165">
        <f t="shared" si="19"/>
        <v>0</v>
      </c>
      <c r="R72" s="165">
        <f t="shared" si="19"/>
        <v>0</v>
      </c>
      <c r="S72" s="165">
        <f t="shared" si="19"/>
        <v>0</v>
      </c>
      <c r="T72" s="165">
        <f t="shared" si="19"/>
        <v>0</v>
      </c>
      <c r="U72" s="165">
        <f t="shared" si="19"/>
        <v>0</v>
      </c>
      <c r="V72" s="165">
        <f t="shared" si="19"/>
        <v>0</v>
      </c>
      <c r="W72" s="165">
        <f t="shared" si="19"/>
        <v>0</v>
      </c>
      <c r="X72" s="165">
        <f t="shared" si="19"/>
        <v>0</v>
      </c>
      <c r="Y72" s="165">
        <f t="shared" si="19"/>
        <v>0</v>
      </c>
      <c r="Z72" s="165">
        <f t="shared" si="19"/>
        <v>0</v>
      </c>
      <c r="AA72" s="165">
        <f t="shared" si="19"/>
        <v>0</v>
      </c>
      <c r="AB72" s="164"/>
      <c r="AD72" s="160">
        <f>ROUND(IFERROR(AD69/AD70,0),2)</f>
        <v>0</v>
      </c>
      <c r="AE72" s="165"/>
      <c r="AF72" s="161"/>
      <c r="AG72" s="160">
        <f>ROUND(IFERROR(AG69/AG70,0),2)</f>
        <v>103.02</v>
      </c>
      <c r="AH72" s="165"/>
      <c r="AI72" s="161"/>
    </row>
    <row r="73" spans="3:35" x14ac:dyDescent="0.2">
      <c r="G73" s="162">
        <f>COUNTIF(O73:AI73,FALSE)</f>
        <v>0</v>
      </c>
      <c r="H73" s="133"/>
      <c r="I73" s="25"/>
      <c r="J73" s="25"/>
      <c r="K73" s="24"/>
      <c r="L73" s="24"/>
      <c r="M73" s="24"/>
      <c r="N73" s="8" t="s">
        <v>814</v>
      </c>
      <c r="O73" s="292" t="b">
        <f t="shared" ref="O73:AA73" si="20">ROUND(O71,2)=ROUND(O72,2)</f>
        <v>1</v>
      </c>
      <c r="P73" s="293" t="b">
        <f t="shared" si="20"/>
        <v>1</v>
      </c>
      <c r="Q73" s="293" t="b">
        <f t="shared" si="20"/>
        <v>1</v>
      </c>
      <c r="R73" s="293" t="b">
        <f t="shared" si="20"/>
        <v>1</v>
      </c>
      <c r="S73" s="293" t="b">
        <f t="shared" si="20"/>
        <v>1</v>
      </c>
      <c r="T73" s="293" t="b">
        <f t="shared" si="20"/>
        <v>1</v>
      </c>
      <c r="U73" s="293" t="b">
        <f t="shared" si="20"/>
        <v>1</v>
      </c>
      <c r="V73" s="293" t="b">
        <f t="shared" si="20"/>
        <v>1</v>
      </c>
      <c r="W73" s="293" t="b">
        <f t="shared" si="20"/>
        <v>1</v>
      </c>
      <c r="X73" s="293" t="b">
        <f t="shared" si="20"/>
        <v>1</v>
      </c>
      <c r="Y73" s="293" t="b">
        <f t="shared" si="20"/>
        <v>1</v>
      </c>
      <c r="Z73" s="293" t="b">
        <f t="shared" si="20"/>
        <v>1</v>
      </c>
      <c r="AA73" s="293" t="e">
        <f t="shared" si="20"/>
        <v>#VALUE!</v>
      </c>
      <c r="AB73" s="294"/>
      <c r="AC73" s="206"/>
      <c r="AD73" s="292"/>
      <c r="AE73" s="293" t="b">
        <f>ROUND(AD71,2)=ROUND(AD72,2)</f>
        <v>1</v>
      </c>
      <c r="AF73" s="294"/>
      <c r="AG73" s="292"/>
      <c r="AH73" s="293" t="b">
        <f>ROUND(AG71,2)=ROUND(AG72,2)</f>
        <v>1</v>
      </c>
      <c r="AI73" s="294"/>
    </row>
    <row r="74" spans="3:35" x14ac:dyDescent="0.2">
      <c r="H74" s="133" t="s">
        <v>789</v>
      </c>
      <c r="I74" s="25" t="e">
        <f ca="1">_xll.EVPRO($B$1,$H74,"STYLE")</f>
        <v>#NAME?</v>
      </c>
      <c r="J74" s="25" t="e">
        <f ca="1">_xll.EVPRO($B$1,$H74,"CALC")</f>
        <v>#NAME?</v>
      </c>
      <c r="K74" s="24"/>
      <c r="L74" s="24" t="e">
        <f ca="1">_xll.EVPRO($B$1,H74,"JDEID")</f>
        <v>#NAME?</v>
      </c>
      <c r="M74" s="24" t="e">
        <f ca="1">IF(AND(I74="N",J74="N"),_xll.EVPRO($B$1,H74,"PSFTID"),"")</f>
        <v>#NAME?</v>
      </c>
      <c r="N74" s="24" t="e">
        <f ca="1">IF(_xll.EVDES(H74,$B$1)="#NODATA","",_xll.EVDES(H74,$B$1))</f>
        <v>#NAME?</v>
      </c>
      <c r="O74" s="19"/>
      <c r="P74" s="19"/>
      <c r="Q74" s="19"/>
      <c r="R74" s="19"/>
      <c r="S74" s="19"/>
      <c r="T74" s="19"/>
      <c r="U74" s="19"/>
      <c r="V74" s="19"/>
      <c r="W74" s="19"/>
      <c r="X74" s="19"/>
      <c r="Y74" s="19"/>
      <c r="Z74" s="19"/>
      <c r="AA74" s="19">
        <f>SUM(O74:Z74)</f>
        <v>0</v>
      </c>
      <c r="AB74" s="15" t="str">
        <f>IF(AA74=0,"",IFERROR(AA74/AA$19,""))</f>
        <v/>
      </c>
      <c r="AD74" s="19"/>
      <c r="AE74" s="15" t="str">
        <f>IF(AD74=0,"",IFERROR(AD74/AD$19,""))</f>
        <v/>
      </c>
      <c r="AF74" s="47">
        <f>IF(AND($AA74="",AD74=""),"",$AA74-AD74)</f>
        <v>0</v>
      </c>
      <c r="AG74" s="19"/>
      <c r="AH74" s="15" t="str">
        <f t="shared" si="3"/>
        <v/>
      </c>
      <c r="AI74" s="47">
        <f>IF(AND($AA74="",AG74=""),"",$AA74-AG74)</f>
        <v>0</v>
      </c>
    </row>
    <row r="75" spans="3:35" x14ac:dyDescent="0.2">
      <c r="C75" s="23"/>
      <c r="H75" s="133" t="s">
        <v>815</v>
      </c>
      <c r="I75" s="25" t="e">
        <f ca="1">_xll.EVPRO($B$1,$H75,"STYLE")</f>
        <v>#NAME?</v>
      </c>
      <c r="J75" s="25" t="e">
        <f ca="1">_xll.EVPRO($B$1,$H75,"CALC")</f>
        <v>#NAME?</v>
      </c>
      <c r="K75" s="24"/>
      <c r="L75" s="24" t="e">
        <f ca="1">_xll.EVPRO($B$1,H75,"JDEID")</f>
        <v>#NAME?</v>
      </c>
      <c r="M75" s="24" t="e">
        <f ca="1">IF(AND(I75="N",J75="N"),_xll.EVPRO($B$1,H75,"PSFTID"),"")</f>
        <v>#NAME?</v>
      </c>
      <c r="N75" s="23" t="e">
        <f ca="1">IF(_xll.EVDES(H75,$B$1)="#NODATA","",_xll.EVDES(H75,$B$1))</f>
        <v>#NAME?</v>
      </c>
      <c r="O75" s="145"/>
      <c r="P75" s="145"/>
      <c r="Q75" s="145"/>
      <c r="R75" s="145"/>
      <c r="S75" s="145"/>
      <c r="T75" s="145"/>
      <c r="U75" s="145"/>
      <c r="V75" s="145"/>
      <c r="W75" s="145"/>
      <c r="X75" s="145"/>
      <c r="Y75" s="145"/>
      <c r="Z75" s="145"/>
      <c r="AA75" s="145">
        <f>SUM(O75:Z75)</f>
        <v>0</v>
      </c>
      <c r="AB75" s="156" t="str">
        <f>IF(AA75=0,"",IFERROR(AA75/AA$19,""))</f>
        <v/>
      </c>
      <c r="AD75" s="145"/>
      <c r="AE75" s="156" t="str">
        <f>IF(AD75=0,"",IFERROR(AD75/AD$19,""))</f>
        <v/>
      </c>
      <c r="AF75" s="146">
        <f>IF(AND($AA75="",AD75=""),"",$AA75-AD75)</f>
        <v>0</v>
      </c>
      <c r="AG75" s="145"/>
      <c r="AH75" s="156" t="str">
        <f t="shared" si="3"/>
        <v/>
      </c>
      <c r="AI75" s="146">
        <f>IF(AND($AA75="",AG75=""),"",$AA75-AG75)</f>
        <v>0</v>
      </c>
    </row>
    <row r="76" spans="3:35" x14ac:dyDescent="0.2">
      <c r="C76" s="23"/>
      <c r="H76" s="133" t="s">
        <v>816</v>
      </c>
      <c r="I76" s="25" t="e">
        <f ca="1">_xll.EVPRO($B$1,$H76,"STYLE")</f>
        <v>#NAME?</v>
      </c>
      <c r="J76" s="25" t="e">
        <f ca="1">_xll.EVPRO($B$1,$H76,"CALC")</f>
        <v>#NAME?</v>
      </c>
      <c r="K76" s="24"/>
      <c r="L76" s="24" t="e">
        <f ca="1">_xll.EVPRO($B$1,H76,"JDEID")</f>
        <v>#NAME?</v>
      </c>
      <c r="M76" s="24" t="e">
        <f ca="1">IF(AND(I76="N",J76="N"),_xll.EVPRO($B$1,H76,"PSFTID"),"")</f>
        <v>#NAME?</v>
      </c>
      <c r="N76" s="24" t="e">
        <f ca="1">IF(_xll.EVDES(H76,$B$1)="#NODATA","",_xll.EVDES(H76,$B$1))</f>
        <v>#NAME?</v>
      </c>
      <c r="O76" s="35"/>
      <c r="P76" s="35"/>
      <c r="Q76" s="35"/>
      <c r="R76" s="35"/>
      <c r="S76" s="35"/>
      <c r="T76" s="35"/>
      <c r="U76" s="35"/>
      <c r="V76" s="35"/>
      <c r="W76" s="35"/>
      <c r="X76" s="35"/>
      <c r="Y76" s="35"/>
      <c r="Z76" s="35"/>
      <c r="AA76" s="35">
        <f>SUM(O76:Z76)</f>
        <v>0</v>
      </c>
      <c r="AB76" s="36" t="str">
        <f>IF(AA76=0,"",IFERROR(AA76/AA$83,""))</f>
        <v/>
      </c>
      <c r="AD76" s="35"/>
      <c r="AE76" s="36" t="str">
        <f>IF(AD76=0,"",IFERROR(AD76/AD$83,""))</f>
        <v/>
      </c>
      <c r="AF76" s="118">
        <f>IF(AND($AA76="",AD76=""),"",$AA76-AD76)</f>
        <v>0</v>
      </c>
      <c r="AG76" s="35"/>
      <c r="AH76" s="36" t="str">
        <f>IF(AG76=0,"",IFERROR(AG76/AG$83,""))</f>
        <v/>
      </c>
      <c r="AI76" s="118">
        <f>IF(AND($AA76="",AG76=""),"",$AA76-AG76)</f>
        <v>0</v>
      </c>
    </row>
    <row r="77" spans="3:35" x14ac:dyDescent="0.2">
      <c r="C77" s="23"/>
      <c r="H77" s="133" t="s">
        <v>817</v>
      </c>
      <c r="I77" s="25" t="e">
        <f ca="1">_xll.EVPRO($B$1,$H77,"STYLE")</f>
        <v>#NAME?</v>
      </c>
      <c r="J77" s="25" t="e">
        <f ca="1">_xll.EVPRO($B$1,$H77,"CALC")</f>
        <v>#NAME?</v>
      </c>
      <c r="K77" s="24"/>
      <c r="L77" s="24" t="e">
        <f ca="1">_xll.EVPRO($B$1,H77,"JDEID")</f>
        <v>#NAME?</v>
      </c>
      <c r="M77" s="24" t="e">
        <f ca="1">IF(AND(I77="N",J77="N"),_xll.EVPRO($B$1,H77,"PSFTID"),"")</f>
        <v>#NAME?</v>
      </c>
      <c r="N77" s="151" t="e">
        <f ca="1">IF(_xll.EVDES(H77,$B$1)="#NODATA","",_xll.EVDES(H77,$B$1))</f>
        <v>#NAME?</v>
      </c>
      <c r="O77" s="157"/>
      <c r="P77" s="157"/>
      <c r="Q77" s="157"/>
      <c r="R77" s="157"/>
      <c r="S77" s="157"/>
      <c r="T77" s="157"/>
      <c r="U77" s="157"/>
      <c r="V77" s="157"/>
      <c r="W77" s="157"/>
      <c r="X77" s="157"/>
      <c r="Y77" s="157"/>
      <c r="Z77" s="157"/>
      <c r="AA77" s="157" t="str">
        <f>IFERROR(AA75/AA76,"")</f>
        <v/>
      </c>
      <c r="AB77" s="157"/>
      <c r="AD77" s="157"/>
      <c r="AE77" s="157"/>
      <c r="AF77" s="158" t="str">
        <f>IF(AND($AA77="",AD77=""),"",$AA77-AD77)</f>
        <v/>
      </c>
      <c r="AG77" s="157"/>
      <c r="AH77" s="157"/>
      <c r="AI77" s="158" t="str">
        <f>IF(AND($AA77="",AG77=""),"",$AA77-AG77)</f>
        <v/>
      </c>
    </row>
    <row r="78" spans="3:35" x14ac:dyDescent="0.2">
      <c r="C78" s="23"/>
      <c r="H78" s="10"/>
      <c r="I78" s="25"/>
      <c r="J78" s="25"/>
      <c r="K78" s="24"/>
      <c r="L78" s="24"/>
      <c r="M78" s="24"/>
      <c r="N78" s="163" t="s">
        <v>345</v>
      </c>
      <c r="O78" s="160">
        <f t="shared" ref="O78:AA78" si="21">ROUND(IFERROR(O75/O76,0),2)</f>
        <v>0</v>
      </c>
      <c r="P78" s="165">
        <f t="shared" si="21"/>
        <v>0</v>
      </c>
      <c r="Q78" s="165">
        <f t="shared" si="21"/>
        <v>0</v>
      </c>
      <c r="R78" s="165">
        <f t="shared" si="21"/>
        <v>0</v>
      </c>
      <c r="S78" s="165">
        <f t="shared" si="21"/>
        <v>0</v>
      </c>
      <c r="T78" s="165">
        <f t="shared" si="21"/>
        <v>0</v>
      </c>
      <c r="U78" s="165">
        <f t="shared" si="21"/>
        <v>0</v>
      </c>
      <c r="V78" s="165">
        <f t="shared" si="21"/>
        <v>0</v>
      </c>
      <c r="W78" s="165">
        <f t="shared" si="21"/>
        <v>0</v>
      </c>
      <c r="X78" s="165">
        <f t="shared" si="21"/>
        <v>0</v>
      </c>
      <c r="Y78" s="165">
        <f t="shared" si="21"/>
        <v>0</v>
      </c>
      <c r="Z78" s="165">
        <f t="shared" si="21"/>
        <v>0</v>
      </c>
      <c r="AA78" s="165">
        <f t="shared" si="21"/>
        <v>0</v>
      </c>
      <c r="AB78" s="164"/>
      <c r="AD78" s="160">
        <f>ROUND(IFERROR(AD75/AD76,0),2)</f>
        <v>0</v>
      </c>
      <c r="AE78" s="165"/>
      <c r="AF78" s="161"/>
      <c r="AG78" s="160">
        <f>ROUND(IFERROR(AG75/AG76,0),2)</f>
        <v>0</v>
      </c>
      <c r="AH78" s="165"/>
      <c r="AI78" s="161"/>
    </row>
    <row r="79" spans="3:35" x14ac:dyDescent="0.2">
      <c r="C79" s="23"/>
      <c r="G79" s="162">
        <f>COUNTIF(O79:AI79,FALSE)</f>
        <v>0</v>
      </c>
      <c r="H79" s="10"/>
      <c r="I79" s="25"/>
      <c r="J79" s="25"/>
      <c r="K79" s="24"/>
      <c r="L79" s="24"/>
      <c r="M79" s="24"/>
      <c r="N79" s="163"/>
      <c r="O79" s="292" t="b">
        <f t="shared" ref="O79:AA79" si="22">ROUND(O77,2)=ROUND(O78,2)</f>
        <v>1</v>
      </c>
      <c r="P79" s="293" t="b">
        <f t="shared" si="22"/>
        <v>1</v>
      </c>
      <c r="Q79" s="293" t="b">
        <f t="shared" si="22"/>
        <v>1</v>
      </c>
      <c r="R79" s="293" t="b">
        <f t="shared" si="22"/>
        <v>1</v>
      </c>
      <c r="S79" s="293" t="b">
        <f t="shared" si="22"/>
        <v>1</v>
      </c>
      <c r="T79" s="293" t="b">
        <f t="shared" si="22"/>
        <v>1</v>
      </c>
      <c r="U79" s="293" t="b">
        <f t="shared" si="22"/>
        <v>1</v>
      </c>
      <c r="V79" s="293" t="b">
        <f t="shared" si="22"/>
        <v>1</v>
      </c>
      <c r="W79" s="293" t="b">
        <f t="shared" si="22"/>
        <v>1</v>
      </c>
      <c r="X79" s="293" t="b">
        <f t="shared" si="22"/>
        <v>1</v>
      </c>
      <c r="Y79" s="293" t="b">
        <f t="shared" si="22"/>
        <v>1</v>
      </c>
      <c r="Z79" s="293" t="b">
        <f t="shared" si="22"/>
        <v>1</v>
      </c>
      <c r="AA79" s="293" t="e">
        <f t="shared" si="22"/>
        <v>#VALUE!</v>
      </c>
      <c r="AB79" s="294"/>
      <c r="AC79" s="206"/>
      <c r="AD79" s="292"/>
      <c r="AE79" s="293" t="b">
        <f>ROUND(AD77,2)=ROUND(AD78,2)</f>
        <v>1</v>
      </c>
      <c r="AF79" s="294"/>
      <c r="AG79" s="292"/>
      <c r="AH79" s="293" t="b">
        <f>ROUND(AG77,2)=ROUND(AG78,2)</f>
        <v>1</v>
      </c>
      <c r="AI79" s="294"/>
    </row>
    <row r="80" spans="3:35" x14ac:dyDescent="0.2">
      <c r="C80" s="23"/>
      <c r="H80" s="10" t="s">
        <v>486</v>
      </c>
      <c r="I80" s="25" t="e">
        <f ca="1">_xll.EVPRO($B$1,$H80,"STYLE")</f>
        <v>#NAME?</v>
      </c>
      <c r="J80" s="25" t="e">
        <f ca="1">_xll.EVPRO($B$1,$H80,"CALC")</f>
        <v>#NAME?</v>
      </c>
      <c r="K80" s="24"/>
      <c r="L80" s="24" t="e">
        <f ca="1">_xll.EVPRO($B$1,H80,"JDEID")</f>
        <v>#NAME?</v>
      </c>
      <c r="M80" s="24" t="e">
        <f ca="1">IF(AND(I80="N",J80="N"),_xll.EVPRO($B$1,H80,"PSFTID"),"")</f>
        <v>#NAME?</v>
      </c>
      <c r="N80" s="24" t="e">
        <f ca="1">IF(_xll.EVDES(H80,$B$1)="#NODATA","",_xll.EVDES(H80,$B$1))</f>
        <v>#NAME?</v>
      </c>
      <c r="O80" s="19"/>
      <c r="P80" s="19"/>
      <c r="Q80" s="19"/>
      <c r="R80" s="19"/>
      <c r="S80" s="19"/>
      <c r="T80" s="19"/>
      <c r="U80" s="19"/>
      <c r="V80" s="19"/>
      <c r="W80" s="19"/>
      <c r="X80" s="19"/>
      <c r="Y80" s="19"/>
      <c r="Z80" s="19"/>
      <c r="AA80" s="19">
        <f>SUM(O80:Z80)</f>
        <v>0</v>
      </c>
      <c r="AB80" s="15" t="str">
        <f>IF(AA80=0,"",IFERROR(AA80/AA$19,""))</f>
        <v/>
      </c>
      <c r="AD80" s="19"/>
      <c r="AE80" s="15" t="str">
        <f>IF(AD80=0,"",IFERROR(AD80/AD$19,""))</f>
        <v/>
      </c>
      <c r="AF80" s="47">
        <f>IF(AND($AA80="",AD80=""),"",$AA80-AD80)</f>
        <v>0</v>
      </c>
      <c r="AG80" s="19"/>
      <c r="AH80" s="15" t="str">
        <f>IF(AG80=0,"",IFERROR(AG80/AG$19,""))</f>
        <v/>
      </c>
      <c r="AI80" s="47">
        <f>IF(AND($AA80="",AG80=""),"",$AA80-AG80)</f>
        <v>0</v>
      </c>
    </row>
    <row r="81" spans="3:35" x14ac:dyDescent="0.2">
      <c r="C81" s="23"/>
      <c r="H81" s="10"/>
      <c r="I81" s="25"/>
      <c r="J81" s="25"/>
      <c r="K81" s="24"/>
      <c r="L81" s="24"/>
      <c r="M81" s="24"/>
      <c r="N81" s="8" t="s">
        <v>348</v>
      </c>
      <c r="O81" s="292"/>
      <c r="P81" s="293"/>
      <c r="Q81" s="293"/>
      <c r="R81" s="293"/>
      <c r="S81" s="293"/>
      <c r="T81" s="293"/>
      <c r="U81" s="293"/>
      <c r="V81" s="293"/>
      <c r="W81" s="293"/>
      <c r="X81" s="293"/>
      <c r="Y81" s="293"/>
      <c r="Z81" s="293"/>
      <c r="AA81" s="293"/>
      <c r="AB81" s="294"/>
      <c r="AC81" s="206"/>
      <c r="AD81" s="292"/>
      <c r="AE81" s="293"/>
      <c r="AF81" s="294"/>
      <c r="AG81" s="292"/>
      <c r="AH81" s="293"/>
      <c r="AI81" s="294"/>
    </row>
    <row r="82" spans="3:35" x14ac:dyDescent="0.2">
      <c r="C82" s="23"/>
      <c r="H82" s="133" t="s">
        <v>273</v>
      </c>
      <c r="I82" s="25" t="e">
        <f ca="1">_xll.EVPRO($B$1,$H82,"STYLE")</f>
        <v>#NAME?</v>
      </c>
      <c r="J82" s="25" t="e">
        <f ca="1">_xll.EVPRO($B$1,$H82,"CALC")</f>
        <v>#NAME?</v>
      </c>
      <c r="L82" s="24" t="e">
        <f ca="1">_xll.EVPRO($B$1,H82,"JDEID")</f>
        <v>#NAME?</v>
      </c>
      <c r="M82" s="24" t="e">
        <f ca="1">IF(AND(I82="N",J82="N"),_xll.EVPRO($B$1,H82,"PSFTID"),"")</f>
        <v>#NAME?</v>
      </c>
      <c r="N82" s="24" t="e">
        <f ca="1">IF(_xll.EVDES(H82,$B$1)="#NODATA","",_xll.EVDES(H82,$B$1))</f>
        <v>#NAME?</v>
      </c>
      <c r="O82" s="152"/>
      <c r="P82" s="152"/>
      <c r="Q82" s="152"/>
      <c r="R82" s="152"/>
      <c r="S82" s="152"/>
      <c r="T82" s="152"/>
      <c r="U82" s="152"/>
      <c r="V82" s="152"/>
      <c r="W82" s="152"/>
      <c r="X82" s="152"/>
      <c r="Y82" s="152"/>
      <c r="Z82" s="152"/>
      <c r="AA82" s="152">
        <f>SUM(O82:Z82)</f>
        <v>0</v>
      </c>
      <c r="AB82" s="153" t="str">
        <f>IF(AA82=0,"",IFERROR(AA82/AA$19,""))</f>
        <v/>
      </c>
      <c r="AD82" s="152"/>
      <c r="AE82" s="153" t="str">
        <f>IF(AD82=0,"",IFERROR(AD82/AD$19,""))</f>
        <v/>
      </c>
      <c r="AF82" s="154">
        <f>IF(AND($AA82="",AD82=""),"",$AA82-AD82)</f>
        <v>0</v>
      </c>
      <c r="AG82" s="152">
        <v>20879</v>
      </c>
      <c r="AH82" s="153" t="str">
        <f t="shared" ref="AH82:AH92" ca="1" si="23">IF(AG82=0,"",IFERROR(AG82/AG$19,""))</f>
        <v/>
      </c>
      <c r="AI82" s="154">
        <f>IF(AND($AA82="",AG82=""),"",$AA82-AG82)</f>
        <v>-20879</v>
      </c>
    </row>
    <row r="83" spans="3:35" x14ac:dyDescent="0.2">
      <c r="C83" s="23"/>
      <c r="H83" s="133" t="s">
        <v>331</v>
      </c>
      <c r="I83" s="25" t="e">
        <f ca="1">_xll.EVPRO($B$1,$H83,"STYLE")</f>
        <v>#NAME?</v>
      </c>
      <c r="J83" s="25" t="e">
        <f ca="1">_xll.EVPRO($B$1,$H83,"CALC")</f>
        <v>#NAME?</v>
      </c>
      <c r="L83" s="24" t="e">
        <f ca="1">_xll.EVPRO($B$1,H83,"JDEID")</f>
        <v>#NAME?</v>
      </c>
      <c r="M83" s="24" t="e">
        <f ca="1">IF(AND(I83="N",J83="N"),_xll.EVPRO($B$1,H83,"PSFTID"),"")</f>
        <v>#NAME?</v>
      </c>
      <c r="N83" s="24" t="e">
        <f ca="1">IF(_xll.EVDES(H83,$B$1)="#NODATA","",_xll.EVDES(H83,$B$1))</f>
        <v>#NAME?</v>
      </c>
      <c r="O83" s="152"/>
      <c r="P83" s="152"/>
      <c r="Q83" s="152"/>
      <c r="R83" s="152"/>
      <c r="S83" s="152"/>
      <c r="T83" s="152"/>
      <c r="U83" s="152"/>
      <c r="V83" s="152"/>
      <c r="W83" s="152"/>
      <c r="X83" s="152"/>
      <c r="Y83" s="152"/>
      <c r="Z83" s="152"/>
      <c r="AA83" s="152">
        <f>SUM(O83:Z83)</f>
        <v>0</v>
      </c>
      <c r="AB83" s="153" t="str">
        <f>IF(AA83=0,"",IFERROR(AA83/AA$20,""))</f>
        <v/>
      </c>
      <c r="AD83" s="152"/>
      <c r="AE83" s="153" t="str">
        <f>IF(AD83=0,"",IFERROR(AD83/AD$20,""))</f>
        <v/>
      </c>
      <c r="AF83" s="154">
        <f>IF(AND($AA83="",AD83=""),"",$AA83-AD83)</f>
        <v>0</v>
      </c>
      <c r="AG83" s="152">
        <v>339</v>
      </c>
      <c r="AH83" s="153" t="str">
        <f ca="1">IF(AG83=0,"",IFERROR(AG83/AG$20,""))</f>
        <v/>
      </c>
      <c r="AI83" s="154">
        <f>IF(AND($AA83="",AG83=""),"",$AA83-AG83)</f>
        <v>-339</v>
      </c>
    </row>
    <row r="84" spans="3:35" x14ac:dyDescent="0.2">
      <c r="C84" s="23"/>
      <c r="H84" s="133" t="s">
        <v>311</v>
      </c>
      <c r="I84" s="25" t="e">
        <f ca="1">_xll.EVPRO($B$1,$H84,"STYLE")</f>
        <v>#NAME?</v>
      </c>
      <c r="J84" s="25" t="e">
        <f ca="1">_xll.EVPRO($B$1,$H84,"CALC")</f>
        <v>#NAME?</v>
      </c>
      <c r="L84" s="24"/>
      <c r="M84" s="24"/>
      <c r="N84" s="24" t="e">
        <f ca="1">IF(_xll.EVDES(H84,$B$1)="#NODATA","",_xll.EVDES(H84,$B$1))</f>
        <v>#NAME?</v>
      </c>
      <c r="O84" s="157"/>
      <c r="P84" s="157"/>
      <c r="Q84" s="157"/>
      <c r="R84" s="157"/>
      <c r="S84" s="157"/>
      <c r="T84" s="157"/>
      <c r="U84" s="157"/>
      <c r="V84" s="157"/>
      <c r="W84" s="157"/>
      <c r="X84" s="157"/>
      <c r="Y84" s="157"/>
      <c r="Z84" s="157"/>
      <c r="AA84" s="157" t="str">
        <f>IFERROR(AA82/AA83,"")</f>
        <v/>
      </c>
      <c r="AB84" s="157"/>
      <c r="AD84" s="157"/>
      <c r="AE84" s="157"/>
      <c r="AF84" s="158" t="str">
        <f>IF(AND($AA84="",AD84=""),"",$AA84-AD84)</f>
        <v/>
      </c>
      <c r="AG84" s="157">
        <v>61.589970501474902</v>
      </c>
      <c r="AH84" s="157"/>
      <c r="AI84" s="158" t="e">
        <f>IF(AND($AA84="",AG84=""),"",$AA84-AG84)</f>
        <v>#VALUE!</v>
      </c>
    </row>
    <row r="85" spans="3:35" x14ac:dyDescent="0.2">
      <c r="C85" s="23"/>
      <c r="H85" s="133"/>
      <c r="I85" s="25"/>
      <c r="J85" s="25"/>
      <c r="L85" s="24"/>
      <c r="M85" s="24"/>
      <c r="N85" s="24"/>
      <c r="O85" s="38"/>
      <c r="P85" s="42"/>
      <c r="Q85" s="42"/>
      <c r="R85" s="42"/>
      <c r="S85" s="42"/>
      <c r="T85" s="42"/>
      <c r="U85" s="42"/>
      <c r="V85" s="42"/>
      <c r="W85" s="42"/>
      <c r="X85" s="42"/>
      <c r="Y85" s="42"/>
      <c r="Z85" s="42"/>
      <c r="AA85" s="42"/>
      <c r="AB85" s="39"/>
      <c r="AD85" s="38"/>
      <c r="AE85" s="42"/>
      <c r="AF85" s="39"/>
      <c r="AG85" s="38"/>
      <c r="AH85" s="42"/>
      <c r="AI85" s="39"/>
    </row>
    <row r="86" spans="3:35" x14ac:dyDescent="0.2">
      <c r="C86" s="23"/>
      <c r="H86" s="133"/>
      <c r="I86" s="25"/>
      <c r="J86" s="25"/>
      <c r="L86" s="24"/>
      <c r="M86" s="24"/>
      <c r="N86" s="8" t="s">
        <v>343</v>
      </c>
      <c r="O86" s="50"/>
      <c r="AB86" s="149"/>
      <c r="AD86" s="148"/>
      <c r="AE86" s="150"/>
      <c r="AF86" s="51"/>
      <c r="AH86" s="150"/>
      <c r="AI86" s="51"/>
    </row>
    <row r="87" spans="3:35" x14ac:dyDescent="0.2">
      <c r="C87" s="23"/>
      <c r="H87" s="133"/>
      <c r="I87" s="25"/>
      <c r="J87" s="25"/>
      <c r="L87" s="24"/>
      <c r="M87" s="24"/>
      <c r="N87" s="8" t="s">
        <v>337</v>
      </c>
      <c r="O87" s="40"/>
      <c r="P87" s="43"/>
      <c r="Q87" s="43"/>
      <c r="R87" s="43"/>
      <c r="S87" s="43"/>
      <c r="T87" s="43"/>
      <c r="U87" s="43"/>
      <c r="V87" s="43"/>
      <c r="W87" s="43"/>
      <c r="X87" s="43"/>
      <c r="Y87" s="43"/>
      <c r="Z87" s="43"/>
      <c r="AA87" s="43"/>
      <c r="AB87" s="41"/>
      <c r="AD87" s="40"/>
      <c r="AE87" s="43"/>
      <c r="AF87" s="41"/>
      <c r="AG87" s="43"/>
      <c r="AH87" s="43"/>
      <c r="AI87" s="41"/>
    </row>
    <row r="88" spans="3:35" x14ac:dyDescent="0.2">
      <c r="C88" s="23"/>
      <c r="H88" s="133" t="s">
        <v>294</v>
      </c>
      <c r="I88" s="25"/>
      <c r="J88" s="25"/>
      <c r="L88" s="24" t="e">
        <f ca="1">_xll.EVPRO($B$1,H88,"JDEID")</f>
        <v>#NAME?</v>
      </c>
      <c r="M88" s="24" t="str">
        <f>IF(AND(I88="N",J88="N"),_xll.EVPRO($B$1,H88,"PSFTID"),"")</f>
        <v/>
      </c>
      <c r="N88" s="24" t="e">
        <f ca="1">IF(_xll.EVDES(H88,$B$1)="#NODATA","",_xll.EVDES(H88,$B$1))</f>
        <v>#NAME?</v>
      </c>
      <c r="O88" s="19"/>
      <c r="P88" s="19"/>
      <c r="Q88" s="19"/>
      <c r="R88" s="19"/>
      <c r="S88" s="19"/>
      <c r="T88" s="19"/>
      <c r="U88" s="19"/>
      <c r="V88" s="19"/>
      <c r="W88" s="19"/>
      <c r="X88" s="19"/>
      <c r="Y88" s="19"/>
      <c r="Z88" s="19"/>
      <c r="AA88" s="19">
        <f>SUM(O88:Z88)</f>
        <v>0</v>
      </c>
      <c r="AB88" s="15" t="str">
        <f>IF(AA88=0,"",IFERROR(AA88/AA$19,""))</f>
        <v/>
      </c>
      <c r="AD88" s="19"/>
      <c r="AE88" s="15" t="str">
        <f>IF(AD88=0,"",IFERROR(AD88/AD$19,""))</f>
        <v/>
      </c>
      <c r="AF88" s="47">
        <f>IF(AND($AA88="",AD88=""),"",$AA88-AD88)</f>
        <v>0</v>
      </c>
      <c r="AG88" s="19"/>
      <c r="AH88" s="15" t="str">
        <f t="shared" si="23"/>
        <v/>
      </c>
      <c r="AI88" s="47">
        <f>IF(AND($AA88="",AG88=""),"",$AA88-AG88)</f>
        <v>0</v>
      </c>
    </row>
    <row r="89" spans="3:35" x14ac:dyDescent="0.2">
      <c r="C89" s="23"/>
      <c r="H89" s="133" t="s">
        <v>301</v>
      </c>
      <c r="I89" s="25"/>
      <c r="J89" s="25"/>
      <c r="L89" s="24" t="e">
        <f ca="1">_xll.EVPRO($B$1,H89,"JDEID")</f>
        <v>#NAME?</v>
      </c>
      <c r="M89" s="24" t="str">
        <f>IF(AND(I89="N",J89="N"),_xll.EVPRO($B$1,H89,"PSFTID"),"")</f>
        <v/>
      </c>
      <c r="N89" s="24" t="e">
        <f ca="1">IF(_xll.EVDES(H89,$B$1)="#NODATA","",_xll.EVDES(H89,$B$1))</f>
        <v>#NAME?</v>
      </c>
      <c r="O89" s="19"/>
      <c r="P89" s="19"/>
      <c r="Q89" s="19"/>
      <c r="R89" s="19"/>
      <c r="S89" s="19"/>
      <c r="T89" s="19"/>
      <c r="U89" s="19"/>
      <c r="V89" s="19"/>
      <c r="W89" s="19"/>
      <c r="X89" s="19"/>
      <c r="Y89" s="19"/>
      <c r="Z89" s="19"/>
      <c r="AA89" s="19">
        <f>SUM(O89:Z89)</f>
        <v>0</v>
      </c>
      <c r="AB89" s="15" t="str">
        <f>IF(AA89=0,"",IFERROR(AA89/AA$19,""))</f>
        <v/>
      </c>
      <c r="AD89" s="19"/>
      <c r="AE89" s="15" t="str">
        <f>IF(AD89=0,"",IFERROR(AD89/AD$19,""))</f>
        <v/>
      </c>
      <c r="AF89" s="47">
        <f>IF(AND($AA89="",AD89=""),"",$AA89-AD89)</f>
        <v>0</v>
      </c>
      <c r="AG89" s="19"/>
      <c r="AH89" s="15" t="str">
        <f t="shared" si="23"/>
        <v/>
      </c>
      <c r="AI89" s="47">
        <f>IF(AND($AA89="",AG89=""),"",$AA89-AG89)</f>
        <v>0</v>
      </c>
    </row>
    <row r="90" spans="3:35" x14ac:dyDescent="0.2">
      <c r="C90" s="23"/>
      <c r="H90" s="133" t="s">
        <v>302</v>
      </c>
      <c r="I90" s="25"/>
      <c r="J90" s="25"/>
      <c r="L90" s="24" t="e">
        <f ca="1">_xll.EVPRO($B$1,H90,"JDEID")</f>
        <v>#NAME?</v>
      </c>
      <c r="M90" s="24" t="str">
        <f>IF(AND(I90="N",J90="N"),_xll.EVPRO($B$1,H90,"PSFTID"),"")</f>
        <v/>
      </c>
      <c r="N90" s="24" t="e">
        <f ca="1">IF(_xll.EVDES(H90,$B$1)="#NODATA","",_xll.EVDES(H90,$B$1))</f>
        <v>#NAME?</v>
      </c>
      <c r="O90" s="19"/>
      <c r="P90" s="19"/>
      <c r="Q90" s="19"/>
      <c r="R90" s="19"/>
      <c r="S90" s="19"/>
      <c r="T90" s="19"/>
      <c r="U90" s="19"/>
      <c r="V90" s="19"/>
      <c r="W90" s="19"/>
      <c r="X90" s="19"/>
      <c r="Y90" s="19"/>
      <c r="Z90" s="19"/>
      <c r="AA90" s="19">
        <f>SUM(O90:Z90)</f>
        <v>0</v>
      </c>
      <c r="AB90" s="15" t="str">
        <f>IF(AA90=0,"",IFERROR(AA90/AA$19,""))</f>
        <v/>
      </c>
      <c r="AD90" s="19"/>
      <c r="AE90" s="15" t="str">
        <f>IF(AD90=0,"",IFERROR(AD90/AD$19,""))</f>
        <v/>
      </c>
      <c r="AF90" s="47">
        <f>IF(AND($AA90="",AD90=""),"",$AA90-AD90)</f>
        <v>0</v>
      </c>
      <c r="AG90" s="19">
        <v>7028</v>
      </c>
      <c r="AH90" s="15" t="str">
        <f t="shared" ca="1" si="23"/>
        <v/>
      </c>
      <c r="AI90" s="47">
        <f>IF(AND($AA90="",AG90=""),"",$AA90-AG90)</f>
        <v>-7028</v>
      </c>
    </row>
    <row r="91" spans="3:35" collapsed="1" x14ac:dyDescent="0.2">
      <c r="C91" s="23"/>
      <c r="H91" s="133" t="s">
        <v>808</v>
      </c>
      <c r="I91" s="25"/>
      <c r="J91" s="25"/>
      <c r="L91" s="24" t="e">
        <f ca="1">_xll.EVPRO($B$1,H91,"JDEID")</f>
        <v>#NAME?</v>
      </c>
      <c r="M91" s="24" t="str">
        <f>IF(AND(I91="N",J91="N"),_xll.EVPRO($B$1,H91,"PSFTID"),"")</f>
        <v/>
      </c>
      <c r="N91" s="24" t="e">
        <f ca="1">IF(_xll.EVDES(H91,$B$1)="#NODATA","",_xll.EVDES(H91,$B$1))</f>
        <v>#NAME?</v>
      </c>
      <c r="O91" s="19"/>
      <c r="P91" s="19"/>
      <c r="Q91" s="19"/>
      <c r="R91" s="19"/>
      <c r="S91" s="19"/>
      <c r="T91" s="19"/>
      <c r="U91" s="19"/>
      <c r="V91" s="19"/>
      <c r="W91" s="19"/>
      <c r="X91" s="19"/>
      <c r="Y91" s="19"/>
      <c r="Z91" s="19"/>
      <c r="AA91" s="19">
        <f>SUM(O91:Z91)</f>
        <v>0</v>
      </c>
      <c r="AB91" s="15" t="str">
        <f>IF(AA91=0,"",IFERROR(AA91/AA$19,""))</f>
        <v/>
      </c>
      <c r="AD91" s="19"/>
      <c r="AE91" s="15" t="str">
        <f>IF(AD91=0,"",IFERROR(AD91/AD$19,""))</f>
        <v/>
      </c>
      <c r="AF91" s="47">
        <f>IF(AND($AA91="",AD91=""),"",$AA91-AD91)</f>
        <v>0</v>
      </c>
      <c r="AG91" s="19">
        <v>2240</v>
      </c>
      <c r="AH91" s="15" t="str">
        <f t="shared" ca="1" si="23"/>
        <v/>
      </c>
      <c r="AI91" s="47">
        <f>IF(AND($AA91="",AG91=""),"",$AA91-AG91)</f>
        <v>-2240</v>
      </c>
    </row>
    <row r="92" spans="3:35" x14ac:dyDescent="0.2">
      <c r="C92" s="23"/>
      <c r="H92" s="133" t="s">
        <v>340</v>
      </c>
      <c r="I92" s="25"/>
      <c r="J92" s="25"/>
      <c r="L92" s="24" t="e">
        <f ca="1">_xll.EVPRO($B$1,H92,"JDEID")</f>
        <v>#NAME?</v>
      </c>
      <c r="M92" s="24" t="str">
        <f>IF(AND(I92="N",J92="N"),_xll.EVPRO($B$1,H92,"PSFTID"),"")</f>
        <v/>
      </c>
      <c r="N92" s="23" t="e">
        <f ca="1">IF(_xll.EVDES(H92,$B$1)="#NODATA","",_xll.EVDES(H92,$B$1))</f>
        <v>#NAME?</v>
      </c>
      <c r="O92" s="145"/>
      <c r="P92" s="145"/>
      <c r="Q92" s="145"/>
      <c r="R92" s="145"/>
      <c r="S92" s="145"/>
      <c r="T92" s="145"/>
      <c r="U92" s="145"/>
      <c r="V92" s="145"/>
      <c r="W92" s="145"/>
      <c r="X92" s="145"/>
      <c r="Y92" s="145"/>
      <c r="Z92" s="145"/>
      <c r="AA92" s="145">
        <f>SUM(O92:Z92)</f>
        <v>0</v>
      </c>
      <c r="AB92" s="156" t="str">
        <f>IF(AA92=0,"",IFERROR(AA92/AA$19,""))</f>
        <v/>
      </c>
      <c r="AD92" s="145"/>
      <c r="AE92" s="156" t="str">
        <f>IF(AD92=0,"",IFERROR(AD92/AD$19,""))</f>
        <v/>
      </c>
      <c r="AF92" s="146">
        <f>IF(AND($AA92="",AD92=""),"",$AA92-AD92)</f>
        <v>0</v>
      </c>
      <c r="AG92" s="145">
        <v>9268</v>
      </c>
      <c r="AH92" s="156" t="str">
        <f t="shared" ca="1" si="23"/>
        <v/>
      </c>
      <c r="AI92" s="146">
        <f>IF(AND($AA92="",AG92=""),"",$AA92-AG92)</f>
        <v>-9268</v>
      </c>
    </row>
    <row r="93" spans="3:35" x14ac:dyDescent="0.2">
      <c r="C93" s="23"/>
      <c r="H93" s="133"/>
      <c r="I93" s="25"/>
      <c r="J93" s="25"/>
      <c r="L93" s="24"/>
      <c r="M93" s="24"/>
      <c r="N93" s="8"/>
      <c r="O93" s="38"/>
      <c r="P93" s="42"/>
      <c r="Q93" s="42"/>
      <c r="R93" s="42"/>
      <c r="S93" s="42"/>
      <c r="T93" s="42"/>
      <c r="U93" s="42"/>
      <c r="V93" s="42"/>
      <c r="W93" s="42"/>
      <c r="X93" s="42"/>
      <c r="Y93" s="42"/>
      <c r="Z93" s="42"/>
      <c r="AA93" s="42"/>
      <c r="AB93" s="39"/>
      <c r="AD93" s="38"/>
      <c r="AE93" s="42"/>
      <c r="AF93" s="39"/>
      <c r="AG93" s="38"/>
      <c r="AH93" s="42"/>
      <c r="AI93" s="39"/>
    </row>
    <row r="94" spans="3:35" x14ac:dyDescent="0.2">
      <c r="C94" s="23"/>
      <c r="H94" s="133"/>
      <c r="I94" s="25"/>
      <c r="J94" s="25"/>
      <c r="L94" s="24"/>
      <c r="M94" s="24"/>
      <c r="N94" s="8" t="s">
        <v>339</v>
      </c>
      <c r="O94" s="40"/>
      <c r="P94" s="43"/>
      <c r="Q94" s="43"/>
      <c r="R94" s="43"/>
      <c r="S94" s="43"/>
      <c r="T94" s="43"/>
      <c r="U94" s="43"/>
      <c r="V94" s="43"/>
      <c r="W94" s="43"/>
      <c r="X94" s="43"/>
      <c r="Y94" s="43"/>
      <c r="Z94" s="43"/>
      <c r="AA94" s="43"/>
      <c r="AB94" s="41"/>
      <c r="AD94" s="40"/>
      <c r="AE94" s="43"/>
      <c r="AF94" s="41"/>
      <c r="AG94" s="40"/>
      <c r="AH94" s="43"/>
      <c r="AI94" s="41"/>
    </row>
    <row r="95" spans="3:35" x14ac:dyDescent="0.2">
      <c r="C95" s="23"/>
      <c r="H95" s="133" t="s">
        <v>295</v>
      </c>
      <c r="I95" s="25"/>
      <c r="J95" s="25"/>
      <c r="L95" s="24" t="e">
        <f ca="1">_xll.EVPRO($B$1,H95,"JDEID")</f>
        <v>#NAME?</v>
      </c>
      <c r="M95" s="24" t="str">
        <f>IF(AND(I95="N",J95="N"),_xll.EVPRO($B$1,H95,"PSFTID"),"")</f>
        <v/>
      </c>
      <c r="N95" s="24" t="e">
        <f ca="1">IF(_xll.EVDES(H95,$B$1)="#NODATA","",_xll.EVDES(H95,$B$1))</f>
        <v>#NAME?</v>
      </c>
      <c r="O95" s="19"/>
      <c r="P95" s="19"/>
      <c r="Q95" s="19"/>
      <c r="R95" s="19"/>
      <c r="S95" s="19"/>
      <c r="T95" s="19"/>
      <c r="U95" s="19"/>
      <c r="V95" s="19"/>
      <c r="W95" s="19"/>
      <c r="X95" s="19"/>
      <c r="Y95" s="19"/>
      <c r="Z95" s="19"/>
      <c r="AA95" s="19">
        <f>SUM(O95:Z95)</f>
        <v>0</v>
      </c>
      <c r="AB95" s="15" t="str">
        <f>IF(AA95=0,"",IFERROR(AA95/AA$19,""))</f>
        <v/>
      </c>
      <c r="AD95" s="19"/>
      <c r="AE95" s="15" t="str">
        <f>IF(AD95=0,"",IFERROR(AD95/AD$19,""))</f>
        <v/>
      </c>
      <c r="AF95" s="47">
        <f>IF(AND($AA95="",AD95=""),"",$AA95-AD95)</f>
        <v>0</v>
      </c>
      <c r="AG95" s="19"/>
      <c r="AH95" s="15" t="str">
        <f>IF(AG95=0,"",IFERROR(AG95/AG$19,""))</f>
        <v/>
      </c>
      <c r="AI95" s="47">
        <f>IF(AND($AA95="",AG95=""),"",$AA95-AG95)</f>
        <v>0</v>
      </c>
    </row>
    <row r="96" spans="3:35" x14ac:dyDescent="0.2">
      <c r="C96" s="23"/>
      <c r="H96" s="133" t="s">
        <v>305</v>
      </c>
      <c r="I96" s="25"/>
      <c r="J96" s="25"/>
      <c r="L96" s="24" t="e">
        <f ca="1">_xll.EVPRO($B$1,H96,"JDEID")</f>
        <v>#NAME?</v>
      </c>
      <c r="M96" s="24" t="str">
        <f>IF(AND(I96="N",J96="N"),_xll.EVPRO($B$1,H96,"PSFTID"),"")</f>
        <v/>
      </c>
      <c r="N96" s="24" t="e">
        <f ca="1">IF(_xll.EVDES(H96,$B$1)="#NODATA","",_xll.EVDES(H96,$B$1))</f>
        <v>#NAME?</v>
      </c>
      <c r="O96" s="19"/>
      <c r="P96" s="19"/>
      <c r="Q96" s="19"/>
      <c r="R96" s="19"/>
      <c r="S96" s="19"/>
      <c r="T96" s="19"/>
      <c r="U96" s="19"/>
      <c r="V96" s="19"/>
      <c r="W96" s="19"/>
      <c r="X96" s="19"/>
      <c r="Y96" s="19"/>
      <c r="Z96" s="19"/>
      <c r="AA96" s="19">
        <f>SUM(O96:Z96)</f>
        <v>0</v>
      </c>
      <c r="AB96" s="15" t="str">
        <f>IF(AA96=0,"",IFERROR(AA96/AA$19,""))</f>
        <v/>
      </c>
      <c r="AD96" s="19"/>
      <c r="AE96" s="15" t="str">
        <f>IF(AD96=0,"",IFERROR(AD96/AD$19,""))</f>
        <v/>
      </c>
      <c r="AF96" s="47">
        <f>IF(AND($AA96="",AD96=""),"",$AA96-AD96)</f>
        <v>0</v>
      </c>
      <c r="AG96" s="19"/>
      <c r="AH96" s="15" t="str">
        <f>IF(AG96=0,"",IFERROR(AG96/AG$19,""))</f>
        <v/>
      </c>
      <c r="AI96" s="47">
        <f>IF(AND($AA96="",AG96=""),"",$AA96-AG96)</f>
        <v>0</v>
      </c>
    </row>
    <row r="97" spans="3:35" x14ac:dyDescent="0.2">
      <c r="C97" s="23"/>
      <c r="H97" s="133" t="s">
        <v>306</v>
      </c>
      <c r="I97" s="25"/>
      <c r="J97" s="25"/>
      <c r="L97" s="24" t="e">
        <f ca="1">_xll.EVPRO($B$1,H97,"JDEID")</f>
        <v>#NAME?</v>
      </c>
      <c r="M97" s="24" t="str">
        <f>IF(AND(I97="N",J97="N"),_xll.EVPRO($B$1,H97,"PSFTID"),"")</f>
        <v/>
      </c>
      <c r="N97" s="24" t="e">
        <f ca="1">IF(_xll.EVDES(H97,$B$1)="#NODATA","",_xll.EVDES(H97,$B$1))</f>
        <v>#NAME?</v>
      </c>
      <c r="O97" s="19"/>
      <c r="P97" s="19"/>
      <c r="Q97" s="19"/>
      <c r="R97" s="19"/>
      <c r="S97" s="19"/>
      <c r="T97" s="19"/>
      <c r="U97" s="19"/>
      <c r="V97" s="19"/>
      <c r="W97" s="19"/>
      <c r="X97" s="19"/>
      <c r="Y97" s="19"/>
      <c r="Z97" s="19"/>
      <c r="AA97" s="19">
        <f>SUM(O97:Z97)</f>
        <v>0</v>
      </c>
      <c r="AB97" s="15" t="str">
        <f>IF(AA97=0,"",IFERROR(AA97/AA$19,""))</f>
        <v/>
      </c>
      <c r="AD97" s="19"/>
      <c r="AE97" s="15" t="str">
        <f>IF(AD97=0,"",IFERROR(AD97/AD$19,""))</f>
        <v/>
      </c>
      <c r="AF97" s="47">
        <f>IF(AND($AA97="",AD97=""),"",$AA97-AD97)</f>
        <v>0</v>
      </c>
      <c r="AG97" s="19">
        <v>510</v>
      </c>
      <c r="AH97" s="15" t="str">
        <f ca="1">IF(AG97=0,"",IFERROR(AG97/AG$19,""))</f>
        <v/>
      </c>
      <c r="AI97" s="47">
        <f>IF(AND($AA97="",AG97=""),"",$AA97-AG97)</f>
        <v>-510</v>
      </c>
    </row>
    <row r="98" spans="3:35" x14ac:dyDescent="0.2">
      <c r="C98" s="23"/>
      <c r="H98" s="133" t="s">
        <v>809</v>
      </c>
      <c r="I98" s="25"/>
      <c r="J98" s="25"/>
      <c r="L98" s="24" t="e">
        <f ca="1">_xll.EVPRO($B$1,H98,"JDEID")</f>
        <v>#NAME?</v>
      </c>
      <c r="M98" s="24" t="str">
        <f>IF(AND(I98="N",J98="N"),_xll.EVPRO($B$1,H98,"PSFTID"),"")</f>
        <v/>
      </c>
      <c r="N98" s="24" t="e">
        <f ca="1">IF(_xll.EVDES(H98,$B$1)="#NODATA","",_xll.EVDES(H98,$B$1))</f>
        <v>#NAME?</v>
      </c>
      <c r="O98" s="19"/>
      <c r="P98" s="19"/>
      <c r="Q98" s="19"/>
      <c r="R98" s="19"/>
      <c r="S98" s="19"/>
      <c r="T98" s="19"/>
      <c r="U98" s="19"/>
      <c r="V98" s="19"/>
      <c r="W98" s="19"/>
      <c r="X98" s="19"/>
      <c r="Y98" s="19"/>
      <c r="Z98" s="19"/>
      <c r="AA98" s="19">
        <f>SUM(O98:Z98)</f>
        <v>0</v>
      </c>
      <c r="AB98" s="15" t="str">
        <f>IF(AA98=0,"",IFERROR(AA98/AA$19,""))</f>
        <v/>
      </c>
      <c r="AD98" s="19"/>
      <c r="AE98" s="15" t="str">
        <f>IF(AD98=0,"",IFERROR(AD98/AD$19,""))</f>
        <v/>
      </c>
      <c r="AF98" s="47">
        <f>IF(AND($AA98="",AD98=""),"",$AA98-AD98)</f>
        <v>0</v>
      </c>
      <c r="AG98" s="19"/>
      <c r="AH98" s="15" t="str">
        <f>IF(AG98=0,"",IFERROR(AG98/AG$19,""))</f>
        <v/>
      </c>
      <c r="AI98" s="47">
        <f>IF(AND($AA98="",AG98=""),"",$AA98-AG98)</f>
        <v>0</v>
      </c>
    </row>
    <row r="99" spans="3:35" x14ac:dyDescent="0.2">
      <c r="C99" s="23"/>
      <c r="H99" s="133" t="s">
        <v>342</v>
      </c>
      <c r="I99" s="25"/>
      <c r="J99" s="25"/>
      <c r="L99" s="24" t="e">
        <f ca="1">_xll.EVPRO($B$1,H99,"JDEID")</f>
        <v>#NAME?</v>
      </c>
      <c r="M99" s="24" t="str">
        <f>IF(AND(I99="N",J99="N"),_xll.EVPRO($B$1,H99,"PSFTID"),"")</f>
        <v/>
      </c>
      <c r="N99" s="23" t="e">
        <f ca="1">IF(_xll.EVDES(H99,$B$1)="#NODATA","",_xll.EVDES(H99,$B$1))</f>
        <v>#NAME?</v>
      </c>
      <c r="O99" s="145"/>
      <c r="P99" s="145"/>
      <c r="Q99" s="145"/>
      <c r="R99" s="145"/>
      <c r="S99" s="145"/>
      <c r="T99" s="145"/>
      <c r="U99" s="145"/>
      <c r="V99" s="145"/>
      <c r="W99" s="145"/>
      <c r="X99" s="145"/>
      <c r="Y99" s="145"/>
      <c r="Z99" s="145"/>
      <c r="AA99" s="145">
        <f>SUM(O99:Z99)</f>
        <v>0</v>
      </c>
      <c r="AB99" s="156" t="str">
        <f>IF(AA99=0,"",IFERROR(AA99/AA$19,""))</f>
        <v/>
      </c>
      <c r="AD99" s="145"/>
      <c r="AE99" s="156" t="str">
        <f>IF(AD99=0,"",IFERROR(AD99/AD$19,""))</f>
        <v/>
      </c>
      <c r="AF99" s="146">
        <f>IF(AND($AA99="",AD99=""),"",$AA99-AD99)</f>
        <v>0</v>
      </c>
      <c r="AG99" s="145">
        <v>510</v>
      </c>
      <c r="AH99" s="156" t="str">
        <f ca="1">IF(AG99=0,"",IFERROR(AG99/AG$19,""))</f>
        <v/>
      </c>
      <c r="AI99" s="146">
        <f>IF(AND($AA99="",AG99=""),"",$AA99-AG99)</f>
        <v>-510</v>
      </c>
    </row>
    <row r="100" spans="3:35" x14ac:dyDescent="0.2">
      <c r="C100" s="23"/>
      <c r="H100" s="133"/>
      <c r="I100" s="25"/>
      <c r="J100" s="25"/>
      <c r="L100" s="24"/>
      <c r="M100" s="24"/>
      <c r="N100" s="8"/>
      <c r="O100" s="38"/>
      <c r="P100" s="42"/>
      <c r="Q100" s="42"/>
      <c r="R100" s="42"/>
      <c r="S100" s="42"/>
      <c r="T100" s="42"/>
      <c r="U100" s="42"/>
      <c r="V100" s="42"/>
      <c r="W100" s="42"/>
      <c r="X100" s="42"/>
      <c r="Y100" s="42"/>
      <c r="Z100" s="42"/>
      <c r="AA100" s="42"/>
      <c r="AB100" s="39"/>
      <c r="AD100" s="38"/>
      <c r="AE100" s="42"/>
      <c r="AF100" s="39"/>
      <c r="AG100" s="38"/>
      <c r="AH100" s="42"/>
      <c r="AI100" s="39"/>
    </row>
    <row r="101" spans="3:35" x14ac:dyDescent="0.2">
      <c r="C101" s="23"/>
      <c r="H101" s="133"/>
      <c r="I101" s="25"/>
      <c r="J101" s="25"/>
      <c r="L101" s="24"/>
      <c r="M101" s="24"/>
      <c r="N101" s="8" t="s">
        <v>338</v>
      </c>
      <c r="O101" s="40"/>
      <c r="P101" s="43"/>
      <c r="Q101" s="43"/>
      <c r="R101" s="43"/>
      <c r="S101" s="43"/>
      <c r="T101" s="43"/>
      <c r="U101" s="43"/>
      <c r="V101" s="43"/>
      <c r="W101" s="43"/>
      <c r="X101" s="43"/>
      <c r="Y101" s="43"/>
      <c r="Z101" s="43"/>
      <c r="AA101" s="43"/>
      <c r="AB101" s="41"/>
      <c r="AD101" s="40"/>
      <c r="AE101" s="43"/>
      <c r="AF101" s="41"/>
      <c r="AG101" s="40"/>
      <c r="AH101" s="43"/>
      <c r="AI101" s="41"/>
    </row>
    <row r="102" spans="3:35" x14ac:dyDescent="0.2">
      <c r="C102" s="23"/>
      <c r="H102" s="133" t="s">
        <v>296</v>
      </c>
      <c r="I102" s="25"/>
      <c r="J102" s="25"/>
      <c r="L102" s="24" t="e">
        <f ca="1">_xll.EVPRO($B$1,H102,"JDEID")</f>
        <v>#NAME?</v>
      </c>
      <c r="M102" s="24" t="str">
        <f>IF(AND(I102="N",J102="N"),_xll.EVPRO($B$1,H102,"PSFTID"),"")</f>
        <v/>
      </c>
      <c r="N102" s="24" t="e">
        <f ca="1">IF(_xll.EVDES(H102,$B$1)="#NODATA","",_xll.EVDES(H102,$B$1))</f>
        <v>#NAME?</v>
      </c>
      <c r="O102" s="19"/>
      <c r="P102" s="19"/>
      <c r="Q102" s="19"/>
      <c r="R102" s="19"/>
      <c r="S102" s="19"/>
      <c r="T102" s="19"/>
      <c r="U102" s="19"/>
      <c r="V102" s="19"/>
      <c r="W102" s="19"/>
      <c r="X102" s="19"/>
      <c r="Y102" s="19"/>
      <c r="Z102" s="19"/>
      <c r="AA102" s="19">
        <f>SUM(O102:Z102)</f>
        <v>0</v>
      </c>
      <c r="AB102" s="15" t="str">
        <f>IF(AA102=0,"",IFERROR(AA102/AA$19,""))</f>
        <v/>
      </c>
      <c r="AD102" s="19"/>
      <c r="AE102" s="15" t="str">
        <f>IF(AD102=0,"",IFERROR(AD102/AD$19,""))</f>
        <v/>
      </c>
      <c r="AF102" s="47">
        <f>IF(AND($AA102="",AD102=""),"",$AA102-AD102)</f>
        <v>0</v>
      </c>
      <c r="AG102" s="19"/>
      <c r="AH102" s="15" t="str">
        <f>IF(AG102=0,"",IFERROR(AG102/AG$19,""))</f>
        <v/>
      </c>
      <c r="AI102" s="47">
        <f>IF(AND($AA102="",AG102=""),"",$AA102-AG102)</f>
        <v>0</v>
      </c>
    </row>
    <row r="103" spans="3:35" x14ac:dyDescent="0.2">
      <c r="C103" s="23"/>
      <c r="H103" s="133" t="s">
        <v>303</v>
      </c>
      <c r="I103" s="25"/>
      <c r="J103" s="25"/>
      <c r="L103" s="24" t="e">
        <f ca="1">_xll.EVPRO($B$1,H103,"JDEID")</f>
        <v>#NAME?</v>
      </c>
      <c r="M103" s="24" t="str">
        <f>IF(AND(I103="N",J103="N"),_xll.EVPRO($B$1,H103,"PSFTID"),"")</f>
        <v/>
      </c>
      <c r="N103" s="24" t="e">
        <f ca="1">IF(_xll.EVDES(H103,$B$1)="#NODATA","",_xll.EVDES(H103,$B$1))</f>
        <v>#NAME?</v>
      </c>
      <c r="O103" s="19"/>
      <c r="P103" s="19"/>
      <c r="Q103" s="19"/>
      <c r="R103" s="19"/>
      <c r="S103" s="19"/>
      <c r="T103" s="19"/>
      <c r="U103" s="19"/>
      <c r="V103" s="19"/>
      <c r="W103" s="19"/>
      <c r="X103" s="19"/>
      <c r="Y103" s="19"/>
      <c r="Z103" s="19"/>
      <c r="AA103" s="19">
        <f>SUM(O103:Z103)</f>
        <v>0</v>
      </c>
      <c r="AB103" s="15" t="str">
        <f>IF(AA103=0,"",IFERROR(AA103/AA$19,""))</f>
        <v/>
      </c>
      <c r="AD103" s="19"/>
      <c r="AE103" s="15" t="str">
        <f>IF(AD103=0,"",IFERROR(AD103/AD$19,""))</f>
        <v/>
      </c>
      <c r="AF103" s="47">
        <f>IF(AND($AA103="",AD103=""),"",$AA103-AD103)</f>
        <v>0</v>
      </c>
      <c r="AG103" s="19"/>
      <c r="AH103" s="15" t="str">
        <f>IF(AG103=0,"",IFERROR(AG103/AG$19,""))</f>
        <v/>
      </c>
      <c r="AI103" s="47">
        <f>IF(AND($AA103="",AG103=""),"",$AA103-AG103)</f>
        <v>0</v>
      </c>
    </row>
    <row r="104" spans="3:35" x14ac:dyDescent="0.2">
      <c r="C104" s="23"/>
      <c r="H104" s="133" t="s">
        <v>304</v>
      </c>
      <c r="I104" s="25"/>
      <c r="J104" s="25"/>
      <c r="L104" s="24" t="e">
        <f ca="1">_xll.EVPRO($B$1,H104,"JDEID")</f>
        <v>#NAME?</v>
      </c>
      <c r="M104" s="24" t="str">
        <f>IF(AND(I104="N",J104="N"),_xll.EVPRO($B$1,H104,"PSFTID"),"")</f>
        <v/>
      </c>
      <c r="N104" s="24" t="e">
        <f ca="1">IF(_xll.EVDES(H104,$B$1)="#NODATA","",_xll.EVDES(H104,$B$1))</f>
        <v>#NAME?</v>
      </c>
      <c r="O104" s="19"/>
      <c r="P104" s="19"/>
      <c r="Q104" s="19"/>
      <c r="R104" s="19"/>
      <c r="S104" s="19"/>
      <c r="T104" s="19"/>
      <c r="U104" s="19"/>
      <c r="V104" s="19"/>
      <c r="W104" s="19"/>
      <c r="X104" s="19"/>
      <c r="Y104" s="19"/>
      <c r="Z104" s="19"/>
      <c r="AA104" s="19">
        <f>SUM(O104:Z104)</f>
        <v>0</v>
      </c>
      <c r="AB104" s="15" t="str">
        <f>IF(AA104=0,"",IFERROR(AA104/AA$19,""))</f>
        <v/>
      </c>
      <c r="AD104" s="19"/>
      <c r="AE104" s="15" t="str">
        <f>IF(AD104=0,"",IFERROR(AD104/AD$19,""))</f>
        <v/>
      </c>
      <c r="AF104" s="47">
        <f>IF(AND($AA104="",AD104=""),"",$AA104-AD104)</f>
        <v>0</v>
      </c>
      <c r="AG104" s="19">
        <v>753.79</v>
      </c>
      <c r="AH104" s="15" t="str">
        <f ca="1">IF(AG104=0,"",IFERROR(AG104/AG$19,""))</f>
        <v/>
      </c>
      <c r="AI104" s="47">
        <f>IF(AND($AA104="",AG104=""),"",$AA104-AG104)</f>
        <v>-753.79</v>
      </c>
    </row>
    <row r="105" spans="3:35" x14ac:dyDescent="0.2">
      <c r="C105" s="23"/>
      <c r="H105" s="133" t="s">
        <v>810</v>
      </c>
      <c r="I105" s="25"/>
      <c r="J105" s="25"/>
      <c r="L105" s="24" t="e">
        <f ca="1">_xll.EVPRO($B$1,H105,"JDEID")</f>
        <v>#NAME?</v>
      </c>
      <c r="M105" s="24" t="str">
        <f>IF(AND(I105="N",J105="N"),_xll.EVPRO($B$1,H105,"PSFTID"),"")</f>
        <v/>
      </c>
      <c r="N105" s="24" t="e">
        <f ca="1">IF(_xll.EVDES(H105,$B$1)="#NODATA","",_xll.EVDES(H105,$B$1))</f>
        <v>#NAME?</v>
      </c>
      <c r="O105" s="19"/>
      <c r="P105" s="19"/>
      <c r="Q105" s="19"/>
      <c r="R105" s="19"/>
      <c r="S105" s="19"/>
      <c r="T105" s="19"/>
      <c r="U105" s="19"/>
      <c r="V105" s="19"/>
      <c r="W105" s="19"/>
      <c r="X105" s="19"/>
      <c r="Y105" s="19"/>
      <c r="Z105" s="19"/>
      <c r="AA105" s="19">
        <f>SUM(O105:Z105)</f>
        <v>0</v>
      </c>
      <c r="AB105" s="15" t="str">
        <f>IF(AA105=0,"",IFERROR(AA105/AA$19,""))</f>
        <v/>
      </c>
      <c r="AD105" s="19"/>
      <c r="AE105" s="15" t="str">
        <f>IF(AD105=0,"",IFERROR(AD105/AD$19,""))</f>
        <v/>
      </c>
      <c r="AF105" s="47">
        <f>IF(AND($AA105="",AD105=""),"",$AA105-AD105)</f>
        <v>0</v>
      </c>
      <c r="AG105" s="19"/>
      <c r="AH105" s="15" t="str">
        <f>IF(AG105=0,"",IFERROR(AG105/AG$19,""))</f>
        <v/>
      </c>
      <c r="AI105" s="47">
        <f>IF(AND($AA105="",AG105=""),"",$AA105-AG105)</f>
        <v>0</v>
      </c>
    </row>
    <row r="106" spans="3:35" x14ac:dyDescent="0.2">
      <c r="C106" s="23"/>
      <c r="H106" s="133" t="s">
        <v>341</v>
      </c>
      <c r="I106" s="25"/>
      <c r="J106" s="25"/>
      <c r="L106" s="24" t="e">
        <f ca="1">_xll.EVPRO($B$1,H106,"JDEID")</f>
        <v>#NAME?</v>
      </c>
      <c r="M106" s="24" t="str">
        <f>IF(AND(I106="N",J106="N"),_xll.EVPRO($B$1,H106,"PSFTID"),"")</f>
        <v/>
      </c>
      <c r="N106" s="23" t="e">
        <f ca="1">IF(_xll.EVDES(H106,$B$1)="#NODATA","",_xll.EVDES(H106,$B$1))</f>
        <v>#NAME?</v>
      </c>
      <c r="O106" s="145"/>
      <c r="P106" s="145"/>
      <c r="Q106" s="145"/>
      <c r="R106" s="145"/>
      <c r="S106" s="145"/>
      <c r="T106" s="145"/>
      <c r="U106" s="145"/>
      <c r="V106" s="145"/>
      <c r="W106" s="145"/>
      <c r="X106" s="145"/>
      <c r="Y106" s="145"/>
      <c r="Z106" s="145"/>
      <c r="AA106" s="145">
        <f>SUM(O106:Z106)</f>
        <v>0</v>
      </c>
      <c r="AB106" s="156" t="str">
        <f>IF(AA106=0,"",IFERROR(AA106/AA$19,""))</f>
        <v/>
      </c>
      <c r="AD106" s="145"/>
      <c r="AE106" s="156" t="str">
        <f>IF(AD106=0,"",IFERROR(AD106/AD$19,""))</f>
        <v/>
      </c>
      <c r="AF106" s="146">
        <f>IF(AND($AA106="",AD106=""),"",$AA106-AD106)</f>
        <v>0</v>
      </c>
      <c r="AG106" s="145">
        <v>753.79</v>
      </c>
      <c r="AH106" s="156" t="str">
        <f ca="1">IF(AG106=0,"",IFERROR(AG106/AG$19,""))</f>
        <v/>
      </c>
      <c r="AI106" s="146">
        <f>IF(AND($AA106="",AG106=""),"",$AA106-AG106)</f>
        <v>-753.79</v>
      </c>
    </row>
    <row r="107" spans="3:35" x14ac:dyDescent="0.2">
      <c r="C107" s="23"/>
      <c r="H107" s="133"/>
      <c r="I107" s="25"/>
      <c r="J107" s="25"/>
      <c r="L107" s="24"/>
      <c r="M107" s="24"/>
      <c r="O107" s="38"/>
      <c r="P107" s="42"/>
      <c r="Q107" s="42"/>
      <c r="R107" s="42"/>
      <c r="S107" s="42"/>
      <c r="T107" s="42"/>
      <c r="U107" s="42"/>
      <c r="V107" s="42"/>
      <c r="W107" s="42"/>
      <c r="X107" s="42"/>
      <c r="Y107" s="42"/>
      <c r="Z107" s="42"/>
      <c r="AA107" s="42"/>
      <c r="AB107" s="39"/>
      <c r="AD107" s="38"/>
      <c r="AE107" s="42"/>
      <c r="AF107" s="39"/>
      <c r="AG107" s="38"/>
      <c r="AH107" s="42"/>
      <c r="AI107" s="39"/>
    </row>
    <row r="108" spans="3:35" x14ac:dyDescent="0.2">
      <c r="C108" s="23"/>
      <c r="H108" s="10" t="s">
        <v>267</v>
      </c>
      <c r="I108" s="25"/>
      <c r="J108" s="25"/>
      <c r="L108" s="24" t="e">
        <f ca="1">_xll.EVPRO($B$1,H108,"JDEID")</f>
        <v>#NAME?</v>
      </c>
      <c r="M108" s="24" t="str">
        <f>IF(AND(I108="N",J108="N"),_xll.EVPRO($B$1,H108,"PSFTID"),"")</f>
        <v/>
      </c>
      <c r="N108" s="24" t="e">
        <f ca="1">IF(_xll.EVDES(H108,$B$1)="#NODATA","",_xll.EVDES(H108,$B$1))</f>
        <v>#NAME?</v>
      </c>
      <c r="O108" s="19">
        <f t="shared" ref="O108:Z111" si="24">O88+O95+O102</f>
        <v>0</v>
      </c>
      <c r="P108" s="19">
        <f t="shared" si="24"/>
        <v>0</v>
      </c>
      <c r="Q108" s="19">
        <f t="shared" si="24"/>
        <v>0</v>
      </c>
      <c r="R108" s="19">
        <f t="shared" si="24"/>
        <v>0</v>
      </c>
      <c r="S108" s="19">
        <f t="shared" si="24"/>
        <v>0</v>
      </c>
      <c r="T108" s="19">
        <f t="shared" si="24"/>
        <v>0</v>
      </c>
      <c r="U108" s="19">
        <f t="shared" si="24"/>
        <v>0</v>
      </c>
      <c r="V108" s="19">
        <f t="shared" si="24"/>
        <v>0</v>
      </c>
      <c r="W108" s="19">
        <f t="shared" si="24"/>
        <v>0</v>
      </c>
      <c r="X108" s="19">
        <f t="shared" si="24"/>
        <v>0</v>
      </c>
      <c r="Y108" s="19">
        <f t="shared" si="24"/>
        <v>0</v>
      </c>
      <c r="Z108" s="19">
        <f t="shared" si="24"/>
        <v>0</v>
      </c>
      <c r="AA108" s="19">
        <f>SUM(O108:Z108)</f>
        <v>0</v>
      </c>
      <c r="AB108" s="15" t="str">
        <f>IF(AA108=0,"",IFERROR(AA108/AA$19,""))</f>
        <v/>
      </c>
      <c r="AD108" s="19">
        <f>AD88+AD95+AD102</f>
        <v>0</v>
      </c>
      <c r="AE108" s="15" t="str">
        <f>IF(AD108=0,"",IFERROR(AD108/AD$19,""))</f>
        <v/>
      </c>
      <c r="AF108" s="47">
        <f>IF(AND($AA108="",AD108=""),"",$AA108-AD108)</f>
        <v>0</v>
      </c>
      <c r="AG108" s="19">
        <f>AG88+AG95+AG102</f>
        <v>0</v>
      </c>
      <c r="AH108" s="15" t="str">
        <f>IF(AG108=0,"",IFERROR(AG108/AG$19,""))</f>
        <v/>
      </c>
      <c r="AI108" s="47">
        <f>IF(AND($AA108="",AG108=""),"",$AA108-AG108)</f>
        <v>0</v>
      </c>
    </row>
    <row r="109" spans="3:35" x14ac:dyDescent="0.2">
      <c r="C109" s="23"/>
      <c r="H109" s="10" t="s">
        <v>268</v>
      </c>
      <c r="I109" s="25"/>
      <c r="J109" s="25"/>
      <c r="L109" s="24" t="e">
        <f ca="1">_xll.EVPRO($B$1,H109,"JDEID")</f>
        <v>#NAME?</v>
      </c>
      <c r="M109" s="24" t="str">
        <f>IF(AND(I109="N",J109="N"),_xll.EVPRO($B$1,H109,"PSFTID"),"")</f>
        <v/>
      </c>
      <c r="N109" s="24" t="e">
        <f ca="1">IF(_xll.EVDES(H109,$B$1)="#NODATA","",_xll.EVDES(H109,$B$1))</f>
        <v>#NAME?</v>
      </c>
      <c r="O109" s="19">
        <f t="shared" si="24"/>
        <v>0</v>
      </c>
      <c r="P109" s="19">
        <f t="shared" si="24"/>
        <v>0</v>
      </c>
      <c r="Q109" s="19">
        <f t="shared" si="24"/>
        <v>0</v>
      </c>
      <c r="R109" s="19">
        <f t="shared" si="24"/>
        <v>0</v>
      </c>
      <c r="S109" s="19">
        <f t="shared" si="24"/>
        <v>0</v>
      </c>
      <c r="T109" s="19">
        <f t="shared" si="24"/>
        <v>0</v>
      </c>
      <c r="U109" s="19">
        <f t="shared" si="24"/>
        <v>0</v>
      </c>
      <c r="V109" s="19">
        <f t="shared" si="24"/>
        <v>0</v>
      </c>
      <c r="W109" s="19">
        <f t="shared" si="24"/>
        <v>0</v>
      </c>
      <c r="X109" s="19">
        <f t="shared" si="24"/>
        <v>0</v>
      </c>
      <c r="Y109" s="19">
        <f t="shared" si="24"/>
        <v>0</v>
      </c>
      <c r="Z109" s="19">
        <f t="shared" si="24"/>
        <v>0</v>
      </c>
      <c r="AA109" s="19">
        <f>SUM(O109:Z109)</f>
        <v>0</v>
      </c>
      <c r="AB109" s="15" t="str">
        <f>IF(AA109=0,"",IFERROR(AA109/AA$19,""))</f>
        <v/>
      </c>
      <c r="AD109" s="19">
        <f>AD89+AD96+AD103</f>
        <v>0</v>
      </c>
      <c r="AE109" s="15" t="str">
        <f>IF(AD109=0,"",IFERROR(AD109/AD$19,""))</f>
        <v/>
      </c>
      <c r="AF109" s="47">
        <f>IF(AND($AA109="",AD109=""),"",$AA109-AD109)</f>
        <v>0</v>
      </c>
      <c r="AG109" s="19">
        <f>AG89+AG96+AG103</f>
        <v>0</v>
      </c>
      <c r="AH109" s="15" t="str">
        <f>IF(AG109=0,"",IFERROR(AG109/AG$19,""))</f>
        <v/>
      </c>
      <c r="AI109" s="47">
        <f>IF(AND($AA109="",AG109=""),"",$AA109-AG109)</f>
        <v>0</v>
      </c>
    </row>
    <row r="110" spans="3:35" x14ac:dyDescent="0.2">
      <c r="C110" s="23"/>
      <c r="H110" s="133" t="s">
        <v>269</v>
      </c>
      <c r="I110" s="25"/>
      <c r="J110" s="25"/>
      <c r="L110" s="24" t="e">
        <f ca="1">_xll.EVPRO($B$1,H110,"JDEID")</f>
        <v>#NAME?</v>
      </c>
      <c r="M110" s="24" t="str">
        <f>IF(AND(I110="N",J110="N"),_xll.EVPRO($B$1,H110,"PSFTID"),"")</f>
        <v/>
      </c>
      <c r="N110" s="24" t="e">
        <f ca="1">IF(_xll.EVDES(H110,$B$1)="#NODATA","",_xll.EVDES(H110,$B$1))</f>
        <v>#NAME?</v>
      </c>
      <c r="O110" s="19">
        <f t="shared" si="24"/>
        <v>0</v>
      </c>
      <c r="P110" s="19">
        <f t="shared" si="24"/>
        <v>0</v>
      </c>
      <c r="Q110" s="19">
        <f t="shared" si="24"/>
        <v>0</v>
      </c>
      <c r="R110" s="19">
        <f t="shared" si="24"/>
        <v>0</v>
      </c>
      <c r="S110" s="19">
        <f t="shared" si="24"/>
        <v>0</v>
      </c>
      <c r="T110" s="19">
        <f t="shared" si="24"/>
        <v>0</v>
      </c>
      <c r="U110" s="19">
        <f t="shared" si="24"/>
        <v>0</v>
      </c>
      <c r="V110" s="19">
        <f t="shared" si="24"/>
        <v>0</v>
      </c>
      <c r="W110" s="19">
        <f t="shared" si="24"/>
        <v>0</v>
      </c>
      <c r="X110" s="19">
        <f t="shared" si="24"/>
        <v>0</v>
      </c>
      <c r="Y110" s="19">
        <f t="shared" si="24"/>
        <v>0</v>
      </c>
      <c r="Z110" s="19">
        <f t="shared" si="24"/>
        <v>0</v>
      </c>
      <c r="AA110" s="19">
        <f>SUM(O110:Z110)</f>
        <v>0</v>
      </c>
      <c r="AB110" s="15" t="str">
        <f>IF(AA110=0,"",IFERROR(AA110/AA$19,""))</f>
        <v/>
      </c>
      <c r="AD110" s="19">
        <f>AD90+AD97+AD104</f>
        <v>0</v>
      </c>
      <c r="AE110" s="15" t="str">
        <f>IF(AD110=0,"",IFERROR(AD110/AD$19,""))</f>
        <v/>
      </c>
      <c r="AF110" s="47">
        <f>IF(AND($AA110="",AD110=""),"",$AA110-AD110)</f>
        <v>0</v>
      </c>
      <c r="AG110" s="19">
        <f>AG90+AG97+AG104</f>
        <v>8291.7900000000009</v>
      </c>
      <c r="AH110" s="15" t="str">
        <f ca="1">IF(AG110=0,"",IFERROR(AG110/AG$19,""))</f>
        <v/>
      </c>
      <c r="AI110" s="47">
        <f>IF(AND($AA110="",AG110=""),"",$AA110-AG110)</f>
        <v>-8291.7900000000009</v>
      </c>
    </row>
    <row r="111" spans="3:35" x14ac:dyDescent="0.2">
      <c r="C111" s="23"/>
      <c r="H111" s="133" t="s">
        <v>791</v>
      </c>
      <c r="I111" s="25"/>
      <c r="J111" s="25"/>
      <c r="L111" s="24" t="e">
        <f ca="1">_xll.EVPRO($B$1,H111,"JDEID")</f>
        <v>#NAME?</v>
      </c>
      <c r="M111" s="24" t="str">
        <f>IF(AND(I111="N",J111="N"),_xll.EVPRO($B$1,H111,"PSFTID"),"")</f>
        <v/>
      </c>
      <c r="N111" s="24" t="e">
        <f ca="1">IF(_xll.EVDES(H111,$B$1)="#NODATA","",_xll.EVDES(H111,$B$1))</f>
        <v>#NAME?</v>
      </c>
      <c r="O111" s="19">
        <f t="shared" si="24"/>
        <v>0</v>
      </c>
      <c r="P111" s="19">
        <f t="shared" si="24"/>
        <v>0</v>
      </c>
      <c r="Q111" s="19">
        <f t="shared" si="24"/>
        <v>0</v>
      </c>
      <c r="R111" s="19">
        <f t="shared" si="24"/>
        <v>0</v>
      </c>
      <c r="S111" s="19">
        <f t="shared" si="24"/>
        <v>0</v>
      </c>
      <c r="T111" s="19">
        <f t="shared" si="24"/>
        <v>0</v>
      </c>
      <c r="U111" s="19">
        <f t="shared" si="24"/>
        <v>0</v>
      </c>
      <c r="V111" s="19">
        <f t="shared" si="24"/>
        <v>0</v>
      </c>
      <c r="W111" s="19">
        <f t="shared" si="24"/>
        <v>0</v>
      </c>
      <c r="X111" s="19">
        <f t="shared" si="24"/>
        <v>0</v>
      </c>
      <c r="Y111" s="19">
        <f t="shared" si="24"/>
        <v>0</v>
      </c>
      <c r="Z111" s="19">
        <f t="shared" si="24"/>
        <v>0</v>
      </c>
      <c r="AA111" s="19">
        <f>SUM(O111:Z111)</f>
        <v>0</v>
      </c>
      <c r="AB111" s="15" t="str">
        <f>IF(AA111=0,"",IFERROR(AA111/AA$19,""))</f>
        <v/>
      </c>
      <c r="AD111" s="19">
        <f>AD91+AD98+AD105</f>
        <v>0</v>
      </c>
      <c r="AE111" s="15" t="str">
        <f>IF(AD111=0,"",IFERROR(AD111/AD$19,""))</f>
        <v/>
      </c>
      <c r="AF111" s="47">
        <f>IF(AND($AA111="",AD111=""),"",$AA111-AD111)</f>
        <v>0</v>
      </c>
      <c r="AG111" s="19">
        <f>AG91+AG98+AG105</f>
        <v>2240</v>
      </c>
      <c r="AH111" s="15" t="str">
        <f ca="1">IF(AG111=0,"",IFERROR(AG111/AG$19,""))</f>
        <v/>
      </c>
      <c r="AI111" s="47">
        <f>IF(AND($AA111="",AG111=""),"",$AA111-AG111)</f>
        <v>-2240</v>
      </c>
    </row>
    <row r="112" spans="3:35" x14ac:dyDescent="0.2">
      <c r="C112" s="23"/>
      <c r="H112" s="10" t="s">
        <v>272</v>
      </c>
      <c r="I112" s="25"/>
      <c r="J112" s="25"/>
      <c r="L112" s="24" t="e">
        <f ca="1">_xll.EVPRO($B$1,H112,"JDEID")</f>
        <v>#NAME?</v>
      </c>
      <c r="M112" s="24" t="str">
        <f>IF(AND(I112="N",J112="N"),_xll.EVPRO($B$1,H112,"PSFTID"),"")</f>
        <v/>
      </c>
      <c r="N112" s="23" t="e">
        <f ca="1">IF(_xll.EVDES(H112,$B$1)="#NODATA","",_xll.EVDES(H112,$B$1))</f>
        <v>#NAME?</v>
      </c>
      <c r="O112" s="145">
        <f t="shared" ref="O112:Z112" si="25">SUM(O108:O111)</f>
        <v>0</v>
      </c>
      <c r="P112" s="145">
        <f t="shared" si="25"/>
        <v>0</v>
      </c>
      <c r="Q112" s="145">
        <f t="shared" si="25"/>
        <v>0</v>
      </c>
      <c r="R112" s="145">
        <f t="shared" si="25"/>
        <v>0</v>
      </c>
      <c r="S112" s="145">
        <f t="shared" si="25"/>
        <v>0</v>
      </c>
      <c r="T112" s="145">
        <f t="shared" si="25"/>
        <v>0</v>
      </c>
      <c r="U112" s="145">
        <f t="shared" si="25"/>
        <v>0</v>
      </c>
      <c r="V112" s="145">
        <f t="shared" si="25"/>
        <v>0</v>
      </c>
      <c r="W112" s="145">
        <f t="shared" si="25"/>
        <v>0</v>
      </c>
      <c r="X112" s="145">
        <f t="shared" si="25"/>
        <v>0</v>
      </c>
      <c r="Y112" s="145">
        <f t="shared" si="25"/>
        <v>0</v>
      </c>
      <c r="Z112" s="145">
        <f t="shared" si="25"/>
        <v>0</v>
      </c>
      <c r="AA112" s="145">
        <f>SUM(O112:Z112)</f>
        <v>0</v>
      </c>
      <c r="AB112" s="156" t="str">
        <f>IF(AA112=0,"",IFERROR(AA112/AA$19,""))</f>
        <v/>
      </c>
      <c r="AD112" s="145">
        <f>SUM(AD108:AD111)</f>
        <v>0</v>
      </c>
      <c r="AE112" s="156" t="str">
        <f>IF(AD112=0,"",IFERROR(AD112/AD$19,""))</f>
        <v/>
      </c>
      <c r="AF112" s="146">
        <f>IF(AND($AA112="",AD112=""),"",$AA112-AD112)</f>
        <v>0</v>
      </c>
      <c r="AG112" s="145">
        <f>SUM(AG108:AG111)</f>
        <v>10531.79</v>
      </c>
      <c r="AH112" s="156" t="str">
        <f ca="1">IF(AG112=0,"",IFERROR(AG112/AG$19,""))</f>
        <v/>
      </c>
      <c r="AI112" s="146">
        <f>IF(AND($AA112="",AG112=""),"",$AA112-AG112)</f>
        <v>-10531.79</v>
      </c>
    </row>
    <row r="113" spans="3:35" x14ac:dyDescent="0.2">
      <c r="C113" s="23"/>
      <c r="H113" s="133"/>
      <c r="I113" s="25"/>
      <c r="J113" s="25"/>
      <c r="O113" s="124">
        <f t="shared" ref="O113:AA113" si="26">O92+O99+O106-O112</f>
        <v>0</v>
      </c>
      <c r="P113" s="124">
        <f t="shared" si="26"/>
        <v>0</v>
      </c>
      <c r="Q113" s="124">
        <f t="shared" si="26"/>
        <v>0</v>
      </c>
      <c r="R113" s="124">
        <f t="shared" si="26"/>
        <v>0</v>
      </c>
      <c r="S113" s="124">
        <f t="shared" si="26"/>
        <v>0</v>
      </c>
      <c r="T113" s="124">
        <f t="shared" si="26"/>
        <v>0</v>
      </c>
      <c r="U113" s="124">
        <f t="shared" si="26"/>
        <v>0</v>
      </c>
      <c r="V113" s="124">
        <f t="shared" si="26"/>
        <v>0</v>
      </c>
      <c r="W113" s="124">
        <f t="shared" si="26"/>
        <v>0</v>
      </c>
      <c r="X113" s="124">
        <f t="shared" si="26"/>
        <v>0</v>
      </c>
      <c r="Y113" s="124">
        <f t="shared" si="26"/>
        <v>0</v>
      </c>
      <c r="Z113" s="124">
        <f t="shared" si="26"/>
        <v>0</v>
      </c>
      <c r="AA113" s="124">
        <f t="shared" si="26"/>
        <v>0</v>
      </c>
      <c r="AB113" s="15"/>
      <c r="AD113" s="124">
        <f>AD92+AD99+AD106-AD112</f>
        <v>0</v>
      </c>
      <c r="AE113" s="15"/>
      <c r="AF113" s="19"/>
      <c r="AG113" s="124">
        <f>AG92+AG99+AG106-AG112</f>
        <v>0</v>
      </c>
      <c r="AH113" s="15"/>
      <c r="AI113" s="19"/>
    </row>
    <row r="114" spans="3:35" x14ac:dyDescent="0.2">
      <c r="C114" s="23"/>
      <c r="H114" s="133"/>
      <c r="I114" s="25"/>
      <c r="J114" s="25"/>
      <c r="O114" s="38"/>
      <c r="P114" s="42"/>
      <c r="Q114" s="42"/>
      <c r="R114" s="42"/>
      <c r="S114" s="42"/>
      <c r="T114" s="42"/>
      <c r="U114" s="42"/>
      <c r="V114" s="42"/>
      <c r="W114" s="42"/>
      <c r="X114" s="42"/>
      <c r="Y114" s="42"/>
      <c r="Z114" s="42"/>
      <c r="AA114" s="42"/>
      <c r="AB114" s="39"/>
      <c r="AD114" s="38"/>
      <c r="AE114" s="42"/>
      <c r="AF114" s="39"/>
      <c r="AG114" s="38"/>
      <c r="AH114" s="42"/>
      <c r="AI114" s="39"/>
    </row>
    <row r="115" spans="3:35" x14ac:dyDescent="0.2">
      <c r="C115" s="23"/>
    </row>
    <row r="116" spans="3:35" x14ac:dyDescent="0.2">
      <c r="C116" s="23"/>
      <c r="H116" s="133"/>
      <c r="I116" s="25"/>
      <c r="J116" s="25"/>
      <c r="N116" s="24" t="e">
        <f ca="1">N82&amp;" - Check"</f>
        <v>#NAME?</v>
      </c>
      <c r="O116" s="124">
        <f t="shared" ref="O116:AA116" si="27">O39+O49+O59+O69+O75+O80-O82</f>
        <v>0</v>
      </c>
      <c r="P116" s="124">
        <f t="shared" si="27"/>
        <v>0</v>
      </c>
      <c r="Q116" s="124">
        <f t="shared" si="27"/>
        <v>0</v>
      </c>
      <c r="R116" s="124">
        <f t="shared" si="27"/>
        <v>0</v>
      </c>
      <c r="S116" s="124">
        <f t="shared" si="27"/>
        <v>0</v>
      </c>
      <c r="T116" s="124">
        <f t="shared" si="27"/>
        <v>0</v>
      </c>
      <c r="U116" s="124">
        <f t="shared" si="27"/>
        <v>0</v>
      </c>
      <c r="V116" s="124">
        <f t="shared" si="27"/>
        <v>0</v>
      </c>
      <c r="W116" s="124">
        <f t="shared" si="27"/>
        <v>0</v>
      </c>
      <c r="X116" s="124">
        <f t="shared" si="27"/>
        <v>0</v>
      </c>
      <c r="Y116" s="124">
        <f t="shared" si="27"/>
        <v>0</v>
      </c>
      <c r="Z116" s="124">
        <f t="shared" si="27"/>
        <v>0</v>
      </c>
      <c r="AA116" s="124">
        <f t="shared" si="27"/>
        <v>0</v>
      </c>
      <c r="AB116" s="15"/>
      <c r="AD116" s="124">
        <f>AD39+AD49+AD59+AD69+AD75+AD80-AD82</f>
        <v>0</v>
      </c>
      <c r="AE116" s="15"/>
      <c r="AF116" s="19"/>
      <c r="AG116" s="124">
        <f>AG39+AG49+AG59+AG69+AG75+AG80-AG82</f>
        <v>0</v>
      </c>
      <c r="AH116" s="15"/>
      <c r="AI116" s="19"/>
    </row>
    <row r="117" spans="3:35" x14ac:dyDescent="0.2">
      <c r="C117" s="23"/>
      <c r="H117" s="133"/>
      <c r="I117" s="25"/>
      <c r="J117" s="25"/>
      <c r="N117" s="24" t="e">
        <f ca="1">N83&amp;" - Check"</f>
        <v>#NAME?</v>
      </c>
      <c r="O117" s="124">
        <f t="shared" ref="O117:AA117" si="28">O41+O51+O61+O70+O76-O83</f>
        <v>0</v>
      </c>
      <c r="P117" s="124">
        <f t="shared" si="28"/>
        <v>0</v>
      </c>
      <c r="Q117" s="124">
        <f t="shared" si="28"/>
        <v>0</v>
      </c>
      <c r="R117" s="124">
        <f t="shared" si="28"/>
        <v>0</v>
      </c>
      <c r="S117" s="124">
        <f t="shared" si="28"/>
        <v>0</v>
      </c>
      <c r="T117" s="124">
        <f t="shared" si="28"/>
        <v>0</v>
      </c>
      <c r="U117" s="124">
        <f t="shared" si="28"/>
        <v>0</v>
      </c>
      <c r="V117" s="124">
        <f t="shared" si="28"/>
        <v>0</v>
      </c>
      <c r="W117" s="124">
        <f t="shared" si="28"/>
        <v>0</v>
      </c>
      <c r="X117" s="124">
        <f t="shared" si="28"/>
        <v>0</v>
      </c>
      <c r="Y117" s="124">
        <f t="shared" si="28"/>
        <v>0</v>
      </c>
      <c r="Z117" s="124">
        <f t="shared" si="28"/>
        <v>0</v>
      </c>
      <c r="AA117" s="124">
        <f t="shared" si="28"/>
        <v>0</v>
      </c>
      <c r="AB117" s="15"/>
      <c r="AD117" s="124">
        <f>AD41+AD51+AD61+AD70+AD76-AD83</f>
        <v>0</v>
      </c>
      <c r="AE117" s="15"/>
      <c r="AF117" s="19"/>
      <c r="AG117" s="124">
        <f>AG41+AG51+AG61+AG70+AG76-AG83</f>
        <v>0</v>
      </c>
      <c r="AH117" s="15"/>
      <c r="AI117" s="19"/>
    </row>
    <row r="118" spans="3:35" x14ac:dyDescent="0.2">
      <c r="C118" s="23"/>
      <c r="H118" s="133"/>
      <c r="I118" s="25"/>
      <c r="J118" s="25"/>
      <c r="N118" s="24" t="e">
        <f ca="1">N84&amp;" - Check"</f>
        <v>#NAME?</v>
      </c>
      <c r="O118" s="159" t="e">
        <f t="shared" ref="O118:AA118" si="29">IFERROR(O$82/O83,"")-O84</f>
        <v>#VALUE!</v>
      </c>
      <c r="P118" s="159" t="e">
        <f t="shared" si="29"/>
        <v>#VALUE!</v>
      </c>
      <c r="Q118" s="159" t="e">
        <f t="shared" si="29"/>
        <v>#VALUE!</v>
      </c>
      <c r="R118" s="159" t="e">
        <f t="shared" si="29"/>
        <v>#VALUE!</v>
      </c>
      <c r="S118" s="159" t="e">
        <f t="shared" si="29"/>
        <v>#VALUE!</v>
      </c>
      <c r="T118" s="159" t="e">
        <f t="shared" si="29"/>
        <v>#VALUE!</v>
      </c>
      <c r="U118" s="159" t="e">
        <f t="shared" si="29"/>
        <v>#VALUE!</v>
      </c>
      <c r="V118" s="159" t="e">
        <f t="shared" si="29"/>
        <v>#VALUE!</v>
      </c>
      <c r="W118" s="159" t="e">
        <f t="shared" si="29"/>
        <v>#VALUE!</v>
      </c>
      <c r="X118" s="159" t="e">
        <f t="shared" si="29"/>
        <v>#VALUE!</v>
      </c>
      <c r="Y118" s="159" t="e">
        <f t="shared" si="29"/>
        <v>#VALUE!</v>
      </c>
      <c r="Z118" s="159" t="e">
        <f t="shared" si="29"/>
        <v>#VALUE!</v>
      </c>
      <c r="AA118" s="159" t="e">
        <f t="shared" si="29"/>
        <v>#VALUE!</v>
      </c>
      <c r="AB118" s="15"/>
      <c r="AD118" s="159" t="e">
        <f>IFERROR(AD$82/AD83,"")-AD84</f>
        <v>#VALUE!</v>
      </c>
      <c r="AE118" s="15"/>
      <c r="AF118" s="19"/>
      <c r="AG118" s="159">
        <f>IFERROR(AG$82/AG83,"")-AG84</f>
        <v>0</v>
      </c>
      <c r="AH118" s="15"/>
      <c r="AI118" s="19"/>
    </row>
    <row r="119" spans="3:35" x14ac:dyDescent="0.2">
      <c r="C119" s="23"/>
    </row>
    <row r="120" spans="3:35" x14ac:dyDescent="0.2">
      <c r="C120" s="23"/>
    </row>
    <row r="121" spans="3:35" x14ac:dyDescent="0.2">
      <c r="C121" s="23"/>
    </row>
    <row r="122" spans="3:35" x14ac:dyDescent="0.2">
      <c r="C122" s="23"/>
    </row>
    <row r="123" spans="3:35" x14ac:dyDescent="0.2">
      <c r="C123" s="23"/>
    </row>
    <row r="124" spans="3:35" x14ac:dyDescent="0.2">
      <c r="C124" s="23"/>
    </row>
    <row r="125" spans="3:35" x14ac:dyDescent="0.2">
      <c r="C125" s="23"/>
    </row>
    <row r="126" spans="3:35" x14ac:dyDescent="0.2">
      <c r="C126" s="23"/>
    </row>
    <row r="127" spans="3:35" x14ac:dyDescent="0.2">
      <c r="C127" s="23"/>
    </row>
    <row r="128" spans="3:35" x14ac:dyDescent="0.2">
      <c r="C128" s="23"/>
    </row>
    <row r="129" spans="3:34" x14ac:dyDescent="0.2">
      <c r="C129" s="23"/>
    </row>
    <row r="130" spans="3:34" x14ac:dyDescent="0.2">
      <c r="C130" s="23"/>
    </row>
    <row r="131" spans="3:34" x14ac:dyDescent="0.2">
      <c r="C131" s="23"/>
    </row>
    <row r="132" spans="3:34" x14ac:dyDescent="0.2">
      <c r="C132" s="23"/>
    </row>
    <row r="134" spans="3:34" x14ac:dyDescent="0.2">
      <c r="C134" s="23"/>
    </row>
    <row r="135" spans="3:34" x14ac:dyDescent="0.2">
      <c r="C135" s="23"/>
    </row>
    <row r="136" spans="3:34" x14ac:dyDescent="0.2">
      <c r="C136" s="23"/>
    </row>
    <row r="137" spans="3:34" x14ac:dyDescent="0.2">
      <c r="C137" s="23"/>
    </row>
    <row r="138" spans="3:34" x14ac:dyDescent="0.2">
      <c r="C138" s="23"/>
    </row>
    <row r="139" spans="3:34" x14ac:dyDescent="0.2">
      <c r="C139" s="23"/>
    </row>
    <row r="140" spans="3:34" x14ac:dyDescent="0.2">
      <c r="C140" s="23"/>
    </row>
    <row r="141" spans="3:34" x14ac:dyDescent="0.2">
      <c r="C141" s="23"/>
      <c r="I141" s="72"/>
      <c r="J141" s="1"/>
      <c r="K141" s="72"/>
      <c r="L141" s="72"/>
      <c r="M141" s="72"/>
      <c r="O141" s="72"/>
      <c r="P141" s="72"/>
      <c r="Q141" s="72"/>
      <c r="R141" s="72"/>
      <c r="S141" s="72"/>
      <c r="T141" s="72"/>
      <c r="U141" s="72"/>
      <c r="V141" s="72"/>
      <c r="W141" s="72"/>
      <c r="X141" s="72"/>
      <c r="Y141" s="72"/>
      <c r="Z141" s="72"/>
      <c r="AA141" s="72"/>
      <c r="AD141" s="72"/>
      <c r="AF141" s="72"/>
      <c r="AH141" s="72"/>
    </row>
    <row r="142" spans="3:34" x14ac:dyDescent="0.2">
      <c r="C142" s="23"/>
    </row>
    <row r="143" spans="3:34" x14ac:dyDescent="0.2">
      <c r="C143" s="23"/>
    </row>
    <row r="144" spans="3:34" x14ac:dyDescent="0.2">
      <c r="C144" s="23"/>
    </row>
    <row r="145" spans="3:34" x14ac:dyDescent="0.2">
      <c r="C145" s="23"/>
      <c r="I145" s="72"/>
      <c r="J145" s="1"/>
      <c r="K145" s="72"/>
      <c r="L145" s="72"/>
      <c r="M145" s="72"/>
      <c r="O145" s="72"/>
      <c r="P145" s="72"/>
      <c r="Q145" s="72"/>
      <c r="R145" s="72"/>
      <c r="S145" s="72"/>
      <c r="T145" s="72"/>
      <c r="U145" s="72"/>
      <c r="V145" s="72"/>
      <c r="W145" s="72"/>
      <c r="X145" s="72"/>
      <c r="Y145" s="72"/>
      <c r="Z145" s="72"/>
      <c r="AA145" s="72"/>
      <c r="AD145" s="72"/>
      <c r="AF145" s="72"/>
      <c r="AH145" s="72"/>
    </row>
    <row r="146" spans="3:34" x14ac:dyDescent="0.2">
      <c r="C146" s="23"/>
    </row>
    <row r="147" spans="3:34" x14ac:dyDescent="0.2">
      <c r="C147" s="23"/>
    </row>
    <row r="148" spans="3:34" x14ac:dyDescent="0.2">
      <c r="C148" s="23"/>
    </row>
    <row r="202" spans="5:5" x14ac:dyDescent="0.2">
      <c r="E202" s="72"/>
    </row>
    <row r="206" spans="5:5" x14ac:dyDescent="0.2">
      <c r="E206" s="72"/>
    </row>
  </sheetData>
  <mergeCells count="2">
    <mergeCell ref="AD31:AE31"/>
    <mergeCell ref="AG31:AH31"/>
  </mergeCells>
  <conditionalFormatting sqref="N43 N53 N63 N72 N78">
    <cfRule type="expression" dxfId="11" priority="11">
      <formula>$G44&lt;&gt;0</formula>
    </cfRule>
  </conditionalFormatting>
  <conditionalFormatting sqref="N79">
    <cfRule type="expression" dxfId="10" priority="12">
      <formula>#REF!&lt;&gt;0</formula>
    </cfRule>
  </conditionalFormatting>
  <conditionalFormatting sqref="O43:AA43 AD43 AF43:AG43">
    <cfRule type="expression" dxfId="9" priority="10">
      <formula>ROUND(O42,2)&lt;&gt;ROUND(O43,2)</formula>
    </cfRule>
  </conditionalFormatting>
  <conditionalFormatting sqref="O53:AA53 AD53 AF53:AG53">
    <cfRule type="expression" dxfId="8" priority="9">
      <formula>ROUND(O52,2)&lt;&gt;ROUND(O53,2)</formula>
    </cfRule>
  </conditionalFormatting>
  <conditionalFormatting sqref="O63:AA63 AD63 AF63:AG63">
    <cfRule type="expression" dxfId="7" priority="8">
      <formula>ROUND(O62,2)&lt;&gt;ROUND(O63,2)</formula>
    </cfRule>
  </conditionalFormatting>
  <conditionalFormatting sqref="O72:AA72 AD72 AF72:AG72">
    <cfRule type="expression" dxfId="6" priority="7">
      <formula>ROUND(O71,2)&lt;&gt;ROUND(O72,2)</formula>
    </cfRule>
  </conditionalFormatting>
  <conditionalFormatting sqref="O78:AA78 AD78 AF78:AG78">
    <cfRule type="expression" dxfId="5" priority="6">
      <formula>ROUND(O77,2)&lt;&gt;ROUND(O78,2)</formula>
    </cfRule>
  </conditionalFormatting>
  <conditionalFormatting sqref="AI43">
    <cfRule type="expression" dxfId="4" priority="5">
      <formula>ROUND(AI42,2)&lt;&gt;ROUND(AI43,2)</formula>
    </cfRule>
  </conditionalFormatting>
  <conditionalFormatting sqref="AI53">
    <cfRule type="expression" dxfId="3" priority="4">
      <formula>ROUND(AI52,2)&lt;&gt;ROUND(AI53,2)</formula>
    </cfRule>
  </conditionalFormatting>
  <conditionalFormatting sqref="AI63">
    <cfRule type="expression" dxfId="2" priority="3">
      <formula>ROUND(AI62,2)&lt;&gt;ROUND(AI63,2)</formula>
    </cfRule>
  </conditionalFormatting>
  <conditionalFormatting sqref="AI72">
    <cfRule type="expression" dxfId="1" priority="2">
      <formula>ROUND(AI71,2)&lt;&gt;ROUND(AI72,2)</formula>
    </cfRule>
  </conditionalFormatting>
  <conditionalFormatting sqref="AI78">
    <cfRule type="expression" dxfId="0" priority="1">
      <formula>ROUND(AI77,2)&lt;&gt;ROUND(AI78,2)</formula>
    </cfRule>
  </conditionalFormatting>
  <dataValidations count="2">
    <dataValidation type="list" allowBlank="1" sqref="B29" xr:uid="{00000000-0002-0000-3800-000000000000}">
      <formula1>"SELF,ALL,BAS,DEP,BASMEMBERS,MEMBERS,NOEXPAND,GDEP"</formula1>
    </dataValidation>
    <dataValidation type="list" allowBlank="1" sqref="B28" xr:uid="{00000000-0002-0000-3800-000001000000}">
      <formula1>"ACCOUNT,BUSINESSUNIT,CATEGORY,DATASRC,DEPARTMENT,INTCO,MEASURES,RPTCURRENCY,TIME"</formula1>
    </dataValidation>
  </dataValidations>
  <pageMargins left="0.25" right="0.25" top="0.5" bottom="0.5" header="0.3" footer="0.3"/>
  <pageSetup scale="50" fitToHeight="0" orientation="landscape" r:id="rId1"/>
  <rowBreaks count="1" manualBreakCount="1">
    <brk id="85" min="13" max="34" man="1"/>
  </rowBreaks>
  <customProperties>
    <customPr name="EpmWorksheetKeyString_GUID" r:id="rId2"/>
    <customPr name="FPMExcelClientCellBasedFunctionStatus" r:id="rId3"/>
    <customPr name="FPMExcelClientRefreshTime" r:id="rId4"/>
  </customProperties>
  <drawing r:id="rId5"/>
  <legacyDrawing r:id="rId6"/>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13">
    <tabColor theme="6" tint="0.39997558519241921"/>
    <pageSetUpPr fitToPage="1"/>
  </sheetPr>
  <dimension ref="A1:AO17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349</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_xll.EVRNG(H35:H41)</f>
        <v>#NAME?</v>
      </c>
      <c r="G19" s="16" t="str">
        <f>$B$6</f>
        <v>D1149</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
        <v>749</v>
      </c>
      <c r="H20" s="16">
        <v>900200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I21" s="1"/>
      <c r="J21" s="1"/>
    </row>
    <row r="22" spans="1:40" hidden="1" outlineLevel="1" x14ac:dyDescent="0.2">
      <c r="A22" s="6" t="s">
        <v>7</v>
      </c>
      <c r="B22" s="7" t="e">
        <f ca="1">_xll.EVRNG(A36:F43)</f>
        <v>#NAME?</v>
      </c>
      <c r="I22" s="1"/>
      <c r="J22" s="1"/>
    </row>
    <row r="23" spans="1:40" hidden="1" outlineLevel="1" x14ac:dyDescent="0.2">
      <c r="A23" s="6" t="s">
        <v>47</v>
      </c>
      <c r="B23" s="7" t="e">
        <f ca="1">_xll.EVRNG($A$123:$B$144)</f>
        <v>#NAME?</v>
      </c>
      <c r="K23" s="53"/>
      <c r="L23" s="53"/>
      <c r="M23" s="53"/>
      <c r="AD23" s="136"/>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IF(_xll.EVDES(B6,$B$1)="#NODATA","",_xll.EVDES(B6,$B$1)&amp;" Department")</f>
        <v>#NAME?</v>
      </c>
    </row>
    <row r="28" spans="1:40" ht="16" x14ac:dyDescent="0.2">
      <c r="A28" s="6" t="s">
        <v>12</v>
      </c>
      <c r="B28" s="7" t="s">
        <v>22</v>
      </c>
      <c r="N28" s="67" t="e">
        <f ca="1">"For the Period ended"&amp;" "&amp;IF(_xll.EVDES($B$10,$B$1)="#NODATA","",_xll.EVDES($B$10,$B$1))</f>
        <v>#NAME?</v>
      </c>
    </row>
    <row r="29" spans="1:40" ht="15" customHeight="1" x14ac:dyDescent="0.2">
      <c r="A29" s="6" t="s">
        <v>13</v>
      </c>
      <c r="B29" s="7" t="e">
        <f ca="1">"DEP(REV_F) AND "&amp;$E$6&amp;"=Y,DEP(REV_BEV) AND "&amp;$E$6&amp;"=Y,ALLOW_FB,REV_FB,DEP(REV_MISC_OTHR) AND "&amp;$E$6&amp;"=Y,468990,400000"</f>
        <v>#NAME?</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748</v>
      </c>
      <c r="AK30" s="209"/>
      <c r="AL30" s="210"/>
      <c r="AM30" s="209" t="s">
        <v>750</v>
      </c>
      <c r="AN30" s="209"/>
    </row>
    <row r="31" spans="1:40" x14ac:dyDescent="0.2">
      <c r="A31" s="6" t="s">
        <v>15</v>
      </c>
      <c r="B31" s="7"/>
      <c r="G31" s="13"/>
      <c r="K31" s="11"/>
      <c r="L31" s="11"/>
      <c r="M31" s="1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69</v>
      </c>
      <c r="I33" s="11" t="e">
        <f ca="1">_xll.EVPRO($B$1,$H33,"STYLE")</f>
        <v>#NAME?</v>
      </c>
      <c r="J33" s="11" t="e">
        <f ca="1">_xll.EVPRO($B$1,$H33,"CALC")</f>
        <v>#NAME?</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0" x14ac:dyDescent="0.2">
      <c r="L34" s="175" t="s">
        <v>364</v>
      </c>
      <c r="M34" s="175" t="s">
        <v>782</v>
      </c>
      <c r="N34" s="8" t="s">
        <v>356</v>
      </c>
      <c r="O34" s="50"/>
      <c r="AB34" s="51"/>
      <c r="AD34" s="50"/>
      <c r="AF34" s="51"/>
      <c r="AG34" s="50"/>
      <c r="AI34" s="51"/>
    </row>
    <row r="35" spans="1:40" x14ac:dyDescent="0.2">
      <c r="A35" s="20" t="s">
        <v>92</v>
      </c>
      <c r="B35" s="21" t="s">
        <v>93</v>
      </c>
      <c r="C35" s="21" t="s">
        <v>94</v>
      </c>
      <c r="D35" s="21" t="s">
        <v>95</v>
      </c>
      <c r="E35" s="21" t="s">
        <v>96</v>
      </c>
      <c r="F35" s="22" t="s">
        <v>97</v>
      </c>
      <c r="H35" s="10" t="s">
        <v>350</v>
      </c>
      <c r="I35" s="25" t="e">
        <f ca="1">_xll.EVPRO($B$1,$H35,"STYLE")</f>
        <v>#NAME?</v>
      </c>
      <c r="J35" s="25" t="e">
        <f ca="1">_xll.EVPRO($B$1,$H35,"CALC")</f>
        <v>#NAME?</v>
      </c>
      <c r="K35" s="64" t="e">
        <f ca="1">IF(AND(I35&gt;="T5"),"&gt;","")</f>
        <v>#NAME?</v>
      </c>
      <c r="L35" s="24" t="e">
        <f ca="1">_xll.EVPRO($B$1,H35,"JDEID")</f>
        <v>#NAME?</v>
      </c>
      <c r="M35" s="24" t="e">
        <f ca="1">IF(AND(I35="N",J35="N"),_xll.EVPRO($B$1,H35,"PSFTID"),"")</f>
        <v>#NAME?</v>
      </c>
      <c r="N35" s="24" t="e">
        <f ca="1">IF(_xll.EVDES(H35,$B$1)="#NODATA","",_xll.EVDES(H35,$B$1))</f>
        <v>#NAME?</v>
      </c>
      <c r="O35" s="421">
        <v>1906</v>
      </c>
      <c r="P35" s="421">
        <v>2492.09</v>
      </c>
      <c r="Q35" s="421">
        <v>3180</v>
      </c>
      <c r="R35" s="421">
        <v>2434</v>
      </c>
      <c r="S35" s="421">
        <v>2372.39</v>
      </c>
      <c r="T35" s="19">
        <v>2187</v>
      </c>
      <c r="U35" s="19">
        <v>1971</v>
      </c>
      <c r="V35" s="19">
        <v>2241.56</v>
      </c>
      <c r="W35" s="19">
        <v>2129.5500000000002</v>
      </c>
      <c r="X35" s="19">
        <v>2295</v>
      </c>
      <c r="Y35" s="19">
        <v>2738.56</v>
      </c>
      <c r="Z35" s="19">
        <v>3164.45</v>
      </c>
      <c r="AA35" s="283" t="e">
        <f t="shared" ref="AA35:AA41" ca="1" si="0">IF($I35="B1","",SUM(O35:Z35))</f>
        <v>#NAME?</v>
      </c>
      <c r="AB35" s="15" t="e">
        <f t="shared" ref="AB35:AB41" ca="1" si="1">IF(AA35=0,"",IFERROR(AA35/AA$19,""))</f>
        <v>#NAME?</v>
      </c>
      <c r="AD35" s="19">
        <v>29605.65</v>
      </c>
      <c r="AE35" s="15" t="str">
        <f t="shared" ref="AE35:AE41" ca="1" si="2">IF(AD35=0,"",IFERROR(AD35/AD$19,""))</f>
        <v/>
      </c>
      <c r="AF35" s="47" t="e">
        <f t="shared" ref="AF35:AF41" ca="1" si="3">IF(AND($AA35="",AD35=""),"",$AA35-AD35)</f>
        <v>#NAME?</v>
      </c>
      <c r="AG35" s="19">
        <v>30885.599999999999</v>
      </c>
      <c r="AH35" s="15" t="str">
        <f ca="1">IF(AG35=0,"",IFERROR(AG35/AG$19,""))</f>
        <v/>
      </c>
      <c r="AI35" s="47" t="e">
        <f ca="1">IF(AND($AA35="",AG35=""),"",$AA35-AG35)</f>
        <v>#NAME?</v>
      </c>
      <c r="AJ35" s="371">
        <f ca="1">IFERROR(AA35/AA$20,0)</f>
        <v>0</v>
      </c>
      <c r="AK35" s="372">
        <f ca="1">IFERROR(AD35/AD$20,0)</f>
        <v>0</v>
      </c>
      <c r="AL35" s="373">
        <f ca="1">IFERROR(AG35/AG$20,0)</f>
        <v>0</v>
      </c>
      <c r="AM35" s="374">
        <f ca="1">+IFERROR(ROUND(($AB35-AE35)*100,2)&amp;" pts.",0)</f>
        <v>0</v>
      </c>
      <c r="AN35" s="375">
        <f ca="1">+IFERROR(ROUND(($AB35-AH35)*100,2)&amp;" pts.",0)</f>
        <v>0</v>
      </c>
    </row>
    <row r="36" spans="1:40" x14ac:dyDescent="0.2">
      <c r="H36" s="10" t="s">
        <v>351</v>
      </c>
      <c r="I36" s="25" t="e">
        <f ca="1">_xll.EVPRO($B$1,$H36,"STYLE")</f>
        <v>#NAME?</v>
      </c>
      <c r="J36" s="25" t="e">
        <f ca="1">_xll.EVPRO($B$1,$H36,"CALC")</f>
        <v>#NAME?</v>
      </c>
      <c r="K36" s="64" t="e">
        <f t="shared" ref="K36:K41" ca="1" si="4">IF(AND(I36&gt;="T5"),"&gt;","")</f>
        <v>#NAME?</v>
      </c>
      <c r="L36" s="24" t="e">
        <f ca="1">_xll.EVPRO($B$1,H36,"JDEID")</f>
        <v>#NAME?</v>
      </c>
      <c r="M36" s="24" t="e">
        <f ca="1">IF(AND(I36="N",J36="N"),_xll.EVPRO($B$1,H36,"PSFTID"),"")</f>
        <v>#NAME?</v>
      </c>
      <c r="N36" s="24" t="e">
        <f ca="1">IF(_xll.EVDES(H36,$B$1)="#NODATA","",_xll.EVDES(H36,$B$1))</f>
        <v>#NAME?</v>
      </c>
      <c r="O36" s="421">
        <v>3178.56</v>
      </c>
      <c r="P36" s="421">
        <v>2964.11</v>
      </c>
      <c r="Q36" s="421">
        <v>3587</v>
      </c>
      <c r="R36" s="421">
        <v>2374</v>
      </c>
      <c r="S36" s="421">
        <v>2132</v>
      </c>
      <c r="T36" s="19">
        <v>2257</v>
      </c>
      <c r="U36" s="19">
        <v>1868</v>
      </c>
      <c r="V36" s="19">
        <v>2547</v>
      </c>
      <c r="W36" s="19">
        <v>2433</v>
      </c>
      <c r="X36" s="19">
        <v>1908</v>
      </c>
      <c r="Y36" s="19">
        <v>2758.63</v>
      </c>
      <c r="Z36" s="19">
        <v>2850.94</v>
      </c>
      <c r="AA36" s="283" t="e">
        <f t="shared" ca="1" si="0"/>
        <v>#NAME?</v>
      </c>
      <c r="AB36" s="15" t="e">
        <f t="shared" ca="1" si="1"/>
        <v>#NAME?</v>
      </c>
      <c r="AD36" s="19">
        <v>32989.42</v>
      </c>
      <c r="AE36" s="15" t="str">
        <f t="shared" ca="1" si="2"/>
        <v/>
      </c>
      <c r="AF36" s="47" t="e">
        <f t="shared" ca="1" si="3"/>
        <v>#NAME?</v>
      </c>
      <c r="AG36" s="19">
        <v>35674.29</v>
      </c>
      <c r="AH36" s="15" t="str">
        <f t="shared" ref="AH36:AH41" ca="1" si="5">IF(AG36=0,"",IFERROR(AG36/AG$19,""))</f>
        <v/>
      </c>
      <c r="AI36" s="47" t="e">
        <f t="shared" ref="AI36:AI41" ca="1" si="6">IF(AND($AA36="",AG36=""),"",$AA36-AG36)</f>
        <v>#NAME?</v>
      </c>
      <c r="AJ36" s="371">
        <f t="shared" ref="AJ36:AJ41" ca="1" si="7">IFERROR(AA36/AA$20,0)</f>
        <v>0</v>
      </c>
      <c r="AK36" s="372">
        <f t="shared" ref="AK36:AK41" ca="1" si="8">IFERROR(AD36/AD$20,0)</f>
        <v>0</v>
      </c>
      <c r="AL36" s="373">
        <f t="shared" ref="AL36:AL41" ca="1" si="9">IFERROR(AG36/AG$20,0)</f>
        <v>0</v>
      </c>
      <c r="AM36" s="374">
        <f t="shared" ref="AM36:AM41" ca="1" si="10">+IFERROR(ROUND(($AB36-AE36)*100,2)&amp;" pts.",0)</f>
        <v>0</v>
      </c>
      <c r="AN36" s="375">
        <f t="shared" ref="AN36:AN41" ca="1" si="11">+IFERROR(ROUND(($AB36-AH36)*100,2)&amp;" pts.",0)</f>
        <v>0</v>
      </c>
    </row>
    <row r="37" spans="1:40" x14ac:dyDescent="0.2">
      <c r="A37" s="1" t="s">
        <v>105</v>
      </c>
      <c r="C37" s="24" t="s">
        <v>101</v>
      </c>
      <c r="D37" s="1" t="s">
        <v>106</v>
      </c>
      <c r="F37" s="1" t="s">
        <v>98</v>
      </c>
      <c r="H37" s="10" t="s">
        <v>486</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422"/>
      <c r="P37" s="422"/>
      <c r="Q37" s="422"/>
      <c r="R37" s="422"/>
      <c r="S37" s="422"/>
      <c r="T37" s="28"/>
      <c r="U37" s="28"/>
      <c r="V37" s="28"/>
      <c r="W37" s="28"/>
      <c r="X37" s="28"/>
      <c r="Y37" s="28"/>
      <c r="Z37" s="28"/>
      <c r="AA37" s="296" t="e">
        <f t="shared" ca="1" si="0"/>
        <v>#NAME?</v>
      </c>
      <c r="AB37" s="29" t="e">
        <f t="shared" ca="1" si="1"/>
        <v>#NAME?</v>
      </c>
      <c r="AD37" s="28"/>
      <c r="AE37" s="29" t="str">
        <f t="shared" si="2"/>
        <v/>
      </c>
      <c r="AF37" s="48" t="e">
        <f t="shared" ca="1" si="3"/>
        <v>#NAME?</v>
      </c>
      <c r="AG37" s="28">
        <v>-23.96</v>
      </c>
      <c r="AH37" s="29" t="str">
        <f t="shared" ca="1" si="5"/>
        <v/>
      </c>
      <c r="AI37" s="48" t="e">
        <f t="shared" ca="1" si="6"/>
        <v>#NAME?</v>
      </c>
      <c r="AJ37" s="381">
        <f t="shared" ca="1" si="7"/>
        <v>0</v>
      </c>
      <c r="AK37" s="382">
        <f t="shared" ca="1" si="8"/>
        <v>0</v>
      </c>
      <c r="AL37" s="383">
        <f t="shared" ca="1" si="9"/>
        <v>0</v>
      </c>
      <c r="AM37" s="384">
        <f t="shared" ca="1" si="10"/>
        <v>0</v>
      </c>
      <c r="AN37" s="385">
        <f t="shared" ca="1" si="11"/>
        <v>0</v>
      </c>
    </row>
    <row r="38" spans="1:40" x14ac:dyDescent="0.2">
      <c r="A38" s="1" t="s">
        <v>104</v>
      </c>
      <c r="C38" s="24" t="s">
        <v>101</v>
      </c>
      <c r="D38" s="1" t="s">
        <v>106</v>
      </c>
      <c r="F38" s="1" t="s">
        <v>98</v>
      </c>
      <c r="H38" s="10" t="s">
        <v>273</v>
      </c>
      <c r="I38" s="447" t="e">
        <f ca="1">_xll.EVPRO($B$1,$H38,"STYLE")</f>
        <v>#NAME?</v>
      </c>
      <c r="J38" s="447" t="e">
        <f ca="1">_xll.EVPRO($B$1,$H38,"CALC")</f>
        <v>#NAME?</v>
      </c>
      <c r="K38" s="448" t="e">
        <f t="shared" ca="1" si="4"/>
        <v>#NAME?</v>
      </c>
      <c r="L38" s="151" t="e">
        <f ca="1">_xll.EVPRO($B$1,H38,"JDEID")</f>
        <v>#NAME?</v>
      </c>
      <c r="M38" s="151" t="e">
        <f ca="1">IF(AND(I38="N",J38="N"),_xll.EVPRO($B$1,H38,"PSFTID"),"")</f>
        <v>#NAME?</v>
      </c>
      <c r="N38" s="151" t="e">
        <f ca="1">IF(_xll.EVDES(H38,$B$1)="#NODATA","",_xll.EVDES(H38,$B$1))</f>
        <v>#NAME?</v>
      </c>
      <c r="O38" s="424">
        <v>5084.5600000000004</v>
      </c>
      <c r="P38" s="424">
        <v>5456.2</v>
      </c>
      <c r="Q38" s="424">
        <v>6767</v>
      </c>
      <c r="R38" s="424">
        <v>4808</v>
      </c>
      <c r="S38" s="424">
        <v>4504.3900000000003</v>
      </c>
      <c r="T38" s="120">
        <v>4444</v>
      </c>
      <c r="U38" s="120">
        <v>3839</v>
      </c>
      <c r="V38" s="120">
        <v>4788.5600000000004</v>
      </c>
      <c r="W38" s="120">
        <v>4562.55</v>
      </c>
      <c r="X38" s="120">
        <v>4203</v>
      </c>
      <c r="Y38" s="120">
        <v>5497.19</v>
      </c>
      <c r="Z38" s="120">
        <v>6015.39</v>
      </c>
      <c r="AA38" s="120" t="e">
        <f t="shared" ca="1" si="0"/>
        <v>#NAME?</v>
      </c>
      <c r="AB38" s="121" t="e">
        <f t="shared" ca="1" si="1"/>
        <v>#NAME?</v>
      </c>
      <c r="AC38" s="123"/>
      <c r="AD38" s="120">
        <v>62595.07</v>
      </c>
      <c r="AE38" s="121" t="str">
        <f t="shared" ca="1" si="2"/>
        <v/>
      </c>
      <c r="AF38" s="122" t="e">
        <f t="shared" ca="1" si="3"/>
        <v>#NAME?</v>
      </c>
      <c r="AG38" s="120">
        <v>66535.929999999993</v>
      </c>
      <c r="AH38" s="121" t="str">
        <f t="shared" ca="1" si="5"/>
        <v/>
      </c>
      <c r="AI38" s="122" t="e">
        <f t="shared" ca="1" si="6"/>
        <v>#NAME?</v>
      </c>
      <c r="AJ38" s="332">
        <f t="shared" ca="1" si="7"/>
        <v>0</v>
      </c>
      <c r="AK38" s="333">
        <f t="shared" ca="1" si="8"/>
        <v>0</v>
      </c>
      <c r="AL38" s="335">
        <f t="shared" ca="1" si="9"/>
        <v>0</v>
      </c>
      <c r="AM38" s="377">
        <f t="shared" ca="1" si="10"/>
        <v>0</v>
      </c>
      <c r="AN38" s="378">
        <f t="shared" ca="1" si="11"/>
        <v>0</v>
      </c>
    </row>
    <row r="39" spans="1:40" x14ac:dyDescent="0.2">
      <c r="A39" s="1" t="s">
        <v>100</v>
      </c>
      <c r="C39" s="8" t="s">
        <v>101</v>
      </c>
      <c r="D39" s="1" t="s">
        <v>106</v>
      </c>
      <c r="F39" s="1" t="s">
        <v>98</v>
      </c>
      <c r="H39" s="10" t="s">
        <v>352</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423">
        <v>805</v>
      </c>
      <c r="P39" s="423">
        <v>225</v>
      </c>
      <c r="Q39" s="423">
        <v>652</v>
      </c>
      <c r="R39" s="423">
        <v>1105</v>
      </c>
      <c r="S39" s="423">
        <v>1224.25</v>
      </c>
      <c r="T39" s="35">
        <v>980</v>
      </c>
      <c r="U39" s="35">
        <v>489.6</v>
      </c>
      <c r="V39" s="35">
        <v>1458</v>
      </c>
      <c r="W39" s="35">
        <v>675</v>
      </c>
      <c r="X39" s="35">
        <v>225</v>
      </c>
      <c r="Y39" s="35"/>
      <c r="Z39" s="35"/>
      <c r="AA39" s="288" t="e">
        <f t="shared" ca="1" si="0"/>
        <v>#NAME?</v>
      </c>
      <c r="AB39" s="36" t="e">
        <f t="shared" ca="1" si="1"/>
        <v>#NAME?</v>
      </c>
      <c r="AD39" s="35">
        <v>7114</v>
      </c>
      <c r="AE39" s="36" t="str">
        <f t="shared" ca="1" si="2"/>
        <v/>
      </c>
      <c r="AF39" s="118" t="e">
        <f t="shared" ca="1" si="3"/>
        <v>#NAME?</v>
      </c>
      <c r="AG39" s="35">
        <v>1955</v>
      </c>
      <c r="AH39" s="36" t="str">
        <f t="shared" ca="1" si="5"/>
        <v/>
      </c>
      <c r="AI39" s="118" t="e">
        <f t="shared" ca="1" si="6"/>
        <v>#NAME?</v>
      </c>
      <c r="AJ39" s="325">
        <f t="shared" ca="1" si="7"/>
        <v>0</v>
      </c>
      <c r="AK39" s="326">
        <f t="shared" ca="1" si="8"/>
        <v>0</v>
      </c>
      <c r="AL39" s="328">
        <f t="shared" ca="1" si="9"/>
        <v>0</v>
      </c>
      <c r="AM39" s="362">
        <f t="shared" ca="1" si="10"/>
        <v>0</v>
      </c>
      <c r="AN39" s="376">
        <f t="shared" ca="1" si="11"/>
        <v>0</v>
      </c>
    </row>
    <row r="40" spans="1:40" x14ac:dyDescent="0.2">
      <c r="A40" s="1" t="s">
        <v>102</v>
      </c>
      <c r="C40" s="23" t="s">
        <v>101</v>
      </c>
      <c r="D40" s="1" t="s">
        <v>106</v>
      </c>
      <c r="F40" s="1" t="s">
        <v>98</v>
      </c>
      <c r="H40" s="10" t="s">
        <v>473</v>
      </c>
      <c r="I40" s="25" t="e">
        <f ca="1">_xll.EVPRO($B$1,$H40,"STYLE")</f>
        <v>#NAME?</v>
      </c>
      <c r="J40" s="25" t="e">
        <f ca="1">_xll.EVPRO($B$1,$H40,"CALC")</f>
        <v>#NAME?</v>
      </c>
      <c r="K40" s="64" t="e">
        <f t="shared" ca="1" si="4"/>
        <v>#NAME?</v>
      </c>
      <c r="L40" s="24" t="e">
        <f ca="1">_xll.EVPRO($B$1,H40,"JDEID")</f>
        <v>#NAME?</v>
      </c>
      <c r="M40" s="24" t="e">
        <f ca="1">IF(AND(I40="N",J40="N"),_xll.EVPRO($B$1,H40,"PSFTID"),"")</f>
        <v>#NAME?</v>
      </c>
      <c r="N40" s="24" t="e">
        <f ca="1">IF(_xll.EVDES(H40,$B$1)="#NODATA","",_xll.EVDES(H40,$B$1))</f>
        <v>#NAME?</v>
      </c>
      <c r="O40" s="422"/>
      <c r="P40" s="422"/>
      <c r="Q40" s="422"/>
      <c r="R40" s="422"/>
      <c r="S40" s="422"/>
      <c r="T40" s="28"/>
      <c r="U40" s="28"/>
      <c r="V40" s="28"/>
      <c r="W40" s="28"/>
      <c r="X40" s="28"/>
      <c r="Y40" s="28"/>
      <c r="Z40" s="28"/>
      <c r="AA40" s="296" t="e">
        <f t="shared" ca="1" si="0"/>
        <v>#NAME?</v>
      </c>
      <c r="AB40" s="29" t="e">
        <f t="shared" ca="1" si="1"/>
        <v>#NAME?</v>
      </c>
      <c r="AD40" s="28"/>
      <c r="AE40" s="29" t="str">
        <f t="shared" si="2"/>
        <v/>
      </c>
      <c r="AF40" s="48" t="e">
        <f t="shared" ca="1" si="3"/>
        <v>#NAME?</v>
      </c>
      <c r="AG40" s="28"/>
      <c r="AH40" s="29" t="str">
        <f t="shared" si="5"/>
        <v/>
      </c>
      <c r="AI40" s="48" t="e">
        <f t="shared" ca="1" si="6"/>
        <v>#NAME?</v>
      </c>
      <c r="AJ40" s="381">
        <f t="shared" ca="1" si="7"/>
        <v>0</v>
      </c>
      <c r="AK40" s="382">
        <f t="shared" ca="1" si="8"/>
        <v>0</v>
      </c>
      <c r="AL40" s="383">
        <f t="shared" ca="1" si="9"/>
        <v>0</v>
      </c>
      <c r="AM40" s="384">
        <f t="shared" ca="1" si="10"/>
        <v>0</v>
      </c>
      <c r="AN40" s="385">
        <f t="shared" ca="1" si="11"/>
        <v>0</v>
      </c>
    </row>
    <row r="41" spans="1:40" x14ac:dyDescent="0.2">
      <c r="A41" s="1" t="s">
        <v>102</v>
      </c>
      <c r="C41" s="135" t="s">
        <v>101</v>
      </c>
      <c r="D41" s="1" t="s">
        <v>107</v>
      </c>
      <c r="F41" s="1" t="s">
        <v>99</v>
      </c>
      <c r="H41" s="10" t="s">
        <v>280</v>
      </c>
      <c r="I41" s="447" t="e">
        <f ca="1">_xll.EVPRO($B$1,$H41,"STYLE")</f>
        <v>#NAME?</v>
      </c>
      <c r="J41" s="447" t="e">
        <f ca="1">_xll.EVPRO($B$1,$H41,"CALC")</f>
        <v>#NAME?</v>
      </c>
      <c r="K41" s="448" t="e">
        <f t="shared" ca="1" si="4"/>
        <v>#NAME?</v>
      </c>
      <c r="L41" s="151" t="e">
        <f ca="1">_xll.EVPRO($B$1,H41,"JDEID")</f>
        <v>#NAME?</v>
      </c>
      <c r="M41" s="151" t="e">
        <f ca="1">IF(AND(I41="N",J41="N"),_xll.EVPRO($B$1,H41,"PSFTID"),"")</f>
        <v>#NAME?</v>
      </c>
      <c r="N41" s="151" t="e">
        <f ca="1">IF(_xll.EVDES(H41,$B$1)="#NODATA","",_xll.EVDES(H41,$B$1))</f>
        <v>#NAME?</v>
      </c>
      <c r="O41" s="424">
        <v>5889.56</v>
      </c>
      <c r="P41" s="424">
        <v>5681.2</v>
      </c>
      <c r="Q41" s="424">
        <v>7419</v>
      </c>
      <c r="R41" s="424">
        <v>5913</v>
      </c>
      <c r="S41" s="424">
        <v>5728.64</v>
      </c>
      <c r="T41" s="120">
        <v>5424</v>
      </c>
      <c r="U41" s="120">
        <v>4328.6000000000004</v>
      </c>
      <c r="V41" s="120">
        <v>6246.56</v>
      </c>
      <c r="W41" s="120">
        <v>5237.55</v>
      </c>
      <c r="X41" s="120">
        <v>4428</v>
      </c>
      <c r="Y41" s="120">
        <v>5497.19</v>
      </c>
      <c r="Z41" s="120">
        <v>6015.39</v>
      </c>
      <c r="AA41" s="120" t="e">
        <f t="shared" ca="1" si="0"/>
        <v>#NAME?</v>
      </c>
      <c r="AB41" s="121" t="e">
        <f t="shared" ca="1" si="1"/>
        <v>#NAME?</v>
      </c>
      <c r="AC41" s="123"/>
      <c r="AD41" s="120">
        <v>69709.070000000007</v>
      </c>
      <c r="AE41" s="121" t="str">
        <f t="shared" ca="1" si="2"/>
        <v/>
      </c>
      <c r="AF41" s="122" t="e">
        <f t="shared" ca="1" si="3"/>
        <v>#NAME?</v>
      </c>
      <c r="AG41" s="120">
        <v>68490.929999999993</v>
      </c>
      <c r="AH41" s="121" t="str">
        <f t="shared" ca="1" si="5"/>
        <v/>
      </c>
      <c r="AI41" s="122" t="e">
        <f t="shared" ca="1" si="6"/>
        <v>#NAME?</v>
      </c>
      <c r="AJ41" s="332">
        <f t="shared" ca="1" si="7"/>
        <v>0</v>
      </c>
      <c r="AK41" s="333">
        <f t="shared" ca="1" si="8"/>
        <v>0</v>
      </c>
      <c r="AL41" s="335">
        <f t="shared" ca="1" si="9"/>
        <v>0</v>
      </c>
      <c r="AM41" s="377">
        <f t="shared" ca="1" si="10"/>
        <v>0</v>
      </c>
      <c r="AN41" s="378">
        <f t="shared" ca="1" si="11"/>
        <v>0</v>
      </c>
    </row>
    <row r="42" spans="1:40" x14ac:dyDescent="0.2">
      <c r="A42" s="1" t="s">
        <v>108</v>
      </c>
      <c r="C42" s="23" t="s">
        <v>101</v>
      </c>
      <c r="D42" s="1" t="s">
        <v>106</v>
      </c>
      <c r="F42" s="1" t="s">
        <v>98</v>
      </c>
      <c r="O42" s="50"/>
      <c r="AB42" s="51"/>
      <c r="AD42" s="50"/>
      <c r="AF42" s="51"/>
      <c r="AG42" s="50"/>
      <c r="AI42" s="51"/>
    </row>
    <row r="43" spans="1:40" x14ac:dyDescent="0.2">
      <c r="A43" s="1" t="s">
        <v>108</v>
      </c>
      <c r="C43" s="135" t="s">
        <v>101</v>
      </c>
      <c r="D43" s="1" t="s">
        <v>107</v>
      </c>
      <c r="F43" s="1" t="s">
        <v>99</v>
      </c>
      <c r="H43" s="1" t="s">
        <v>281</v>
      </c>
      <c r="I43" s="11" t="e">
        <f ca="1">_xll.EVPRO($B$1,$H43,"STYLE")</f>
        <v>#NAME?</v>
      </c>
      <c r="J43" s="11" t="e">
        <f ca="1">_xll.EVPRO($B$1,$H43,"CALC")</f>
        <v>#NAME?</v>
      </c>
      <c r="N43" s="37" t="e">
        <f ca="1">IF(_xll.EVDES(H43,$B$1)="#NODATA","",_xll.EVDES(H43,$B$1))</f>
        <v>#NAME?</v>
      </c>
      <c r="O43" s="50"/>
      <c r="AB43" s="51"/>
      <c r="AD43" s="50"/>
      <c r="AF43" s="51"/>
      <c r="AG43" s="50"/>
      <c r="AI43" s="51"/>
    </row>
    <row r="44" spans="1:40" x14ac:dyDescent="0.2">
      <c r="H44" s="1" t="s">
        <v>284</v>
      </c>
      <c r="I44" s="11" t="e">
        <f ca="1">_xll.EVPRO($B$1,$H44,"STYLE")</f>
        <v>#NAME?</v>
      </c>
      <c r="J44" s="11" t="e">
        <f ca="1">_xll.EVPRO($B$1,$H44,"CALC")</f>
        <v>#NAME?</v>
      </c>
      <c r="N44" s="8" t="e">
        <f ca="1">IF(_xll.EVDES(H44,$B$1)="#NODATA","",_xll.EVDES(H44,$B$1))</f>
        <v>#NAME?</v>
      </c>
      <c r="O44" s="50"/>
      <c r="AB44" s="51"/>
      <c r="AD44" s="50"/>
      <c r="AF44" s="51"/>
      <c r="AG44" s="50"/>
      <c r="AI44" s="51"/>
    </row>
    <row r="45" spans="1:40" x14ac:dyDescent="0.2">
      <c r="H45" s="10" t="s">
        <v>353</v>
      </c>
      <c r="I45" s="25" t="e">
        <f ca="1">_xll.EVPRO($B$1,$H45,"STYLE")</f>
        <v>#NAME?</v>
      </c>
      <c r="J45" s="25" t="e">
        <f ca="1">_xll.EVPRO($B$1,$H45,"CALC")</f>
        <v>#NAME?</v>
      </c>
      <c r="K45" s="64" t="e">
        <f t="shared" ref="K45:K51" ca="1" si="12">IF(AND(I45&gt;="T5"),"&gt;","")</f>
        <v>#NAME?</v>
      </c>
      <c r="L45" s="24" t="e">
        <f ca="1">_xll.EVPRO($B$1,H45,"JDEID")</f>
        <v>#NAME?</v>
      </c>
      <c r="M45" s="24" t="e">
        <f ca="1">IF(AND(I45="N",J45="N"),_xll.EVPRO($B$1,H45,"PSFTID"),"")</f>
        <v>#NAME?</v>
      </c>
      <c r="N45" s="24" t="e">
        <f ca="1">IF(_xll.EVDES(H45,$B$1)="#NODATA","",_xll.EVDES(H45,$B$1))</f>
        <v>#NAME?</v>
      </c>
      <c r="O45" s="421">
        <v>621.41</v>
      </c>
      <c r="P45" s="421">
        <v>615.32000000000005</v>
      </c>
      <c r="Q45" s="421">
        <v>920.05</v>
      </c>
      <c r="R45" s="421">
        <v>1295.3499999999999</v>
      </c>
      <c r="S45" s="421">
        <v>991.11</v>
      </c>
      <c r="T45" s="19">
        <v>810.22</v>
      </c>
      <c r="U45" s="19">
        <v>1072.01</v>
      </c>
      <c r="V45" s="19">
        <v>634.54999999999995</v>
      </c>
      <c r="W45" s="19">
        <v>670.58</v>
      </c>
      <c r="X45" s="19">
        <v>757.19</v>
      </c>
      <c r="Y45" s="19">
        <v>956.16</v>
      </c>
      <c r="Z45" s="19">
        <v>522.44000000000005</v>
      </c>
      <c r="AA45" s="283" t="e">
        <f ca="1">IF($I45="B1","",SUM(O45:Z45))</f>
        <v>#NAME?</v>
      </c>
      <c r="AB45" s="15" t="e">
        <f ca="1">IF(AA45=0,"",IFERROR(AA45/_xll.EVGTS($B$1,1,_xll.EVPRO($B$1,$H45,"COSBASIS"),$B$3,$B$5,$B$6,$B$7,$B$9,AA$16,AA$17,AA$11),""))</f>
        <v>#NAME?</v>
      </c>
      <c r="AD45" s="19">
        <v>7431.0181499999999</v>
      </c>
      <c r="AE45" s="15" t="str">
        <f ca="1">IF(AD45=0,"",IFERROR(AD45/_xll.EVGTS($B$1,1,_xll.EVPRO($B$1,$H45,"COSBASIS"),$B$3,$B$5,$B$6,$B$7,$B$9,AD$16,AD$17,AD$18),""))</f>
        <v/>
      </c>
      <c r="AF45" s="47" t="e">
        <f ca="1">IF(AND($AA45="",AD45=""),"",$AA45-AD45)</f>
        <v>#NAME?</v>
      </c>
      <c r="AG45" s="19">
        <v>8389.26</v>
      </c>
      <c r="AH45" s="15" t="str">
        <f ca="1">IF(AG45=0,"",IFERROR(AG45/_xll.EVGTS($B$1,1,_xll.EVPRO($B$1,$H45,"COSBASIS"),$B$3,$B$5,$B$6,$B$7,$B$9,AG$16,AG$17,AG$18),""))</f>
        <v/>
      </c>
      <c r="AI45" s="47" t="e">
        <f t="shared" ref="AI45:AI51" ca="1" si="13">IF(AND($AA45="",AG45=""),"",$AA45-AG45)</f>
        <v>#NAME?</v>
      </c>
      <c r="AJ45" s="371">
        <f t="shared" ref="AJ45:AJ51" ca="1" si="14">IFERROR(AA45/AA$20,0)</f>
        <v>0</v>
      </c>
      <c r="AK45" s="372">
        <f t="shared" ref="AK45:AK51" ca="1" si="15">IFERROR(AD45/AD$20,0)</f>
        <v>0</v>
      </c>
      <c r="AL45" s="373">
        <f t="shared" ref="AL45:AL51" ca="1" si="16">IFERROR(AG45/AG$20,0)</f>
        <v>0</v>
      </c>
      <c r="AM45" s="374">
        <f t="shared" ref="AM45:AM51" ca="1" si="17">+IFERROR(ROUND(($AB45-AE45)*100,2)&amp;" pts.",0)</f>
        <v>0</v>
      </c>
      <c r="AN45" s="375">
        <f t="shared" ref="AN45:AN51" ca="1" si="18">+IFERROR(ROUND(($AB45-AH45)*100,2)&amp;" pts.",0)</f>
        <v>0</v>
      </c>
    </row>
    <row r="46" spans="1:40" x14ac:dyDescent="0.2">
      <c r="A46" s="4" t="e">
        <f ca="1">_xll.EVDRE($B$1,A49:B56,A59:B65)</f>
        <v>#NAME?</v>
      </c>
      <c r="H46" s="10" t="s">
        <v>354</v>
      </c>
      <c r="I46" s="25" t="e">
        <f ca="1">_xll.EVPRO($B$1,$H46,"STYLE")</f>
        <v>#NAME?</v>
      </c>
      <c r="J46" s="25" t="e">
        <f ca="1">_xll.EVPRO($B$1,$H46,"CALC")</f>
        <v>#NAME?</v>
      </c>
      <c r="K46" s="64" t="e">
        <f t="shared" ref="K46:K49" ca="1" si="19">IF(AND(I46&gt;="T5"),"&gt;","")</f>
        <v>#NAME?</v>
      </c>
      <c r="L46" s="24" t="e">
        <f ca="1">_xll.EVPRO($B$1,H46,"JDEID")</f>
        <v>#NAME?</v>
      </c>
      <c r="M46" s="24" t="e">
        <f ca="1">IF(AND(I46="N",J46="N"),_xll.EVPRO($B$1,H46,"PSFTID"),"")</f>
        <v>#NAME?</v>
      </c>
      <c r="N46" s="24" t="e">
        <f ca="1">IF(_xll.EVDES(H46,$B$1)="#NODATA","",_xll.EVDES(H46,$B$1))</f>
        <v>#NAME?</v>
      </c>
      <c r="O46" s="422">
        <v>699.94</v>
      </c>
      <c r="P46" s="422">
        <v>1061.5899999999999</v>
      </c>
      <c r="Q46" s="422">
        <v>1558.46</v>
      </c>
      <c r="R46" s="422">
        <v>594.16999999999996</v>
      </c>
      <c r="S46" s="422">
        <v>613.57000000000005</v>
      </c>
      <c r="T46" s="28">
        <v>639.04</v>
      </c>
      <c r="U46" s="28">
        <v>540</v>
      </c>
      <c r="V46" s="28">
        <v>712.49</v>
      </c>
      <c r="W46" s="28">
        <v>646.96</v>
      </c>
      <c r="X46" s="28">
        <v>460.92</v>
      </c>
      <c r="Y46" s="28">
        <v>591.6</v>
      </c>
      <c r="Z46" s="28">
        <v>-1029.26</v>
      </c>
      <c r="AA46" s="296" t="e">
        <f ca="1">IF($I46="B1","",SUM(O46:Z46))</f>
        <v>#NAME?</v>
      </c>
      <c r="AB46" s="29" t="e">
        <f ca="1">IF(AA46=0,"",IFERROR(AA46/_xll.EVGTS($B$1,1,_xll.EVPRO($B$1,$H46,"COSBASIS"),$B$3,$B$5,$B$6,$B$7,$B$9,AA$16,AA$17,AA$11),""))</f>
        <v>#NAME?</v>
      </c>
      <c r="AD46" s="28">
        <v>9072.0905000000002</v>
      </c>
      <c r="AE46" s="29" t="str">
        <f ca="1">IF(AD46=0,"",IFERROR(AD46/_xll.EVGTS($B$1,1,_xll.EVPRO($B$1,$H46,"COSBASIS"),$B$3,$B$5,$B$6,$B$7,$B$9,AD$16,AD$17,AD$18),""))</f>
        <v/>
      </c>
      <c r="AF46" s="48" t="e">
        <f ca="1">IF(AND($AA46="",AD46=""),"",$AA46-AD46)</f>
        <v>#NAME?</v>
      </c>
      <c r="AG46" s="28">
        <v>10461.73</v>
      </c>
      <c r="AH46" s="29" t="str">
        <f ca="1">IF(AG46=0,"",IFERROR(AG46/_xll.EVGTS($B$1,1,_xll.EVPRO($B$1,$H46,"COSBASIS"),$B$3,$B$5,$B$6,$B$7,$B$9,AG$16,AG$17,AG$18),""))</f>
        <v/>
      </c>
      <c r="AI46" s="48" t="e">
        <f t="shared" ref="AI46:AI49" ca="1" si="20">IF(AND($AA46="",AG46=""),"",$AA46-AG46)</f>
        <v>#NAME?</v>
      </c>
      <c r="AJ46" s="381">
        <f t="shared" ref="AJ46:AJ49" ca="1" si="21">IFERROR(AA46/AA$20,0)</f>
        <v>0</v>
      </c>
      <c r="AK46" s="382">
        <f t="shared" ref="AK46:AK49" ca="1" si="22">IFERROR(AD46/AD$20,0)</f>
        <v>0</v>
      </c>
      <c r="AL46" s="383">
        <f t="shared" ref="AL46:AL49" ca="1" si="23">IFERROR(AG46/AG$20,0)</f>
        <v>0</v>
      </c>
      <c r="AM46" s="384">
        <f t="shared" ref="AM46:AM49" ca="1" si="24">+IFERROR(ROUND(($AB46-AE46)*100,2)&amp;" pts.",0)</f>
        <v>0</v>
      </c>
      <c r="AN46" s="385">
        <f t="shared" ref="AN46:AN49" ca="1" si="25">+IFERROR(ROUND(($AB46-AH46)*100,2)&amp;" pts.",0)</f>
        <v>0</v>
      </c>
    </row>
    <row r="47" spans="1:40" x14ac:dyDescent="0.2">
      <c r="H47" s="10" t="s">
        <v>286</v>
      </c>
      <c r="I47" s="447" t="e">
        <f ca="1">_xll.EVPRO($B$1,$H47,"STYLE")</f>
        <v>#NAME?</v>
      </c>
      <c r="J47" s="447" t="e">
        <f ca="1">_xll.EVPRO($B$1,$H47,"CALC")</f>
        <v>#NAME?</v>
      </c>
      <c r="K47" s="448" t="e">
        <f t="shared" ca="1" si="19"/>
        <v>#NAME?</v>
      </c>
      <c r="L47" s="151" t="e">
        <f ca="1">_xll.EVPRO($B$1,H47,"JDEID")</f>
        <v>#NAME?</v>
      </c>
      <c r="M47" s="151" t="e">
        <f ca="1">IF(AND(I47="N",J47="N"),_xll.EVPRO($B$1,H47,"PSFTID"),"")</f>
        <v>#NAME?</v>
      </c>
      <c r="N47" s="151" t="e">
        <f ca="1">IF(_xll.EVDES(H47,$B$1)="#NODATA","",_xll.EVDES(H47,$B$1))</f>
        <v>#NAME?</v>
      </c>
      <c r="O47" s="424">
        <v>1321.35</v>
      </c>
      <c r="P47" s="424">
        <v>1676.91</v>
      </c>
      <c r="Q47" s="424">
        <v>2478.5100000000002</v>
      </c>
      <c r="R47" s="424">
        <v>1889.52</v>
      </c>
      <c r="S47" s="424">
        <v>1604.68</v>
      </c>
      <c r="T47" s="120">
        <v>1449.26</v>
      </c>
      <c r="U47" s="120">
        <v>1612.01</v>
      </c>
      <c r="V47" s="120">
        <v>1347.04</v>
      </c>
      <c r="W47" s="120">
        <v>1317.54</v>
      </c>
      <c r="X47" s="120">
        <v>1218.1099999999999</v>
      </c>
      <c r="Y47" s="120">
        <v>1547.76</v>
      </c>
      <c r="Z47" s="120">
        <v>-506.82</v>
      </c>
      <c r="AA47" s="120" t="e">
        <f ca="1">IF($I47="B1","",SUM(O47:Z47))</f>
        <v>#NAME?</v>
      </c>
      <c r="AB47" s="121" t="e">
        <f ca="1">IF(AA47=0,"",IFERROR(AA47/_xll.EVGTS($B$1,1,_xll.EVPRO($B$1,$H47,"COSBASIS"),$B$3,$B$5,$B$6,$B$7,$B$9,AA$16,AA$17,AA$11),""))</f>
        <v>#NAME?</v>
      </c>
      <c r="AC47" s="123"/>
      <c r="AD47" s="120">
        <v>16503.108649999998</v>
      </c>
      <c r="AE47" s="121" t="str">
        <f ca="1">IF(AD47=0,"",IFERROR(AD47/_xll.EVGTS($B$1,1,_xll.EVPRO($B$1,$H47,"COSBASIS"),$B$3,$B$5,$B$6,$B$7,$B$9,AD$16,AD$17,AD$18),""))</f>
        <v/>
      </c>
      <c r="AF47" s="122" t="e">
        <f ca="1">IF(AND($AA47="",AD47=""),"",$AA47-AD47)</f>
        <v>#NAME?</v>
      </c>
      <c r="AG47" s="120">
        <v>18850.990000000002</v>
      </c>
      <c r="AH47" s="121" t="str">
        <f ca="1">IF(AG47=0,"",IFERROR(AG47/_xll.EVGTS($B$1,1,_xll.EVPRO($B$1,$H47,"COSBASIS"),$B$3,$B$5,$B$6,$B$7,$B$9,AG$16,AG$17,AG$18),""))</f>
        <v/>
      </c>
      <c r="AI47" s="122" t="e">
        <f t="shared" ca="1" si="20"/>
        <v>#NAME?</v>
      </c>
      <c r="AJ47" s="332">
        <f t="shared" ca="1" si="21"/>
        <v>0</v>
      </c>
      <c r="AK47" s="333">
        <f t="shared" ca="1" si="22"/>
        <v>0</v>
      </c>
      <c r="AL47" s="335">
        <f t="shared" ca="1" si="23"/>
        <v>0</v>
      </c>
      <c r="AM47" s="377">
        <f t="shared" ca="1" si="24"/>
        <v>0</v>
      </c>
      <c r="AN47" s="378">
        <f t="shared" ca="1" si="25"/>
        <v>0</v>
      </c>
    </row>
    <row r="48" spans="1:40" x14ac:dyDescent="0.2">
      <c r="A48" s="3" t="s">
        <v>0</v>
      </c>
      <c r="B48" s="5" t="s">
        <v>1</v>
      </c>
      <c r="H48" s="10" t="s">
        <v>355</v>
      </c>
      <c r="I48" s="25" t="e">
        <f ca="1">_xll.EVPRO($B$1,$H48,"STYLE")</f>
        <v>#NAME?</v>
      </c>
      <c r="J48" s="25" t="e">
        <f ca="1">_xll.EVPRO($B$1,$H48,"CALC")</f>
        <v>#NAME?</v>
      </c>
      <c r="K48" s="64" t="e">
        <f t="shared" ca="1" si="19"/>
        <v>#NAME?</v>
      </c>
      <c r="L48" s="24" t="e">
        <f ca="1">_xll.EVPRO($B$1,H48,"JDEID")</f>
        <v>#NAME?</v>
      </c>
      <c r="M48" s="24" t="e">
        <f ca="1">IF(AND(I48="N",J48="N"),_xll.EVPRO($B$1,H48,"PSFTID"),"")</f>
        <v>#NAME?</v>
      </c>
      <c r="N48" s="24" t="e">
        <f ca="1">IF(_xll.EVDES(H48,$B$1)="#NODATA","",_xll.EVDES(H48,$B$1))</f>
        <v>#NAME?</v>
      </c>
      <c r="O48" s="425">
        <v>452.35</v>
      </c>
      <c r="P48" s="425">
        <v>125.35</v>
      </c>
      <c r="Q48" s="425">
        <v>370.6</v>
      </c>
      <c r="R48" s="425">
        <v>615.85</v>
      </c>
      <c r="S48" s="425">
        <v>692.15</v>
      </c>
      <c r="T48" s="44">
        <v>512.29999999999995</v>
      </c>
      <c r="U48" s="44">
        <v>272.5</v>
      </c>
      <c r="V48" s="44">
        <v>844.75</v>
      </c>
      <c r="W48" s="44">
        <v>-398.97</v>
      </c>
      <c r="X48" s="44">
        <v>98.1</v>
      </c>
      <c r="Y48" s="44"/>
      <c r="Z48" s="44">
        <v>16.350000000000001</v>
      </c>
      <c r="AA48" s="44" t="e">
        <f ca="1">IF($I48="B1","",SUM(O48:Z48))</f>
        <v>#NAME?</v>
      </c>
      <c r="AB48" s="45" t="e">
        <f ca="1">IF(AA48=0,"",IFERROR(AA48/_xll.EVGTS($B$1,1,_xll.EVPRO($B$1,$H48,"COSBASIS"),$B$3,$B$5,$B$6,$B$7,$B$9,AA$16,AA$17,AA$11),""))</f>
        <v>#NAME?</v>
      </c>
      <c r="AD48" s="44">
        <v>4147.4620000000004</v>
      </c>
      <c r="AE48" s="45" t="str">
        <f ca="1">IF(AD48=0,"",IFERROR(AD48/_xll.EVGTS($B$1,1,_xll.EVPRO($B$1,$H48,"COSBASIS"),$B$3,$B$5,$B$6,$B$7,$B$9,AD$16,AD$17,AD$18),""))</f>
        <v/>
      </c>
      <c r="AF48" s="134" t="e">
        <f ca="1">IF(AND($AA48="",AD48=""),"",$AA48-AD48)</f>
        <v>#NAME?</v>
      </c>
      <c r="AG48" s="44">
        <v>1228.2</v>
      </c>
      <c r="AH48" s="45" t="str">
        <f ca="1">IF(AG48=0,"",IFERROR(AG48/_xll.EVGTS($B$1,1,_xll.EVPRO($B$1,$H48,"COSBASIS"),$B$3,$B$5,$B$6,$B$7,$B$9,AG$16,AG$17,AG$18),""))</f>
        <v/>
      </c>
      <c r="AI48" s="134" t="e">
        <f t="shared" ca="1" si="20"/>
        <v>#NAME?</v>
      </c>
      <c r="AJ48" s="392">
        <f t="shared" ca="1" si="21"/>
        <v>0</v>
      </c>
      <c r="AK48" s="393">
        <f t="shared" ca="1" si="22"/>
        <v>0</v>
      </c>
      <c r="AL48" s="394">
        <f t="shared" ca="1" si="23"/>
        <v>0</v>
      </c>
      <c r="AM48" s="395">
        <f t="shared" ca="1" si="24"/>
        <v>0</v>
      </c>
      <c r="AN48" s="396">
        <f t="shared" ca="1" si="25"/>
        <v>0</v>
      </c>
    </row>
    <row r="49" spans="1:40" x14ac:dyDescent="0.2">
      <c r="A49" s="6" t="s">
        <v>2</v>
      </c>
      <c r="B49" s="7" t="e">
        <f ca="1">_xll.EVRNG($B$2:$B$10)</f>
        <v>#NAME?</v>
      </c>
      <c r="H49" s="10" t="s">
        <v>289</v>
      </c>
      <c r="I49" s="447" t="e">
        <f ca="1">_xll.EVPRO($B$1,$H49,"STYLE")</f>
        <v>#NAME?</v>
      </c>
      <c r="J49" s="447" t="e">
        <f ca="1">_xll.EVPRO($B$1,$H49,"CALC")</f>
        <v>#NAME?</v>
      </c>
      <c r="K49" s="448" t="e">
        <f t="shared" ca="1" si="19"/>
        <v>#NAME?</v>
      </c>
      <c r="L49" s="151" t="e">
        <f ca="1">_xll.EVPRO($B$1,H49,"JDEID")</f>
        <v>#NAME?</v>
      </c>
      <c r="M49" s="151" t="e">
        <f ca="1">IF(AND(I49="N",J49="N"),_xll.EVPRO($B$1,H49,"PSFTID"),"")</f>
        <v>#NAME?</v>
      </c>
      <c r="N49" s="151" t="e">
        <f ca="1">IF(_xll.EVDES(H49,$B$1)="#NODATA","",_xll.EVDES(H49,$B$1))</f>
        <v>#NAME?</v>
      </c>
      <c r="O49" s="424">
        <v>1773.7</v>
      </c>
      <c r="P49" s="424">
        <v>1802.26</v>
      </c>
      <c r="Q49" s="424">
        <v>2849.11</v>
      </c>
      <c r="R49" s="424">
        <v>2505.37</v>
      </c>
      <c r="S49" s="424">
        <v>2296.83</v>
      </c>
      <c r="T49" s="120">
        <v>1961.56</v>
      </c>
      <c r="U49" s="120">
        <v>1884.51</v>
      </c>
      <c r="V49" s="120">
        <v>2191.79</v>
      </c>
      <c r="W49" s="120">
        <v>918.57</v>
      </c>
      <c r="X49" s="120">
        <v>1316.21</v>
      </c>
      <c r="Y49" s="120">
        <v>1547.76</v>
      </c>
      <c r="Z49" s="120">
        <v>-490.47</v>
      </c>
      <c r="AA49" s="120" t="e">
        <f ca="1">IF($I49="B1","",SUM(O49:Z49))</f>
        <v>#NAME?</v>
      </c>
      <c r="AB49" s="121" t="e">
        <f ca="1">IF(AA49=0,"",IFERROR(AA49/_xll.EVGTS($B$1,1,_xll.EVPRO($B$1,$H49,"COSBASIS"),$B$3,$B$5,$B$6,$B$7,$B$9,AA$16,AA$17,AA$11),""))</f>
        <v>#NAME?</v>
      </c>
      <c r="AC49" s="123"/>
      <c r="AD49" s="120">
        <v>20650.570650000001</v>
      </c>
      <c r="AE49" s="121" t="str">
        <f ca="1">IF(AD49=0,"",IFERROR(AD49/_xll.EVGTS($B$1,1,_xll.EVPRO($B$1,$H49,"COSBASIS"),$B$3,$B$5,$B$6,$B$7,$B$9,AD$16,AD$17,AD$18),""))</f>
        <v/>
      </c>
      <c r="AF49" s="122" t="e">
        <f ca="1">IF(AND($AA49="",AD49=""),"",$AA49-AD49)</f>
        <v>#NAME?</v>
      </c>
      <c r="AG49" s="120">
        <v>20079.189999999999</v>
      </c>
      <c r="AH49" s="121" t="str">
        <f ca="1">IF(AG49=0,"",IFERROR(AG49/_xll.EVGTS($B$1,1,_xll.EVPRO($B$1,$H49,"COSBASIS"),$B$3,$B$5,$B$6,$B$7,$B$9,AG$16,AG$17,AG$18),""))</f>
        <v/>
      </c>
      <c r="AI49" s="122" t="e">
        <f t="shared" ca="1" si="20"/>
        <v>#NAME?</v>
      </c>
      <c r="AJ49" s="332">
        <f t="shared" ca="1" si="21"/>
        <v>0</v>
      </c>
      <c r="AK49" s="333">
        <f t="shared" ca="1" si="22"/>
        <v>0</v>
      </c>
      <c r="AL49" s="335">
        <f t="shared" ca="1" si="23"/>
        <v>0</v>
      </c>
      <c r="AM49" s="377">
        <f t="shared" ca="1" si="24"/>
        <v>0</v>
      </c>
      <c r="AN49" s="378">
        <f t="shared" ca="1" si="25"/>
        <v>0</v>
      </c>
    </row>
    <row r="50" spans="1:40" x14ac:dyDescent="0.2">
      <c r="A50" s="6" t="s">
        <v>3</v>
      </c>
      <c r="B50" s="7" t="e">
        <f ca="1">_xll.EVRNG($O$16:$AN$18)</f>
        <v>#NAME?</v>
      </c>
      <c r="H50" s="133" t="s">
        <v>175</v>
      </c>
      <c r="I50" s="26" t="e">
        <f ca="1">_xll.EVPRO($B$1,$H50,"STYLE")</f>
        <v>#NAME?</v>
      </c>
      <c r="J50" s="26" t="e">
        <f ca="1">_xll.EVPRO($B$1,$H50,"CALC")</f>
        <v>#NAME?</v>
      </c>
      <c r="K50" s="65" t="e">
        <f t="shared" ca="1" si="12"/>
        <v>#NAME?</v>
      </c>
      <c r="L50" s="65"/>
      <c r="M50" s="65"/>
      <c r="N50" s="23" t="e">
        <f ca="1">IF(_xll.EVDES(H50,$B$1)="#NODATA","",_xll.EVDES(H50,$B$1))</f>
        <v>#NAME?</v>
      </c>
      <c r="O50" s="44"/>
      <c r="P50" s="44"/>
      <c r="Q50" s="44"/>
      <c r="R50" s="44"/>
      <c r="S50" s="44"/>
      <c r="T50" s="44"/>
      <c r="U50" s="44"/>
      <c r="V50" s="44"/>
      <c r="W50" s="44"/>
      <c r="X50" s="44"/>
      <c r="Y50" s="44"/>
      <c r="Z50" s="44"/>
      <c r="AA50" s="44"/>
      <c r="AB50" s="45" t="str">
        <f>IF(O50=0,"",IFERROR(O50/_xll.EVGTS($B$1,1,INDEX($C$150:$C$173,MATCH($H50,$A$150:$A$173,0)),$B$3,$B$5,$B$6,$B$7,$B$9,O$16,O$17,O$18),""))</f>
        <v/>
      </c>
      <c r="AD50" s="44"/>
      <c r="AE50" s="45" t="str">
        <f>IF(AD50=0,"",IFERROR(AD50/_xll.EVGTS($B$1,1,INDEX($C$150:$C$173,MATCH($H50,$A$150:$A$173,0)),$B$3,$B$5,$B$6,$B$7,$B$9,AD$16,AD$17,AD$18),""))</f>
        <v/>
      </c>
      <c r="AF50" s="134" t="str">
        <f t="shared" ref="AF50:AF51" si="26">IF(AND($AA50="",AD50=""),"",$AA50-AD50)</f>
        <v/>
      </c>
      <c r="AG50" s="44"/>
      <c r="AH50" s="45" t="str">
        <f>IF(AG50=0,"",IFERROR(AG50/_xll.EVGTS($B$1,1,INDEX($C$150:$C$173,MATCH($H50,$A$150:$A$173,0)),$B$3,$B$5,$B$6,$B$7,$B$9,AG$16,AG$17,AG$18),""))</f>
        <v/>
      </c>
      <c r="AI50" s="134" t="str">
        <f t="shared" si="13"/>
        <v/>
      </c>
      <c r="AJ50" s="392">
        <f t="shared" ca="1" si="14"/>
        <v>0</v>
      </c>
      <c r="AK50" s="393">
        <f t="shared" ca="1" si="15"/>
        <v>0</v>
      </c>
      <c r="AL50" s="394">
        <f t="shared" ca="1" si="16"/>
        <v>0</v>
      </c>
      <c r="AM50" s="395">
        <f t="shared" si="17"/>
        <v>0</v>
      </c>
      <c r="AN50" s="396">
        <f t="shared" si="18"/>
        <v>0</v>
      </c>
    </row>
    <row r="51" spans="1:40" x14ac:dyDescent="0.2">
      <c r="A51" s="6" t="s">
        <v>4</v>
      </c>
      <c r="B51" s="7" t="e">
        <f ca="1">_xll.EVRNG(H45:H49)</f>
        <v>#NAME?</v>
      </c>
      <c r="H51" s="133" t="s">
        <v>292</v>
      </c>
      <c r="I51" s="26" t="e">
        <f ca="1">_xll.EVPRO($B$1,$H51,"STYLE")</f>
        <v>#NAME?</v>
      </c>
      <c r="J51" s="26" t="e">
        <f ca="1">_xll.EVPRO($B$1,$H51,"CALC")</f>
        <v>#NAME?</v>
      </c>
      <c r="K51" s="65" t="e">
        <f t="shared" ca="1" si="12"/>
        <v>#NAME?</v>
      </c>
      <c r="L51" s="65"/>
      <c r="M51" s="65"/>
      <c r="N51" s="23" t="e">
        <f ca="1">IF(_xll.EVDES(H51,$B$1)="#NODATA","",_xll.EVDES(H51,$B$1))</f>
        <v>#NAME?</v>
      </c>
      <c r="O51" s="145">
        <f>SUMIF($H$35:$H$49,"400000",O35:O49)-SUMIF($H$35:$H$49,"500001",O35:O49)</f>
        <v>4115.8600000000006</v>
      </c>
      <c r="P51" s="145">
        <f t="shared" ref="P51:Z51" si="27">SUMIF($H$35:$H$49,"400000",P35:P49)-SUMIF($H$35:$H$49,"500001",P35:P49)</f>
        <v>3878.9399999999996</v>
      </c>
      <c r="Q51" s="145">
        <f t="shared" si="27"/>
        <v>4569.8899999999994</v>
      </c>
      <c r="R51" s="145">
        <f t="shared" si="27"/>
        <v>3407.63</v>
      </c>
      <c r="S51" s="145">
        <f t="shared" si="27"/>
        <v>3431.8100000000004</v>
      </c>
      <c r="T51" s="145">
        <f t="shared" si="27"/>
        <v>3462.44</v>
      </c>
      <c r="U51" s="145">
        <f t="shared" si="27"/>
        <v>2444.09</v>
      </c>
      <c r="V51" s="145">
        <f t="shared" si="27"/>
        <v>4054.7700000000004</v>
      </c>
      <c r="W51" s="145">
        <f t="shared" si="27"/>
        <v>4318.9800000000005</v>
      </c>
      <c r="X51" s="145">
        <f t="shared" si="27"/>
        <v>3111.79</v>
      </c>
      <c r="Y51" s="145">
        <f t="shared" si="27"/>
        <v>3949.4299999999994</v>
      </c>
      <c r="Z51" s="145">
        <f t="shared" si="27"/>
        <v>6505.8600000000006</v>
      </c>
      <c r="AA51" s="145" t="e">
        <f ca="1">IF($I51="B1","",SUM(O51:Z51))</f>
        <v>#NAME?</v>
      </c>
      <c r="AB51" s="121" t="e">
        <f ca="1">IF(AA51=0,"",IFERROR(AA51/AA$19,""))</f>
        <v>#NAME?</v>
      </c>
      <c r="AD51" s="145">
        <f>SUMIF($H$35:$H$49,"400000",AD35:AD49)-SUMIF($H$35:$H$49,"500001",AD35:AD49)</f>
        <v>49058.499350000006</v>
      </c>
      <c r="AE51" s="121" t="str">
        <f ca="1">IF(AD51=0,"",IFERROR(AD51/AD$19,""))</f>
        <v/>
      </c>
      <c r="AF51" s="146" t="e">
        <f t="shared" ca="1" si="26"/>
        <v>#NAME?</v>
      </c>
      <c r="AG51" s="145">
        <f>SUMIF($H$35:$H$49,"400000",AG35:AG49)-SUMIF($H$35:$H$49,"500001",AG35:AG49)</f>
        <v>48411.739999999991</v>
      </c>
      <c r="AH51" s="121" t="str">
        <f ca="1">IF(AG51=0,"",IFERROR(AG51/AG$19,""))</f>
        <v/>
      </c>
      <c r="AI51" s="146" t="e">
        <f t="shared" ca="1" si="13"/>
        <v>#NAME?</v>
      </c>
      <c r="AJ51" s="364">
        <f t="shared" ca="1" si="14"/>
        <v>0</v>
      </c>
      <c r="AK51" s="365">
        <f t="shared" ca="1" si="15"/>
        <v>0</v>
      </c>
      <c r="AL51" s="366">
        <f t="shared" ca="1" si="16"/>
        <v>0</v>
      </c>
      <c r="AM51" s="367">
        <f t="shared" ca="1" si="17"/>
        <v>0</v>
      </c>
      <c r="AN51" s="409">
        <f t="shared" ca="1" si="18"/>
        <v>0</v>
      </c>
    </row>
    <row r="52" spans="1:40" x14ac:dyDescent="0.2">
      <c r="A52" s="6" t="s">
        <v>5</v>
      </c>
      <c r="B52" s="7"/>
      <c r="F52" s="136"/>
      <c r="O52" s="144"/>
      <c r="P52" s="147"/>
      <c r="Q52" s="147"/>
      <c r="R52" s="147"/>
      <c r="S52" s="147"/>
      <c r="T52" s="147"/>
      <c r="U52" s="147"/>
      <c r="V52" s="147"/>
      <c r="W52" s="147"/>
      <c r="X52" s="147"/>
      <c r="Y52" s="147"/>
      <c r="Z52" s="147"/>
      <c r="AA52" s="147"/>
      <c r="AB52" s="51"/>
      <c r="AD52" s="144"/>
      <c r="AF52" s="51"/>
      <c r="AG52" s="144"/>
      <c r="AI52" s="51"/>
    </row>
    <row r="53" spans="1:40" x14ac:dyDescent="0.2">
      <c r="A53" s="6" t="s">
        <v>6</v>
      </c>
      <c r="B53" s="7"/>
      <c r="F53" s="136"/>
      <c r="H53" s="1" t="s">
        <v>73</v>
      </c>
      <c r="I53" s="11" t="e">
        <f ca="1">_xll.EVPRO($B$1,$H53,"STYLE")</f>
        <v>#NAME?</v>
      </c>
      <c r="J53" s="11" t="e">
        <f ca="1">_xll.EVPRO($B$1,$H53,"CALC")</f>
        <v>#NAME?</v>
      </c>
      <c r="N53" s="37" t="e">
        <f ca="1">IF(_xll.EVDES(H53,$B$1)="#NODATA","",_xll.EVDES(H53,$B$1))</f>
        <v>#NAME?</v>
      </c>
      <c r="O53" s="50"/>
      <c r="AB53" s="149"/>
      <c r="AD53" s="148"/>
      <c r="AE53" s="150"/>
      <c r="AF53" s="51"/>
      <c r="AH53" s="150"/>
      <c r="AI53" s="51"/>
    </row>
    <row r="54" spans="1:40" x14ac:dyDescent="0.2">
      <c r="A54" s="6" t="s">
        <v>7</v>
      </c>
      <c r="B54" s="7" t="e">
        <f ca="1">_xll.EVRNG(A68:F75)</f>
        <v>#NAME?</v>
      </c>
      <c r="F54" s="136"/>
      <c r="H54" s="1" t="s">
        <v>74</v>
      </c>
      <c r="I54" s="11" t="e">
        <f ca="1">_xll.EVPRO($B$1,$H54,"STYLE")</f>
        <v>#NAME?</v>
      </c>
      <c r="J54" s="11" t="e">
        <f ca="1">_xll.EVPRO($B$1,$H54,"CALC")</f>
        <v>#NAME?</v>
      </c>
      <c r="N54" s="8" t="e">
        <f ca="1">IF(_xll.EVDES(H54,$B$1)="#NODATA","",_xll.EVDES(H54,$B$1))</f>
        <v>#NAME?</v>
      </c>
      <c r="O54" s="40"/>
      <c r="P54" s="43"/>
      <c r="Q54" s="43"/>
      <c r="R54" s="43"/>
      <c r="S54" s="43"/>
      <c r="T54" s="43"/>
      <c r="U54" s="43"/>
      <c r="V54" s="43"/>
      <c r="W54" s="43"/>
      <c r="X54" s="43"/>
      <c r="Y54" s="43"/>
      <c r="Z54" s="43"/>
      <c r="AA54" s="43"/>
      <c r="AB54" s="41"/>
      <c r="AD54" s="40"/>
      <c r="AE54" s="43"/>
      <c r="AF54" s="41"/>
      <c r="AG54" s="43"/>
      <c r="AH54" s="43"/>
      <c r="AI54" s="41"/>
    </row>
    <row r="55" spans="1:40" hidden="1" x14ac:dyDescent="0.2">
      <c r="A55" s="6" t="s">
        <v>47</v>
      </c>
      <c r="B55" s="7" t="e">
        <f ca="1">_xll.EVRNG($A$123:$B$144)</f>
        <v>#NAME?</v>
      </c>
      <c r="H55" s="10" t="s">
        <v>667</v>
      </c>
      <c r="I55" s="25" t="e">
        <f ca="1">_xll.EVPRO($B$1,$H55,"STYLE")</f>
        <v>#NAME?</v>
      </c>
      <c r="J55" s="25" t="e">
        <f ca="1">_xll.EVPRO($B$1,$H55,"CALC")</f>
        <v>#NAME?</v>
      </c>
      <c r="K55" s="64" t="e">
        <f ca="1">IF(AND(I55&lt;&gt;"B1",J55="Y"),"&gt;","")</f>
        <v>#NAME?</v>
      </c>
      <c r="L55" s="24" t="e">
        <f ca="1">_xll.EVPRO($B$1,H55,"JDEID")</f>
        <v>#NAME?</v>
      </c>
      <c r="M55" s="24" t="e">
        <f ca="1">IF(AND(I55="N",J55="N"),_xll.EVPRO($B$1,H55,"PSFTID"),"")</f>
        <v>#NAME?</v>
      </c>
      <c r="N55" s="24" t="e">
        <f ca="1">IF(_xll.EVDES(H55,$B$1)="#NODATA","",_xll.EVDES(H55,$B$1))</f>
        <v>#NAME?</v>
      </c>
      <c r="O55" s="19"/>
      <c r="P55" s="19"/>
      <c r="Q55" s="19"/>
      <c r="R55" s="19"/>
      <c r="S55" s="19"/>
      <c r="T55" s="19"/>
      <c r="U55" s="19"/>
      <c r="V55" s="19"/>
      <c r="W55" s="19"/>
      <c r="X55" s="19"/>
      <c r="Y55" s="19"/>
      <c r="Z55" s="19"/>
      <c r="AA55" s="283" t="e">
        <f t="shared" ref="AA55:AA60" ca="1" si="28">IF($I55="B1","",SUM(O55:Z55))</f>
        <v>#NAME?</v>
      </c>
      <c r="AB55" s="15" t="e">
        <f t="shared" ref="AB55:AB60" ca="1" si="29">IF(AA55=0,"",IFERROR(AA55/AA$19,""))</f>
        <v>#NAME?</v>
      </c>
      <c r="AD55" s="19"/>
      <c r="AE55" s="15" t="str">
        <f t="shared" ref="AE55:AE60" si="30">IF(AD55=0,"",IFERROR(AD55/AD$19,""))</f>
        <v/>
      </c>
      <c r="AF55" s="47" t="e">
        <f t="shared" ref="AF55:AF60" ca="1" si="31">IF(AND($AA55="",AD55=""),"",$AA55-AD55)</f>
        <v>#NAME?</v>
      </c>
      <c r="AG55" s="19"/>
      <c r="AH55" s="15" t="str">
        <f>IF(AG55=0,"",IFERROR(AG55/AG$19,""))</f>
        <v/>
      </c>
      <c r="AI55" s="47" t="e">
        <f ca="1">IF(AND($AA55="",AG55=""),"",$AA55-AG55)</f>
        <v>#NAME?</v>
      </c>
      <c r="AJ55" s="371">
        <f ca="1">IFERROR(AA55/AA$20,0)</f>
        <v>0</v>
      </c>
      <c r="AK55" s="372">
        <f ca="1">IFERROR(AD55/AD$20,0)</f>
        <v>0</v>
      </c>
      <c r="AL55" s="373">
        <f ca="1">IFERROR(AG55/AG$20,0)</f>
        <v>0</v>
      </c>
      <c r="AM55" s="374">
        <f ca="1">+IFERROR(ROUND(($AB55-AE55)*100,2)&amp;" pts.",0)</f>
        <v>0</v>
      </c>
      <c r="AN55" s="375">
        <f ca="1">+IFERROR(ROUND(($AB55-AH55)*100,2)&amp;" pts.",0)</f>
        <v>0</v>
      </c>
    </row>
    <row r="56" spans="1:40" hidden="1" x14ac:dyDescent="0.2">
      <c r="A56" s="6" t="s">
        <v>8</v>
      </c>
      <c r="B56" s="7"/>
      <c r="H56" s="10"/>
      <c r="I56" s="25" t="e">
        <f ca="1">_xll.EVPRO($B$1,$H56,"STYLE")</f>
        <v>#NAME?</v>
      </c>
      <c r="J56" s="25" t="e">
        <f ca="1">_xll.EVPRO($B$1,$H56,"CALC")</f>
        <v>#NAME?</v>
      </c>
      <c r="K56" s="64" t="e">
        <f ca="1">IF(AND(I56&lt;&gt;"B1",J56="Y"),"&gt;","")</f>
        <v>#NAME?</v>
      </c>
      <c r="L56" s="24" t="e">
        <f ca="1">_xll.EVPRO($B$1,H56,"JDEID")</f>
        <v>#NAME?</v>
      </c>
      <c r="M56" s="24" t="e">
        <f ca="1">IF(AND(I56="N",J56="N"),_xll.EVPRO($B$1,H56,"PSFTID"),"")</f>
        <v>#NAME?</v>
      </c>
      <c r="N56" s="24" t="e">
        <f ca="1">IF(_xll.EVDES(H56,$B$1)="#NODATA","",_xll.EVDES(H56,$B$1))</f>
        <v>#NAME?</v>
      </c>
      <c r="O56" s="19"/>
      <c r="P56" s="19"/>
      <c r="Q56" s="19"/>
      <c r="R56" s="19"/>
      <c r="S56" s="19"/>
      <c r="T56" s="19"/>
      <c r="U56" s="19"/>
      <c r="V56" s="19"/>
      <c r="W56" s="19"/>
      <c r="X56" s="19"/>
      <c r="Y56" s="19"/>
      <c r="Z56" s="19"/>
      <c r="AA56" s="283" t="e">
        <f t="shared" ca="1" si="28"/>
        <v>#NAME?</v>
      </c>
      <c r="AB56" s="15" t="e">
        <f t="shared" ca="1" si="29"/>
        <v>#NAME?</v>
      </c>
      <c r="AD56" s="19"/>
      <c r="AE56" s="15" t="str">
        <f t="shared" si="30"/>
        <v/>
      </c>
      <c r="AF56" s="47" t="e">
        <f t="shared" ca="1" si="31"/>
        <v>#NAME?</v>
      </c>
      <c r="AG56" s="19"/>
      <c r="AH56" s="15" t="str">
        <f>IF(AG56=0,"",IFERROR(AG56/AG$19,""))</f>
        <v/>
      </c>
      <c r="AI56" s="47" t="e">
        <f ca="1">IF(AND($AA56="",AG56=""),"",$AA56-AG56)</f>
        <v>#NAME?</v>
      </c>
      <c r="AJ56" s="371">
        <f ca="1">IFERROR(AA56/AA$20,0)</f>
        <v>0</v>
      </c>
      <c r="AK56" s="372">
        <f ca="1">IFERROR(AD56/AD$20,0)</f>
        <v>0</v>
      </c>
      <c r="AL56" s="373">
        <f ca="1">IFERROR(AG56/AG$20,0)</f>
        <v>0</v>
      </c>
      <c r="AM56" s="374">
        <f ca="1">+IFERROR(ROUND(($AB56-AE56)*100,2)&amp;" pts.",0)</f>
        <v>0</v>
      </c>
      <c r="AN56" s="375">
        <f ca="1">+IFERROR(ROUND(($AB56-AH56)*100,2)&amp;" pts.",0)</f>
        <v>0</v>
      </c>
    </row>
    <row r="57" spans="1:40" x14ac:dyDescent="0.2">
      <c r="H57" s="10" t="s">
        <v>75</v>
      </c>
      <c r="I57" s="26" t="e">
        <f ca="1">_xll.EVPRO($B$1,$H57,"STYLE")</f>
        <v>#NAME?</v>
      </c>
      <c r="J57" s="26" t="e">
        <f ca="1">_xll.EVPRO($B$1,$H57,"CALC")</f>
        <v>#NAME?</v>
      </c>
      <c r="K57" s="65" t="e">
        <f ca="1">IF(AND(I57&gt;="T3"),"&gt;","")</f>
        <v>#NAME?</v>
      </c>
      <c r="L57" s="23" t="e">
        <f ca="1">_xll.EVPRO($B$1,H57,"JDEID")</f>
        <v>#NAME?</v>
      </c>
      <c r="M57" s="24" t="e">
        <f ca="1">IF(AND(I57="N",J57="N"),_xll.EVPRO($B$1,H57,"PSFTID"),"")</f>
        <v>#NAME?</v>
      </c>
      <c r="N57" s="23" t="e">
        <f ca="1">IF(_xll.EVDES(H57,$B$1)="#NODATA","",_xll.EVDES(H57,$B$1))</f>
        <v>#NAME?</v>
      </c>
      <c r="O57" s="35"/>
      <c r="P57" s="35"/>
      <c r="Q57" s="35"/>
      <c r="R57" s="35"/>
      <c r="S57" s="35"/>
      <c r="T57" s="35"/>
      <c r="U57" s="35"/>
      <c r="V57" s="35"/>
      <c r="W57" s="35"/>
      <c r="X57" s="35"/>
      <c r="Y57" s="35"/>
      <c r="Z57" s="35"/>
      <c r="AA57" s="283" t="e">
        <f t="shared" ca="1" si="28"/>
        <v>#NAME?</v>
      </c>
      <c r="AB57" s="36" t="e">
        <f t="shared" ca="1" si="29"/>
        <v>#NAME?</v>
      </c>
      <c r="AD57" s="35"/>
      <c r="AE57" s="36" t="str">
        <f t="shared" si="30"/>
        <v/>
      </c>
      <c r="AF57" s="118" t="e">
        <f t="shared" ca="1" si="31"/>
        <v>#NAME?</v>
      </c>
      <c r="AG57" s="35"/>
      <c r="AH57" s="36" t="str">
        <f>IF(AG57=0,"",IFERROR(AG57/AG$19,""))</f>
        <v/>
      </c>
      <c r="AI57" s="118" t="e">
        <f ca="1">IF(AND($AA57="",AG57=""),"",$AA57-AG57)</f>
        <v>#NAME?</v>
      </c>
      <c r="AJ57" s="371">
        <f ca="1">IFERROR(AA57/AA$20,0)</f>
        <v>0</v>
      </c>
      <c r="AK57" s="372">
        <f ca="1">IFERROR(AD57/AD$20,0)</f>
        <v>0</v>
      </c>
      <c r="AL57" s="373">
        <f ca="1">IFERROR(AG57/AG$20,0)</f>
        <v>0</v>
      </c>
      <c r="AM57" s="374">
        <f ca="1">+IFERROR(ROUND(($AB57-AE57)*100,2)&amp;" pts.",0)</f>
        <v>0</v>
      </c>
      <c r="AN57" s="375">
        <f ca="1">+IFERROR(ROUND(($AB57-AH57)*100,2)&amp;" pts.",0)</f>
        <v>0</v>
      </c>
    </row>
    <row r="58" spans="1:40" x14ac:dyDescent="0.2">
      <c r="A58" s="3" t="s">
        <v>9</v>
      </c>
      <c r="B58" s="5" t="s">
        <v>10</v>
      </c>
      <c r="H58" s="10" t="s">
        <v>853</v>
      </c>
      <c r="I58" s="25" t="e">
        <f ca="1">_xll.EVPRO($B$1,$H58,"STYLE")</f>
        <v>#NAME?</v>
      </c>
      <c r="J58" s="25" t="e">
        <f ca="1">_xll.EVPRO($B$1,$H58,"CALC")</f>
        <v>#NAME?</v>
      </c>
      <c r="K58" s="64" t="e">
        <f ca="1">IF(AND(I58&lt;&gt;"B1",J58="Y"),"&gt;","")</f>
        <v>#NAME?</v>
      </c>
      <c r="L58" s="24" t="e">
        <f ca="1">_xll.EVPRO($B$1,H58,"JDEID")</f>
        <v>#NAME?</v>
      </c>
      <c r="M58" s="24" t="e">
        <f ca="1">IF(AND(I58="N",J58="N"),_xll.EVPRO($B$1,H58,"PSFTID"),"")</f>
        <v>#NAME?</v>
      </c>
      <c r="N58" s="24" t="e">
        <f ca="1">IF(_xll.EVDES(H58,$B$1)="#NODATA","",_xll.EVDES(H58,$B$1))</f>
        <v>#NAME?</v>
      </c>
      <c r="O58" s="422"/>
      <c r="P58" s="422"/>
      <c r="Q58" s="422"/>
      <c r="R58" s="422"/>
      <c r="S58" s="422"/>
      <c r="T58" s="28"/>
      <c r="U58" s="28"/>
      <c r="V58" s="28"/>
      <c r="W58" s="28"/>
      <c r="X58" s="28"/>
      <c r="Y58" s="28"/>
      <c r="Z58" s="28">
        <v>-406.66</v>
      </c>
      <c r="AA58" s="296" t="e">
        <f t="shared" ca="1" si="28"/>
        <v>#NAME?</v>
      </c>
      <c r="AB58" s="29" t="e">
        <f t="shared" ca="1" si="29"/>
        <v>#NAME?</v>
      </c>
      <c r="AD58" s="28"/>
      <c r="AE58" s="29" t="str">
        <f t="shared" si="30"/>
        <v/>
      </c>
      <c r="AF58" s="48" t="e">
        <f t="shared" ca="1" si="31"/>
        <v>#NAME?</v>
      </c>
      <c r="AG58" s="28"/>
      <c r="AH58" s="29" t="str">
        <f>IF(AG58=0,"",IFERROR(AG58/AG$19,""))</f>
        <v/>
      </c>
      <c r="AI58" s="48" t="e">
        <f ca="1">IF(AND($AA58="",AG58=""),"",$AA58-AG58)</f>
        <v>#NAME?</v>
      </c>
      <c r="AJ58" s="381">
        <f ca="1">IFERROR(AA58/AA$20,0)</f>
        <v>0</v>
      </c>
      <c r="AK58" s="382">
        <f ca="1">IFERROR(AD58/AD$20,0)</f>
        <v>0</v>
      </c>
      <c r="AL58" s="383">
        <f ca="1">IFERROR(AG58/AG$20,0)</f>
        <v>0</v>
      </c>
      <c r="AM58" s="384">
        <f ca="1">+IFERROR(ROUND(($AB58-AE58)*100,2)&amp;" pts.",0)</f>
        <v>0</v>
      </c>
      <c r="AN58" s="385">
        <f ca="1">+IFERROR(ROUND(($AB58-AH58)*100,2)&amp;" pts.",0)</f>
        <v>0</v>
      </c>
    </row>
    <row r="59" spans="1:40" x14ac:dyDescent="0.2">
      <c r="A59" s="6" t="s">
        <v>11</v>
      </c>
      <c r="B59" s="7" t="s">
        <v>21</v>
      </c>
      <c r="H59" s="10" t="s">
        <v>855</v>
      </c>
      <c r="I59" s="447" t="e">
        <f ca="1">_xll.EVPRO($B$1,$H59,"STYLE")</f>
        <v>#NAME?</v>
      </c>
      <c r="J59" s="447" t="e">
        <f ca="1">_xll.EVPRO($B$1,$H59,"CALC")</f>
        <v>#NAME?</v>
      </c>
      <c r="K59" s="448" t="e">
        <f t="shared" ref="K59:K60" ca="1" si="32">IF(AND(I59&lt;&gt;"B1",J59="Y"),"&gt;","")</f>
        <v>#NAME?</v>
      </c>
      <c r="L59" s="151" t="e">
        <f ca="1">_xll.EVPRO($B$1,H59,"JDEID")</f>
        <v>#NAME?</v>
      </c>
      <c r="M59" s="151" t="e">
        <f ca="1">IF(AND(I59="N",J59="N"),_xll.EVPRO($B$1,H59,"PSFTID"),"")</f>
        <v>#NAME?</v>
      </c>
      <c r="N59" s="151" t="e">
        <f ca="1">IF(_xll.EVDES(H59,$B$1)="#NODATA","",_xll.EVDES(H59,$B$1))</f>
        <v>#NAME?</v>
      </c>
      <c r="O59" s="482"/>
      <c r="P59" s="482"/>
      <c r="Q59" s="482"/>
      <c r="R59" s="482"/>
      <c r="S59" s="482"/>
      <c r="T59" s="33"/>
      <c r="U59" s="33"/>
      <c r="V59" s="33"/>
      <c r="W59" s="33"/>
      <c r="X59" s="33"/>
      <c r="Y59" s="33"/>
      <c r="Z59" s="33">
        <v>-406.66</v>
      </c>
      <c r="AA59" s="33" t="e">
        <f t="shared" ca="1" si="28"/>
        <v>#NAME?</v>
      </c>
      <c r="AB59" s="34" t="e">
        <f t="shared" ca="1" si="29"/>
        <v>#NAME?</v>
      </c>
      <c r="AC59" s="32"/>
      <c r="AD59" s="33"/>
      <c r="AE59" s="34" t="str">
        <f t="shared" si="30"/>
        <v/>
      </c>
      <c r="AF59" s="54" t="e">
        <f t="shared" ca="1" si="31"/>
        <v>#NAME?</v>
      </c>
      <c r="AG59" s="33"/>
      <c r="AH59" s="34" t="str">
        <f t="shared" ref="AH59:AH60" si="33">IF(AG59=0,"",IFERROR(AG59/AG$19,""))</f>
        <v/>
      </c>
      <c r="AI59" s="54" t="e">
        <f t="shared" ref="AI59:AI60" ca="1" si="34">IF(AND($AA59="",AG59=""),"",$AA59-AG59)</f>
        <v>#NAME?</v>
      </c>
      <c r="AJ59" s="344">
        <f t="shared" ref="AJ59:AJ60" ca="1" si="35">IFERROR(AA59/AA$20,0)</f>
        <v>0</v>
      </c>
      <c r="AK59" s="345">
        <f t="shared" ref="AK59:AK60" ca="1" si="36">IFERROR(AD59/AD$20,0)</f>
        <v>0</v>
      </c>
      <c r="AL59" s="347">
        <f t="shared" ref="AL59:AL60" ca="1" si="37">IFERROR(AG59/AG$20,0)</f>
        <v>0</v>
      </c>
      <c r="AM59" s="379">
        <f t="shared" ref="AM59:AM60" ca="1" si="38">+IFERROR(ROUND(($AB59-AE59)*100,2)&amp;" pts.",0)</f>
        <v>0</v>
      </c>
      <c r="AN59" s="380">
        <f t="shared" ref="AN59:AN60" ca="1" si="39">+IFERROR(ROUND(($AB59-AH59)*100,2)&amp;" pts.",0)</f>
        <v>0</v>
      </c>
    </row>
    <row r="60" spans="1:40" x14ac:dyDescent="0.2">
      <c r="A60" s="6" t="s">
        <v>12</v>
      </c>
      <c r="B60" s="7" t="s">
        <v>22</v>
      </c>
      <c r="H60" s="10" t="s">
        <v>76</v>
      </c>
      <c r="I60" s="447" t="e">
        <f ca="1">_xll.EVPRO($B$1,$H60,"STYLE")</f>
        <v>#NAME?</v>
      </c>
      <c r="J60" s="447" t="e">
        <f ca="1">_xll.EVPRO($B$1,$H60,"CALC")</f>
        <v>#NAME?</v>
      </c>
      <c r="K60" s="448" t="e">
        <f t="shared" ca="1" si="32"/>
        <v>#NAME?</v>
      </c>
      <c r="L60" s="151" t="e">
        <f ca="1">_xll.EVPRO($B$1,H60,"JDEID")</f>
        <v>#NAME?</v>
      </c>
      <c r="M60" s="151" t="e">
        <f ca="1">IF(AND(I60="N",J60="N"),_xll.EVPRO($B$1,H60,"PSFTID"),"")</f>
        <v>#NAME?</v>
      </c>
      <c r="N60" s="151" t="e">
        <f ca="1">IF(_xll.EVDES(H60,$B$1)="#NODATA","",_xll.EVDES(H60,$B$1))</f>
        <v>#NAME?</v>
      </c>
      <c r="O60" s="482"/>
      <c r="P60" s="482"/>
      <c r="Q60" s="482"/>
      <c r="R60" s="482"/>
      <c r="S60" s="482"/>
      <c r="T60" s="33"/>
      <c r="U60" s="33"/>
      <c r="V60" s="33"/>
      <c r="W60" s="33"/>
      <c r="X60" s="33"/>
      <c r="Y60" s="33"/>
      <c r="Z60" s="33">
        <v>-406.66</v>
      </c>
      <c r="AA60" s="33" t="e">
        <f t="shared" ca="1" si="28"/>
        <v>#NAME?</v>
      </c>
      <c r="AB60" s="34" t="e">
        <f t="shared" ca="1" si="29"/>
        <v>#NAME?</v>
      </c>
      <c r="AC60" s="32"/>
      <c r="AD60" s="33"/>
      <c r="AE60" s="34" t="str">
        <f t="shared" si="30"/>
        <v/>
      </c>
      <c r="AF60" s="54" t="e">
        <f t="shared" ca="1" si="31"/>
        <v>#NAME?</v>
      </c>
      <c r="AG60" s="33"/>
      <c r="AH60" s="34" t="str">
        <f t="shared" si="33"/>
        <v/>
      </c>
      <c r="AI60" s="54" t="e">
        <f t="shared" ca="1" si="34"/>
        <v>#NAME?</v>
      </c>
      <c r="AJ60" s="344">
        <f t="shared" ca="1" si="35"/>
        <v>0</v>
      </c>
      <c r="AK60" s="345">
        <f t="shared" ca="1" si="36"/>
        <v>0</v>
      </c>
      <c r="AL60" s="347">
        <f t="shared" ca="1" si="37"/>
        <v>0</v>
      </c>
      <c r="AM60" s="379">
        <f t="shared" ca="1" si="38"/>
        <v>0</v>
      </c>
      <c r="AN60" s="380">
        <f t="shared" ca="1" si="39"/>
        <v>0</v>
      </c>
    </row>
    <row r="61" spans="1:40" x14ac:dyDescent="0.2">
      <c r="A61" s="6" t="s">
        <v>13</v>
      </c>
      <c r="B61" s="7" t="e">
        <f ca="1">"lDEP(2,COS_FB) AND "&amp;$E$6&amp;"=Y,COS_FB,DEP(COS_MISC) AND "&amp;$E$6&amp;"=Y,500001"</f>
        <v>#NAME?</v>
      </c>
      <c r="G61" s="13"/>
      <c r="O61" s="38"/>
      <c r="P61" s="42"/>
      <c r="Q61" s="42"/>
      <c r="R61" s="42"/>
      <c r="S61" s="42"/>
      <c r="T61" s="42"/>
      <c r="U61" s="42"/>
      <c r="V61" s="42"/>
      <c r="W61" s="42"/>
      <c r="X61" s="42"/>
      <c r="Y61" s="42"/>
      <c r="Z61" s="42"/>
      <c r="AA61" s="42"/>
      <c r="AB61" s="39"/>
      <c r="AD61" s="38"/>
      <c r="AE61" s="42"/>
      <c r="AF61" s="39"/>
      <c r="AG61" s="38"/>
      <c r="AH61" s="42"/>
      <c r="AI61" s="39"/>
    </row>
    <row r="62" spans="1:40" x14ac:dyDescent="0.2">
      <c r="A62" s="6" t="s">
        <v>14</v>
      </c>
      <c r="B62" s="7"/>
      <c r="H62" s="1" t="s">
        <v>82</v>
      </c>
      <c r="I62" s="11" t="e">
        <f ca="1">_xll.EVPRO($B$1,$H62,"STYLE")</f>
        <v>#NAME?</v>
      </c>
      <c r="J62" s="11" t="e">
        <f ca="1">_xll.EVPRO($B$1,$H62,"CALC")</f>
        <v>#NAME?</v>
      </c>
      <c r="N62" s="37" t="e">
        <f ca="1">IF(_xll.EVDES(H62,$B$1)="#NODATA","",_xll.EVDES(H62,$B$1))</f>
        <v>#NAME?</v>
      </c>
      <c r="O62" s="40"/>
      <c r="P62" s="43"/>
      <c r="Q62" s="43"/>
      <c r="R62" s="43"/>
      <c r="S62" s="43"/>
      <c r="T62" s="43"/>
      <c r="U62" s="43"/>
      <c r="V62" s="43"/>
      <c r="W62" s="43"/>
      <c r="X62" s="43"/>
      <c r="Y62" s="43"/>
      <c r="Z62" s="43"/>
      <c r="AA62" s="43"/>
      <c r="AB62" s="41"/>
      <c r="AD62" s="40"/>
      <c r="AE62" s="43"/>
      <c r="AF62" s="41"/>
      <c r="AG62" s="40"/>
      <c r="AH62" s="43"/>
      <c r="AI62" s="41"/>
    </row>
    <row r="63" spans="1:40" x14ac:dyDescent="0.2">
      <c r="A63" s="6" t="s">
        <v>15</v>
      </c>
      <c r="B63" s="7"/>
      <c r="H63" s="10" t="s">
        <v>832</v>
      </c>
      <c r="I63" s="25" t="e">
        <f ca="1">_xll.EVPRO($B$1,$H63,"STYLE")</f>
        <v>#NAME?</v>
      </c>
      <c r="J63" s="25" t="e">
        <f ca="1">_xll.EVPRO($B$1,$H63,"CALC")</f>
        <v>#NAME?</v>
      </c>
      <c r="K63" s="64" t="e">
        <f ca="1">IF(AND(I63&lt;&gt;"B1",J63="Y"),"&gt;","")</f>
        <v>#NAME?</v>
      </c>
      <c r="L63" s="24" t="e">
        <f ca="1">_xll.EVPRO($B$1,H63,"JDEID")</f>
        <v>#NAME?</v>
      </c>
      <c r="M63" s="24" t="e">
        <f ca="1">IF(AND(I63="N",J63="N"),_xll.EVPRO($B$1,H63,"PSFTID"),"")</f>
        <v>#NAME?</v>
      </c>
      <c r="N63" s="24" t="e">
        <f ca="1">IF(_xll.EVDES(H63,$B$1)="#NODATA","",_xll.EVDES(H63,$B$1))</f>
        <v>#NAME?</v>
      </c>
      <c r="O63" s="19"/>
      <c r="P63" s="19"/>
      <c r="Q63" s="19"/>
      <c r="R63" s="19"/>
      <c r="S63" s="19"/>
      <c r="T63" s="19"/>
      <c r="U63" s="19"/>
      <c r="V63" s="19"/>
      <c r="W63" s="19"/>
      <c r="X63" s="19"/>
      <c r="Y63" s="19"/>
      <c r="Z63" s="19"/>
      <c r="AA63" s="283" t="e">
        <f ca="1">IF($I63="B1","",SUM(O63:Z63))</f>
        <v>#NAME?</v>
      </c>
      <c r="AB63" s="15" t="e">
        <f ca="1">IF(AA63=0,"",IFERROR(AA63/AA$19,""))</f>
        <v>#NAME?</v>
      </c>
      <c r="AD63" s="19">
        <v>618</v>
      </c>
      <c r="AE63" s="15" t="str">
        <f ca="1">IF(AD63=0,"",IFERROR(AD63/AD$19,""))</f>
        <v/>
      </c>
      <c r="AF63" s="47" t="e">
        <f ca="1">IF(AND($AA63="",AD63=""),"",$AA63-AD63)</f>
        <v>#NAME?</v>
      </c>
      <c r="AG63" s="19">
        <v>1092.74</v>
      </c>
      <c r="AH63" s="15" t="str">
        <f ca="1">IF(AG63=0,"",IFERROR(AG63/AG$19,""))</f>
        <v/>
      </c>
      <c r="AI63" s="47" t="e">
        <f ca="1">IF(AND($AA63="",AG63=""),"",$AA63-AG63)</f>
        <v>#NAME?</v>
      </c>
      <c r="AJ63" s="371">
        <f ca="1">IFERROR(AA63/AA$20,0)</f>
        <v>0</v>
      </c>
      <c r="AK63" s="372">
        <f ca="1">IFERROR(AD63/AD$20,0)</f>
        <v>0</v>
      </c>
      <c r="AL63" s="373">
        <f ca="1">IFERROR(AG63/AG$20,0)</f>
        <v>0</v>
      </c>
      <c r="AM63" s="374">
        <f ca="1">+IFERROR(ROUND(($AB63-AE63)*100,2)&amp;" pts.",0)</f>
        <v>0</v>
      </c>
      <c r="AN63" s="375">
        <f ca="1">+IFERROR(ROUND(($AB63-AH63)*100,2)&amp;" pts.",0)</f>
        <v>0</v>
      </c>
    </row>
    <row r="64" spans="1:40" hidden="1" x14ac:dyDescent="0.2">
      <c r="A64" s="6" t="s">
        <v>16</v>
      </c>
      <c r="B64" s="7"/>
      <c r="H64" s="10"/>
      <c r="I64" s="25" t="e">
        <f ca="1">_xll.EVPRO($B$1,$H64,"STYLE")</f>
        <v>#NAME?</v>
      </c>
      <c r="J64" s="25" t="e">
        <f ca="1">_xll.EVPRO($B$1,$H64,"CALC")</f>
        <v>#NAME?</v>
      </c>
      <c r="K64" s="64" t="e">
        <f ca="1">IF(AND(I64&lt;&gt;"B1",J64="Y"),"&gt;","")</f>
        <v>#NAME?</v>
      </c>
      <c r="L64" s="24" t="e">
        <f ca="1">_xll.EVPRO($B$1,H64,"JDEID")</f>
        <v>#NAME?</v>
      </c>
      <c r="M64" s="24" t="e">
        <f ca="1">IF(AND(I64="N",J64="N"),_xll.EVPRO($B$1,H64,"PSFTID"),"")</f>
        <v>#NAME?</v>
      </c>
      <c r="N64" s="24" t="e">
        <f ca="1">IF(_xll.EVDES(H64,$B$1)="#NODATA","",_xll.EVDES(H64,$B$1))</f>
        <v>#NAME?</v>
      </c>
      <c r="O64" s="19"/>
      <c r="P64" s="19"/>
      <c r="Q64" s="19"/>
      <c r="R64" s="19"/>
      <c r="S64" s="19"/>
      <c r="T64" s="19"/>
      <c r="U64" s="19"/>
      <c r="V64" s="19"/>
      <c r="W64" s="19"/>
      <c r="X64" s="19"/>
      <c r="Y64" s="19"/>
      <c r="Z64" s="19"/>
      <c r="AA64" s="283" t="e">
        <f ca="1">IF($I64="B1","",SUM(O64:Z64))</f>
        <v>#NAME?</v>
      </c>
      <c r="AB64" s="15" t="e">
        <f ca="1">IF(AA64=0,"",IFERROR(AA64/AA$19,""))</f>
        <v>#NAME?</v>
      </c>
      <c r="AD64" s="19"/>
      <c r="AE64" s="15" t="str">
        <f>IF(AD64=0,"",IFERROR(AD64/AD$19,""))</f>
        <v/>
      </c>
      <c r="AF64" s="47" t="e">
        <f ca="1">IF(AND($AA64="",AD64=""),"",$AA64-AD64)</f>
        <v>#NAME?</v>
      </c>
      <c r="AG64" s="19"/>
      <c r="AH64" s="15" t="str">
        <f>IF(AG64=0,"",IFERROR(AG64/AG$19,""))</f>
        <v/>
      </c>
      <c r="AI64" s="47" t="e">
        <f ca="1">IF(AND($AA64="",AG64=""),"",$AA64-AG64)</f>
        <v>#NAME?</v>
      </c>
      <c r="AJ64" s="371">
        <f ca="1">IFERROR(AA64/AA$20,0)</f>
        <v>0</v>
      </c>
      <c r="AK64" s="372">
        <f ca="1">IFERROR(AD64/AD$20,0)</f>
        <v>0</v>
      </c>
      <c r="AL64" s="373">
        <f ca="1">IFERROR(AG64/AG$20,0)</f>
        <v>0</v>
      </c>
      <c r="AM64" s="374">
        <f ca="1">+IFERROR(ROUND(($AB64-AE64)*100,2)&amp;" pts.",0)</f>
        <v>0</v>
      </c>
      <c r="AN64" s="375">
        <f ca="1">+IFERROR(ROUND(($AB64-AH64)*100,2)&amp;" pts.",0)</f>
        <v>0</v>
      </c>
    </row>
    <row r="65" spans="1:40" x14ac:dyDescent="0.2">
      <c r="A65" s="6" t="s">
        <v>17</v>
      </c>
      <c r="B65" s="7"/>
      <c r="H65" s="10" t="s">
        <v>79</v>
      </c>
      <c r="I65" s="25" t="e">
        <f ca="1">_xll.EVPRO($B$1,$H65,"STYLE")</f>
        <v>#NAME?</v>
      </c>
      <c r="J65" s="25" t="e">
        <f ca="1">_xll.EVPRO($B$1,$H65,"CALC")</f>
        <v>#NAME?</v>
      </c>
      <c r="K65" s="24"/>
      <c r="L65" s="24"/>
      <c r="M65" s="24"/>
      <c r="N65" s="23" t="e">
        <f ca="1">IF(_xll.EVDES(H65,$B$1)="#NODATA","",_xll.EVDES(H65,$B$1))</f>
        <v>#NAME?</v>
      </c>
      <c r="O65" s="30"/>
      <c r="P65" s="30"/>
      <c r="Q65" s="30"/>
      <c r="R65" s="30"/>
      <c r="S65" s="30"/>
      <c r="T65" s="30"/>
      <c r="U65" s="30"/>
      <c r="V65" s="30"/>
      <c r="W65" s="30"/>
      <c r="X65" s="30"/>
      <c r="Y65" s="30"/>
      <c r="Z65" s="30"/>
      <c r="AA65" s="30" t="e">
        <f ca="1">IF($I65="B1","",SUM(O65:Z65))</f>
        <v>#NAME?</v>
      </c>
      <c r="AB65" s="31" t="e">
        <f ca="1">IF(AA65=0,"",IFERROR(AA65/AA$19,""))</f>
        <v>#NAME?</v>
      </c>
      <c r="AD65" s="30">
        <v>618</v>
      </c>
      <c r="AE65" s="31" t="str">
        <f ca="1">IF(AD65=0,"",IFERROR(AD65/AD$19,""))</f>
        <v/>
      </c>
      <c r="AF65" s="49" t="e">
        <f ca="1">IF(AND($AA65="",AD65=""),"",$AA65-AD65)</f>
        <v>#NAME?</v>
      </c>
      <c r="AG65" s="30">
        <v>1092.74</v>
      </c>
      <c r="AH65" s="31" t="str">
        <f ca="1">IF(AG65=0,"",IFERROR(AG65/AG$19,""))</f>
        <v/>
      </c>
      <c r="AI65" s="49" t="e">
        <f ca="1">IF(AND($AA65="",AG65=""),"",$AA65-AG65)</f>
        <v>#NAME?</v>
      </c>
      <c r="AJ65" s="387">
        <f ca="1">IFERROR(AA65/AA$20,0)</f>
        <v>0</v>
      </c>
      <c r="AK65" s="388">
        <f ca="1">IFERROR(AD65/AD$20,0)</f>
        <v>0</v>
      </c>
      <c r="AL65" s="389">
        <f ca="1">IFERROR(AG65/AG$20,0)</f>
        <v>0</v>
      </c>
      <c r="AM65" s="390">
        <f ca="1">+IFERROR(ROUND(($AB65-AE65)*100,2)&amp;" pts.",0)</f>
        <v>0</v>
      </c>
      <c r="AN65" s="408">
        <f ca="1">+IFERROR(ROUND(($AB65-AH65)*100,2)&amp;" pts.",0)</f>
        <v>0</v>
      </c>
    </row>
    <row r="67" spans="1:40" x14ac:dyDescent="0.2">
      <c r="A67" s="20" t="s">
        <v>92</v>
      </c>
      <c r="B67" s="21" t="s">
        <v>93</v>
      </c>
      <c r="C67" s="21" t="s">
        <v>94</v>
      </c>
      <c r="D67" s="21" t="s">
        <v>95</v>
      </c>
      <c r="E67" s="21" t="s">
        <v>96</v>
      </c>
      <c r="F67" s="22" t="s">
        <v>97</v>
      </c>
      <c r="H67" s="10" t="s">
        <v>80</v>
      </c>
      <c r="I67" s="25" t="e">
        <f ca="1">_xll.EVPRO($B$1,$H67,"STYLE")</f>
        <v>#NAME?</v>
      </c>
      <c r="J67" s="25" t="e">
        <f ca="1">_xll.EVPRO($B$1,$H67,"CALC")</f>
        <v>#NAME?</v>
      </c>
      <c r="K67" s="23"/>
      <c r="L67" s="23"/>
      <c r="M67" s="23"/>
      <c r="N67" s="23" t="e">
        <f ca="1">IF(_xll.EVDES(H67,$B$1)="#NODATA","",_xll.EVDES(H67,$B$1))</f>
        <v>#NAME?</v>
      </c>
      <c r="O67" s="33"/>
      <c r="P67" s="33"/>
      <c r="Q67" s="33"/>
      <c r="R67" s="33"/>
      <c r="S67" s="33"/>
      <c r="T67" s="33"/>
      <c r="U67" s="33"/>
      <c r="V67" s="33"/>
      <c r="W67" s="33"/>
      <c r="X67" s="33"/>
      <c r="Y67" s="33"/>
      <c r="Z67" s="33">
        <v>-406.66</v>
      </c>
      <c r="AA67" s="33" t="e">
        <f ca="1">IF($I67="B1","",SUM(O67:Z67))</f>
        <v>#NAME?</v>
      </c>
      <c r="AB67" s="34" t="e">
        <f ca="1">IF(AA67=0,"",IFERROR(AA67/AA$19,""))</f>
        <v>#NAME?</v>
      </c>
      <c r="AD67" s="33">
        <v>618</v>
      </c>
      <c r="AE67" s="34" t="str">
        <f ca="1">IF(AD67=0,"",IFERROR(AD67/AD$19,""))</f>
        <v/>
      </c>
      <c r="AF67" s="55" t="e">
        <f ca="1">IF(AND($AA67="",AD67=""),"",$AA67-AD67)</f>
        <v>#NAME?</v>
      </c>
      <c r="AG67" s="56">
        <v>1092.74</v>
      </c>
      <c r="AH67" s="57" t="str">
        <f ca="1">IF(AG67=0,"",IFERROR(AG67/AG$19,""))</f>
        <v/>
      </c>
      <c r="AI67" s="55" t="e">
        <f ca="1">IF(AND($AA67="",AG67=""),"",$AA67-AG67)</f>
        <v>#NAME?</v>
      </c>
      <c r="AJ67" s="364">
        <f ca="1">IFERROR(AA67/AA$20,0)</f>
        <v>0</v>
      </c>
      <c r="AK67" s="365">
        <f ca="1">IFERROR(AD67/AD$20,0)</f>
        <v>0</v>
      </c>
      <c r="AL67" s="366">
        <f ca="1">IFERROR(AG67/AG$20,0)</f>
        <v>0</v>
      </c>
      <c r="AM67" s="367">
        <f ca="1">+IFERROR(ROUND(($AB67-AE67)*100,2)&amp;" pts.",0)</f>
        <v>0</v>
      </c>
      <c r="AN67" s="409">
        <f ca="1">+IFERROR(ROUND(($AB67-AH67)*100,2)&amp;" pts.",0)</f>
        <v>0</v>
      </c>
    </row>
    <row r="68" spans="1:40" ht="16" thickBot="1" x14ac:dyDescent="0.25">
      <c r="H68" s="10" t="s">
        <v>81</v>
      </c>
      <c r="I68" s="25" t="e">
        <f ca="1">_xll.EVPRO($B$1,$H68,"STYLE")</f>
        <v>#NAME?</v>
      </c>
      <c r="J68" s="25" t="e">
        <f ca="1">_xll.EVPRO($B$1,$H68,"CALC")</f>
        <v>#NAME?</v>
      </c>
      <c r="K68" s="23"/>
      <c r="L68" s="23"/>
      <c r="M68" s="23"/>
      <c r="N68" s="23" t="e">
        <f ca="1">IF(_xll.EVDES(H68,$B$1)="#NODATA","",_xll.EVDES(H68,$B$1))</f>
        <v>#NAME?</v>
      </c>
      <c r="O68" s="58">
        <v>4115.8599999999997</v>
      </c>
      <c r="P68" s="58">
        <v>3878.94</v>
      </c>
      <c r="Q68" s="58">
        <v>4569.8900000000003</v>
      </c>
      <c r="R68" s="58">
        <v>3407.63</v>
      </c>
      <c r="S68" s="58">
        <v>3431.81</v>
      </c>
      <c r="T68" s="58">
        <v>3462.44</v>
      </c>
      <c r="U68" s="58">
        <v>2444.09</v>
      </c>
      <c r="V68" s="58">
        <v>4054.77</v>
      </c>
      <c r="W68" s="58">
        <v>4318.9799999999996</v>
      </c>
      <c r="X68" s="58">
        <v>3111.79</v>
      </c>
      <c r="Y68" s="58">
        <v>3949.43</v>
      </c>
      <c r="Z68" s="58">
        <v>6912.52</v>
      </c>
      <c r="AA68" s="58" t="e">
        <f ca="1">IF($I68="B1","",SUM(O68:Z68))</f>
        <v>#NAME?</v>
      </c>
      <c r="AB68" s="59" t="e">
        <f ca="1">IF(AA68=0,"",IFERROR(AA68/AA$19,""))</f>
        <v>#NAME?</v>
      </c>
      <c r="AD68" s="58">
        <v>48440.499349999998</v>
      </c>
      <c r="AE68" s="59" t="str">
        <f ca="1">IF(AD68=0,"",IFERROR(AD68/AD$19,""))</f>
        <v/>
      </c>
      <c r="AF68" s="60" t="e">
        <f ca="1">IF(AND($AA68="",AD68=""),"",$AA68-AD68)</f>
        <v>#NAME?</v>
      </c>
      <c r="AG68" s="58">
        <v>47319</v>
      </c>
      <c r="AH68" s="59" t="str">
        <f ca="1">IF(AG68=0,"",IFERROR(AG68/AG$19,""))</f>
        <v/>
      </c>
      <c r="AI68" s="60" t="e">
        <f ca="1">IF(AND($AA68="",AG68=""),"",$AA68-AG68)</f>
        <v>#NAME?</v>
      </c>
      <c r="AJ68" s="402">
        <f ca="1">IFERROR(AA68/AA$20,0)</f>
        <v>0</v>
      </c>
      <c r="AK68" s="403">
        <f ca="1">IFERROR(AD68/AD$20,0)</f>
        <v>0</v>
      </c>
      <c r="AL68" s="404">
        <f ca="1">IFERROR(AG68/AG$20,0)</f>
        <v>0</v>
      </c>
      <c r="AM68" s="405">
        <f ca="1">+IFERROR(ROUND(($AB68-AE68)*100,2)&amp;" pts.",0)</f>
        <v>0</v>
      </c>
      <c r="AN68" s="410">
        <f ca="1">+IFERROR(ROUND(($AB68-AH68)*100,2)&amp;" pts.",0)</f>
        <v>0</v>
      </c>
    </row>
    <row r="69" spans="1:40" ht="16" thickTop="1" x14ac:dyDescent="0.2">
      <c r="A69" s="1" t="s">
        <v>105</v>
      </c>
      <c r="C69" s="24" t="s">
        <v>101</v>
      </c>
      <c r="D69" s="1" t="s">
        <v>106</v>
      </c>
      <c r="F69" s="1" t="s">
        <v>98</v>
      </c>
    </row>
    <row r="70" spans="1:40" x14ac:dyDescent="0.2">
      <c r="A70" s="1" t="s">
        <v>104</v>
      </c>
      <c r="C70" s="24" t="s">
        <v>101</v>
      </c>
      <c r="D70" s="1" t="s">
        <v>106</v>
      </c>
      <c r="F70" s="1" t="s">
        <v>98</v>
      </c>
      <c r="N70" s="24" t="e">
        <f ca="1">N67&amp;" - Check"</f>
        <v>#NAME?</v>
      </c>
      <c r="O70" s="124">
        <f t="shared" ref="O70:AA70" si="40">SUMIF($H$35:$H$68,"600000",O$35:O$68)+SUMIF($H$35:$H$68,"700000",O$35:O$68)-SUMIF($H$35:$H$68,"TOTDEPTEXP",O$35:O$68)</f>
        <v>0</v>
      </c>
      <c r="P70" s="124">
        <f t="shared" si="40"/>
        <v>0</v>
      </c>
      <c r="Q70" s="124">
        <f t="shared" si="40"/>
        <v>0</v>
      </c>
      <c r="R70" s="124">
        <f t="shared" si="40"/>
        <v>0</v>
      </c>
      <c r="S70" s="124">
        <f t="shared" si="40"/>
        <v>0</v>
      </c>
      <c r="T70" s="124">
        <f t="shared" si="40"/>
        <v>0</v>
      </c>
      <c r="U70" s="124">
        <f t="shared" si="40"/>
        <v>0</v>
      </c>
      <c r="V70" s="124">
        <f t="shared" si="40"/>
        <v>0</v>
      </c>
      <c r="W70" s="124">
        <f t="shared" si="40"/>
        <v>0</v>
      </c>
      <c r="X70" s="124">
        <f t="shared" si="40"/>
        <v>0</v>
      </c>
      <c r="Y70" s="124">
        <f t="shared" si="40"/>
        <v>0</v>
      </c>
      <c r="Z70" s="124">
        <f t="shared" si="40"/>
        <v>0</v>
      </c>
      <c r="AA70" s="124" t="e">
        <f t="shared" ca="1" si="40"/>
        <v>#NAME?</v>
      </c>
      <c r="AB70" s="15"/>
      <c r="AD70" s="124">
        <f>SUMIF($H$35:$H$68,"600000",AD$35:AD$68)+SUMIF($H$35:$H$68,"700000",AD$35:AD$68)-SUMIF($H$35:$H$68,"TOTDEPTEXP",AD$35:AD$68)</f>
        <v>0</v>
      </c>
      <c r="AE70" s="15"/>
      <c r="AF70" s="19"/>
      <c r="AG70" s="124">
        <f>SUMIF($H$35:$H$68,"600000",AG$35:AG$68)+SUMIF($H$35:$H$68,"700000",AG$35:AG$68)-SUMIF($H$35:$H$68,"TOTDEPTEXP",AG$35:AG$68)</f>
        <v>0</v>
      </c>
      <c r="AH70" s="15"/>
      <c r="AI70" s="19"/>
    </row>
    <row r="71" spans="1:40" x14ac:dyDescent="0.2">
      <c r="A71" s="1" t="s">
        <v>100</v>
      </c>
      <c r="C71" s="8" t="s">
        <v>101</v>
      </c>
      <c r="D71" s="1" t="s">
        <v>106</v>
      </c>
      <c r="F71" s="1" t="s">
        <v>98</v>
      </c>
      <c r="N71" s="24" t="e">
        <f ca="1">N68&amp;" - Check"</f>
        <v>#NAME?</v>
      </c>
      <c r="O71" s="124">
        <f t="shared" ref="O71:AA71" si="41">SUMIF($H$35:$H$68,"KPI_GP",O$35:O$68)-SUMIF($H$35:$H$68,"TOTDEPTEXP",O$35:O$68)-SUMIF($H$35:$H$68,"TOTDEPTPL",O$35:O$68)</f>
        <v>0</v>
      </c>
      <c r="P71" s="124">
        <f t="shared" si="41"/>
        <v>0</v>
      </c>
      <c r="Q71" s="124">
        <f t="shared" si="41"/>
        <v>0</v>
      </c>
      <c r="R71" s="124">
        <f t="shared" si="41"/>
        <v>0</v>
      </c>
      <c r="S71" s="124">
        <f t="shared" si="41"/>
        <v>0</v>
      </c>
      <c r="T71" s="124">
        <f t="shared" si="41"/>
        <v>0</v>
      </c>
      <c r="U71" s="124">
        <f t="shared" si="41"/>
        <v>0</v>
      </c>
      <c r="V71" s="124">
        <f t="shared" si="41"/>
        <v>0</v>
      </c>
      <c r="W71" s="124">
        <f t="shared" si="41"/>
        <v>0</v>
      </c>
      <c r="X71" s="124">
        <f t="shared" si="41"/>
        <v>0</v>
      </c>
      <c r="Y71" s="124">
        <f t="shared" si="41"/>
        <v>0</v>
      </c>
      <c r="Z71" s="124">
        <f t="shared" si="41"/>
        <v>0</v>
      </c>
      <c r="AA71" s="124" t="e">
        <f t="shared" ca="1" si="41"/>
        <v>#NAME?</v>
      </c>
      <c r="AB71" s="15"/>
      <c r="AD71" s="124">
        <f>SUMIF($H$35:$H$68,"KPI_GP",AD$35:AD$68)-SUMIF($H$35:$H$68,"TOTDEPTEXP",AD$35:AD$68)-SUMIF($H$35:$H$68,"TOTDEPTPL",AD$35:AD$68)</f>
        <v>0</v>
      </c>
      <c r="AE71" s="15"/>
      <c r="AF71" s="19"/>
      <c r="AG71" s="124">
        <f>SUMIF($H$35:$H$68,"KPI_GP",AG$35:AG$68)-SUMIF($H$35:$H$68,"TOTDEPTEXP",AG$35:AG$68)-SUMIF($H$35:$H$68,"TOTDEPTPL",AG$35:AG$68)</f>
        <v>0</v>
      </c>
      <c r="AH71" s="15"/>
      <c r="AI71" s="19"/>
    </row>
    <row r="72" spans="1:40" x14ac:dyDescent="0.2">
      <c r="A72" s="1" t="s">
        <v>102</v>
      </c>
      <c r="C72" s="23" t="s">
        <v>101</v>
      </c>
      <c r="D72" s="1" t="s">
        <v>106</v>
      </c>
      <c r="F72" s="1" t="s">
        <v>98</v>
      </c>
    </row>
    <row r="73" spans="1:40" x14ac:dyDescent="0.2">
      <c r="A73" s="1" t="s">
        <v>102</v>
      </c>
      <c r="C73" s="135" t="s">
        <v>101</v>
      </c>
      <c r="D73" s="1" t="s">
        <v>107</v>
      </c>
      <c r="F73" s="1" t="s">
        <v>99</v>
      </c>
      <c r="O73" s="147"/>
      <c r="P73" s="147"/>
      <c r="Q73" s="147"/>
      <c r="R73" s="147"/>
      <c r="S73" s="147"/>
      <c r="T73" s="147"/>
      <c r="U73" s="147"/>
      <c r="V73" s="147"/>
      <c r="W73" s="147"/>
      <c r="X73" s="147"/>
      <c r="Y73" s="147"/>
      <c r="Z73" s="147"/>
      <c r="AA73" s="147"/>
      <c r="AD73" s="147"/>
      <c r="AG73" s="147"/>
    </row>
    <row r="74" spans="1:40" x14ac:dyDescent="0.2">
      <c r="A74" s="1" t="s">
        <v>108</v>
      </c>
      <c r="C74" s="23" t="s">
        <v>101</v>
      </c>
      <c r="D74" s="1" t="s">
        <v>106</v>
      </c>
      <c r="F74" s="1" t="s">
        <v>98</v>
      </c>
    </row>
    <row r="75" spans="1:40" x14ac:dyDescent="0.2">
      <c r="A75" s="1" t="s">
        <v>108</v>
      </c>
      <c r="C75" s="135" t="s">
        <v>101</v>
      </c>
      <c r="D75" s="1" t="s">
        <v>107</v>
      </c>
      <c r="F75" s="1" t="s">
        <v>99</v>
      </c>
      <c r="O75" s="147"/>
      <c r="P75" s="147"/>
      <c r="Q75" s="147"/>
      <c r="R75" s="147"/>
      <c r="S75" s="147"/>
      <c r="T75" s="147"/>
      <c r="U75" s="147"/>
      <c r="V75" s="147"/>
      <c r="W75" s="147"/>
      <c r="X75" s="147"/>
      <c r="Y75" s="147"/>
      <c r="Z75" s="147"/>
      <c r="AA75" s="147"/>
      <c r="AD75" s="147"/>
      <c r="AG75" s="147"/>
    </row>
    <row r="77" spans="1:40" x14ac:dyDescent="0.2">
      <c r="C77" s="23"/>
    </row>
    <row r="78" spans="1:40" x14ac:dyDescent="0.2">
      <c r="A78" s="4" t="e">
        <f ca="1">_xll.EVDRE($B$1,A81:B88,A91:B97)</f>
        <v>#NAME?</v>
      </c>
      <c r="H78" s="11"/>
      <c r="J78" s="1"/>
    </row>
    <row r="79" spans="1:40" x14ac:dyDescent="0.2">
      <c r="H79" s="11"/>
      <c r="J79" s="1"/>
    </row>
    <row r="80" spans="1:40" x14ac:dyDescent="0.2">
      <c r="A80" s="3" t="s">
        <v>0</v>
      </c>
      <c r="B80" s="5" t="s">
        <v>1</v>
      </c>
      <c r="H80" s="11"/>
      <c r="J80" s="1"/>
    </row>
    <row r="81" spans="1:10" x14ac:dyDescent="0.2">
      <c r="A81" s="6" t="s">
        <v>2</v>
      </c>
      <c r="B81" s="7" t="e">
        <f ca="1">_xll.EVRNG($B$2:$B$10)</f>
        <v>#NAME?</v>
      </c>
      <c r="H81" s="11"/>
      <c r="J81" s="1"/>
    </row>
    <row r="82" spans="1:10" x14ac:dyDescent="0.2">
      <c r="A82" s="6" t="s">
        <v>3</v>
      </c>
      <c r="B82" s="7" t="e">
        <f ca="1">_xll.EVRNG($O$16:$AN$18)</f>
        <v>#NAME?</v>
      </c>
      <c r="H82" s="11"/>
      <c r="J82" s="1"/>
    </row>
    <row r="83" spans="1:10" x14ac:dyDescent="0.2">
      <c r="A83" s="6" t="s">
        <v>4</v>
      </c>
      <c r="B83" s="7" t="e">
        <f ca="1">_xll.EVRNG(H55:H56,H58:H60,H63:H64)</f>
        <v>#NAME?</v>
      </c>
      <c r="H83" s="11"/>
      <c r="J83" s="1"/>
    </row>
    <row r="84" spans="1:10" x14ac:dyDescent="0.2">
      <c r="A84" s="6" t="s">
        <v>5</v>
      </c>
      <c r="B84" s="7"/>
      <c r="H84" s="11"/>
      <c r="J84" s="1"/>
    </row>
    <row r="85" spans="1:10" x14ac:dyDescent="0.2">
      <c r="A85" s="6" t="s">
        <v>6</v>
      </c>
      <c r="B85" s="7"/>
      <c r="H85" s="11"/>
      <c r="J85" s="1"/>
    </row>
    <row r="86" spans="1:10" x14ac:dyDescent="0.2">
      <c r="A86" s="6" t="s">
        <v>7</v>
      </c>
      <c r="B86" s="7" t="e">
        <f ca="1">_xll.EVRNG(A100:F106)</f>
        <v>#NAME?</v>
      </c>
      <c r="H86" s="11"/>
      <c r="J86" s="1"/>
    </row>
    <row r="87" spans="1:10" x14ac:dyDescent="0.2">
      <c r="A87" s="6" t="s">
        <v>47</v>
      </c>
      <c r="B87" s="7" t="e">
        <f ca="1">_xll.EVRNG($A$123:$B$144)</f>
        <v>#NAME?</v>
      </c>
      <c r="H87" s="11"/>
      <c r="J87" s="1"/>
    </row>
    <row r="88" spans="1:10" x14ac:dyDescent="0.2">
      <c r="A88" s="6" t="s">
        <v>8</v>
      </c>
      <c r="B88" s="7"/>
      <c r="H88" s="11"/>
      <c r="J88" s="1"/>
    </row>
    <row r="89" spans="1:10" x14ac:dyDescent="0.2">
      <c r="H89" s="11"/>
      <c r="J89" s="1"/>
    </row>
    <row r="90" spans="1:10" x14ac:dyDescent="0.2">
      <c r="A90" s="3" t="s">
        <v>9</v>
      </c>
      <c r="B90" s="5" t="s">
        <v>10</v>
      </c>
      <c r="H90" s="11"/>
      <c r="J90" s="1"/>
    </row>
    <row r="91" spans="1:10" x14ac:dyDescent="0.2">
      <c r="A91" s="6" t="s">
        <v>11</v>
      </c>
      <c r="B91" s="7" t="s">
        <v>21</v>
      </c>
      <c r="H91" s="11"/>
      <c r="J91" s="1"/>
    </row>
    <row r="92" spans="1:10" x14ac:dyDescent="0.2">
      <c r="A92" s="6" t="s">
        <v>12</v>
      </c>
      <c r="B92" s="7" t="s">
        <v>22</v>
      </c>
      <c r="H92" s="11"/>
      <c r="J92" s="1"/>
    </row>
    <row r="93" spans="1:10" x14ac:dyDescent="0.2">
      <c r="A93" s="6" t="s">
        <v>13</v>
      </c>
      <c r="B93" s="7" t="s">
        <v>737</v>
      </c>
      <c r="H93" s="11"/>
      <c r="J93" s="1"/>
    </row>
    <row r="94" spans="1:10" x14ac:dyDescent="0.2">
      <c r="A94" s="6" t="s">
        <v>14</v>
      </c>
      <c r="B94" s="7"/>
      <c r="G94" s="13"/>
      <c r="H94" s="11"/>
      <c r="J94" s="1"/>
    </row>
    <row r="95" spans="1:10" x14ac:dyDescent="0.2">
      <c r="A95" s="6" t="s">
        <v>15</v>
      </c>
      <c r="B95" s="7"/>
      <c r="H95" s="11"/>
      <c r="J95" s="1"/>
    </row>
    <row r="96" spans="1:10" x14ac:dyDescent="0.2">
      <c r="A96" s="6" t="s">
        <v>16</v>
      </c>
      <c r="B96" s="7" t="s">
        <v>78</v>
      </c>
      <c r="H96" s="11"/>
      <c r="J96" s="1"/>
    </row>
    <row r="97" spans="1:10" x14ac:dyDescent="0.2">
      <c r="A97" s="6" t="s">
        <v>17</v>
      </c>
      <c r="B97" s="7"/>
      <c r="H97" s="11"/>
      <c r="J97" s="1"/>
    </row>
    <row r="98" spans="1:10" x14ac:dyDescent="0.2">
      <c r="H98" s="11"/>
      <c r="J98" s="1"/>
    </row>
    <row r="99" spans="1:10" x14ac:dyDescent="0.2">
      <c r="A99" s="20" t="s">
        <v>92</v>
      </c>
      <c r="B99" s="21" t="s">
        <v>93</v>
      </c>
      <c r="C99" s="21" t="s">
        <v>94</v>
      </c>
      <c r="D99" s="21" t="s">
        <v>95</v>
      </c>
      <c r="E99" s="21" t="s">
        <v>96</v>
      </c>
      <c r="F99" s="22" t="s">
        <v>97</v>
      </c>
      <c r="H99" s="11"/>
      <c r="J99" s="1"/>
    </row>
    <row r="100" spans="1:10" x14ac:dyDescent="0.2">
      <c r="H100" s="11"/>
      <c r="J100" s="1"/>
    </row>
    <row r="101" spans="1:10" x14ac:dyDescent="0.2">
      <c r="A101" s="1" t="s">
        <v>108</v>
      </c>
      <c r="C101" s="24" t="s">
        <v>101</v>
      </c>
      <c r="D101" s="1" t="s">
        <v>106</v>
      </c>
      <c r="F101" s="1" t="s">
        <v>98</v>
      </c>
    </row>
    <row r="102" spans="1:10" x14ac:dyDescent="0.2">
      <c r="A102" s="1" t="s">
        <v>100</v>
      </c>
      <c r="C102" s="8" t="s">
        <v>101</v>
      </c>
      <c r="D102" s="1" t="s">
        <v>106</v>
      </c>
      <c r="F102" s="1" t="s">
        <v>98</v>
      </c>
    </row>
    <row r="103" spans="1:10" x14ac:dyDescent="0.2">
      <c r="A103" s="1" t="s">
        <v>109</v>
      </c>
      <c r="C103" s="23" t="s">
        <v>101</v>
      </c>
      <c r="D103" s="1" t="s">
        <v>106</v>
      </c>
      <c r="F103" s="1" t="s">
        <v>98</v>
      </c>
    </row>
    <row r="104" spans="1:10" x14ac:dyDescent="0.2">
      <c r="A104" s="1" t="s">
        <v>109</v>
      </c>
      <c r="C104" s="135" t="s">
        <v>101</v>
      </c>
      <c r="D104" s="1" t="s">
        <v>107</v>
      </c>
      <c r="F104" s="1" t="s">
        <v>99</v>
      </c>
    </row>
    <row r="105" spans="1:10" x14ac:dyDescent="0.2">
      <c r="A105" s="1" t="s">
        <v>110</v>
      </c>
      <c r="C105" s="23" t="s">
        <v>101</v>
      </c>
      <c r="D105" s="1" t="s">
        <v>106</v>
      </c>
      <c r="F105" s="1" t="s">
        <v>98</v>
      </c>
    </row>
    <row r="106" spans="1:10" x14ac:dyDescent="0.2">
      <c r="A106" s="1" t="s">
        <v>110</v>
      </c>
      <c r="C106" s="27" t="s">
        <v>101</v>
      </c>
      <c r="D106" s="1" t="s">
        <v>107</v>
      </c>
      <c r="F106" s="1" t="s">
        <v>99</v>
      </c>
    </row>
    <row r="107" spans="1:10" x14ac:dyDescent="0.2">
      <c r="C107" s="23"/>
    </row>
    <row r="108" spans="1:10" x14ac:dyDescent="0.2">
      <c r="G108" s="13"/>
    </row>
    <row r="109" spans="1:10" x14ac:dyDescent="0.2">
      <c r="A109" s="4" t="e">
        <f ca="1">_xll.EVDRE($B$1,A112:B119)</f>
        <v>#NAME?</v>
      </c>
      <c r="B109" s="1" t="s">
        <v>736</v>
      </c>
    </row>
    <row r="111" spans="1:10" x14ac:dyDescent="0.2">
      <c r="A111" s="3" t="s">
        <v>0</v>
      </c>
      <c r="B111" s="5" t="s">
        <v>1</v>
      </c>
    </row>
    <row r="112" spans="1:10" x14ac:dyDescent="0.2">
      <c r="A112" s="6" t="s">
        <v>2</v>
      </c>
      <c r="B112" s="7" t="e">
        <f ca="1">_xll.EVRNG($B$2:$B$10)</f>
        <v>#NAME?</v>
      </c>
    </row>
    <row r="113" spans="1:2" x14ac:dyDescent="0.2">
      <c r="A113" s="6" t="s">
        <v>3</v>
      </c>
      <c r="B113" s="7" t="e">
        <f ca="1">_xll.EVRNG($O$16:$AN$18)</f>
        <v>#NAME?</v>
      </c>
    </row>
    <row r="114" spans="1:2" x14ac:dyDescent="0.2">
      <c r="A114" s="6" t="s">
        <v>4</v>
      </c>
      <c r="B114" s="7" t="e">
        <f ca="1">_xll.EVRNG(H65:H68)</f>
        <v>#NAME?</v>
      </c>
    </row>
    <row r="115" spans="1:2" x14ac:dyDescent="0.2">
      <c r="A115" s="6" t="s">
        <v>5</v>
      </c>
      <c r="B115" s="7"/>
    </row>
    <row r="116" spans="1:2" x14ac:dyDescent="0.2">
      <c r="A116" s="6" t="s">
        <v>6</v>
      </c>
      <c r="B116" s="7"/>
    </row>
    <row r="117" spans="1:2" x14ac:dyDescent="0.2">
      <c r="A117" s="6" t="s">
        <v>7</v>
      </c>
      <c r="B117" s="7"/>
    </row>
    <row r="118" spans="1:2" x14ac:dyDescent="0.2">
      <c r="A118" s="6" t="s">
        <v>47</v>
      </c>
      <c r="B118" s="7" t="e">
        <f ca="1">_xll.EVRNG($A$123:$B$144)</f>
        <v>#NAME?</v>
      </c>
    </row>
    <row r="119" spans="1:2" x14ac:dyDescent="0.2">
      <c r="A119" s="6" t="s">
        <v>8</v>
      </c>
      <c r="B119" s="7"/>
    </row>
    <row r="122" spans="1:2" x14ac:dyDescent="0.2">
      <c r="A122" s="3" t="s">
        <v>23</v>
      </c>
      <c r="B122" s="5" t="s">
        <v>24</v>
      </c>
    </row>
    <row r="123" spans="1:2" x14ac:dyDescent="0.2">
      <c r="A123" s="6" t="s">
        <v>25</v>
      </c>
      <c r="B123" s="7"/>
    </row>
    <row r="124" spans="1:2" x14ac:dyDescent="0.2">
      <c r="A124" s="6" t="s">
        <v>26</v>
      </c>
      <c r="B124" s="7"/>
    </row>
    <row r="125" spans="1:2" x14ac:dyDescent="0.2">
      <c r="A125" s="6" t="s">
        <v>27</v>
      </c>
      <c r="B125" s="7"/>
    </row>
    <row r="126" spans="1:2" x14ac:dyDescent="0.2">
      <c r="A126" s="6" t="s">
        <v>28</v>
      </c>
      <c r="B126" s="7"/>
    </row>
    <row r="127" spans="1:2" x14ac:dyDescent="0.2">
      <c r="A127" s="6" t="s">
        <v>29</v>
      </c>
      <c r="B127" s="7"/>
    </row>
    <row r="128" spans="1:2" x14ac:dyDescent="0.2">
      <c r="A128" s="6" t="s">
        <v>30</v>
      </c>
      <c r="B128" s="7" t="s">
        <v>78</v>
      </c>
    </row>
    <row r="129" spans="1:34" x14ac:dyDescent="0.2">
      <c r="A129" s="6" t="s">
        <v>31</v>
      </c>
      <c r="B129" s="7" t="s">
        <v>78</v>
      </c>
    </row>
    <row r="130" spans="1:34" x14ac:dyDescent="0.2">
      <c r="A130" s="6" t="s">
        <v>32</v>
      </c>
      <c r="B130" s="7"/>
    </row>
    <row r="131" spans="1:34" x14ac:dyDescent="0.2">
      <c r="A131" s="6" t="s">
        <v>33</v>
      </c>
      <c r="B131" s="7"/>
    </row>
    <row r="132" spans="1:34" x14ac:dyDescent="0.2">
      <c r="A132" s="6" t="s">
        <v>34</v>
      </c>
      <c r="B132" s="7"/>
    </row>
    <row r="133" spans="1:34" x14ac:dyDescent="0.2">
      <c r="A133" s="6" t="s">
        <v>35</v>
      </c>
      <c r="B133" s="7"/>
    </row>
    <row r="134" spans="1:34" x14ac:dyDescent="0.2">
      <c r="A134" s="6" t="s">
        <v>36</v>
      </c>
      <c r="B134" s="7"/>
    </row>
    <row r="135" spans="1:34" x14ac:dyDescent="0.2">
      <c r="A135" s="6" t="s">
        <v>37</v>
      </c>
      <c r="B135" s="7"/>
    </row>
    <row r="136" spans="1:34" x14ac:dyDescent="0.2">
      <c r="A136" s="6" t="s">
        <v>38</v>
      </c>
      <c r="B136" s="7"/>
    </row>
    <row r="137" spans="1:34" x14ac:dyDescent="0.2">
      <c r="A137" s="6" t="s">
        <v>39</v>
      </c>
      <c r="B137" s="7"/>
    </row>
    <row r="138" spans="1:34" x14ac:dyDescent="0.2">
      <c r="A138" s="6" t="s">
        <v>40</v>
      </c>
      <c r="B138" s="7"/>
    </row>
    <row r="139" spans="1:34" x14ac:dyDescent="0.2">
      <c r="A139" s="6" t="s">
        <v>41</v>
      </c>
      <c r="B139" s="7"/>
    </row>
    <row r="140" spans="1:34" x14ac:dyDescent="0.2">
      <c r="A140" s="6" t="s">
        <v>42</v>
      </c>
      <c r="B140" s="7"/>
    </row>
    <row r="141" spans="1:34" x14ac:dyDescent="0.2">
      <c r="A141" s="6" t="s">
        <v>43</v>
      </c>
      <c r="B141" s="7"/>
      <c r="I141" s="72"/>
      <c r="J141" s="1"/>
      <c r="K141" s="72"/>
      <c r="L141" s="72"/>
      <c r="M141" s="72"/>
      <c r="O141" s="72"/>
      <c r="P141" s="72"/>
      <c r="Q141" s="72"/>
      <c r="R141" s="72"/>
      <c r="S141" s="72"/>
      <c r="T141" s="72"/>
      <c r="U141" s="72"/>
      <c r="V141" s="72"/>
      <c r="W141" s="72"/>
      <c r="X141" s="72"/>
      <c r="Y141" s="72"/>
      <c r="Z141" s="72"/>
      <c r="AA141" s="72"/>
      <c r="AD141" s="72"/>
      <c r="AF141" s="72"/>
      <c r="AH141" s="72"/>
    </row>
    <row r="142" spans="1:34" x14ac:dyDescent="0.2">
      <c r="A142" s="6" t="s">
        <v>44</v>
      </c>
      <c r="B142" s="7"/>
    </row>
    <row r="143" spans="1:34" x14ac:dyDescent="0.2">
      <c r="A143" s="6" t="s">
        <v>45</v>
      </c>
      <c r="B143" s="7"/>
    </row>
    <row r="144" spans="1:34" x14ac:dyDescent="0.2">
      <c r="A144" s="6" t="s">
        <v>46</v>
      </c>
      <c r="B144" s="7"/>
    </row>
    <row r="145" spans="9:34" x14ac:dyDescent="0.2">
      <c r="I145" s="72"/>
      <c r="J145" s="1"/>
      <c r="K145" s="72"/>
      <c r="L145" s="72"/>
      <c r="M145" s="72"/>
      <c r="O145" s="72"/>
      <c r="P145" s="72"/>
      <c r="Q145" s="72"/>
      <c r="R145" s="72"/>
      <c r="S145" s="72"/>
      <c r="T145" s="72"/>
      <c r="U145" s="72"/>
      <c r="V145" s="72"/>
      <c r="W145" s="72"/>
      <c r="X145" s="72"/>
      <c r="Y145" s="72"/>
      <c r="Z145" s="72"/>
      <c r="AA145" s="72"/>
      <c r="AD145" s="72"/>
      <c r="AF145" s="72"/>
      <c r="AH145" s="72"/>
    </row>
    <row r="161" spans="5:7" x14ac:dyDescent="0.2">
      <c r="E161" s="72"/>
    </row>
    <row r="165" spans="5:7" x14ac:dyDescent="0.2">
      <c r="E165" s="72"/>
    </row>
    <row r="170" spans="5:7" x14ac:dyDescent="0.2">
      <c r="G170" s="72"/>
    </row>
    <row r="174" spans="5:7" x14ac:dyDescent="0.2">
      <c r="G174" s="72"/>
    </row>
  </sheetData>
  <mergeCells count="2">
    <mergeCell ref="AD31:AE31"/>
    <mergeCell ref="AG31:AH31"/>
  </mergeCells>
  <dataValidations disablePrompts="1" count="2">
    <dataValidation type="list" allowBlank="1" sqref="B93 B29 B61" xr:uid="{00000000-0002-0000-3A00-000000000000}">
      <formula1>"SELF,ALL,BAS,DEP,BASMEMBERS,MEMBERS,NOEXPAND,GDEP"</formula1>
    </dataValidation>
    <dataValidation type="list" allowBlank="1" sqref="B60 B28 B92" xr:uid="{00000000-0002-0000-3A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14">
    <tabColor theme="9" tint="0.39997558519241921"/>
    <pageSetUpPr fitToPage="1"/>
  </sheetPr>
  <dimension ref="A1:AP160"/>
  <sheetViews>
    <sheetView topLeftCell="K25" zoomScale="85" zoomScaleNormal="85" workbookViewId="0">
      <pane xSplit="3" ySplit="8" topLeftCell="N33" activePane="bottomRight" state="frozen"/>
      <selection activeCell="K25" sqref="K25"/>
      <selection pane="topRight" activeCell="N25" sqref="N25"/>
      <selection pane="bottomLeft" activeCell="K33" sqref="K33"/>
      <selection pane="bottomRight" activeCell="N33" sqref="N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 hidden="1" customWidth="1" outlineLevel="1"/>
    <col min="13" max="13" width="36.6640625" style="1" customWidth="1" collapsed="1"/>
    <col min="14" max="25" width="11.6640625" style="1" customWidth="1" outlineLevel="1"/>
    <col min="26" max="26" width="12.6640625" style="1" customWidth="1"/>
    <col min="27" max="27" width="7.6640625" style="1" customWidth="1"/>
    <col min="28" max="28" width="1.6640625" style="1" customWidth="1"/>
    <col min="29" max="29" width="12.6640625" style="1" customWidth="1"/>
    <col min="30" max="30" width="7.6640625" style="1" customWidth="1"/>
    <col min="31" max="31" width="11.6640625" style="1" customWidth="1"/>
    <col min="32" max="32" width="12.6640625" style="1" customWidth="1"/>
    <col min="33" max="33" width="7.6640625" style="1" customWidth="1"/>
    <col min="34" max="34" width="11.6640625" style="1" customWidth="1"/>
    <col min="35" max="39" width="9.1640625" style="1" hidden="1" customWidth="1" outlineLevel="1"/>
    <col min="40" max="40" width="9.1640625" style="1" collapsed="1"/>
    <col min="41" max="16384" width="9.1640625" style="1"/>
  </cols>
  <sheetData>
    <row r="1" spans="1:34" hidden="1" outlineLevel="1" x14ac:dyDescent="0.2">
      <c r="A1" s="8" t="s">
        <v>48</v>
      </c>
      <c r="B1" s="2" t="s">
        <v>49</v>
      </c>
      <c r="C1" s="8" t="e">
        <f ca="1">_xll.EVAPD($B$1)</f>
        <v>#NAME?</v>
      </c>
      <c r="I1" s="1"/>
      <c r="J1" s="1"/>
    </row>
    <row r="2" spans="1:34" hidden="1" outlineLevel="1" x14ac:dyDescent="0.2">
      <c r="A2" s="8" t="s">
        <v>22</v>
      </c>
      <c r="B2" s="12" t="s">
        <v>56</v>
      </c>
      <c r="C2" s="1" t="e">
        <f ca="1">_xll.EVDES(B2,$B$1)</f>
        <v>#NAME?</v>
      </c>
      <c r="I2" s="1"/>
      <c r="J2" s="1"/>
    </row>
    <row r="3" spans="1:34" hidden="1" outlineLevel="1" x14ac:dyDescent="0.2">
      <c r="A3" s="8" t="s">
        <v>50</v>
      </c>
      <c r="B3" s="9" t="e">
        <f ca="1">_xll.EVCVW($B$1,A3)</f>
        <v>#NAME?</v>
      </c>
      <c r="C3" s="1" t="e">
        <f ca="1">_xll.EVDES(B3,$B$1)</f>
        <v>#NAME?</v>
      </c>
      <c r="I3" s="1"/>
      <c r="J3" s="1"/>
    </row>
    <row r="4" spans="1:34"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4" hidden="1" outlineLevel="1" x14ac:dyDescent="0.2">
      <c r="A5" s="8" t="s">
        <v>51</v>
      </c>
      <c r="B5" s="12" t="s">
        <v>59</v>
      </c>
      <c r="C5" s="1" t="e">
        <f ca="1">_xll.EVDES(B5,$B$1)</f>
        <v>#NAME?</v>
      </c>
    </row>
    <row r="6" spans="1:34" hidden="1" outlineLevel="1" x14ac:dyDescent="0.2">
      <c r="A6" s="8" t="s">
        <v>52</v>
      </c>
      <c r="B6" s="12" t="s">
        <v>463</v>
      </c>
      <c r="C6" s="1" t="e">
        <f ca="1">_xll.EVDES(B6,$B$1)</f>
        <v>#NAME?</v>
      </c>
      <c r="E6" s="46" t="e">
        <f ca="1">_xll.EVPRO($B$1,$B$6,$F$6)</f>
        <v>#NAME?</v>
      </c>
      <c r="F6" s="1" t="s">
        <v>278</v>
      </c>
    </row>
    <row r="7" spans="1:34" hidden="1" outlineLevel="1" x14ac:dyDescent="0.2">
      <c r="A7" s="8" t="s">
        <v>53</v>
      </c>
      <c r="B7" s="12" t="s">
        <v>61</v>
      </c>
      <c r="C7" s="1" t="e">
        <f ca="1">_xll.EVDES(B7,$B$1)</f>
        <v>#NAME?</v>
      </c>
    </row>
    <row r="8" spans="1:34" hidden="1" outlineLevel="1" x14ac:dyDescent="0.2">
      <c r="A8" s="8" t="s">
        <v>20</v>
      </c>
      <c r="B8" s="12" t="s">
        <v>63</v>
      </c>
      <c r="C8" s="1" t="e">
        <f ca="1">_xll.EVDES(B8,$B$1)</f>
        <v>#NAME?</v>
      </c>
    </row>
    <row r="9" spans="1:34" hidden="1" outlineLevel="1" x14ac:dyDescent="0.2">
      <c r="A9" s="8" t="s">
        <v>54</v>
      </c>
      <c r="B9" s="9" t="e">
        <f ca="1">'29kbtUVTfkeuWbdEUFpQfA=='!$D$10</f>
        <v>#NAME?</v>
      </c>
      <c r="C9" s="1" t="e">
        <f ca="1">_xll.EVDES(B9,$B$1)</f>
        <v>#NAME?</v>
      </c>
    </row>
    <row r="10" spans="1:34" hidden="1" outlineLevel="1" x14ac:dyDescent="0.2">
      <c r="A10" s="8" t="s">
        <v>18</v>
      </c>
      <c r="B10" s="9" t="e">
        <f ca="1">'29kbtUVTfkeuWbdEUFpQfA=='!$D$7</f>
        <v>#NAME?</v>
      </c>
      <c r="C10" s="1" t="e">
        <f ca="1">_xll.EVDES(B10,$B$1)</f>
        <v>#NAME?</v>
      </c>
      <c r="D10" s="212" t="e">
        <f ca="1">_xll.EVPRO($B$1,$B$10,"Group")</f>
        <v>#NAME?</v>
      </c>
    </row>
    <row r="11" spans="1:34" hidden="1" outlineLevel="1" x14ac:dyDescent="0.2">
      <c r="B11" s="8"/>
      <c r="L11" s="46" t="e">
        <f ca="1">IF(LEFT('29kbtUVTfkeuWbdEUFpQfA=='!$D$6,3)="ALT","Y","N")</f>
        <v>#NAME?</v>
      </c>
      <c r="M11" s="1" t="s">
        <v>800</v>
      </c>
      <c r="N11" s="2" t="e">
        <f ca="1">IF(N13&lt;$F$4,_xll.EVPRO($B$1,$B$4,"COMPARISON"),$B$4)</f>
        <v>#NAME?</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row>
    <row r="12" spans="1:34" hidden="1" outlineLevel="1" x14ac:dyDescent="0.2">
      <c r="A12" s="1" t="s">
        <v>115</v>
      </c>
      <c r="B12" s="46" t="e">
        <f ca="1">_xll.EVPRO($B$1,$B$10,"YEAR")</f>
        <v>#NAME?</v>
      </c>
      <c r="L12" s="11"/>
      <c r="M12" s="1" t="s">
        <v>597</v>
      </c>
      <c r="N12" s="213" t="e">
        <f ca="1">_xll.EVPRO($B$1,N$16,$M$12)</f>
        <v>#NAME?</v>
      </c>
      <c r="O12" s="213" t="e">
        <f ca="1">_xll.EVPRO($B$1,O$16,$M$12)</f>
        <v>#NAME?</v>
      </c>
      <c r="P12" s="213" t="e">
        <f ca="1">_xll.EVPRO($B$1,P$16,$M$12)</f>
        <v>#NAME?</v>
      </c>
      <c r="Q12" s="213" t="e">
        <f ca="1">_xll.EVPRO($B$1,Q$16,$M$12)</f>
        <v>#NAME?</v>
      </c>
      <c r="R12" s="213" t="e">
        <f ca="1">_xll.EVPRO($B$1,R$16,$M$12)</f>
        <v>#NAME?</v>
      </c>
      <c r="S12" s="213" t="e">
        <f ca="1">_xll.EVPRO($B$1,S$16,$M$12)</f>
        <v>#NAME?</v>
      </c>
      <c r="T12" s="213" t="e">
        <f ca="1">_xll.EVPRO($B$1,T$16,$M$12)</f>
        <v>#NAME?</v>
      </c>
      <c r="U12" s="213" t="e">
        <f ca="1">_xll.EVPRO($B$1,U$16,$M$12)</f>
        <v>#NAME?</v>
      </c>
      <c r="V12" s="213" t="e">
        <f ca="1">_xll.EVPRO($B$1,V$16,$M$12)</f>
        <v>#NAME?</v>
      </c>
      <c r="W12" s="213" t="e">
        <f ca="1">_xll.EVPRO($B$1,W$16,$M$12)</f>
        <v>#NAME?</v>
      </c>
      <c r="X12" s="213" t="e">
        <f ca="1">_xll.EVPRO($B$1,X$16,$M$12)</f>
        <v>#NAME?</v>
      </c>
      <c r="Y12" s="213" t="e">
        <f ca="1">_xll.EVPRO($B$1,Y$16,$M$12)</f>
        <v>#NAME?</v>
      </c>
      <c r="Z12" s="213" t="e">
        <f ca="1">_xll.EVPRO($B$1,Z$16,$M$12)</f>
        <v>#NAME?</v>
      </c>
      <c r="AC12" s="213" t="e">
        <f ca="1">_xll.EVPRO($B$1,AC$16,$M$12)</f>
        <v>#NAME?</v>
      </c>
      <c r="AF12" s="213" t="e">
        <f ca="1">_xll.EVPRO($B$1,AF$16,$M$12)</f>
        <v>#NAME?</v>
      </c>
    </row>
    <row r="13" spans="1:34" hidden="1" outlineLevel="1" x14ac:dyDescent="0.2">
      <c r="A13" s="1" t="s">
        <v>602</v>
      </c>
      <c r="B13" s="46" t="e">
        <f ca="1">IF($D$10="FY",_xll.EVPRO($B$1,$D$10&amp;$B$12&amp;".TOTAL","Current"),_xll.EVPRO($B$1,$B$12&amp;".TOTAL","Current"))</f>
        <v>#NAME?</v>
      </c>
      <c r="L13" s="11"/>
      <c r="M13" s="1" t="s">
        <v>598</v>
      </c>
      <c r="N13" s="53" t="e">
        <f ca="1">_xll.EVPRO($B$1,N16,"TIMEID")</f>
        <v>#NAME?</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C13" s="53" t="e">
        <f ca="1">_xll.EVPRO($B$1,AC16,"TIMEID")</f>
        <v>#NAME?</v>
      </c>
      <c r="AF13" s="53" t="e">
        <f ca="1">_xll.EVPRO($B$1,AF16,"TIMEID")</f>
        <v>#NAME?</v>
      </c>
    </row>
    <row r="14" spans="1:34" hidden="1" outlineLevel="1" x14ac:dyDescent="0.2">
      <c r="A14" s="4" t="e">
        <f ca="1">_xll.EVDRE($B$1,A17:B24,A27:C33)</f>
        <v>#NAME?</v>
      </c>
      <c r="L14" s="11"/>
      <c r="M14" s="1" t="s">
        <v>599</v>
      </c>
      <c r="N14" s="53" t="s">
        <v>603</v>
      </c>
      <c r="O14" s="53" t="s">
        <v>604</v>
      </c>
      <c r="P14" s="53" t="s">
        <v>605</v>
      </c>
      <c r="Q14" s="53" t="s">
        <v>606</v>
      </c>
      <c r="R14" s="53" t="s">
        <v>607</v>
      </c>
      <c r="S14" s="53" t="s">
        <v>608</v>
      </c>
      <c r="T14" s="53" t="s">
        <v>609</v>
      </c>
      <c r="U14" s="53" t="s">
        <v>610</v>
      </c>
      <c r="V14" s="53" t="s">
        <v>611</v>
      </c>
      <c r="W14" s="53" t="s">
        <v>612</v>
      </c>
      <c r="X14" s="53" t="s">
        <v>613</v>
      </c>
      <c r="Y14" s="53" t="s">
        <v>614</v>
      </c>
      <c r="Z14" s="53" t="s">
        <v>116</v>
      </c>
      <c r="AC14" s="53" t="s">
        <v>116</v>
      </c>
      <c r="AF14" s="53" t="s">
        <v>116</v>
      </c>
    </row>
    <row r="15" spans="1:34" hidden="1" outlineLevel="1" x14ac:dyDescent="0.2">
      <c r="L15" s="11"/>
      <c r="M15" s="1" t="s">
        <v>600</v>
      </c>
      <c r="N15" s="53" t="s">
        <v>615</v>
      </c>
      <c r="O15" s="53" t="s">
        <v>616</v>
      </c>
      <c r="P15" s="214" t="s">
        <v>617</v>
      </c>
      <c r="Q15" s="214" t="s">
        <v>618</v>
      </c>
      <c r="R15" s="214" t="s">
        <v>619</v>
      </c>
      <c r="S15" s="214" t="s">
        <v>620</v>
      </c>
      <c r="T15" s="214" t="s">
        <v>621</v>
      </c>
      <c r="U15" s="214" t="s">
        <v>622</v>
      </c>
      <c r="V15" s="214" t="s">
        <v>623</v>
      </c>
      <c r="W15" s="214" t="s">
        <v>624</v>
      </c>
      <c r="X15" s="214" t="s">
        <v>625</v>
      </c>
      <c r="Y15" s="214" t="s">
        <v>626</v>
      </c>
      <c r="Z15" s="53" t="s">
        <v>116</v>
      </c>
      <c r="AC15" s="53" t="s">
        <v>116</v>
      </c>
      <c r="AF15" s="53" t="s">
        <v>116</v>
      </c>
    </row>
    <row r="16" spans="1:34" hidden="1" outlineLevel="1" x14ac:dyDescent="0.2">
      <c r="A16" s="3" t="s">
        <v>0</v>
      </c>
      <c r="B16" s="5" t="s">
        <v>1</v>
      </c>
      <c r="L16" s="11"/>
      <c r="M16" s="1" t="s">
        <v>18</v>
      </c>
      <c r="N16" s="2" t="e">
        <f ca="1">IF('29kbtUVTfkeuWbdEUFpQfA=='!$O$1=TRUE,_xll.EVTIM($B$1,O16,-1),IF($D$10="FY",LEFT($B$10,6)&amp;"."&amp;N15,$B$12&amp;"."&amp;N14))</f>
        <v>#NAME?</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IF('29kbtUVTfkeuWbdEUFpQfA=='!$O$1=TRUE,'29kbtUVTfkeuWbdEUFpQfA=='!$Q$6,IF($D$10="FY",LEFT($B$10,6)&amp;"."&amp;Y15,$B$12&amp;"."&amp;Y14))</f>
        <v>#NAME?</v>
      </c>
      <c r="Z16" s="2" t="e">
        <f ca="1">IF($D$10="FY",LEFT($B$10,6)&amp;"."&amp;Z15,$B$12&amp;"."&amp;Z14)</f>
        <v>#NAME?</v>
      </c>
      <c r="AA16" s="10"/>
      <c r="AB16" s="10"/>
      <c r="AC16" s="2" t="e">
        <f ca="1">IF('29kbtUVTfkeuWbdEUFpQfA=='!$O$1=TRUE,'29kbtUVTfkeuWbdEUFpQfA=='!$Q$6,'29kbtUVTfkeuWbdEUFpQfA=='!$G$7)</f>
        <v>#NAME?</v>
      </c>
      <c r="AD16" s="10"/>
      <c r="AE16" s="10"/>
      <c r="AF16" s="2" t="e">
        <f ca="1">IF('29kbtUVTfkeuWbdEUFpQfA=='!$O$1=TRUE,_xll.EVTIM($B$1,AC16,-1,"YEAR"),'29kbtUVTfkeuWbdEUFpQfA=='!$J$7)</f>
        <v>#NAME?</v>
      </c>
      <c r="AG16" s="10"/>
      <c r="AH16" s="10"/>
    </row>
    <row r="17" spans="1:39" hidden="1" outlineLevel="1" x14ac:dyDescent="0.2">
      <c r="A17" s="6" t="s">
        <v>2</v>
      </c>
      <c r="B17" s="7" t="e">
        <f ca="1">_xll.EVRNG($B$2:$B$10)</f>
        <v>#NAME?</v>
      </c>
      <c r="L17" s="11"/>
      <c r="M17" s="1" t="s">
        <v>19</v>
      </c>
      <c r="N17" s="2" t="e">
        <f ca="1">IF($L$11="Y",N11,IF(N13&lt;$E$4,_xll.EVPRO($B$1,$B$4,"COMPARISON"),$B$4))</f>
        <v>#NAME?</v>
      </c>
      <c r="O17" s="2" t="e">
        <f ca="1">IF($L$11="y",O11,IF(O13&lt;$E$4,_xll.EVPRO($B$1,$B$4,"COMPARISON"),$B$4))</f>
        <v>#NAME?</v>
      </c>
      <c r="P17" s="2" t="e">
        <f ca="1">IF($L$11="y",P11,IF(P13&lt;$E$4,_xll.EVPRO($B$1,$B$4,"COMPARISON"),$B$4))</f>
        <v>#NAME?</v>
      </c>
      <c r="Q17" s="2" t="e">
        <f ca="1">IF($L$11="y",Q11,IF(Q13&lt;$E$4,_xll.EVPRO($B$1,$B$4,"COMPARISON"),$B$4))</f>
        <v>#NAME?</v>
      </c>
      <c r="R17" s="2" t="e">
        <f ca="1">IF($L$11="y",R11,IF(R13&lt;$E$4,_xll.EVPRO($B$1,$B$4,"COMPARISON"),$B$4))</f>
        <v>#NAME?</v>
      </c>
      <c r="S17" s="2" t="e">
        <f ca="1">IF($L$11="y",S11,IF(S13&lt;$E$4,_xll.EVPRO($B$1,$B$4,"COMPARISON"),$B$4))</f>
        <v>#NAME?</v>
      </c>
      <c r="T17" s="2" t="e">
        <f ca="1">IF($L$11="y",T11,IF(T13&lt;$E$4,_xll.EVPRO($B$1,$B$4,"COMPARISON"),$B$4))</f>
        <v>#NAME?</v>
      </c>
      <c r="U17" s="2" t="e">
        <f ca="1">IF($L$11="y",U11,IF(U13&lt;$E$4,_xll.EVPRO($B$1,$B$4,"COMPARISON"),$B$4))</f>
        <v>#NAME?</v>
      </c>
      <c r="V17" s="2" t="e">
        <f ca="1">IF($L$11="y",V11,IF(V13&lt;$E$4,_xll.EVPRO($B$1,$B$4,"COMPARISON"),$B$4))</f>
        <v>#NAME?</v>
      </c>
      <c r="W17" s="2" t="e">
        <f ca="1">IF($L$11="y",W11,IF(W13&lt;$E$4,_xll.EVPRO($B$1,$B$4,"COMPARISON"),$B$4))</f>
        <v>#NAME?</v>
      </c>
      <c r="X17" s="2" t="e">
        <f ca="1">IF($L$11="y",X11,IF(X13&lt;$E$4,_xll.EVPRO($B$1,$B$4,"COMPARISON"),$B$4))</f>
        <v>#NAME?</v>
      </c>
      <c r="Y17" s="2" t="e">
        <f ca="1">IF($L$11="y",Y11,IF(Y13&lt;$E$4,_xll.EVPRO($B$1,$B$4,"COMPARISON"),$B$4))</f>
        <v>#NAME?</v>
      </c>
      <c r="Z17" s="2"/>
      <c r="AA17" s="10"/>
      <c r="AB17" s="10"/>
      <c r="AC17" s="2" t="e">
        <f ca="1">'29kbtUVTfkeuWbdEUFpQfA=='!$G$6</f>
        <v>#NAME?</v>
      </c>
      <c r="AD17" s="10"/>
      <c r="AE17" s="10"/>
      <c r="AF17" s="2" t="e">
        <f ca="1">'29kbtUVTfkeuWbdEUFpQfA=='!$J$6</f>
        <v>#NAME?</v>
      </c>
      <c r="AG17" s="10"/>
      <c r="AH17" s="10"/>
    </row>
    <row r="18" spans="1:39" hidden="1" outlineLevel="1" x14ac:dyDescent="0.2">
      <c r="A18" s="6" t="s">
        <v>3</v>
      </c>
      <c r="B18" s="7" t="e">
        <f ca="1">_xll.EVRNG($N$16:$AM$18)</f>
        <v>#NAME?</v>
      </c>
      <c r="L18" s="11"/>
      <c r="M18" s="1" t="s">
        <v>601</v>
      </c>
      <c r="N18" s="10" t="s">
        <v>55</v>
      </c>
      <c r="O18" s="10" t="s">
        <v>55</v>
      </c>
      <c r="P18" s="10" t="s">
        <v>55</v>
      </c>
      <c r="Q18" s="10" t="s">
        <v>55</v>
      </c>
      <c r="R18" s="10" t="s">
        <v>55</v>
      </c>
      <c r="S18" s="10" t="s">
        <v>55</v>
      </c>
      <c r="T18" s="10" t="s">
        <v>55</v>
      </c>
      <c r="U18" s="10" t="s">
        <v>55</v>
      </c>
      <c r="V18" s="10" t="s">
        <v>55</v>
      </c>
      <c r="W18" s="10" t="s">
        <v>55</v>
      </c>
      <c r="X18" s="10" t="s">
        <v>55</v>
      </c>
      <c r="Y18" s="10" t="s">
        <v>55</v>
      </c>
      <c r="Z18" s="10"/>
      <c r="AA18" s="10"/>
      <c r="AB18" s="10"/>
      <c r="AC18" s="2" t="e">
        <f ca="1">IF('29kbtUVTfkeuWbdEUFpQfA=='!$O$1=TRUE,"TRAILING12",IF(AC17="CURRENT","ROLLINGFORECAST","PERIODIC"))</f>
        <v>#NAME?</v>
      </c>
      <c r="AD18" s="10"/>
      <c r="AE18" s="10"/>
      <c r="AF18" s="2" t="e">
        <f ca="1">IF('29kbtUVTfkeuWbdEUFpQfA=='!$O$1=TRUE,"TRAILING12",IF(AF17="CURRENT","ROLLINGFORECAST","PERIODIC"))</f>
        <v>#NAME?</v>
      </c>
      <c r="AG18" s="10"/>
      <c r="AH18" s="10"/>
    </row>
    <row r="19" spans="1:39" hidden="1" outlineLevel="1" x14ac:dyDescent="0.2">
      <c r="A19" s="6" t="s">
        <v>4</v>
      </c>
      <c r="B19" s="7" t="e">
        <f ca="1">_xll.EVRNG(G34:H39,G43:H48,G52:H57)</f>
        <v>#NAME?</v>
      </c>
      <c r="G19" s="16" t="str">
        <f>$B$6</f>
        <v>D_OTHER_CON</v>
      </c>
      <c r="H19" s="16">
        <v>400000</v>
      </c>
      <c r="I19" s="17"/>
      <c r="J19" s="17"/>
      <c r="K19" s="16"/>
      <c r="L19" s="16"/>
      <c r="M19" s="16" t="e">
        <f ca="1">_xll.EVDES(H19)</f>
        <v>#NAME?</v>
      </c>
      <c r="N19" s="18" t="e">
        <f ca="1">_xll.EVGTS($B$1,1,$B$3,$B$5,$B$7,$B$9,N$16,N$17,N$18,$G$19,$H$19)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SUM(N19:Y19)</f>
        <v>#NAME?</v>
      </c>
      <c r="AA19" s="16"/>
      <c r="AB19" s="16"/>
      <c r="AC19" s="18" t="e">
        <f ca="1">_xll.EVGTS($B$1,1,$B$3,$B$5,$B$7,$B$9,AC$16,AC$17,AC$18,$G$19,$H$19)</f>
        <v>#NAME?</v>
      </c>
      <c r="AD19" s="16"/>
      <c r="AE19" s="16"/>
      <c r="AF19" s="18" t="e">
        <f ca="1">_xll.EVGTS($B$1,1,$B$3,$B$5,$B$7,$B$9,AF$16,AF$17,AF$18,$G$19,$H$19)</f>
        <v>#NAME?</v>
      </c>
      <c r="AG19" s="16"/>
      <c r="AH19" s="16"/>
    </row>
    <row r="20" spans="1:39" hidden="1" outlineLevel="1" x14ac:dyDescent="0.2">
      <c r="A20" s="6" t="s">
        <v>5</v>
      </c>
      <c r="B20" s="7"/>
      <c r="G20" s="16" t="s">
        <v>749</v>
      </c>
      <c r="H20" s="16">
        <v>900200</v>
      </c>
      <c r="I20" s="17"/>
      <c r="J20" s="17"/>
      <c r="K20" s="16"/>
      <c r="L20" s="17"/>
      <c r="M20" s="16" t="e">
        <f ca="1">_xll.EVDES(H20)</f>
        <v>#NAME?</v>
      </c>
      <c r="N20" s="18" t="e">
        <f ca="1">_xll.EVGTS($B$1,1,$B$3,$B$5,$B$7,$B$9,N$16,N$17,N$18,$G$20,$H$20)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SUM(N20:Y20)</f>
        <v>#NAME?</v>
      </c>
      <c r="AA20" s="16"/>
      <c r="AB20" s="16"/>
      <c r="AC20" s="18" t="e">
        <f ca="1">_xll.EVGTS($B$1,1,$B$3,$B$5,$B$7,$B$9,AC$16,AC$17,AC$18,$G$20,$H$20)</f>
        <v>#NAME?</v>
      </c>
      <c r="AD20" s="16"/>
      <c r="AE20" s="16"/>
      <c r="AF20" s="18" t="e">
        <f ca="1">_xll.EVGTS($B$1,1,$B$3,$B$5,$B$7,$B$9,AF$16,AF$17,AF$18,$G$20,$H$20)</f>
        <v>#NAME?</v>
      </c>
      <c r="AG20" s="16"/>
      <c r="AH20" s="16"/>
    </row>
    <row r="21" spans="1:39" hidden="1" outlineLevel="1" x14ac:dyDescent="0.2">
      <c r="A21" s="6" t="s">
        <v>6</v>
      </c>
      <c r="B21" s="7"/>
      <c r="I21" s="1"/>
      <c r="J21" s="1"/>
    </row>
    <row r="22" spans="1:39" hidden="1" outlineLevel="1" x14ac:dyDescent="0.2">
      <c r="A22" s="6" t="s">
        <v>7</v>
      </c>
      <c r="B22" s="7" t="e">
        <f ca="1">_xll.EVRNG(A36:F38)</f>
        <v>#NAME?</v>
      </c>
      <c r="I22" s="1"/>
      <c r="J22" s="1"/>
    </row>
    <row r="23" spans="1:39" hidden="1" outlineLevel="1" x14ac:dyDescent="0.2">
      <c r="A23" s="6" t="s">
        <v>47</v>
      </c>
      <c r="B23" s="7" t="e">
        <f ca="1">_xll.EVRNG($A$44:$B$65)</f>
        <v>#NAME?</v>
      </c>
      <c r="K23" s="53"/>
      <c r="L23" s="53"/>
      <c r="AC23" s="136"/>
    </row>
    <row r="24" spans="1:39" hidden="1" outlineLevel="1" x14ac:dyDescent="0.2">
      <c r="A24" s="6" t="s">
        <v>8</v>
      </c>
      <c r="B24" s="7"/>
    </row>
    <row r="25" spans="1:39" collapsed="1" x14ac:dyDescent="0.2"/>
    <row r="26" spans="1:39" ht="23" x14ac:dyDescent="0.25">
      <c r="A26" s="3" t="s">
        <v>9</v>
      </c>
      <c r="B26" s="5" t="s">
        <v>10</v>
      </c>
      <c r="C26" s="5" t="s">
        <v>357</v>
      </c>
      <c r="M26" s="61" t="e">
        <f ca="1">IF(_xll.EVDES(B3,$B$1)="#NODATA","",_xll.EVDES(B3,$B$1))</f>
        <v>#NAME?</v>
      </c>
    </row>
    <row r="27" spans="1:39" ht="18" x14ac:dyDescent="0.2">
      <c r="A27" s="6" t="s">
        <v>11</v>
      </c>
      <c r="B27" s="7" t="s">
        <v>21</v>
      </c>
      <c r="C27" s="7" t="s">
        <v>21</v>
      </c>
      <c r="M27" s="66" t="e">
        <f ca="1">IF(_xll.EVDES(B6,$B$1)="#NODATA","",_xll.EVDES(B6,$B$1))</f>
        <v>#NAME?</v>
      </c>
    </row>
    <row r="28" spans="1:39" ht="16" x14ac:dyDescent="0.2">
      <c r="A28" s="6" t="s">
        <v>12</v>
      </c>
      <c r="B28" s="7" t="s">
        <v>52</v>
      </c>
      <c r="C28" s="7" t="s">
        <v>22</v>
      </c>
      <c r="M28" s="67" t="e">
        <f ca="1">"For the Period ended"&amp;" "&amp;IF(_xll.EVDES($B$10,$B$1)="#NODATA","",_xll.EVDES($B$10,$B$1))</f>
        <v>#NAME?</v>
      </c>
    </row>
    <row r="29" spans="1:39" ht="15" customHeight="1" x14ac:dyDescent="0.2">
      <c r="A29" s="6" t="s">
        <v>13</v>
      </c>
      <c r="B29" s="7" t="s">
        <v>468</v>
      </c>
      <c r="C29" s="7" t="s">
        <v>467</v>
      </c>
      <c r="M29" s="67" t="e">
        <f ca="1">_xll.EVDES(B9,B1)</f>
        <v>#NAME?</v>
      </c>
    </row>
    <row r="30" spans="1:39" x14ac:dyDescent="0.2">
      <c r="A30" s="6" t="s">
        <v>14</v>
      </c>
      <c r="B30" s="7"/>
      <c r="C30" s="7"/>
      <c r="N30" s="208"/>
      <c r="O30" s="209"/>
      <c r="P30" s="209"/>
      <c r="Q30" s="209"/>
      <c r="R30" s="209"/>
      <c r="S30" s="209"/>
      <c r="T30" s="209"/>
      <c r="U30" s="209"/>
      <c r="V30" s="209"/>
      <c r="W30" s="209"/>
      <c r="X30" s="209"/>
      <c r="Y30" s="209"/>
      <c r="Z30" s="209"/>
      <c r="AA30" s="210"/>
      <c r="AC30" s="209"/>
      <c r="AD30" s="209"/>
      <c r="AE30" s="209"/>
      <c r="AF30" s="209"/>
      <c r="AG30" s="209"/>
      <c r="AH30" s="209"/>
      <c r="AI30" s="208" t="s">
        <v>748</v>
      </c>
      <c r="AJ30" s="209"/>
      <c r="AK30" s="210"/>
      <c r="AL30" s="209" t="s">
        <v>750</v>
      </c>
      <c r="AM30" s="209"/>
    </row>
    <row r="31" spans="1:39" x14ac:dyDescent="0.2">
      <c r="A31" s="6" t="s">
        <v>15</v>
      </c>
      <c r="B31" s="7"/>
      <c r="C31" s="7"/>
      <c r="G31" s="13"/>
      <c r="N31" s="211" t="e">
        <f ca="1">IF($D$10="FY",_xll.EVPRO($B$1,N$16,"PERIOD")&amp;" "&amp;LEFT(N$13,4),_xll.EVPRO($B$1,N$16,"PERIOD"))</f>
        <v>#NAME?</v>
      </c>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str">
        <f>Z14</f>
        <v>TOTAL</v>
      </c>
      <c r="AA31" s="207"/>
      <c r="AC31" s="540" t="e">
        <f ca="1">IF(_xll.EVDES(AC16,$B$1)="#NODATA","",_xll.EVDES(AC16,$B$1))</f>
        <v>#NAME?</v>
      </c>
      <c r="AD31" s="541"/>
      <c r="AE31" s="211" t="s">
        <v>631</v>
      </c>
      <c r="AF31" s="540" t="e">
        <f ca="1">IF(_xll.EVDES(AF16,$B$1)="#NODATA","",_xll.EVDES(AF16,$B$1))</f>
        <v>#NAME?</v>
      </c>
      <c r="AG31" s="541"/>
      <c r="AH31" s="211" t="s">
        <v>631</v>
      </c>
      <c r="AI31" s="211" t="e">
        <f ca="1">_xll.EVPRO($B$1,Z$16,"YEAR")</f>
        <v>#NAME?</v>
      </c>
      <c r="AJ31" s="238" t="e">
        <f ca="1">_xll.EVPRO($B$1,AC$16,"YEAR")</f>
        <v>#NAME?</v>
      </c>
      <c r="AK31" s="238" t="e">
        <f ca="1">_xll.EVPRO($B$1,AF$16,"YEAR")</f>
        <v>#NAME?</v>
      </c>
      <c r="AL31" s="211" t="e">
        <f ca="1">"vs "&amp;AJ31</f>
        <v>#NAME?</v>
      </c>
      <c r="AM31" s="211" t="e">
        <f ca="1">"vs "&amp;AK31</f>
        <v>#NAME?</v>
      </c>
    </row>
    <row r="32" spans="1:39" s="232" customFormat="1" ht="30" customHeight="1" x14ac:dyDescent="0.2">
      <c r="A32" s="230" t="s">
        <v>16</v>
      </c>
      <c r="B32" s="231"/>
      <c r="C32" s="231"/>
      <c r="G32" s="317"/>
      <c r="H32" s="233"/>
      <c r="I32" s="234"/>
      <c r="J32" s="234"/>
      <c r="N32" s="237" t="e">
        <f ca="1">IF(_xll.EVDES(N17,$B$1)="#NODATA","",_xll.EVDES(N17,$B$1))</f>
        <v>#NAME?</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8"/>
      <c r="AA32" s="238" t="s">
        <v>58</v>
      </c>
      <c r="AC32" s="237" t="e">
        <f ca="1">IF(_xll.EVDES(AC17,$B$1)="#NODATA","",_xll.EVDES(AC17,$B$1))</f>
        <v>#NAME?</v>
      </c>
      <c r="AD32" s="238" t="s">
        <v>58</v>
      </c>
      <c r="AE32" s="237" t="s">
        <v>57</v>
      </c>
      <c r="AF32" s="237" t="e">
        <f ca="1">IF(_xll.EVDES(AF17,$B$1)="#NODATA","",_xll.EVDES(AF17,$B$1))</f>
        <v>#NAME?</v>
      </c>
      <c r="AG32" s="238" t="s">
        <v>58</v>
      </c>
      <c r="AH32" s="237" t="s">
        <v>57</v>
      </c>
      <c r="AI32" s="237" t="e">
        <f ca="1">Y32</f>
        <v>#NAME?</v>
      </c>
      <c r="AJ32" s="238" t="e">
        <f ca="1">AC32</f>
        <v>#NAME?</v>
      </c>
      <c r="AK32" s="237" t="e">
        <f ca="1">AF32</f>
        <v>#NAME?</v>
      </c>
      <c r="AL32" s="211" t="s">
        <v>747</v>
      </c>
      <c r="AM32" s="211" t="s">
        <v>747</v>
      </c>
    </row>
    <row r="33" spans="1:39" x14ac:dyDescent="0.2">
      <c r="A33" s="6" t="s">
        <v>17</v>
      </c>
      <c r="B33" s="7"/>
      <c r="C33" s="7"/>
      <c r="H33" s="1" t="s">
        <v>69</v>
      </c>
      <c r="I33" s="11" t="e">
        <f ca="1">_xll.EVPRO($B$1,$H33,"STYLE")</f>
        <v>#NAME?</v>
      </c>
      <c r="J33" s="11" t="e">
        <f ca="1">_xll.EVPRO($B$1,$H33,"CALC")</f>
        <v>#NAME?</v>
      </c>
      <c r="M33" s="37" t="e">
        <f ca="1">IF(_xll.EVDES(H33,$B$1)="#NODATA","",_xll.EVDES(H33,$B$1))</f>
        <v>#NAME?</v>
      </c>
      <c r="N33" s="38"/>
      <c r="O33" s="42"/>
      <c r="P33" s="42"/>
      <c r="Q33" s="42"/>
      <c r="R33" s="42"/>
      <c r="S33" s="42"/>
      <c r="T33" s="42"/>
      <c r="U33" s="42"/>
      <c r="V33" s="42"/>
      <c r="W33" s="42"/>
      <c r="X33" s="42"/>
      <c r="Y33" s="42"/>
      <c r="Z33" s="42"/>
      <c r="AA33" s="39"/>
      <c r="AC33" s="38"/>
      <c r="AD33" s="42"/>
      <c r="AE33" s="39"/>
      <c r="AF33" s="38"/>
      <c r="AG33" s="42"/>
      <c r="AH33" s="39"/>
    </row>
    <row r="34" spans="1:39" x14ac:dyDescent="0.2">
      <c r="G34" s="10" t="s">
        <v>365</v>
      </c>
      <c r="H34" s="10" t="s">
        <v>280</v>
      </c>
      <c r="I34" s="25" t="e">
        <f ca="1">_xll.EVPRO($B$1,$G34,"HLEVEL")</f>
        <v>#NAME?</v>
      </c>
      <c r="J34" s="25" t="e">
        <f ca="1">_xll.EVPRO($B$1,$H34,"CALC")</f>
        <v>#NAME?</v>
      </c>
      <c r="K34" s="64" t="e">
        <f t="shared" ref="K34" ca="1" si="0">IF(AND(I34&gt;="T5"),"&gt;","")</f>
        <v>#NAME?</v>
      </c>
      <c r="L34" s="24"/>
      <c r="M34" s="24" t="e">
        <f ca="1">IF(_xll.EVDES(G34,$B$1)="#NODATA","",_xll.EVDES(G34,$B$1))</f>
        <v>#NAME?</v>
      </c>
      <c r="N34" s="19"/>
      <c r="O34" s="19"/>
      <c r="P34" s="19"/>
      <c r="Q34" s="19"/>
      <c r="R34" s="19"/>
      <c r="S34" s="19"/>
      <c r="T34" s="19"/>
      <c r="U34" s="19"/>
      <c r="V34" s="19"/>
      <c r="W34" s="19"/>
      <c r="X34" s="19"/>
      <c r="Y34" s="19"/>
      <c r="Z34" s="283" t="e">
        <f t="shared" ref="Z34:Z39" ca="1" si="1">IF($I34="B1","",SUM(N34:Y34))</f>
        <v>#NAME?</v>
      </c>
      <c r="AA34" s="15" t="e">
        <f t="shared" ref="AA34:AA39" ca="1" si="2">IF(Z34=0,"",IFERROR(Z34/Z$19,""))</f>
        <v>#NAME?</v>
      </c>
      <c r="AC34" s="19"/>
      <c r="AD34" s="15" t="str">
        <f t="shared" ref="AD34:AD39" si="3">IF(AC34=0,"",IFERROR(AC34/AC$19,""))</f>
        <v/>
      </c>
      <c r="AE34" s="47" t="e">
        <f t="shared" ref="AE34:AE39" ca="1" si="4">IF(AND($Z34="",AC34=""),"",$Z34-AC34)</f>
        <v>#NAME?</v>
      </c>
      <c r="AF34" s="19"/>
      <c r="AG34" s="15" t="str">
        <f t="shared" ref="AG34:AG40" si="5">IF(AF34=0,"",IFERROR(AF34/AF$19,""))</f>
        <v/>
      </c>
      <c r="AH34" s="47" t="e">
        <f t="shared" ref="AH34:AH40" ca="1" si="6">IF(AND($Z34="",AF34=""),"",$Z34-AF34)</f>
        <v>#NAME?</v>
      </c>
      <c r="AI34" s="371">
        <f t="shared" ref="AI34:AI40" ca="1" si="7">IFERROR(Z34/Z$20,0)</f>
        <v>0</v>
      </c>
      <c r="AJ34" s="372">
        <f t="shared" ref="AJ34:AJ40" ca="1" si="8">IFERROR(AC34/AC$20,0)</f>
        <v>0</v>
      </c>
      <c r="AK34" s="373">
        <f t="shared" ref="AK34:AK40" ca="1" si="9">IFERROR(AF34/AF$20,0)</f>
        <v>0</v>
      </c>
      <c r="AL34" s="374">
        <f t="shared" ref="AL34:AL40" ca="1" si="10">+IFERROR(ROUND(($AA34-AD34)*100,2)&amp;" pts.",0)</f>
        <v>0</v>
      </c>
      <c r="AM34" s="375">
        <f t="shared" ref="AM34:AM40" ca="1" si="11">+IFERROR(ROUND(($AA34-AG34)*100,2)&amp;" pts.",0)</f>
        <v>0</v>
      </c>
    </row>
    <row r="35" spans="1:39" x14ac:dyDescent="0.2">
      <c r="A35" s="20" t="s">
        <v>92</v>
      </c>
      <c r="B35" s="21" t="s">
        <v>93</v>
      </c>
      <c r="C35" s="21" t="s">
        <v>94</v>
      </c>
      <c r="D35" s="21" t="s">
        <v>95</v>
      </c>
      <c r="E35" s="21" t="s">
        <v>96</v>
      </c>
      <c r="F35" s="22" t="s">
        <v>97</v>
      </c>
      <c r="G35" s="10" t="s">
        <v>366</v>
      </c>
      <c r="H35" s="10" t="s">
        <v>280</v>
      </c>
      <c r="I35" s="25" t="e">
        <f ca="1">_xll.EVPRO($B$1,$G35,"HLEVEL")</f>
        <v>#NAME?</v>
      </c>
      <c r="J35" s="25" t="e">
        <f ca="1">_xll.EVPRO($B$1,$H35,"CALC")</f>
        <v>#NAME?</v>
      </c>
      <c r="K35" s="64" t="e">
        <f t="shared" ref="K35:K39" ca="1" si="12">IF(AND(I35&gt;="T5"),"&gt;","")</f>
        <v>#NAME?</v>
      </c>
      <c r="L35" s="24"/>
      <c r="M35" s="24" t="e">
        <f ca="1">IF(_xll.EVDES(G35,$B$1)="#NODATA","",_xll.EVDES(G35,$B$1))</f>
        <v>#NAME?</v>
      </c>
      <c r="N35" s="19"/>
      <c r="O35" s="19"/>
      <c r="P35" s="19"/>
      <c r="Q35" s="19"/>
      <c r="R35" s="19"/>
      <c r="S35" s="19"/>
      <c r="T35" s="19"/>
      <c r="U35" s="19"/>
      <c r="V35" s="19"/>
      <c r="W35" s="19"/>
      <c r="X35" s="19"/>
      <c r="Y35" s="19"/>
      <c r="Z35" s="283" t="e">
        <f t="shared" ca="1" si="1"/>
        <v>#NAME?</v>
      </c>
      <c r="AA35" s="15" t="e">
        <f t="shared" ca="1" si="2"/>
        <v>#NAME?</v>
      </c>
      <c r="AC35" s="19"/>
      <c r="AD35" s="15" t="str">
        <f t="shared" si="3"/>
        <v/>
      </c>
      <c r="AE35" s="47" t="e">
        <f t="shared" ca="1" si="4"/>
        <v>#NAME?</v>
      </c>
      <c r="AF35" s="19"/>
      <c r="AG35" s="15" t="str">
        <f t="shared" ref="AG35:AG39" si="13">IF(AF35=0,"",IFERROR(AF35/AF$19,""))</f>
        <v/>
      </c>
      <c r="AH35" s="47" t="e">
        <f t="shared" ref="AH35:AH39" ca="1" si="14">IF(AND($Z35="",AF35=""),"",$Z35-AF35)</f>
        <v>#NAME?</v>
      </c>
      <c r="AI35" s="371">
        <f t="shared" ref="AI35:AI39" ca="1" si="15">IFERROR(Z35/Z$20,0)</f>
        <v>0</v>
      </c>
      <c r="AJ35" s="372">
        <f t="shared" ref="AJ35:AJ39" ca="1" si="16">IFERROR(AC35/AC$20,0)</f>
        <v>0</v>
      </c>
      <c r="AK35" s="373">
        <f t="shared" ref="AK35:AK39" ca="1" si="17">IFERROR(AF35/AF$20,0)</f>
        <v>0</v>
      </c>
      <c r="AL35" s="374">
        <f t="shared" ref="AL35:AL39" ca="1" si="18">+IFERROR(ROUND(($AA35-AD35)*100,2)&amp;" pts.",0)</f>
        <v>0</v>
      </c>
      <c r="AM35" s="375">
        <f t="shared" ref="AM35:AM39" ca="1" si="19">+IFERROR(ROUND(($AA35-AG35)*100,2)&amp;" pts.",0)</f>
        <v>0</v>
      </c>
    </row>
    <row r="36" spans="1:39" x14ac:dyDescent="0.2">
      <c r="G36" s="10" t="s">
        <v>380</v>
      </c>
      <c r="H36" s="10" t="s">
        <v>280</v>
      </c>
      <c r="I36" s="25" t="e">
        <f ca="1">_xll.EVPRO($B$1,$G36,"HLEVEL")</f>
        <v>#NAME?</v>
      </c>
      <c r="J36" s="25" t="e">
        <f ca="1">_xll.EVPRO($B$1,$H36,"CALC")</f>
        <v>#NAME?</v>
      </c>
      <c r="K36" s="64" t="e">
        <f t="shared" ca="1" si="12"/>
        <v>#NAME?</v>
      </c>
      <c r="L36" s="24"/>
      <c r="M36" s="24" t="e">
        <f ca="1">IF(_xll.EVDES(G36,$B$1)="#NODATA","",_xll.EVDES(G36,$B$1))</f>
        <v>#NAME?</v>
      </c>
      <c r="N36" s="19"/>
      <c r="O36" s="19"/>
      <c r="P36" s="19"/>
      <c r="Q36" s="19"/>
      <c r="R36" s="19"/>
      <c r="S36" s="19"/>
      <c r="T36" s="19"/>
      <c r="U36" s="19"/>
      <c r="V36" s="19"/>
      <c r="W36" s="19"/>
      <c r="X36" s="19"/>
      <c r="Y36" s="19"/>
      <c r="Z36" s="283" t="e">
        <f t="shared" ca="1" si="1"/>
        <v>#NAME?</v>
      </c>
      <c r="AA36" s="15" t="e">
        <f t="shared" ca="1" si="2"/>
        <v>#NAME?</v>
      </c>
      <c r="AC36" s="19"/>
      <c r="AD36" s="15" t="str">
        <f t="shared" si="3"/>
        <v/>
      </c>
      <c r="AE36" s="47" t="e">
        <f t="shared" ca="1" si="4"/>
        <v>#NAME?</v>
      </c>
      <c r="AF36" s="19">
        <v>0</v>
      </c>
      <c r="AG36" s="15" t="str">
        <f t="shared" si="13"/>
        <v/>
      </c>
      <c r="AH36" s="47" t="e">
        <f t="shared" ca="1" si="14"/>
        <v>#NAME?</v>
      </c>
      <c r="AI36" s="371">
        <f t="shared" ca="1" si="15"/>
        <v>0</v>
      </c>
      <c r="AJ36" s="372">
        <f t="shared" ca="1" si="16"/>
        <v>0</v>
      </c>
      <c r="AK36" s="373">
        <f t="shared" ca="1" si="17"/>
        <v>0</v>
      </c>
      <c r="AL36" s="374">
        <f t="shared" ca="1" si="18"/>
        <v>0</v>
      </c>
      <c r="AM36" s="375">
        <f t="shared" ca="1" si="19"/>
        <v>0</v>
      </c>
    </row>
    <row r="37" spans="1:39" x14ac:dyDescent="0.2">
      <c r="A37" s="1" t="s">
        <v>105</v>
      </c>
      <c r="C37" s="24" t="s">
        <v>101</v>
      </c>
      <c r="D37" s="1" t="s">
        <v>106</v>
      </c>
      <c r="F37" s="1" t="s">
        <v>98</v>
      </c>
      <c r="G37" s="10" t="s">
        <v>386</v>
      </c>
      <c r="H37" s="10" t="s">
        <v>280</v>
      </c>
      <c r="I37" s="25" t="e">
        <f ca="1">_xll.EVPRO($B$1,$G37,"HLEVEL")</f>
        <v>#NAME?</v>
      </c>
      <c r="J37" s="25" t="e">
        <f ca="1">_xll.EVPRO($B$1,$H37,"CALC")</f>
        <v>#NAME?</v>
      </c>
      <c r="K37" s="64" t="e">
        <f t="shared" ca="1" si="12"/>
        <v>#NAME?</v>
      </c>
      <c r="L37" s="24"/>
      <c r="M37" s="24" t="e">
        <f ca="1">IF(_xll.EVDES(G37,$B$1)="#NODATA","",_xll.EVDES(G37,$B$1))</f>
        <v>#NAME?</v>
      </c>
      <c r="N37" s="19"/>
      <c r="O37" s="19"/>
      <c r="P37" s="19"/>
      <c r="Q37" s="19"/>
      <c r="R37" s="19"/>
      <c r="S37" s="19"/>
      <c r="T37" s="19"/>
      <c r="U37" s="19"/>
      <c r="V37" s="19"/>
      <c r="W37" s="19"/>
      <c r="X37" s="19"/>
      <c r="Y37" s="19"/>
      <c r="Z37" s="283" t="e">
        <f t="shared" ca="1" si="1"/>
        <v>#NAME?</v>
      </c>
      <c r="AA37" s="15" t="e">
        <f t="shared" ca="1" si="2"/>
        <v>#NAME?</v>
      </c>
      <c r="AC37" s="19"/>
      <c r="AD37" s="15" t="str">
        <f t="shared" si="3"/>
        <v/>
      </c>
      <c r="AE37" s="47" t="e">
        <f t="shared" ca="1" si="4"/>
        <v>#NAME?</v>
      </c>
      <c r="AF37" s="19">
        <v>19.28</v>
      </c>
      <c r="AG37" s="15" t="str">
        <f t="shared" ca="1" si="13"/>
        <v/>
      </c>
      <c r="AH37" s="47" t="e">
        <f t="shared" ca="1" si="14"/>
        <v>#NAME?</v>
      </c>
      <c r="AI37" s="371">
        <f t="shared" ca="1" si="15"/>
        <v>0</v>
      </c>
      <c r="AJ37" s="372">
        <f t="shared" ca="1" si="16"/>
        <v>0</v>
      </c>
      <c r="AK37" s="373">
        <f t="shared" ca="1" si="17"/>
        <v>0</v>
      </c>
      <c r="AL37" s="374">
        <f t="shared" ca="1" si="18"/>
        <v>0</v>
      </c>
      <c r="AM37" s="375">
        <f t="shared" ca="1" si="19"/>
        <v>0</v>
      </c>
    </row>
    <row r="38" spans="1:39" x14ac:dyDescent="0.2">
      <c r="A38" s="1" t="s">
        <v>465</v>
      </c>
      <c r="C38" s="24" t="s">
        <v>101</v>
      </c>
      <c r="D38" s="1" t="s">
        <v>106</v>
      </c>
      <c r="F38" s="1" t="s">
        <v>98</v>
      </c>
      <c r="G38" s="10" t="s">
        <v>406</v>
      </c>
      <c r="H38" s="10" t="s">
        <v>280</v>
      </c>
      <c r="I38" s="25" t="e">
        <f ca="1">_xll.EVPRO($B$1,$G38,"HLEVEL")</f>
        <v>#NAME?</v>
      </c>
      <c r="J38" s="25" t="e">
        <f ca="1">_xll.EVPRO($B$1,$H38,"CALC")</f>
        <v>#NAME?</v>
      </c>
      <c r="K38" s="64" t="e">
        <f t="shared" ca="1" si="12"/>
        <v>#NAME?</v>
      </c>
      <c r="L38" s="24"/>
      <c r="M38" s="24" t="e">
        <f ca="1">IF(_xll.EVDES(G38,$B$1)="#NODATA","",_xll.EVDES(G38,$B$1))</f>
        <v>#NAME?</v>
      </c>
      <c r="N38" s="19"/>
      <c r="O38" s="19"/>
      <c r="P38" s="19"/>
      <c r="Q38" s="19"/>
      <c r="R38" s="19"/>
      <c r="S38" s="19"/>
      <c r="T38" s="19"/>
      <c r="U38" s="19"/>
      <c r="V38" s="19"/>
      <c r="W38" s="19"/>
      <c r="X38" s="19"/>
      <c r="Y38" s="19"/>
      <c r="Z38" s="283" t="e">
        <f t="shared" ca="1" si="1"/>
        <v>#NAME?</v>
      </c>
      <c r="AA38" s="15" t="e">
        <f t="shared" ca="1" si="2"/>
        <v>#NAME?</v>
      </c>
      <c r="AC38" s="19"/>
      <c r="AD38" s="15" t="str">
        <f t="shared" si="3"/>
        <v/>
      </c>
      <c r="AE38" s="47" t="e">
        <f t="shared" ca="1" si="4"/>
        <v>#NAME?</v>
      </c>
      <c r="AF38" s="19"/>
      <c r="AG38" s="15" t="str">
        <f t="shared" si="13"/>
        <v/>
      </c>
      <c r="AH38" s="47" t="e">
        <f t="shared" ca="1" si="14"/>
        <v>#NAME?</v>
      </c>
      <c r="AI38" s="371">
        <f t="shared" ca="1" si="15"/>
        <v>0</v>
      </c>
      <c r="AJ38" s="372">
        <f t="shared" ca="1" si="16"/>
        <v>0</v>
      </c>
      <c r="AK38" s="373">
        <f t="shared" ca="1" si="17"/>
        <v>0</v>
      </c>
      <c r="AL38" s="374">
        <f t="shared" ca="1" si="18"/>
        <v>0</v>
      </c>
      <c r="AM38" s="375">
        <f t="shared" ca="1" si="19"/>
        <v>0</v>
      </c>
    </row>
    <row r="39" spans="1:39" x14ac:dyDescent="0.2">
      <c r="A39" s="1" t="s">
        <v>466</v>
      </c>
      <c r="C39" s="8" t="s">
        <v>101</v>
      </c>
      <c r="D39" s="1" t="s">
        <v>106</v>
      </c>
      <c r="F39" s="1" t="s">
        <v>98</v>
      </c>
      <c r="G39" s="10" t="s">
        <v>423</v>
      </c>
      <c r="H39" s="10" t="s">
        <v>280</v>
      </c>
      <c r="I39" s="25" t="e">
        <f ca="1">_xll.EVPRO($B$1,$G39,"HLEVEL")</f>
        <v>#NAME?</v>
      </c>
      <c r="J39" s="25" t="e">
        <f ca="1">_xll.EVPRO($B$1,$H39,"CALC")</f>
        <v>#NAME?</v>
      </c>
      <c r="K39" s="64" t="e">
        <f t="shared" ca="1" si="12"/>
        <v>#NAME?</v>
      </c>
      <c r="L39" s="24"/>
      <c r="M39" s="24" t="e">
        <f ca="1">IF(_xll.EVDES(G39,$B$1)="#NODATA","",_xll.EVDES(G39,$B$1))</f>
        <v>#NAME?</v>
      </c>
      <c r="N39" s="19">
        <v>1778.05</v>
      </c>
      <c r="O39" s="19">
        <v>1452.64</v>
      </c>
      <c r="P39" s="19">
        <v>2514.5100000000002</v>
      </c>
      <c r="Q39" s="19">
        <v>1461.55</v>
      </c>
      <c r="R39" s="19">
        <v>686.39</v>
      </c>
      <c r="S39" s="19">
        <v>971.47</v>
      </c>
      <c r="T39" s="19">
        <v>1646.04</v>
      </c>
      <c r="U39" s="19">
        <v>900.7</v>
      </c>
      <c r="V39" s="19">
        <v>865.48</v>
      </c>
      <c r="W39" s="19">
        <v>1388.87</v>
      </c>
      <c r="X39" s="19">
        <v>2028.13</v>
      </c>
      <c r="Y39" s="19">
        <v>2112.59</v>
      </c>
      <c r="Z39" s="283" t="e">
        <f t="shared" ca="1" si="1"/>
        <v>#NAME?</v>
      </c>
      <c r="AA39" s="15" t="e">
        <f t="shared" ca="1" si="2"/>
        <v>#NAME?</v>
      </c>
      <c r="AC39" s="19">
        <v>16092.4</v>
      </c>
      <c r="AD39" s="15" t="str">
        <f t="shared" ca="1" si="3"/>
        <v/>
      </c>
      <c r="AE39" s="47" t="e">
        <f t="shared" ca="1" si="4"/>
        <v>#NAME?</v>
      </c>
      <c r="AF39" s="19">
        <v>15866.33</v>
      </c>
      <c r="AG39" s="15" t="str">
        <f t="shared" ca="1" si="13"/>
        <v/>
      </c>
      <c r="AH39" s="47" t="e">
        <f t="shared" ca="1" si="14"/>
        <v>#NAME?</v>
      </c>
      <c r="AI39" s="371">
        <f t="shared" ca="1" si="15"/>
        <v>0</v>
      </c>
      <c r="AJ39" s="372">
        <f t="shared" ca="1" si="16"/>
        <v>0</v>
      </c>
      <c r="AK39" s="373">
        <f t="shared" ca="1" si="17"/>
        <v>0</v>
      </c>
      <c r="AL39" s="374">
        <f t="shared" ca="1" si="18"/>
        <v>0</v>
      </c>
      <c r="AM39" s="375">
        <f t="shared" ca="1" si="19"/>
        <v>0</v>
      </c>
    </row>
    <row r="40" spans="1:39" x14ac:dyDescent="0.2">
      <c r="A40" s="1" t="s">
        <v>466</v>
      </c>
      <c r="C40" s="135" t="s">
        <v>101</v>
      </c>
      <c r="D40" s="1" t="s">
        <v>107</v>
      </c>
      <c r="F40" s="1" t="s">
        <v>99</v>
      </c>
      <c r="H40" s="320" t="s">
        <v>69</v>
      </c>
      <c r="I40" s="64"/>
      <c r="J40" s="64"/>
      <c r="K40" s="64"/>
      <c r="L40" s="24"/>
      <c r="M40" s="23" t="s">
        <v>470</v>
      </c>
      <c r="N40" s="145">
        <f>SUM(N34:N39)</f>
        <v>1778.05</v>
      </c>
      <c r="O40" s="145">
        <f t="shared" ref="O40:Y40" si="20">SUM(O34:O39)</f>
        <v>1452.64</v>
      </c>
      <c r="P40" s="145">
        <f t="shared" si="20"/>
        <v>2514.5100000000002</v>
      </c>
      <c r="Q40" s="145">
        <f t="shared" si="20"/>
        <v>1461.55</v>
      </c>
      <c r="R40" s="145">
        <f t="shared" si="20"/>
        <v>686.39</v>
      </c>
      <c r="S40" s="145">
        <f t="shared" si="20"/>
        <v>971.47</v>
      </c>
      <c r="T40" s="145">
        <f t="shared" si="20"/>
        <v>1646.04</v>
      </c>
      <c r="U40" s="145">
        <f t="shared" si="20"/>
        <v>900.7</v>
      </c>
      <c r="V40" s="145">
        <f t="shared" si="20"/>
        <v>865.48</v>
      </c>
      <c r="W40" s="145">
        <f t="shared" si="20"/>
        <v>1388.87</v>
      </c>
      <c r="X40" s="145">
        <f t="shared" si="20"/>
        <v>2028.13</v>
      </c>
      <c r="Y40" s="145">
        <f t="shared" si="20"/>
        <v>2112.59</v>
      </c>
      <c r="Z40" s="145">
        <f t="shared" ref="Z40" si="21">IF($I40="B1","",SUM(N40:Y40))</f>
        <v>17806.420000000002</v>
      </c>
      <c r="AA40" s="156" t="str">
        <f t="shared" ref="AA40" ca="1" si="22">IF(Z40=0,"",IFERROR(Z40/Z$19,""))</f>
        <v/>
      </c>
      <c r="AC40" s="145">
        <f>SUM(AC34:AC39)</f>
        <v>16092.4</v>
      </c>
      <c r="AD40" s="156" t="str">
        <f t="shared" ref="AD40" ca="1" si="23">IF(AC40=0,"",IFERROR(AC40/AC$19,""))</f>
        <v/>
      </c>
      <c r="AE40" s="146">
        <f t="shared" ref="AE40" si="24">IF(AND($Z40="",AC40=""),"",$Z40-AC40)</f>
        <v>1714.0200000000023</v>
      </c>
      <c r="AF40" s="145">
        <f>SUM(AF34:AF39)</f>
        <v>15885.61</v>
      </c>
      <c r="AG40" s="156" t="str">
        <f t="shared" ca="1" si="5"/>
        <v/>
      </c>
      <c r="AH40" s="146">
        <f t="shared" si="6"/>
        <v>1920.8100000000013</v>
      </c>
      <c r="AI40" s="364">
        <f t="shared" ca="1" si="7"/>
        <v>0</v>
      </c>
      <c r="AJ40" s="365">
        <f t="shared" ca="1" si="8"/>
        <v>0</v>
      </c>
      <c r="AK40" s="366">
        <f t="shared" ca="1" si="9"/>
        <v>0</v>
      </c>
      <c r="AL40" s="367">
        <f t="shared" ca="1" si="10"/>
        <v>0</v>
      </c>
      <c r="AM40" s="409">
        <f t="shared" ca="1" si="11"/>
        <v>0</v>
      </c>
    </row>
    <row r="41" spans="1:39" x14ac:dyDescent="0.2">
      <c r="G41" s="23"/>
      <c r="H41" s="23"/>
      <c r="I41" s="23"/>
      <c r="J41" s="23"/>
      <c r="K41" s="23"/>
      <c r="L41" s="23"/>
      <c r="M41" s="23"/>
      <c r="N41" s="50"/>
      <c r="AA41" s="51"/>
      <c r="AC41" s="50"/>
      <c r="AE41" s="51"/>
      <c r="AF41" s="50"/>
      <c r="AH41" s="51"/>
    </row>
    <row r="42" spans="1:39" x14ac:dyDescent="0.2">
      <c r="H42" s="1" t="s">
        <v>464</v>
      </c>
      <c r="I42" s="11" t="e">
        <f ca="1">_xll.EVPRO($B$1,$H42,"STYLE")</f>
        <v>#NAME?</v>
      </c>
      <c r="J42" s="11" t="e">
        <f ca="1">_xll.EVPRO($B$1,$H42,"CALC")</f>
        <v>#NAME?</v>
      </c>
      <c r="M42" s="37" t="e">
        <f ca="1">IF(_xll.EVDES(H42,$B$1)="#NODATA","",_xll.EVDES(H42,$B$1))</f>
        <v>#NAME?</v>
      </c>
      <c r="N42" s="50"/>
      <c r="AA42" s="51"/>
      <c r="AC42" s="50"/>
      <c r="AE42" s="51"/>
      <c r="AF42" s="50"/>
      <c r="AH42" s="51"/>
    </row>
    <row r="43" spans="1:39" x14ac:dyDescent="0.2">
      <c r="A43" s="3" t="s">
        <v>23</v>
      </c>
      <c r="B43" s="5" t="s">
        <v>24</v>
      </c>
      <c r="G43" s="10" t="s">
        <v>365</v>
      </c>
      <c r="H43" s="10" t="s">
        <v>464</v>
      </c>
      <c r="I43" s="25" t="e">
        <f ca="1">_xll.EVPRO($B$1,$G43,"HLEVEL")</f>
        <v>#NAME?</v>
      </c>
      <c r="J43" s="25" t="e">
        <f ca="1">_xll.EVPRO($B$1,$H43,"CALC")</f>
        <v>#NAME?</v>
      </c>
      <c r="K43" s="24"/>
      <c r="L43" s="24"/>
      <c r="M43" s="24" t="e">
        <f ca="1">IF(_xll.EVDES(G43,$B$1)="#NODATA","",_xll.EVDES(G43,$B$1))</f>
        <v>#NAME?</v>
      </c>
      <c r="N43" s="19"/>
      <c r="O43" s="19"/>
      <c r="P43" s="19"/>
      <c r="Q43" s="19"/>
      <c r="R43" s="19"/>
      <c r="S43" s="19"/>
      <c r="T43" s="19"/>
      <c r="U43" s="19"/>
      <c r="V43" s="19"/>
      <c r="W43" s="19"/>
      <c r="X43" s="19"/>
      <c r="Y43" s="19"/>
      <c r="Z43" s="283" t="e">
        <f t="shared" ref="Z43:Z48" ca="1" si="25">IF($I43="B1","",SUM(N43:Y43))</f>
        <v>#NAME?</v>
      </c>
      <c r="AA43" s="15" t="e">
        <f t="shared" ref="AA43:AA48" ca="1" si="26">IF(Z43=0,"",IFERROR(Z43/Z34,""))</f>
        <v>#NAME?</v>
      </c>
      <c r="AC43" s="19"/>
      <c r="AD43" s="15" t="str">
        <f t="shared" ref="AD43:AD48" si="27">IF(AC43=0,"",IFERROR(AC43/AC34,""))</f>
        <v/>
      </c>
      <c r="AE43" s="47" t="e">
        <f t="shared" ref="AE43:AE48" ca="1" si="28">IF(AND($Z43="",AC43=""),"",$Z43-AC43)</f>
        <v>#NAME?</v>
      </c>
      <c r="AF43" s="19"/>
      <c r="AG43" s="15" t="str">
        <f t="shared" ref="AG43:AG49" si="29">IF(AF43=0,"",IFERROR(AF43/AF34,""))</f>
        <v/>
      </c>
      <c r="AH43" s="47" t="e">
        <f t="shared" ref="AH43:AH49" ca="1" si="30">IF(AND($Z43="",AF43=""),"",$Z43-AF43)</f>
        <v>#NAME?</v>
      </c>
      <c r="AI43" s="371">
        <f t="shared" ref="AI43:AI49" ca="1" si="31">IFERROR(Z43/Z$20,0)</f>
        <v>0</v>
      </c>
      <c r="AJ43" s="372">
        <f t="shared" ref="AJ43:AJ49" ca="1" si="32">IFERROR(AC43/AC$20,0)</f>
        <v>0</v>
      </c>
      <c r="AK43" s="373">
        <f t="shared" ref="AK43:AK49" ca="1" si="33">IFERROR(AF43/AF$20,0)</f>
        <v>0</v>
      </c>
      <c r="AL43" s="374">
        <f t="shared" ref="AL43:AL49" ca="1" si="34">+IFERROR(ROUND(($AA43-AD43)*100,2)&amp;" pts.",0)</f>
        <v>0</v>
      </c>
      <c r="AM43" s="375">
        <f t="shared" ref="AM43:AM49" ca="1" si="35">+IFERROR(ROUND(($AA43-AG43)*100,2)&amp;" pts.",0)</f>
        <v>0</v>
      </c>
    </row>
    <row r="44" spans="1:39" x14ac:dyDescent="0.2">
      <c r="A44" s="6" t="s">
        <v>25</v>
      </c>
      <c r="B44" s="7"/>
      <c r="G44" s="10" t="s">
        <v>366</v>
      </c>
      <c r="H44" s="10" t="s">
        <v>464</v>
      </c>
      <c r="I44" s="25" t="e">
        <f ca="1">_xll.EVPRO($B$1,$G44,"HLEVEL")</f>
        <v>#NAME?</v>
      </c>
      <c r="J44" s="25" t="e">
        <f ca="1">_xll.EVPRO($B$1,$H44,"CALC")</f>
        <v>#NAME?</v>
      </c>
      <c r="K44" s="24"/>
      <c r="L44" s="24"/>
      <c r="M44" s="24" t="e">
        <f ca="1">IF(_xll.EVDES(G44,$B$1)="#NODATA","",_xll.EVDES(G44,$B$1))</f>
        <v>#NAME?</v>
      </c>
      <c r="N44" s="19"/>
      <c r="O44" s="19"/>
      <c r="P44" s="19"/>
      <c r="Q44" s="19"/>
      <c r="R44" s="19"/>
      <c r="S44" s="19"/>
      <c r="T44" s="19"/>
      <c r="U44" s="19"/>
      <c r="V44" s="19"/>
      <c r="W44" s="19"/>
      <c r="X44" s="19"/>
      <c r="Y44" s="19"/>
      <c r="Z44" s="283" t="e">
        <f t="shared" ca="1" si="25"/>
        <v>#NAME?</v>
      </c>
      <c r="AA44" s="15" t="e">
        <f t="shared" ca="1" si="26"/>
        <v>#NAME?</v>
      </c>
      <c r="AC44" s="19"/>
      <c r="AD44" s="15" t="str">
        <f t="shared" si="27"/>
        <v/>
      </c>
      <c r="AE44" s="47" t="e">
        <f t="shared" ca="1" si="28"/>
        <v>#NAME?</v>
      </c>
      <c r="AF44" s="19"/>
      <c r="AG44" s="15" t="str">
        <f t="shared" ref="AG44:AG48" si="36">IF(AF44=0,"",IFERROR(AF44/AF35,""))</f>
        <v/>
      </c>
      <c r="AH44" s="47" t="e">
        <f t="shared" ref="AH44:AH48" ca="1" si="37">IF(AND($Z44="",AF44=""),"",$Z44-AF44)</f>
        <v>#NAME?</v>
      </c>
      <c r="AI44" s="371">
        <f t="shared" ref="AI44:AI48" ca="1" si="38">IFERROR(Z44/Z$20,0)</f>
        <v>0</v>
      </c>
      <c r="AJ44" s="372">
        <f t="shared" ref="AJ44:AJ48" ca="1" si="39">IFERROR(AC44/AC$20,0)</f>
        <v>0</v>
      </c>
      <c r="AK44" s="373">
        <f t="shared" ref="AK44:AK48" ca="1" si="40">IFERROR(AF44/AF$20,0)</f>
        <v>0</v>
      </c>
      <c r="AL44" s="374">
        <f t="shared" ref="AL44:AL48" ca="1" si="41">+IFERROR(ROUND(($AA44-AD44)*100,2)&amp;" pts.",0)</f>
        <v>0</v>
      </c>
      <c r="AM44" s="375">
        <f t="shared" ref="AM44:AM48" ca="1" si="42">+IFERROR(ROUND(($AA44-AG44)*100,2)&amp;" pts.",0)</f>
        <v>0</v>
      </c>
    </row>
    <row r="45" spans="1:39" x14ac:dyDescent="0.2">
      <c r="A45" s="6" t="s">
        <v>26</v>
      </c>
      <c r="B45" s="7"/>
      <c r="G45" s="10" t="s">
        <v>380</v>
      </c>
      <c r="H45" s="10" t="s">
        <v>464</v>
      </c>
      <c r="I45" s="25" t="e">
        <f ca="1">_xll.EVPRO($B$1,$G45,"HLEVEL")</f>
        <v>#NAME?</v>
      </c>
      <c r="J45" s="25" t="e">
        <f ca="1">_xll.EVPRO($B$1,$H45,"CALC")</f>
        <v>#NAME?</v>
      </c>
      <c r="K45" s="24"/>
      <c r="L45" s="24"/>
      <c r="M45" s="24" t="e">
        <f ca="1">IF(_xll.EVDES(G45,$B$1)="#NODATA","",_xll.EVDES(G45,$B$1))</f>
        <v>#NAME?</v>
      </c>
      <c r="N45" s="19"/>
      <c r="O45" s="19"/>
      <c r="P45" s="19"/>
      <c r="Q45" s="19"/>
      <c r="R45" s="19"/>
      <c r="S45" s="19"/>
      <c r="T45" s="19"/>
      <c r="U45" s="19"/>
      <c r="V45" s="19"/>
      <c r="W45" s="19"/>
      <c r="X45" s="19"/>
      <c r="Y45" s="19"/>
      <c r="Z45" s="283" t="e">
        <f t="shared" ca="1" si="25"/>
        <v>#NAME?</v>
      </c>
      <c r="AA45" s="15" t="e">
        <f t="shared" ca="1" si="26"/>
        <v>#NAME?</v>
      </c>
      <c r="AC45" s="19"/>
      <c r="AD45" s="15" t="str">
        <f t="shared" si="27"/>
        <v/>
      </c>
      <c r="AE45" s="47" t="e">
        <f t="shared" ca="1" si="28"/>
        <v>#NAME?</v>
      </c>
      <c r="AF45" s="19"/>
      <c r="AG45" s="15" t="str">
        <f t="shared" si="36"/>
        <v/>
      </c>
      <c r="AH45" s="47" t="e">
        <f t="shared" ca="1" si="37"/>
        <v>#NAME?</v>
      </c>
      <c r="AI45" s="371">
        <f t="shared" ca="1" si="38"/>
        <v>0</v>
      </c>
      <c r="AJ45" s="372">
        <f t="shared" ca="1" si="39"/>
        <v>0</v>
      </c>
      <c r="AK45" s="373">
        <f t="shared" ca="1" si="40"/>
        <v>0</v>
      </c>
      <c r="AL45" s="374">
        <f t="shared" ca="1" si="41"/>
        <v>0</v>
      </c>
      <c r="AM45" s="375">
        <f t="shared" ca="1" si="42"/>
        <v>0</v>
      </c>
    </row>
    <row r="46" spans="1:39" x14ac:dyDescent="0.2">
      <c r="A46" s="6" t="s">
        <v>27</v>
      </c>
      <c r="B46" s="7"/>
      <c r="G46" s="10" t="s">
        <v>386</v>
      </c>
      <c r="H46" s="10" t="s">
        <v>464</v>
      </c>
      <c r="I46" s="25" t="e">
        <f ca="1">_xll.EVPRO($B$1,$G46,"HLEVEL")</f>
        <v>#NAME?</v>
      </c>
      <c r="J46" s="25" t="e">
        <f ca="1">_xll.EVPRO($B$1,$H46,"CALC")</f>
        <v>#NAME?</v>
      </c>
      <c r="K46" s="24"/>
      <c r="L46" s="24"/>
      <c r="M46" s="24" t="e">
        <f ca="1">IF(_xll.EVDES(G46,$B$1)="#NODATA","",_xll.EVDES(G46,$B$1))</f>
        <v>#NAME?</v>
      </c>
      <c r="N46" s="19"/>
      <c r="O46" s="19"/>
      <c r="P46" s="19"/>
      <c r="Q46" s="19"/>
      <c r="R46" s="19"/>
      <c r="S46" s="19"/>
      <c r="T46" s="19"/>
      <c r="U46" s="19"/>
      <c r="V46" s="19"/>
      <c r="W46" s="19"/>
      <c r="X46" s="19"/>
      <c r="Y46" s="19"/>
      <c r="Z46" s="283" t="e">
        <f t="shared" ca="1" si="25"/>
        <v>#NAME?</v>
      </c>
      <c r="AA46" s="15" t="e">
        <f t="shared" ca="1" si="26"/>
        <v>#NAME?</v>
      </c>
      <c r="AC46" s="19"/>
      <c r="AD46" s="15" t="str">
        <f t="shared" si="27"/>
        <v/>
      </c>
      <c r="AE46" s="47" t="e">
        <f t="shared" ca="1" si="28"/>
        <v>#NAME?</v>
      </c>
      <c r="AF46" s="19"/>
      <c r="AG46" s="15" t="str">
        <f t="shared" si="36"/>
        <v/>
      </c>
      <c r="AH46" s="47" t="e">
        <f t="shared" ca="1" si="37"/>
        <v>#NAME?</v>
      </c>
      <c r="AI46" s="371">
        <f t="shared" ca="1" si="38"/>
        <v>0</v>
      </c>
      <c r="AJ46" s="372">
        <f t="shared" ca="1" si="39"/>
        <v>0</v>
      </c>
      <c r="AK46" s="373">
        <f t="shared" ca="1" si="40"/>
        <v>0</v>
      </c>
      <c r="AL46" s="374">
        <f t="shared" ca="1" si="41"/>
        <v>0</v>
      </c>
      <c r="AM46" s="375">
        <f t="shared" ca="1" si="42"/>
        <v>0</v>
      </c>
    </row>
    <row r="47" spans="1:39" x14ac:dyDescent="0.2">
      <c r="A47" s="6" t="s">
        <v>28</v>
      </c>
      <c r="B47" s="7"/>
      <c r="G47" s="10" t="s">
        <v>406</v>
      </c>
      <c r="H47" s="10" t="s">
        <v>464</v>
      </c>
      <c r="I47" s="25" t="e">
        <f ca="1">_xll.EVPRO($B$1,$G47,"HLEVEL")</f>
        <v>#NAME?</v>
      </c>
      <c r="J47" s="25" t="e">
        <f ca="1">_xll.EVPRO($B$1,$H47,"CALC")</f>
        <v>#NAME?</v>
      </c>
      <c r="K47" s="24"/>
      <c r="L47" s="24"/>
      <c r="M47" s="24" t="e">
        <f ca="1">IF(_xll.EVDES(G47,$B$1)="#NODATA","",_xll.EVDES(G47,$B$1))</f>
        <v>#NAME?</v>
      </c>
      <c r="N47" s="19"/>
      <c r="O47" s="19"/>
      <c r="P47" s="19"/>
      <c r="Q47" s="19"/>
      <c r="R47" s="19"/>
      <c r="S47" s="19"/>
      <c r="T47" s="19"/>
      <c r="U47" s="19"/>
      <c r="V47" s="19"/>
      <c r="W47" s="19"/>
      <c r="X47" s="19"/>
      <c r="Y47" s="19"/>
      <c r="Z47" s="283" t="e">
        <f t="shared" ca="1" si="25"/>
        <v>#NAME?</v>
      </c>
      <c r="AA47" s="15" t="e">
        <f t="shared" ca="1" si="26"/>
        <v>#NAME?</v>
      </c>
      <c r="AC47" s="19"/>
      <c r="AD47" s="15" t="str">
        <f t="shared" si="27"/>
        <v/>
      </c>
      <c r="AE47" s="47" t="e">
        <f t="shared" ca="1" si="28"/>
        <v>#NAME?</v>
      </c>
      <c r="AF47" s="19"/>
      <c r="AG47" s="15" t="str">
        <f t="shared" si="36"/>
        <v/>
      </c>
      <c r="AH47" s="47" t="e">
        <f t="shared" ca="1" si="37"/>
        <v>#NAME?</v>
      </c>
      <c r="AI47" s="371">
        <f t="shared" ca="1" si="38"/>
        <v>0</v>
      </c>
      <c r="AJ47" s="372">
        <f t="shared" ca="1" si="39"/>
        <v>0</v>
      </c>
      <c r="AK47" s="373">
        <f t="shared" ca="1" si="40"/>
        <v>0</v>
      </c>
      <c r="AL47" s="374">
        <f t="shared" ca="1" si="41"/>
        <v>0</v>
      </c>
      <c r="AM47" s="375">
        <f t="shared" ca="1" si="42"/>
        <v>0</v>
      </c>
    </row>
    <row r="48" spans="1:39" x14ac:dyDescent="0.2">
      <c r="A48" s="6" t="s">
        <v>29</v>
      </c>
      <c r="B48" s="7"/>
      <c r="G48" s="10" t="s">
        <v>423</v>
      </c>
      <c r="H48" s="10" t="s">
        <v>464</v>
      </c>
      <c r="I48" s="25" t="e">
        <f ca="1">_xll.EVPRO($B$1,$G48,"HLEVEL")</f>
        <v>#NAME?</v>
      </c>
      <c r="J48" s="25" t="e">
        <f ca="1">_xll.EVPRO($B$1,$H48,"CALC")</f>
        <v>#NAME?</v>
      </c>
      <c r="K48" s="24"/>
      <c r="L48" s="24"/>
      <c r="M48" s="24" t="e">
        <f ca="1">IF(_xll.EVDES(G48,$B$1)="#NODATA","",_xll.EVDES(G48,$B$1))</f>
        <v>#NAME?</v>
      </c>
      <c r="N48" s="19">
        <v>677.06</v>
      </c>
      <c r="O48" s="19">
        <v>291.47000000000003</v>
      </c>
      <c r="P48" s="19">
        <v>711</v>
      </c>
      <c r="Q48" s="19">
        <v>642.24</v>
      </c>
      <c r="R48" s="19">
        <v>294.5</v>
      </c>
      <c r="S48" s="19">
        <v>206.68</v>
      </c>
      <c r="T48" s="19">
        <v>520.26</v>
      </c>
      <c r="U48" s="19">
        <v>165.54</v>
      </c>
      <c r="V48" s="19">
        <v>348.76</v>
      </c>
      <c r="W48" s="19">
        <v>319.45</v>
      </c>
      <c r="X48" s="19">
        <v>767.44</v>
      </c>
      <c r="Y48" s="19">
        <v>180.6</v>
      </c>
      <c r="Z48" s="283" t="e">
        <f t="shared" ca="1" si="25"/>
        <v>#NAME?</v>
      </c>
      <c r="AA48" s="15" t="e">
        <f t="shared" ca="1" si="26"/>
        <v>#NAME?</v>
      </c>
      <c r="AC48" s="19">
        <v>7070.1959399999996</v>
      </c>
      <c r="AD48" s="15">
        <f t="shared" si="27"/>
        <v>0.43934999999999996</v>
      </c>
      <c r="AE48" s="47" t="e">
        <f t="shared" ca="1" si="28"/>
        <v>#NAME?</v>
      </c>
      <c r="AF48" s="19">
        <v>7208.72</v>
      </c>
      <c r="AG48" s="15">
        <f t="shared" si="36"/>
        <v>0.45434073286008803</v>
      </c>
      <c r="AH48" s="47" t="e">
        <f t="shared" ca="1" si="37"/>
        <v>#NAME?</v>
      </c>
      <c r="AI48" s="371">
        <f t="shared" ca="1" si="38"/>
        <v>0</v>
      </c>
      <c r="AJ48" s="372">
        <f t="shared" ca="1" si="39"/>
        <v>0</v>
      </c>
      <c r="AK48" s="373">
        <f t="shared" ca="1" si="40"/>
        <v>0</v>
      </c>
      <c r="AL48" s="374">
        <f t="shared" ca="1" si="41"/>
        <v>0</v>
      </c>
      <c r="AM48" s="375">
        <f t="shared" ca="1" si="42"/>
        <v>0</v>
      </c>
    </row>
    <row r="49" spans="1:42" x14ac:dyDescent="0.2">
      <c r="A49" s="6" t="s">
        <v>30</v>
      </c>
      <c r="B49" s="7" t="s">
        <v>78</v>
      </c>
      <c r="H49" s="320" t="s">
        <v>493</v>
      </c>
      <c r="I49" s="64"/>
      <c r="J49" s="64"/>
      <c r="K49" s="64"/>
      <c r="L49" s="24"/>
      <c r="M49" s="23" t="s">
        <v>469</v>
      </c>
      <c r="N49" s="145">
        <f>SUM(N43:N48)</f>
        <v>677.06</v>
      </c>
      <c r="O49" s="145">
        <f t="shared" ref="O49:Y49" si="43">SUM(O43:O48)</f>
        <v>291.47000000000003</v>
      </c>
      <c r="P49" s="145">
        <f t="shared" si="43"/>
        <v>711</v>
      </c>
      <c r="Q49" s="145">
        <f t="shared" si="43"/>
        <v>642.24</v>
      </c>
      <c r="R49" s="145">
        <f t="shared" si="43"/>
        <v>294.5</v>
      </c>
      <c r="S49" s="145">
        <f t="shared" si="43"/>
        <v>206.68</v>
      </c>
      <c r="T49" s="145">
        <f t="shared" si="43"/>
        <v>520.26</v>
      </c>
      <c r="U49" s="145">
        <f t="shared" si="43"/>
        <v>165.54</v>
      </c>
      <c r="V49" s="145">
        <f t="shared" si="43"/>
        <v>348.76</v>
      </c>
      <c r="W49" s="145">
        <f t="shared" si="43"/>
        <v>319.45</v>
      </c>
      <c r="X49" s="145">
        <f t="shared" si="43"/>
        <v>767.44</v>
      </c>
      <c r="Y49" s="145">
        <f t="shared" si="43"/>
        <v>180.6</v>
      </c>
      <c r="Z49" s="145">
        <f t="shared" ref="Z49" si="44">IF($I49="B1","",SUM(N49:Y49))</f>
        <v>5125</v>
      </c>
      <c r="AA49" s="156">
        <f t="shared" ref="AA49" si="45">IF(Z49=0,"",IFERROR(Z49/Z40,""))</f>
        <v>0.28781753996592235</v>
      </c>
      <c r="AC49" s="145">
        <f>SUM(AC43:AC48)</f>
        <v>7070.1959399999996</v>
      </c>
      <c r="AD49" s="156">
        <f t="shared" ref="AD49" si="46">IF(AC49=0,"",IFERROR(AC49/AC40,""))</f>
        <v>0.43934999999999996</v>
      </c>
      <c r="AE49" s="146">
        <f t="shared" ref="AE49" si="47">IF(AND($Z49="",AC49=""),"",$Z49-AC49)</f>
        <v>-1945.1959399999996</v>
      </c>
      <c r="AF49" s="145">
        <f>SUM(AF43:AF48)</f>
        <v>7208.72</v>
      </c>
      <c r="AG49" s="156">
        <f t="shared" si="29"/>
        <v>0.45378930994780808</v>
      </c>
      <c r="AH49" s="146">
        <f t="shared" si="30"/>
        <v>-2083.7200000000003</v>
      </c>
      <c r="AI49" s="364">
        <f t="shared" ca="1" si="31"/>
        <v>0</v>
      </c>
      <c r="AJ49" s="365">
        <f t="shared" ca="1" si="32"/>
        <v>0</v>
      </c>
      <c r="AK49" s="366">
        <f t="shared" ca="1" si="33"/>
        <v>0</v>
      </c>
      <c r="AL49" s="367" t="str">
        <f t="shared" si="34"/>
        <v>-15.15 pts.</v>
      </c>
      <c r="AM49" s="409" t="str">
        <f t="shared" si="35"/>
        <v>-16.6 pts.</v>
      </c>
    </row>
    <row r="50" spans="1:42" x14ac:dyDescent="0.2">
      <c r="A50" s="6" t="s">
        <v>31</v>
      </c>
      <c r="B50" s="7" t="s">
        <v>78</v>
      </c>
      <c r="G50" s="23"/>
      <c r="H50" s="23"/>
      <c r="I50" s="23"/>
      <c r="J50" s="23"/>
      <c r="K50" s="23"/>
      <c r="L50" s="23"/>
      <c r="M50" s="23"/>
      <c r="N50" s="50"/>
      <c r="AA50" s="51"/>
      <c r="AC50" s="50"/>
      <c r="AE50" s="51"/>
      <c r="AF50" s="50"/>
      <c r="AH50" s="51"/>
    </row>
    <row r="51" spans="1:42" x14ac:dyDescent="0.2">
      <c r="A51" s="6" t="s">
        <v>32</v>
      </c>
      <c r="B51" s="7"/>
      <c r="H51" s="1" t="s">
        <v>81</v>
      </c>
      <c r="I51" s="11" t="e">
        <f ca="1">_xll.EVPRO($B$1,$H51,"STYLE")</f>
        <v>#NAME?</v>
      </c>
      <c r="J51" s="11" t="e">
        <f ca="1">_xll.EVPRO($B$1,$H51,"CALC")</f>
        <v>#NAME?</v>
      </c>
      <c r="M51" s="37" t="e">
        <f ca="1">IF(_xll.EVDES(H51,$B$1)="#NODATA","",_xll.EVDES(H51,$B$1))</f>
        <v>#NAME?</v>
      </c>
      <c r="N51" s="50"/>
      <c r="AA51" s="51"/>
      <c r="AC51" s="50"/>
      <c r="AE51" s="51"/>
      <c r="AF51" s="50"/>
      <c r="AH51" s="51"/>
    </row>
    <row r="52" spans="1:42" x14ac:dyDescent="0.2">
      <c r="A52" s="6" t="s">
        <v>33</v>
      </c>
      <c r="B52" s="7"/>
      <c r="G52" s="10" t="s">
        <v>365</v>
      </c>
      <c r="H52" s="10" t="s">
        <v>81</v>
      </c>
      <c r="I52" s="25" t="e">
        <f ca="1">_xll.EVPRO($B$1,$G52,"HLEVEL")</f>
        <v>#NAME?</v>
      </c>
      <c r="J52" s="25" t="e">
        <f ca="1">_xll.EVPRO($B$1,$H52,"CALC")</f>
        <v>#NAME?</v>
      </c>
      <c r="K52" s="24"/>
      <c r="L52" s="24"/>
      <c r="M52" s="24" t="e">
        <f ca="1">IF(_xll.EVDES(G52,$B$1)="#NODATA","",_xll.EVDES(G52,$B$1))</f>
        <v>#NAME?</v>
      </c>
      <c r="N52" s="19">
        <f>IFERROR(N34-N43,"")</f>
        <v>0</v>
      </c>
      <c r="O52" s="19">
        <f t="shared" ref="O52:Y52" si="48">IFERROR(O34-O43,"")</f>
        <v>0</v>
      </c>
      <c r="P52" s="19">
        <f t="shared" si="48"/>
        <v>0</v>
      </c>
      <c r="Q52" s="19">
        <f t="shared" si="48"/>
        <v>0</v>
      </c>
      <c r="R52" s="19">
        <f t="shared" si="48"/>
        <v>0</v>
      </c>
      <c r="S52" s="19">
        <f t="shared" si="48"/>
        <v>0</v>
      </c>
      <c r="T52" s="19">
        <f t="shared" si="48"/>
        <v>0</v>
      </c>
      <c r="U52" s="19">
        <f t="shared" si="48"/>
        <v>0</v>
      </c>
      <c r="V52" s="19">
        <f t="shared" si="48"/>
        <v>0</v>
      </c>
      <c r="W52" s="19">
        <f t="shared" si="48"/>
        <v>0</v>
      </c>
      <c r="X52" s="19">
        <f t="shared" si="48"/>
        <v>0</v>
      </c>
      <c r="Y52" s="19">
        <f t="shared" si="48"/>
        <v>0</v>
      </c>
      <c r="Z52" s="283" t="e">
        <f t="shared" ref="Z52:Z58" ca="1" si="49">IF($I52="B1","",SUM(N52:Y52))</f>
        <v>#NAME?</v>
      </c>
      <c r="AA52" s="15" t="e">
        <f t="shared" ref="AA52:AA58" ca="1" si="50">IF(Z52=0,"",IFERROR(Z52/Z34,""))</f>
        <v>#NAME?</v>
      </c>
      <c r="AC52" s="19">
        <f t="shared" ref="AC52:AC57" si="51">IFERROR(AC34-AC43,"")</f>
        <v>0</v>
      </c>
      <c r="AD52" s="15" t="str">
        <f t="shared" ref="AD52:AD58" si="52">IF(AC52=0,"",IFERROR(AC52/AC34,""))</f>
        <v/>
      </c>
      <c r="AE52" s="47" t="e">
        <f t="shared" ref="AE52:AE58" ca="1" si="53">IF(AND($Z52="",AC52=""),"",$Z52-AC52)</f>
        <v>#NAME?</v>
      </c>
      <c r="AF52" s="19">
        <f t="shared" ref="AF52:AF57" si="54">IFERROR(AF34-AF43,"")</f>
        <v>0</v>
      </c>
      <c r="AG52" s="15" t="str">
        <f t="shared" ref="AG52:AG58" si="55">IF(AF52=0,"",IFERROR(AF52/AF34,""))</f>
        <v/>
      </c>
      <c r="AH52" s="47" t="e">
        <f t="shared" ref="AH52:AH58" ca="1" si="56">IF(AND($Z52="",AF52=""),"",$Z52-AF52)</f>
        <v>#NAME?</v>
      </c>
      <c r="AI52" s="371">
        <f t="shared" ref="AI52:AI58" ca="1" si="57">IFERROR(Z52/Z$20,0)</f>
        <v>0</v>
      </c>
      <c r="AJ52" s="372">
        <f t="shared" ref="AJ52:AJ58" ca="1" si="58">IFERROR(AC52/AC$20,0)</f>
        <v>0</v>
      </c>
      <c r="AK52" s="373">
        <f t="shared" ref="AK52:AK58" ca="1" si="59">IFERROR(AF52/AF$20,0)</f>
        <v>0</v>
      </c>
      <c r="AL52" s="374">
        <f t="shared" ref="AL52:AL58" ca="1" si="60">+IFERROR(ROUND(($AA52-AD52)*100,2)&amp;" pts.",0)</f>
        <v>0</v>
      </c>
      <c r="AM52" s="375">
        <f t="shared" ref="AM52:AM58" ca="1" si="61">+IFERROR(ROUND(($AA52-AG52)*100,2)&amp;" pts.",0)</f>
        <v>0</v>
      </c>
    </row>
    <row r="53" spans="1:42" x14ac:dyDescent="0.2">
      <c r="A53" s="6" t="s">
        <v>34</v>
      </c>
      <c r="B53" s="7"/>
      <c r="G53" s="10" t="s">
        <v>366</v>
      </c>
      <c r="H53" s="10" t="s">
        <v>81</v>
      </c>
      <c r="I53" s="25" t="e">
        <f ca="1">_xll.EVPRO($B$1,$G53,"HLEVEL")</f>
        <v>#NAME?</v>
      </c>
      <c r="J53" s="25" t="e">
        <f ca="1">_xll.EVPRO($B$1,$H53,"CALC")</f>
        <v>#NAME?</v>
      </c>
      <c r="K53" s="24"/>
      <c r="L53" s="24"/>
      <c r="M53" s="24" t="e">
        <f ca="1">IF(_xll.EVDES(G53,$B$1)="#NODATA","",_xll.EVDES(G53,$B$1))</f>
        <v>#NAME?</v>
      </c>
      <c r="N53" s="19">
        <f t="shared" ref="N53:Y53" si="62">IFERROR(N35-N44,"")</f>
        <v>0</v>
      </c>
      <c r="O53" s="19">
        <f t="shared" si="62"/>
        <v>0</v>
      </c>
      <c r="P53" s="19">
        <f t="shared" si="62"/>
        <v>0</v>
      </c>
      <c r="Q53" s="19">
        <f t="shared" si="62"/>
        <v>0</v>
      </c>
      <c r="R53" s="19">
        <f t="shared" si="62"/>
        <v>0</v>
      </c>
      <c r="S53" s="19">
        <f t="shared" si="62"/>
        <v>0</v>
      </c>
      <c r="T53" s="19">
        <f t="shared" si="62"/>
        <v>0</v>
      </c>
      <c r="U53" s="19">
        <f t="shared" si="62"/>
        <v>0</v>
      </c>
      <c r="V53" s="19">
        <f t="shared" si="62"/>
        <v>0</v>
      </c>
      <c r="W53" s="19">
        <f t="shared" si="62"/>
        <v>0</v>
      </c>
      <c r="X53" s="19">
        <f t="shared" si="62"/>
        <v>0</v>
      </c>
      <c r="Y53" s="19">
        <f t="shared" si="62"/>
        <v>0</v>
      </c>
      <c r="Z53" s="283" t="e">
        <f t="shared" ref="Z53:Z57" ca="1" si="63">IF($I53="B1","",SUM(N53:Y53))</f>
        <v>#NAME?</v>
      </c>
      <c r="AA53" s="15" t="e">
        <f t="shared" ref="AA53:AA57" ca="1" si="64">IF(Z53=0,"",IFERROR(Z53/Z35,""))</f>
        <v>#NAME?</v>
      </c>
      <c r="AC53" s="19">
        <f t="shared" si="51"/>
        <v>0</v>
      </c>
      <c r="AD53" s="15" t="str">
        <f t="shared" ref="AD53:AD57" si="65">IF(AC53=0,"",IFERROR(AC53/AC35,""))</f>
        <v/>
      </c>
      <c r="AE53" s="47" t="e">
        <f t="shared" ref="AE53:AE57" ca="1" si="66">IF(AND($Z53="",AC53=""),"",$Z53-AC53)</f>
        <v>#NAME?</v>
      </c>
      <c r="AF53" s="19">
        <f t="shared" si="54"/>
        <v>0</v>
      </c>
      <c r="AG53" s="15" t="str">
        <f t="shared" ref="AG53:AG57" si="67">IF(AF53=0,"",IFERROR(AF53/AF35,""))</f>
        <v/>
      </c>
      <c r="AH53" s="47" t="e">
        <f t="shared" ref="AH53:AH57" ca="1" si="68">IF(AND($Z53="",AF53=""),"",$Z53-AF53)</f>
        <v>#NAME?</v>
      </c>
      <c r="AI53" s="371">
        <f t="shared" ref="AI53:AI57" ca="1" si="69">IFERROR(Z53/Z$20,0)</f>
        <v>0</v>
      </c>
      <c r="AJ53" s="372">
        <f t="shared" ref="AJ53:AJ57" ca="1" si="70">IFERROR(AC53/AC$20,0)</f>
        <v>0</v>
      </c>
      <c r="AK53" s="373">
        <f t="shared" ref="AK53:AK57" ca="1" si="71">IFERROR(AF53/AF$20,0)</f>
        <v>0</v>
      </c>
      <c r="AL53" s="374">
        <f t="shared" ref="AL53:AL57" ca="1" si="72">+IFERROR(ROUND(($AA53-AD53)*100,2)&amp;" pts.",0)</f>
        <v>0</v>
      </c>
      <c r="AM53" s="375">
        <f t="shared" ref="AM53:AM57" ca="1" si="73">+IFERROR(ROUND(($AA53-AG53)*100,2)&amp;" pts.",0)</f>
        <v>0</v>
      </c>
    </row>
    <row r="54" spans="1:42" x14ac:dyDescent="0.2">
      <c r="A54" s="6" t="s">
        <v>35</v>
      </c>
      <c r="B54" s="7"/>
      <c r="G54" s="10" t="s">
        <v>380</v>
      </c>
      <c r="H54" s="10" t="s">
        <v>81</v>
      </c>
      <c r="I54" s="25" t="e">
        <f ca="1">_xll.EVPRO($B$1,$G54,"HLEVEL")</f>
        <v>#NAME?</v>
      </c>
      <c r="J54" s="25" t="e">
        <f ca="1">_xll.EVPRO($B$1,$H54,"CALC")</f>
        <v>#NAME?</v>
      </c>
      <c r="K54" s="24"/>
      <c r="L54" s="24"/>
      <c r="M54" s="24" t="e">
        <f ca="1">IF(_xll.EVDES(G54,$B$1)="#NODATA","",_xll.EVDES(G54,$B$1))</f>
        <v>#NAME?</v>
      </c>
      <c r="N54" s="19">
        <f t="shared" ref="N54:Y54" si="74">IFERROR(N36-N45,"")</f>
        <v>0</v>
      </c>
      <c r="O54" s="19">
        <f t="shared" si="74"/>
        <v>0</v>
      </c>
      <c r="P54" s="19">
        <f t="shared" si="74"/>
        <v>0</v>
      </c>
      <c r="Q54" s="19">
        <f t="shared" si="74"/>
        <v>0</v>
      </c>
      <c r="R54" s="19">
        <f t="shared" si="74"/>
        <v>0</v>
      </c>
      <c r="S54" s="19">
        <f t="shared" si="74"/>
        <v>0</v>
      </c>
      <c r="T54" s="19">
        <f t="shared" si="74"/>
        <v>0</v>
      </c>
      <c r="U54" s="19">
        <f t="shared" si="74"/>
        <v>0</v>
      </c>
      <c r="V54" s="19">
        <f t="shared" si="74"/>
        <v>0</v>
      </c>
      <c r="W54" s="19">
        <f t="shared" si="74"/>
        <v>0</v>
      </c>
      <c r="X54" s="19">
        <f t="shared" si="74"/>
        <v>0</v>
      </c>
      <c r="Y54" s="19">
        <f t="shared" si="74"/>
        <v>0</v>
      </c>
      <c r="Z54" s="283" t="e">
        <f t="shared" ca="1" si="63"/>
        <v>#NAME?</v>
      </c>
      <c r="AA54" s="15" t="e">
        <f t="shared" ca="1" si="64"/>
        <v>#NAME?</v>
      </c>
      <c r="AC54" s="19">
        <f t="shared" si="51"/>
        <v>0</v>
      </c>
      <c r="AD54" s="15" t="str">
        <f t="shared" si="65"/>
        <v/>
      </c>
      <c r="AE54" s="47" t="e">
        <f t="shared" ca="1" si="66"/>
        <v>#NAME?</v>
      </c>
      <c r="AF54" s="19">
        <f t="shared" si="54"/>
        <v>0</v>
      </c>
      <c r="AG54" s="15" t="str">
        <f t="shared" si="67"/>
        <v/>
      </c>
      <c r="AH54" s="47" t="e">
        <f t="shared" ca="1" si="68"/>
        <v>#NAME?</v>
      </c>
      <c r="AI54" s="371">
        <f t="shared" ca="1" si="69"/>
        <v>0</v>
      </c>
      <c r="AJ54" s="372">
        <f t="shared" ca="1" si="70"/>
        <v>0</v>
      </c>
      <c r="AK54" s="373">
        <f t="shared" ca="1" si="71"/>
        <v>0</v>
      </c>
      <c r="AL54" s="374">
        <f t="shared" ca="1" si="72"/>
        <v>0</v>
      </c>
      <c r="AM54" s="375">
        <f t="shared" ca="1" si="73"/>
        <v>0</v>
      </c>
    </row>
    <row r="55" spans="1:42" x14ac:dyDescent="0.2">
      <c r="A55" s="6" t="s">
        <v>36</v>
      </c>
      <c r="B55" s="7"/>
      <c r="G55" s="10" t="s">
        <v>386</v>
      </c>
      <c r="H55" s="10" t="s">
        <v>81</v>
      </c>
      <c r="I55" s="25" t="e">
        <f ca="1">_xll.EVPRO($B$1,$G55,"HLEVEL")</f>
        <v>#NAME?</v>
      </c>
      <c r="J55" s="25" t="e">
        <f ca="1">_xll.EVPRO($B$1,$H55,"CALC")</f>
        <v>#NAME?</v>
      </c>
      <c r="K55" s="24"/>
      <c r="L55" s="24"/>
      <c r="M55" s="24" t="e">
        <f ca="1">IF(_xll.EVDES(G55,$B$1)="#NODATA","",_xll.EVDES(G55,$B$1))</f>
        <v>#NAME?</v>
      </c>
      <c r="N55" s="19">
        <f t="shared" ref="N55:Y55" si="75">IFERROR(N37-N46,"")</f>
        <v>0</v>
      </c>
      <c r="O55" s="19">
        <f t="shared" si="75"/>
        <v>0</v>
      </c>
      <c r="P55" s="19">
        <f t="shared" si="75"/>
        <v>0</v>
      </c>
      <c r="Q55" s="19">
        <f t="shared" si="75"/>
        <v>0</v>
      </c>
      <c r="R55" s="19">
        <f t="shared" si="75"/>
        <v>0</v>
      </c>
      <c r="S55" s="19">
        <f t="shared" si="75"/>
        <v>0</v>
      </c>
      <c r="T55" s="19">
        <f t="shared" si="75"/>
        <v>0</v>
      </c>
      <c r="U55" s="19">
        <f t="shared" si="75"/>
        <v>0</v>
      </c>
      <c r="V55" s="19">
        <f t="shared" si="75"/>
        <v>0</v>
      </c>
      <c r="W55" s="19">
        <f t="shared" si="75"/>
        <v>0</v>
      </c>
      <c r="X55" s="19">
        <f t="shared" si="75"/>
        <v>0</v>
      </c>
      <c r="Y55" s="19">
        <f t="shared" si="75"/>
        <v>0</v>
      </c>
      <c r="Z55" s="283" t="e">
        <f t="shared" ca="1" si="63"/>
        <v>#NAME?</v>
      </c>
      <c r="AA55" s="15" t="e">
        <f t="shared" ca="1" si="64"/>
        <v>#NAME?</v>
      </c>
      <c r="AC55" s="19">
        <f t="shared" si="51"/>
        <v>0</v>
      </c>
      <c r="AD55" s="15" t="str">
        <f t="shared" si="65"/>
        <v/>
      </c>
      <c r="AE55" s="47" t="e">
        <f t="shared" ca="1" si="66"/>
        <v>#NAME?</v>
      </c>
      <c r="AF55" s="19">
        <f t="shared" si="54"/>
        <v>19.28</v>
      </c>
      <c r="AG55" s="15">
        <f t="shared" si="67"/>
        <v>1</v>
      </c>
      <c r="AH55" s="47" t="e">
        <f t="shared" ca="1" si="68"/>
        <v>#NAME?</v>
      </c>
      <c r="AI55" s="371">
        <f t="shared" ca="1" si="69"/>
        <v>0</v>
      </c>
      <c r="AJ55" s="372">
        <f t="shared" ca="1" si="70"/>
        <v>0</v>
      </c>
      <c r="AK55" s="373">
        <f t="shared" ca="1" si="71"/>
        <v>0</v>
      </c>
      <c r="AL55" s="374">
        <f t="shared" ca="1" si="72"/>
        <v>0</v>
      </c>
      <c r="AM55" s="375">
        <f t="shared" ca="1" si="73"/>
        <v>0</v>
      </c>
    </row>
    <row r="56" spans="1:42" x14ac:dyDescent="0.2">
      <c r="A56" s="6" t="s">
        <v>37</v>
      </c>
      <c r="B56" s="7"/>
      <c r="G56" s="10" t="s">
        <v>406</v>
      </c>
      <c r="H56" s="10" t="s">
        <v>81</v>
      </c>
      <c r="I56" s="25" t="e">
        <f ca="1">_xll.EVPRO($B$1,$G56,"HLEVEL")</f>
        <v>#NAME?</v>
      </c>
      <c r="J56" s="25" t="e">
        <f ca="1">_xll.EVPRO($B$1,$H56,"CALC")</f>
        <v>#NAME?</v>
      </c>
      <c r="K56" s="24"/>
      <c r="L56" s="24"/>
      <c r="M56" s="24" t="e">
        <f ca="1">IF(_xll.EVDES(G56,$B$1)="#NODATA","",_xll.EVDES(G56,$B$1))</f>
        <v>#NAME?</v>
      </c>
      <c r="N56" s="19">
        <f t="shared" ref="N56:Y56" si="76">IFERROR(N38-N47,"")</f>
        <v>0</v>
      </c>
      <c r="O56" s="19">
        <f t="shared" si="76"/>
        <v>0</v>
      </c>
      <c r="P56" s="19">
        <f t="shared" si="76"/>
        <v>0</v>
      </c>
      <c r="Q56" s="19">
        <f t="shared" si="76"/>
        <v>0</v>
      </c>
      <c r="R56" s="19">
        <f t="shared" si="76"/>
        <v>0</v>
      </c>
      <c r="S56" s="19">
        <f t="shared" si="76"/>
        <v>0</v>
      </c>
      <c r="T56" s="19">
        <f t="shared" si="76"/>
        <v>0</v>
      </c>
      <c r="U56" s="19">
        <f t="shared" si="76"/>
        <v>0</v>
      </c>
      <c r="V56" s="19">
        <f t="shared" si="76"/>
        <v>0</v>
      </c>
      <c r="W56" s="19">
        <f t="shared" si="76"/>
        <v>0</v>
      </c>
      <c r="X56" s="19">
        <f t="shared" si="76"/>
        <v>0</v>
      </c>
      <c r="Y56" s="19">
        <f t="shared" si="76"/>
        <v>0</v>
      </c>
      <c r="Z56" s="283" t="e">
        <f t="shared" ca="1" si="63"/>
        <v>#NAME?</v>
      </c>
      <c r="AA56" s="15" t="e">
        <f t="shared" ca="1" si="64"/>
        <v>#NAME?</v>
      </c>
      <c r="AC56" s="19">
        <f t="shared" si="51"/>
        <v>0</v>
      </c>
      <c r="AD56" s="15" t="str">
        <f t="shared" si="65"/>
        <v/>
      </c>
      <c r="AE56" s="47" t="e">
        <f t="shared" ca="1" si="66"/>
        <v>#NAME?</v>
      </c>
      <c r="AF56" s="19">
        <f t="shared" si="54"/>
        <v>0</v>
      </c>
      <c r="AG56" s="15" t="str">
        <f t="shared" si="67"/>
        <v/>
      </c>
      <c r="AH56" s="47" t="e">
        <f t="shared" ca="1" si="68"/>
        <v>#NAME?</v>
      </c>
      <c r="AI56" s="371">
        <f t="shared" ca="1" si="69"/>
        <v>0</v>
      </c>
      <c r="AJ56" s="372">
        <f t="shared" ca="1" si="70"/>
        <v>0</v>
      </c>
      <c r="AK56" s="373">
        <f t="shared" ca="1" si="71"/>
        <v>0</v>
      </c>
      <c r="AL56" s="374">
        <f t="shared" ca="1" si="72"/>
        <v>0</v>
      </c>
      <c r="AM56" s="375">
        <f t="shared" ca="1" si="73"/>
        <v>0</v>
      </c>
      <c r="AO56" s="370"/>
      <c r="AP56" s="370"/>
    </row>
    <row r="57" spans="1:42" x14ac:dyDescent="0.2">
      <c r="A57" s="6" t="s">
        <v>38</v>
      </c>
      <c r="B57" s="7"/>
      <c r="G57" s="10" t="s">
        <v>423</v>
      </c>
      <c r="H57" s="10" t="s">
        <v>81</v>
      </c>
      <c r="I57" s="25" t="e">
        <f ca="1">_xll.EVPRO($B$1,$G57,"HLEVEL")</f>
        <v>#NAME?</v>
      </c>
      <c r="J57" s="25" t="e">
        <f ca="1">_xll.EVPRO($B$1,$H57,"CALC")</f>
        <v>#NAME?</v>
      </c>
      <c r="K57" s="24"/>
      <c r="L57" s="24"/>
      <c r="M57" s="24" t="e">
        <f ca="1">IF(_xll.EVDES(G57,$B$1)="#NODATA","",_xll.EVDES(G57,$B$1))</f>
        <v>#NAME?</v>
      </c>
      <c r="N57" s="19">
        <f t="shared" ref="N57:Y57" si="77">IFERROR(N39-N48,"")</f>
        <v>1100.99</v>
      </c>
      <c r="O57" s="19">
        <f t="shared" si="77"/>
        <v>1161.17</v>
      </c>
      <c r="P57" s="19">
        <f t="shared" si="77"/>
        <v>1803.5100000000002</v>
      </c>
      <c r="Q57" s="19">
        <f t="shared" si="77"/>
        <v>819.31</v>
      </c>
      <c r="R57" s="19">
        <f t="shared" si="77"/>
        <v>391.89</v>
      </c>
      <c r="S57" s="19">
        <f t="shared" si="77"/>
        <v>764.79</v>
      </c>
      <c r="T57" s="19">
        <f t="shared" si="77"/>
        <v>1125.78</v>
      </c>
      <c r="U57" s="19">
        <f t="shared" si="77"/>
        <v>735.16000000000008</v>
      </c>
      <c r="V57" s="19">
        <f t="shared" si="77"/>
        <v>516.72</v>
      </c>
      <c r="W57" s="19">
        <f t="shared" si="77"/>
        <v>1069.4199999999998</v>
      </c>
      <c r="X57" s="19">
        <f t="shared" si="77"/>
        <v>1260.69</v>
      </c>
      <c r="Y57" s="19">
        <f t="shared" si="77"/>
        <v>1931.9900000000002</v>
      </c>
      <c r="Z57" s="283" t="e">
        <f t="shared" ca="1" si="63"/>
        <v>#NAME?</v>
      </c>
      <c r="AA57" s="15" t="e">
        <f t="shared" ca="1" si="64"/>
        <v>#NAME?</v>
      </c>
      <c r="AC57" s="19">
        <f t="shared" si="51"/>
        <v>9022.20406</v>
      </c>
      <c r="AD57" s="15">
        <f t="shared" si="65"/>
        <v>0.56064999999999998</v>
      </c>
      <c r="AE57" s="47" t="e">
        <f t="shared" ca="1" si="66"/>
        <v>#NAME?</v>
      </c>
      <c r="AF57" s="19">
        <f t="shared" si="54"/>
        <v>8657.61</v>
      </c>
      <c r="AG57" s="15">
        <f t="shared" si="67"/>
        <v>0.54565926713991209</v>
      </c>
      <c r="AH57" s="47" t="e">
        <f t="shared" ca="1" si="68"/>
        <v>#NAME?</v>
      </c>
      <c r="AI57" s="371">
        <f t="shared" ca="1" si="69"/>
        <v>0</v>
      </c>
      <c r="AJ57" s="372">
        <f t="shared" ca="1" si="70"/>
        <v>0</v>
      </c>
      <c r="AK57" s="373">
        <f t="shared" ca="1" si="71"/>
        <v>0</v>
      </c>
      <c r="AL57" s="374">
        <f t="shared" ca="1" si="72"/>
        <v>0</v>
      </c>
      <c r="AM57" s="375">
        <f t="shared" ca="1" si="73"/>
        <v>0</v>
      </c>
    </row>
    <row r="58" spans="1:42" x14ac:dyDescent="0.2">
      <c r="A58" s="6" t="s">
        <v>39</v>
      </c>
      <c r="B58" s="7"/>
      <c r="H58" s="64"/>
      <c r="I58" s="64"/>
      <c r="J58" s="64"/>
      <c r="K58" s="64"/>
      <c r="L58" s="24"/>
      <c r="M58" s="23" t="s">
        <v>471</v>
      </c>
      <c r="N58" s="145">
        <f>SUM(N52:N57)</f>
        <v>1100.99</v>
      </c>
      <c r="O58" s="145">
        <f t="shared" ref="O58:Y58" si="78">SUM(O52:O57)</f>
        <v>1161.17</v>
      </c>
      <c r="P58" s="145">
        <f t="shared" si="78"/>
        <v>1803.5100000000002</v>
      </c>
      <c r="Q58" s="145">
        <f t="shared" si="78"/>
        <v>819.31</v>
      </c>
      <c r="R58" s="145">
        <f t="shared" si="78"/>
        <v>391.89</v>
      </c>
      <c r="S58" s="145">
        <f t="shared" si="78"/>
        <v>764.79</v>
      </c>
      <c r="T58" s="145">
        <f t="shared" si="78"/>
        <v>1125.78</v>
      </c>
      <c r="U58" s="145">
        <f t="shared" si="78"/>
        <v>735.16000000000008</v>
      </c>
      <c r="V58" s="145">
        <f t="shared" si="78"/>
        <v>516.72</v>
      </c>
      <c r="W58" s="145">
        <f t="shared" si="78"/>
        <v>1069.4199999999998</v>
      </c>
      <c r="X58" s="145">
        <f t="shared" si="78"/>
        <v>1260.69</v>
      </c>
      <c r="Y58" s="145">
        <f t="shared" si="78"/>
        <v>1931.9900000000002</v>
      </c>
      <c r="Z58" s="145">
        <f t="shared" si="49"/>
        <v>12681.42</v>
      </c>
      <c r="AA58" s="156">
        <f t="shared" si="50"/>
        <v>0.71218246003407748</v>
      </c>
      <c r="AC58" s="145">
        <f>SUM(AC52:AC57)</f>
        <v>9022.20406</v>
      </c>
      <c r="AD58" s="156">
        <f t="shared" si="52"/>
        <v>0.56064999999999998</v>
      </c>
      <c r="AE58" s="146">
        <f t="shared" si="53"/>
        <v>3659.21594</v>
      </c>
      <c r="AF58" s="145">
        <f>SUM(AF52:AF57)</f>
        <v>8676.8900000000012</v>
      </c>
      <c r="AG58" s="156">
        <f t="shared" si="55"/>
        <v>0.54621069005219192</v>
      </c>
      <c r="AH58" s="146">
        <f t="shared" si="56"/>
        <v>4004.5299999999988</v>
      </c>
      <c r="AI58" s="364">
        <f t="shared" ca="1" si="57"/>
        <v>0</v>
      </c>
      <c r="AJ58" s="365">
        <f t="shared" ca="1" si="58"/>
        <v>0</v>
      </c>
      <c r="AK58" s="366">
        <f t="shared" ca="1" si="59"/>
        <v>0</v>
      </c>
      <c r="AL58" s="367" t="str">
        <f t="shared" si="60"/>
        <v>15.15 pts.</v>
      </c>
      <c r="AM58" s="409" t="str">
        <f t="shared" si="61"/>
        <v>16.6 pts.</v>
      </c>
    </row>
    <row r="59" spans="1:42" x14ac:dyDescent="0.2">
      <c r="A59" s="6" t="s">
        <v>40</v>
      </c>
      <c r="B59" s="7"/>
      <c r="I59" s="1"/>
      <c r="J59" s="1"/>
    </row>
    <row r="60" spans="1:42" ht="16" thickBot="1" x14ac:dyDescent="0.25">
      <c r="A60" s="6" t="s">
        <v>41</v>
      </c>
      <c r="B60" s="7"/>
      <c r="G60" s="10" t="s">
        <v>463</v>
      </c>
      <c r="H60" s="10" t="s">
        <v>81</v>
      </c>
      <c r="I60" s="25" t="e">
        <f ca="1">_xll.EVPRO($B$1,$H60,"STYLE")</f>
        <v>#NAME?</v>
      </c>
      <c r="J60" s="25" t="e">
        <f ca="1">_xll.EVPRO($B$1,$H60,"CALC")</f>
        <v>#NAME?</v>
      </c>
      <c r="K60" s="23"/>
      <c r="L60" s="23"/>
      <c r="M60" s="23" t="e">
        <f ca="1">IF(_xll.EVDES(H60,$B$1)="#NODATA","",_xll.EVDES(H60,$B$1))</f>
        <v>#NAME?</v>
      </c>
      <c r="N60" s="58" t="e">
        <f ca="1">_xll.EVGTS($B$1,1,$B$3,$B$5,$B$7,$B$9,N$16,N$17,N$18,$G$60,$H$60)</f>
        <v>#NAME?</v>
      </c>
      <c r="O60" s="58" t="e">
        <f ca="1">_xll.EVGTS($B$1,1,$B$3,$B$5,$B$7,$B$9,O$16,O$17,O$18,$G$60,$H$60)</f>
        <v>#NAME?</v>
      </c>
      <c r="P60" s="58" t="e">
        <f ca="1">_xll.EVGTS($B$1,1,$B$3,$B$5,$B$7,$B$9,P$16,P$17,P$18,$G$60,$H$60)</f>
        <v>#NAME?</v>
      </c>
      <c r="Q60" s="58" t="e">
        <f ca="1">_xll.EVGTS($B$1,1,$B$3,$B$5,$B$7,$B$9,Q$16,Q$17,Q$18,$G$60,$H$60)</f>
        <v>#NAME?</v>
      </c>
      <c r="R60" s="58" t="e">
        <f ca="1">_xll.EVGTS($B$1,1,$B$3,$B$5,$B$7,$B$9,R$16,R$17,R$18,$G$60,$H$60)</f>
        <v>#NAME?</v>
      </c>
      <c r="S60" s="58" t="e">
        <f ca="1">_xll.EVGTS($B$1,1,$B$3,$B$5,$B$7,$B$9,S$16,S$17,S$18,$G$60,$H$60)</f>
        <v>#NAME?</v>
      </c>
      <c r="T60" s="58" t="e">
        <f ca="1">_xll.EVGTS($B$1,1,$B$3,$B$5,$B$7,$B$9,T$16,T$17,T$18,$G$60,$H$60)</f>
        <v>#NAME?</v>
      </c>
      <c r="U60" s="58" t="e">
        <f ca="1">_xll.EVGTS($B$1,1,$B$3,$B$5,$B$7,$B$9,U$16,U$17,U$18,$G$60,$H$60)</f>
        <v>#NAME?</v>
      </c>
      <c r="V60" s="58" t="e">
        <f ca="1">_xll.EVGTS($B$1,1,$B$3,$B$5,$B$7,$B$9,V$16,V$17,V$18,$G$60,$H$60)</f>
        <v>#NAME?</v>
      </c>
      <c r="W60" s="58" t="e">
        <f ca="1">_xll.EVGTS($B$1,1,$B$3,$B$5,$B$7,$B$9,W$16,W$17,W$18,$G$60,$H$60)</f>
        <v>#NAME?</v>
      </c>
      <c r="X60" s="58" t="e">
        <f ca="1">_xll.EVGTS($B$1,1,$B$3,$B$5,$B$7,$B$9,X$16,X$17,X$18,$G$60,$H$60)</f>
        <v>#NAME?</v>
      </c>
      <c r="Y60" s="58" t="e">
        <f ca="1">_xll.EVGTS($B$1,1,$B$3,$B$5,$B$7,$B$9,Y$16,Y$17,Y$18,$G$60,$H$60)</f>
        <v>#NAME?</v>
      </c>
      <c r="Z60" s="58" t="e">
        <f ca="1">IF($I60="B1","",SUM(N60:Y60))</f>
        <v>#NAME?</v>
      </c>
      <c r="AA60" s="59" t="e">
        <f ca="1">IF(Z60=0,"",IFERROR(Z60/Z$19,""))</f>
        <v>#NAME?</v>
      </c>
      <c r="AC60" s="58" t="e">
        <f ca="1">_xll.EVGTS($B$1,1,$B$3,$B$5,$B$7,$B$9,AC$16,AC$17,AC$18,$G$60,$H$60)</f>
        <v>#NAME?</v>
      </c>
      <c r="AD60" s="59" t="e">
        <f ca="1">IF(AC60=0,"",IFERROR(AC60/AC$19,""))</f>
        <v>#NAME?</v>
      </c>
      <c r="AE60" s="60" t="e">
        <f ca="1">IF(AND($Z60="",AC60=""),"",$Z60-AC60)</f>
        <v>#NAME?</v>
      </c>
      <c r="AF60" s="58" t="e">
        <f ca="1">_xll.EVGTS($B$1,1,$B$3,$B$5,$B$7,$B$9,AF$16,AF$17,AF$18,$G$60,$H$60)</f>
        <v>#NAME?</v>
      </c>
      <c r="AG60" s="59" t="e">
        <f ca="1">IF(AF60=0,"",IFERROR(AF60/AF$19,""))</f>
        <v>#NAME?</v>
      </c>
      <c r="AH60" s="60" t="e">
        <f ca="1">IF(AND($Z60="",AF60=""),"",$Z60-AF60)</f>
        <v>#NAME?</v>
      </c>
      <c r="AI60" s="402">
        <f ca="1">IFERROR(Z60/Z$20,0)</f>
        <v>0</v>
      </c>
      <c r="AJ60" s="403">
        <f ca="1">IFERROR(AC60/AC$20,0)</f>
        <v>0</v>
      </c>
      <c r="AK60" s="404">
        <f ca="1">IFERROR(AF60/AF$20,0)</f>
        <v>0</v>
      </c>
      <c r="AL60" s="405">
        <f ca="1">+IFERROR(ROUND(($AA60-AD60)*100,2)&amp;" pts.",0)</f>
        <v>0</v>
      </c>
      <c r="AM60" s="410">
        <f ca="1">+IFERROR(ROUND(($AA60-AG60)*100,2)&amp;" pts.",0)</f>
        <v>0</v>
      </c>
    </row>
    <row r="61" spans="1:42" ht="16" thickTop="1" x14ac:dyDescent="0.2">
      <c r="A61" s="6" t="s">
        <v>42</v>
      </c>
      <c r="B61" s="7"/>
      <c r="I61" s="1"/>
      <c r="J61" s="1"/>
    </row>
    <row r="62" spans="1:42" x14ac:dyDescent="0.2">
      <c r="A62" s="6" t="s">
        <v>43</v>
      </c>
      <c r="B62" s="7"/>
      <c r="M62" s="24" t="e">
        <f ca="1">$M$51&amp;" - Check"</f>
        <v>#NAME?</v>
      </c>
      <c r="N62" s="124" t="e">
        <f ca="1">SUMIF($H$34:$H$49,"REV",N34:N49)-SUMIF($H$34:$H$49,"EXP",N34:N49)-N60</f>
        <v>#NAME?</v>
      </c>
      <c r="O62" s="124" t="e">
        <f t="shared" ref="O62:Z62" ca="1" si="79">SUMIF($H$34:$H$49,"REV",O34:O49)-SUMIF($H$34:$H$49,"EXP",O34:O49)-O60</f>
        <v>#NAME?</v>
      </c>
      <c r="P62" s="124" t="e">
        <f t="shared" ca="1" si="79"/>
        <v>#NAME?</v>
      </c>
      <c r="Q62" s="124" t="e">
        <f t="shared" ca="1" si="79"/>
        <v>#NAME?</v>
      </c>
      <c r="R62" s="124" t="e">
        <f t="shared" ca="1" si="79"/>
        <v>#NAME?</v>
      </c>
      <c r="S62" s="124" t="e">
        <f t="shared" ca="1" si="79"/>
        <v>#NAME?</v>
      </c>
      <c r="T62" s="124" t="e">
        <f t="shared" ca="1" si="79"/>
        <v>#NAME?</v>
      </c>
      <c r="U62" s="124" t="e">
        <f t="shared" ca="1" si="79"/>
        <v>#NAME?</v>
      </c>
      <c r="V62" s="124" t="e">
        <f t="shared" ca="1" si="79"/>
        <v>#NAME?</v>
      </c>
      <c r="W62" s="124" t="e">
        <f t="shared" ca="1" si="79"/>
        <v>#NAME?</v>
      </c>
      <c r="X62" s="124" t="e">
        <f t="shared" ca="1" si="79"/>
        <v>#NAME?</v>
      </c>
      <c r="Y62" s="124" t="e">
        <f t="shared" ca="1" si="79"/>
        <v>#NAME?</v>
      </c>
      <c r="Z62" s="124" t="e">
        <f t="shared" ca="1" si="79"/>
        <v>#NAME?</v>
      </c>
      <c r="AA62" s="15"/>
      <c r="AC62" s="124" t="e">
        <f ca="1">SUMIF($H$34:$H$49,"REV",AC34:AC49)-SUMIF($H$34:$H$49,"EXP",AC34:AC49)-AC60</f>
        <v>#NAME?</v>
      </c>
      <c r="AD62" s="15"/>
      <c r="AE62" s="19"/>
      <c r="AF62" s="124" t="e">
        <f ca="1">SUMIF($H$34:$H$49,"REV",AF34:AF49)-SUMIF($H$34:$H$49,"EXP",AF34:AF49)-AF60</f>
        <v>#NAME?</v>
      </c>
      <c r="AG62" s="15"/>
      <c r="AH62" s="19"/>
    </row>
    <row r="63" spans="1:42" x14ac:dyDescent="0.2">
      <c r="A63" s="6" t="s">
        <v>44</v>
      </c>
      <c r="B63" s="7"/>
      <c r="N63" s="147"/>
      <c r="O63" s="147"/>
      <c r="P63" s="147"/>
      <c r="Q63" s="147"/>
      <c r="R63" s="147"/>
      <c r="S63" s="147"/>
      <c r="T63" s="147"/>
      <c r="U63" s="147"/>
      <c r="V63" s="147"/>
      <c r="W63" s="147"/>
      <c r="X63" s="147"/>
      <c r="Y63" s="147"/>
      <c r="Z63" s="147"/>
    </row>
    <row r="64" spans="1:42" x14ac:dyDescent="0.2">
      <c r="A64" s="6" t="s">
        <v>45</v>
      </c>
      <c r="B64" s="7"/>
      <c r="N64" s="147"/>
      <c r="O64" s="147"/>
      <c r="P64" s="147"/>
      <c r="Q64" s="147"/>
      <c r="R64" s="147"/>
      <c r="S64" s="147"/>
      <c r="T64" s="147"/>
      <c r="U64" s="147"/>
      <c r="V64" s="147"/>
      <c r="W64" s="147"/>
      <c r="X64" s="147"/>
      <c r="Y64" s="147"/>
      <c r="Z64" s="147"/>
      <c r="AC64" s="147"/>
      <c r="AF64" s="147"/>
    </row>
    <row r="65" spans="1:32" x14ac:dyDescent="0.2">
      <c r="A65" s="6" t="s">
        <v>46</v>
      </c>
      <c r="B65" s="7"/>
      <c r="N65" s="147"/>
      <c r="O65" s="147"/>
      <c r="P65" s="147"/>
      <c r="Q65" s="147"/>
      <c r="R65" s="147"/>
      <c r="S65" s="147"/>
      <c r="T65" s="147"/>
      <c r="U65" s="147"/>
      <c r="V65" s="147"/>
      <c r="W65" s="147"/>
      <c r="X65" s="147"/>
      <c r="Y65" s="147"/>
      <c r="Z65" s="147"/>
      <c r="AC65" s="147"/>
      <c r="AF65" s="147"/>
    </row>
    <row r="66" spans="1:32" x14ac:dyDescent="0.2">
      <c r="N66" s="147"/>
      <c r="O66" s="147"/>
      <c r="P66" s="147"/>
      <c r="Q66" s="147"/>
      <c r="R66" s="147"/>
      <c r="S66" s="147"/>
      <c r="T66" s="147"/>
      <c r="U66" s="147"/>
      <c r="V66" s="147"/>
      <c r="W66" s="147"/>
      <c r="X66" s="147"/>
      <c r="Y66" s="147"/>
      <c r="Z66" s="147"/>
      <c r="AC66" s="147"/>
      <c r="AF66" s="147"/>
    </row>
    <row r="69" spans="1:32" x14ac:dyDescent="0.2">
      <c r="H69" s="11"/>
      <c r="J69" s="1"/>
    </row>
    <row r="70" spans="1:32" x14ac:dyDescent="0.2">
      <c r="H70" s="11"/>
      <c r="J70" s="1"/>
    </row>
    <row r="71" spans="1:32" x14ac:dyDescent="0.2">
      <c r="H71" s="11"/>
      <c r="J71" s="1"/>
    </row>
    <row r="72" spans="1:32" x14ac:dyDescent="0.2">
      <c r="G72" s="13"/>
      <c r="H72" s="11"/>
      <c r="J72" s="1"/>
    </row>
    <row r="73" spans="1:32" x14ac:dyDescent="0.2">
      <c r="H73" s="11"/>
      <c r="J73" s="1"/>
    </row>
    <row r="74" spans="1:32" x14ac:dyDescent="0.2">
      <c r="H74" s="11"/>
      <c r="J74" s="1"/>
    </row>
    <row r="75" spans="1:32" x14ac:dyDescent="0.2">
      <c r="H75" s="11"/>
      <c r="J75" s="1"/>
    </row>
    <row r="76" spans="1:32" x14ac:dyDescent="0.2">
      <c r="H76" s="11"/>
      <c r="J76" s="1"/>
    </row>
    <row r="77" spans="1:32" x14ac:dyDescent="0.2">
      <c r="G77" s="13"/>
      <c r="H77" s="11"/>
      <c r="J77" s="1"/>
    </row>
    <row r="78" spans="1:32" x14ac:dyDescent="0.2">
      <c r="H78" s="11"/>
      <c r="J78" s="1"/>
    </row>
    <row r="79" spans="1:32" x14ac:dyDescent="0.2">
      <c r="H79" s="11"/>
      <c r="J79" s="1"/>
    </row>
    <row r="80" spans="1:32" x14ac:dyDescent="0.2">
      <c r="H80" s="11"/>
      <c r="J80" s="1"/>
    </row>
    <row r="81" spans="8:10" x14ac:dyDescent="0.2">
      <c r="H81" s="11"/>
      <c r="J81" s="1"/>
    </row>
    <row r="82" spans="8:10" x14ac:dyDescent="0.2">
      <c r="H82" s="11"/>
      <c r="J82" s="1"/>
    </row>
    <row r="83" spans="8:10" x14ac:dyDescent="0.2">
      <c r="H83" s="11"/>
      <c r="J83" s="1"/>
    </row>
    <row r="84" spans="8:10" x14ac:dyDescent="0.2">
      <c r="H84" s="11"/>
      <c r="J84" s="1"/>
    </row>
    <row r="85" spans="8:10" x14ac:dyDescent="0.2">
      <c r="H85" s="11"/>
      <c r="J85" s="1"/>
    </row>
    <row r="86" spans="8:10" x14ac:dyDescent="0.2">
      <c r="H86" s="11"/>
      <c r="J86" s="1"/>
    </row>
    <row r="87" spans="8:10" x14ac:dyDescent="0.2">
      <c r="H87" s="11"/>
      <c r="J87" s="1"/>
    </row>
    <row r="88" spans="8:10" x14ac:dyDescent="0.2">
      <c r="H88" s="11"/>
      <c r="J88" s="1"/>
    </row>
    <row r="89" spans="8:10" x14ac:dyDescent="0.2">
      <c r="H89" s="11"/>
      <c r="J89" s="1"/>
    </row>
    <row r="90" spans="8:10" x14ac:dyDescent="0.2">
      <c r="H90" s="11"/>
      <c r="J90" s="1"/>
    </row>
    <row r="91" spans="8:10" x14ac:dyDescent="0.2">
      <c r="H91" s="11"/>
      <c r="J91" s="1"/>
    </row>
    <row r="132" spans="5:33" x14ac:dyDescent="0.2">
      <c r="I132" s="72"/>
      <c r="J132" s="1"/>
      <c r="K132" s="72"/>
      <c r="L132" s="72"/>
      <c r="N132" s="72"/>
      <c r="O132" s="72"/>
      <c r="P132" s="72"/>
      <c r="Q132" s="72"/>
      <c r="R132" s="72"/>
      <c r="S132" s="72"/>
      <c r="T132" s="72"/>
      <c r="U132" s="72"/>
      <c r="V132" s="72"/>
      <c r="W132" s="72"/>
      <c r="X132" s="72"/>
      <c r="Y132" s="72"/>
      <c r="Z132" s="72"/>
      <c r="AC132" s="72"/>
      <c r="AE132" s="72"/>
      <c r="AG132" s="72"/>
    </row>
    <row r="136" spans="5:33" x14ac:dyDescent="0.2">
      <c r="I136" s="72"/>
      <c r="J136" s="1"/>
      <c r="K136" s="72"/>
      <c r="L136" s="72"/>
      <c r="N136" s="72"/>
      <c r="O136" s="72"/>
      <c r="P136" s="72"/>
      <c r="Q136" s="72"/>
      <c r="R136" s="72"/>
      <c r="S136" s="72"/>
      <c r="T136" s="72"/>
      <c r="U136" s="72"/>
      <c r="V136" s="72"/>
      <c r="W136" s="72"/>
      <c r="X136" s="72"/>
      <c r="Y136" s="72"/>
      <c r="Z136" s="72"/>
      <c r="AC136" s="72"/>
      <c r="AE136" s="72"/>
      <c r="AG136" s="72"/>
    </row>
    <row r="144" spans="5:33" x14ac:dyDescent="0.2">
      <c r="E144" s="72"/>
    </row>
    <row r="148" spans="5:7" x14ac:dyDescent="0.2">
      <c r="E148" s="72"/>
    </row>
    <row r="156" spans="5:7" x14ac:dyDescent="0.2">
      <c r="G156" s="72"/>
    </row>
    <row r="160" spans="5:7" x14ac:dyDescent="0.2">
      <c r="G160" s="72"/>
    </row>
  </sheetData>
  <mergeCells count="2">
    <mergeCell ref="AC31:AD31"/>
    <mergeCell ref="AF31:AG31"/>
  </mergeCells>
  <dataValidations disablePrompts="1" count="2">
    <dataValidation type="list" allowBlank="1" sqref="B28:C28" xr:uid="{00000000-0002-0000-3C00-000000000000}">
      <formula1>"ACCOUNT,BUSINESSUNIT,CATEGORY,DATASRC,DEPARTMENT,INTCO,MEASURES,RPTCURRENCY,TIME"</formula1>
    </dataValidation>
    <dataValidation type="list" allowBlank="1" sqref="B29:C29" xr:uid="{00000000-0002-0000-3C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292CA-A063-419B-A531-645EEA31B6AF}">
  <sheetPr>
    <tabColor theme="9" tint="0.79998168889431442"/>
  </sheetPr>
  <dimension ref="N1:AB179"/>
  <sheetViews>
    <sheetView showGridLines="0" topLeftCell="M25" zoomScale="71" zoomScaleNormal="71" workbookViewId="0">
      <pane xSplit="2" ySplit="8" topLeftCell="O125" activePane="bottomRight" state="frozen"/>
      <selection activeCell="Z56" sqref="Z56"/>
      <selection pane="topRight" activeCell="Z56" sqref="Z56"/>
      <selection pane="bottomLeft" activeCell="Z56" sqref="Z56"/>
      <selection pane="bottomRight" activeCell="Z56" sqref="Z56"/>
    </sheetView>
  </sheetViews>
  <sheetFormatPr baseColWidth="10" defaultColWidth="8.83203125" defaultRowHeight="15" x14ac:dyDescent="0.2"/>
  <cols>
    <col min="1" max="12" width="0" hidden="1" customWidth="1"/>
    <col min="14" max="14" width="35.5" bestFit="1" customWidth="1"/>
    <col min="15" max="26" width="12" customWidth="1"/>
    <col min="27" max="27" width="15.1640625" customWidth="1"/>
    <col min="28" max="28" width="13.5" customWidth="1"/>
  </cols>
  <sheetData>
    <row r="1" hidden="1" x14ac:dyDescent="0.2"/>
    <row r="2" hidden="1" x14ac:dyDescent="0.2"/>
    <row r="3" hidden="1" x14ac:dyDescent="0.2"/>
    <row r="4" hidden="1" x14ac:dyDescent="0.2"/>
    <row r="5" hidden="1" x14ac:dyDescent="0.2"/>
    <row r="6" hidden="1" x14ac:dyDescent="0.2"/>
    <row r="7" hidden="1" x14ac:dyDescent="0.2"/>
    <row r="8" hidden="1" x14ac:dyDescent="0.2"/>
    <row r="9" hidden="1" x14ac:dyDescent="0.2"/>
    <row r="10" hidden="1" x14ac:dyDescent="0.2"/>
    <row r="11" hidden="1" x14ac:dyDescent="0.2"/>
    <row r="12" hidden="1" x14ac:dyDescent="0.2"/>
    <row r="13" hidden="1" x14ac:dyDescent="0.2"/>
    <row r="14" hidden="1" x14ac:dyDescent="0.2"/>
    <row r="15" hidden="1" x14ac:dyDescent="0.2"/>
    <row r="16" hidden="1" x14ac:dyDescent="0.2"/>
    <row r="17" spans="14:28" hidden="1" x14ac:dyDescent="0.2"/>
    <row r="18" spans="14:28" hidden="1" x14ac:dyDescent="0.2"/>
    <row r="19" spans="14:28" hidden="1" x14ac:dyDescent="0.2"/>
    <row r="20" spans="14:28" hidden="1" x14ac:dyDescent="0.2"/>
    <row r="21" spans="14:28" hidden="1" x14ac:dyDescent="0.2"/>
    <row r="22" spans="14:28" hidden="1" x14ac:dyDescent="0.2"/>
    <row r="23" spans="14:28" hidden="1" x14ac:dyDescent="0.2"/>
    <row r="24" spans="14:28" hidden="1" x14ac:dyDescent="0.2"/>
    <row r="26" spans="14:28" ht="23" x14ac:dyDescent="0.25">
      <c r="N26" s="61" t="s">
        <v>982</v>
      </c>
      <c r="O26" s="1"/>
      <c r="P26" s="1"/>
      <c r="Q26" s="1"/>
      <c r="R26" s="1"/>
      <c r="S26" s="1"/>
      <c r="T26" s="1"/>
      <c r="U26" s="1"/>
      <c r="V26" s="1"/>
      <c r="W26" s="1"/>
      <c r="X26" s="1"/>
      <c r="Y26" s="1"/>
      <c r="Z26" s="1"/>
      <c r="AA26" s="1"/>
      <c r="AB26" s="1"/>
    </row>
    <row r="27" spans="14:28" ht="18" x14ac:dyDescent="0.2">
      <c r="N27" s="66" t="s">
        <v>1187</v>
      </c>
      <c r="O27" s="1"/>
      <c r="P27" s="1"/>
      <c r="Q27" s="1"/>
      <c r="R27" s="1"/>
      <c r="S27" s="1"/>
      <c r="T27" s="1"/>
      <c r="U27" s="1"/>
      <c r="V27" s="1"/>
      <c r="W27" s="1"/>
      <c r="X27" s="1"/>
      <c r="Y27" s="1"/>
      <c r="Z27" s="1"/>
      <c r="AA27" s="1"/>
      <c r="AB27" s="1"/>
    </row>
    <row r="28" spans="14:28" ht="16" x14ac:dyDescent="0.2">
      <c r="N28" s="67" t="s">
        <v>1002</v>
      </c>
      <c r="O28" s="1"/>
      <c r="P28" s="1"/>
      <c r="Q28" s="1"/>
      <c r="R28" s="1"/>
      <c r="S28" s="1"/>
      <c r="T28" s="1"/>
      <c r="U28" s="1"/>
      <c r="V28" s="1"/>
      <c r="W28" s="1"/>
      <c r="X28" s="1"/>
      <c r="Y28" s="1"/>
      <c r="Z28" s="1"/>
      <c r="AA28" s="1"/>
      <c r="AB28" s="1"/>
    </row>
    <row r="29" spans="14:28" ht="16" x14ac:dyDescent="0.2">
      <c r="N29" s="67" t="s">
        <v>986</v>
      </c>
      <c r="O29" s="1"/>
      <c r="P29" s="1"/>
      <c r="Q29" s="1"/>
      <c r="R29" s="1"/>
      <c r="S29" s="1"/>
      <c r="T29" s="1"/>
      <c r="U29" s="1"/>
      <c r="V29" s="1"/>
      <c r="W29" s="1"/>
      <c r="X29" s="1"/>
      <c r="Y29" s="1"/>
      <c r="Z29" s="1"/>
      <c r="AA29" s="1"/>
      <c r="AB29" s="1"/>
    </row>
    <row r="30" spans="14:28" x14ac:dyDescent="0.2">
      <c r="N30" s="1"/>
      <c r="O30" s="208"/>
      <c r="P30" s="209"/>
      <c r="Q30" s="209"/>
      <c r="R30" s="209"/>
      <c r="S30" s="209"/>
      <c r="T30" s="209"/>
      <c r="U30" s="209"/>
      <c r="V30" s="209"/>
      <c r="W30" s="209"/>
      <c r="X30" s="209"/>
      <c r="Y30" s="209"/>
      <c r="Z30" s="209"/>
      <c r="AA30" s="209"/>
      <c r="AB30" s="210"/>
    </row>
    <row r="31" spans="14:28" x14ac:dyDescent="0.2">
      <c r="N31" s="1"/>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
        <v>116</v>
      </c>
      <c r="AB31" s="207"/>
    </row>
    <row r="32" spans="14:28" ht="16" x14ac:dyDescent="0.2">
      <c r="N32" s="236"/>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row>
    <row r="33" spans="14:28" x14ac:dyDescent="0.2">
      <c r="N33" s="37" t="s">
        <v>1013</v>
      </c>
      <c r="O33" s="38"/>
      <c r="P33" s="42"/>
      <c r="Q33" s="42"/>
      <c r="R33" s="42"/>
      <c r="S33" s="42"/>
      <c r="T33" s="42"/>
      <c r="U33" s="42"/>
      <c r="V33" s="42"/>
      <c r="W33" s="42"/>
      <c r="X33" s="42"/>
      <c r="Y33" s="42"/>
      <c r="Z33" s="42"/>
      <c r="AA33" s="42"/>
      <c r="AB33" s="39"/>
    </row>
    <row r="34" spans="14:28" x14ac:dyDescent="0.2">
      <c r="N34" s="8" t="s">
        <v>1188</v>
      </c>
      <c r="O34" s="50"/>
      <c r="P34" s="1"/>
      <c r="Q34" s="1"/>
      <c r="R34" s="1"/>
      <c r="S34" s="1"/>
      <c r="T34" s="1"/>
      <c r="U34" s="1"/>
      <c r="V34" s="1"/>
      <c r="W34" s="1"/>
      <c r="X34" s="1"/>
      <c r="Y34" s="1"/>
      <c r="Z34" s="1"/>
      <c r="AA34" s="1"/>
      <c r="AB34" s="51"/>
    </row>
    <row r="35" spans="14:28" x14ac:dyDescent="0.2">
      <c r="N35" s="483" t="s">
        <v>1189</v>
      </c>
      <c r="O35" s="484">
        <v>84121.38</v>
      </c>
      <c r="P35" s="484">
        <v>154341.89000000001</v>
      </c>
      <c r="Q35" s="484">
        <v>109761.47</v>
      </c>
      <c r="R35" s="484">
        <v>114383.58</v>
      </c>
      <c r="S35" s="484">
        <v>132591.09</v>
      </c>
      <c r="T35" s="484">
        <v>103815.85</v>
      </c>
      <c r="U35" s="484">
        <v>103016.24</v>
      </c>
      <c r="V35" s="484">
        <v>99047.27</v>
      </c>
      <c r="W35" s="484">
        <v>96556.7</v>
      </c>
      <c r="X35" s="484">
        <v>108502.39</v>
      </c>
      <c r="Y35" s="484">
        <v>119559.42</v>
      </c>
      <c r="Z35" s="484">
        <v>175717.31</v>
      </c>
      <c r="AA35" s="493">
        <v>1401414.5899999999</v>
      </c>
      <c r="AB35" s="485">
        <v>0.51164430849222375</v>
      </c>
    </row>
    <row r="36" spans="14:28" x14ac:dyDescent="0.2">
      <c r="N36" s="24" t="s">
        <v>1190</v>
      </c>
      <c r="O36" s="35">
        <v>0</v>
      </c>
      <c r="P36" s="35">
        <v>0</v>
      </c>
      <c r="Q36" s="35">
        <v>0</v>
      </c>
      <c r="R36" s="35">
        <v>0</v>
      </c>
      <c r="S36" s="35">
        <v>0</v>
      </c>
      <c r="T36" s="35">
        <v>0</v>
      </c>
      <c r="U36" s="35">
        <v>0</v>
      </c>
      <c r="V36" s="35">
        <v>0</v>
      </c>
      <c r="W36" s="35">
        <v>0</v>
      </c>
      <c r="X36" s="35">
        <v>0</v>
      </c>
      <c r="Y36" s="35">
        <v>0</v>
      </c>
      <c r="Z36" s="35">
        <v>0</v>
      </c>
      <c r="AA36" s="35">
        <v>0</v>
      </c>
      <c r="AB36" s="36">
        <v>0</v>
      </c>
    </row>
    <row r="37" spans="14:28" x14ac:dyDescent="0.2">
      <c r="N37" s="24" t="s">
        <v>1191</v>
      </c>
      <c r="O37" s="35">
        <v>8277.2099999999991</v>
      </c>
      <c r="P37" s="35">
        <v>0</v>
      </c>
      <c r="Q37" s="35">
        <v>0</v>
      </c>
      <c r="R37" s="35">
        <v>0</v>
      </c>
      <c r="S37" s="35">
        <v>0</v>
      </c>
      <c r="T37" s="35">
        <v>0</v>
      </c>
      <c r="U37" s="35">
        <v>0</v>
      </c>
      <c r="V37" s="35">
        <v>0</v>
      </c>
      <c r="W37" s="35">
        <v>0</v>
      </c>
      <c r="X37" s="35">
        <v>0</v>
      </c>
      <c r="Y37" s="35">
        <v>0</v>
      </c>
      <c r="Z37" s="35">
        <v>0</v>
      </c>
      <c r="AA37" s="35">
        <v>8277.2099999999991</v>
      </c>
      <c r="AB37" s="36">
        <v>3.0219375600299119E-3</v>
      </c>
    </row>
    <row r="38" spans="14:28" x14ac:dyDescent="0.2">
      <c r="N38" s="24" t="s">
        <v>1192</v>
      </c>
      <c r="O38" s="35">
        <v>1906</v>
      </c>
      <c r="P38" s="35">
        <v>2492.09</v>
      </c>
      <c r="Q38" s="35">
        <v>3180</v>
      </c>
      <c r="R38" s="35">
        <v>2434</v>
      </c>
      <c r="S38" s="35">
        <v>2372.39</v>
      </c>
      <c r="T38" s="35">
        <v>2187</v>
      </c>
      <c r="U38" s="35">
        <v>1971</v>
      </c>
      <c r="V38" s="35">
        <v>2241.56</v>
      </c>
      <c r="W38" s="35">
        <v>2129.5500000000002</v>
      </c>
      <c r="X38" s="35">
        <v>2295</v>
      </c>
      <c r="Y38" s="35">
        <v>2738.56</v>
      </c>
      <c r="Z38" s="35">
        <v>3164.45</v>
      </c>
      <c r="AA38" s="35">
        <v>29111.600000000002</v>
      </c>
      <c r="AB38" s="36">
        <v>1.0628392595157885E-2</v>
      </c>
    </row>
    <row r="39" spans="14:28" x14ac:dyDescent="0.2">
      <c r="N39" s="8" t="s">
        <v>1193</v>
      </c>
      <c r="O39" s="120">
        <v>94304.59</v>
      </c>
      <c r="P39" s="120">
        <v>156833.98000000001</v>
      </c>
      <c r="Q39" s="120">
        <v>112941.47</v>
      </c>
      <c r="R39" s="120">
        <v>116817.58</v>
      </c>
      <c r="S39" s="120">
        <v>134963.48000000001</v>
      </c>
      <c r="T39" s="120">
        <v>106002.85</v>
      </c>
      <c r="U39" s="120">
        <v>104987.24</v>
      </c>
      <c r="V39" s="120">
        <v>101288.83</v>
      </c>
      <c r="W39" s="120">
        <v>98686.25</v>
      </c>
      <c r="X39" s="120">
        <v>110797.39</v>
      </c>
      <c r="Y39" s="120">
        <v>122297.98</v>
      </c>
      <c r="Z39" s="120">
        <v>178881.76</v>
      </c>
      <c r="AA39" s="120">
        <v>1438803.4</v>
      </c>
      <c r="AB39" s="121">
        <v>0.52529463864741155</v>
      </c>
    </row>
    <row r="40" spans="14:28" x14ac:dyDescent="0.2">
      <c r="N40" s="8" t="s">
        <v>1194</v>
      </c>
      <c r="O40" s="35"/>
      <c r="P40" s="35"/>
      <c r="Q40" s="35"/>
      <c r="R40" s="35"/>
      <c r="S40" s="35"/>
      <c r="T40" s="35"/>
      <c r="U40" s="35"/>
      <c r="V40" s="35"/>
      <c r="W40" s="35"/>
      <c r="X40" s="35"/>
      <c r="Y40" s="35"/>
      <c r="Z40" s="35"/>
      <c r="AA40" s="35"/>
      <c r="AB40" s="36"/>
    </row>
    <row r="41" spans="14:28" x14ac:dyDescent="0.2">
      <c r="N41" s="483" t="s">
        <v>1195</v>
      </c>
      <c r="O41" s="494">
        <v>37795</v>
      </c>
      <c r="P41" s="494">
        <v>62290.01</v>
      </c>
      <c r="Q41" s="494">
        <v>74844.479999999996</v>
      </c>
      <c r="R41" s="494">
        <v>95544.94</v>
      </c>
      <c r="S41" s="494">
        <v>98315.64</v>
      </c>
      <c r="T41" s="494">
        <v>63995.630000000005</v>
      </c>
      <c r="U41" s="494">
        <v>58538.130000000005</v>
      </c>
      <c r="V41" s="494">
        <v>59952.36</v>
      </c>
      <c r="W41" s="494">
        <v>55205.22</v>
      </c>
      <c r="X41" s="494">
        <v>58777.67</v>
      </c>
      <c r="Y41" s="494">
        <v>78643.73</v>
      </c>
      <c r="Z41" s="494">
        <v>80500.03</v>
      </c>
      <c r="AA41" s="494">
        <v>824402.84000000008</v>
      </c>
      <c r="AB41" s="495">
        <v>0.30098232457450402</v>
      </c>
    </row>
    <row r="42" spans="14:28" x14ac:dyDescent="0.2">
      <c r="N42" s="24" t="s">
        <v>1196</v>
      </c>
      <c r="O42" s="35">
        <v>0</v>
      </c>
      <c r="P42" s="35">
        <v>0</v>
      </c>
      <c r="Q42" s="35">
        <v>0</v>
      </c>
      <c r="R42" s="35">
        <v>0</v>
      </c>
      <c r="S42" s="35">
        <v>0</v>
      </c>
      <c r="T42" s="35">
        <v>0</v>
      </c>
      <c r="U42" s="35">
        <v>0</v>
      </c>
      <c r="V42" s="35">
        <v>0</v>
      </c>
      <c r="W42" s="35">
        <v>0</v>
      </c>
      <c r="X42" s="35">
        <v>0</v>
      </c>
      <c r="Y42" s="35">
        <v>0</v>
      </c>
      <c r="Z42" s="35">
        <v>0</v>
      </c>
      <c r="AA42" s="35">
        <v>0</v>
      </c>
      <c r="AB42" s="36">
        <v>0</v>
      </c>
    </row>
    <row r="43" spans="14:28" x14ac:dyDescent="0.2">
      <c r="N43" s="24" t="s">
        <v>1197</v>
      </c>
      <c r="O43" s="35">
        <v>0</v>
      </c>
      <c r="P43" s="35">
        <v>0</v>
      </c>
      <c r="Q43" s="35">
        <v>0</v>
      </c>
      <c r="R43" s="35">
        <v>0</v>
      </c>
      <c r="S43" s="35">
        <v>0</v>
      </c>
      <c r="T43" s="35">
        <v>0</v>
      </c>
      <c r="U43" s="35">
        <v>0</v>
      </c>
      <c r="V43" s="35">
        <v>0</v>
      </c>
      <c r="W43" s="35">
        <v>0</v>
      </c>
      <c r="X43" s="35">
        <v>0</v>
      </c>
      <c r="Y43" s="35">
        <v>0</v>
      </c>
      <c r="Z43" s="35">
        <v>0</v>
      </c>
      <c r="AA43" s="35">
        <v>0</v>
      </c>
      <c r="AB43" s="36">
        <v>0</v>
      </c>
    </row>
    <row r="44" spans="14:28" x14ac:dyDescent="0.2">
      <c r="N44" s="24" t="s">
        <v>1198</v>
      </c>
      <c r="O44" s="35">
        <v>3178.56</v>
      </c>
      <c r="P44" s="35">
        <v>2964.11</v>
      </c>
      <c r="Q44" s="35">
        <v>3587</v>
      </c>
      <c r="R44" s="35">
        <v>2374</v>
      </c>
      <c r="S44" s="35">
        <v>2132</v>
      </c>
      <c r="T44" s="35">
        <v>2257</v>
      </c>
      <c r="U44" s="35">
        <v>1868</v>
      </c>
      <c r="V44" s="35">
        <v>2547</v>
      </c>
      <c r="W44" s="35">
        <v>2433</v>
      </c>
      <c r="X44" s="35">
        <v>1908</v>
      </c>
      <c r="Y44" s="35">
        <v>2758.63</v>
      </c>
      <c r="Z44" s="35">
        <v>2850.94</v>
      </c>
      <c r="AA44" s="35">
        <v>30858.239999999998</v>
      </c>
      <c r="AB44" s="36">
        <v>1.1266075705753199E-2</v>
      </c>
    </row>
    <row r="45" spans="14:28" x14ac:dyDescent="0.2">
      <c r="N45" s="8" t="s">
        <v>1199</v>
      </c>
      <c r="O45" s="120">
        <v>40973.56</v>
      </c>
      <c r="P45" s="120">
        <v>65254.12</v>
      </c>
      <c r="Q45" s="120">
        <v>78431.48</v>
      </c>
      <c r="R45" s="120">
        <v>97918.94</v>
      </c>
      <c r="S45" s="120">
        <v>100447.64</v>
      </c>
      <c r="T45" s="120">
        <v>66252.63</v>
      </c>
      <c r="U45" s="120">
        <v>60406.130000000005</v>
      </c>
      <c r="V45" s="120">
        <v>62499.360000000001</v>
      </c>
      <c r="W45" s="120">
        <v>57638.22</v>
      </c>
      <c r="X45" s="120">
        <v>60685.67</v>
      </c>
      <c r="Y45" s="120">
        <v>81402.36</v>
      </c>
      <c r="Z45" s="120">
        <v>83350.97</v>
      </c>
      <c r="AA45" s="120">
        <v>855261.08</v>
      </c>
      <c r="AB45" s="121">
        <v>0.31224840028025719</v>
      </c>
    </row>
    <row r="46" spans="14:28" x14ac:dyDescent="0.2">
      <c r="N46" s="24" t="s">
        <v>1200</v>
      </c>
      <c r="O46" s="35"/>
      <c r="P46" s="35"/>
      <c r="Q46" s="35"/>
      <c r="R46" s="35"/>
      <c r="S46" s="35"/>
      <c r="T46" s="35"/>
      <c r="U46" s="35"/>
      <c r="V46" s="35"/>
      <c r="W46" s="35"/>
      <c r="X46" s="35"/>
      <c r="Y46" s="35"/>
      <c r="Z46" s="35"/>
      <c r="AA46" s="35"/>
      <c r="AB46" s="36"/>
    </row>
    <row r="47" spans="14:28" x14ac:dyDescent="0.2">
      <c r="N47" s="8" t="s">
        <v>1201</v>
      </c>
      <c r="O47" s="120">
        <v>135278.15</v>
      </c>
      <c r="P47" s="120">
        <v>222088.1</v>
      </c>
      <c r="Q47" s="120">
        <v>191372.95</v>
      </c>
      <c r="R47" s="120">
        <v>214736.52000000002</v>
      </c>
      <c r="S47" s="120">
        <v>235411.12</v>
      </c>
      <c r="T47" s="120">
        <v>172255.48</v>
      </c>
      <c r="U47" s="120">
        <v>165393.37</v>
      </c>
      <c r="V47" s="120">
        <v>163788.19</v>
      </c>
      <c r="W47" s="120">
        <v>156324.47</v>
      </c>
      <c r="X47" s="120">
        <v>171483.06</v>
      </c>
      <c r="Y47" s="120">
        <v>203700.34</v>
      </c>
      <c r="Z47" s="120">
        <v>262232.73</v>
      </c>
      <c r="AA47" s="120">
        <v>2294064.48</v>
      </c>
      <c r="AB47" s="121">
        <v>0.83754303892766879</v>
      </c>
    </row>
    <row r="48" spans="14:28" x14ac:dyDescent="0.2">
      <c r="N48" s="23" t="s">
        <v>1202</v>
      </c>
      <c r="O48" s="166"/>
      <c r="P48" s="261"/>
      <c r="Q48" s="261"/>
      <c r="R48" s="261"/>
      <c r="S48" s="261"/>
      <c r="T48" s="261"/>
      <c r="U48" s="261"/>
      <c r="V48" s="261"/>
      <c r="W48" s="261"/>
      <c r="X48" s="261"/>
      <c r="Y48" s="261"/>
      <c r="Z48" s="261"/>
      <c r="AA48" s="261">
        <v>0</v>
      </c>
      <c r="AB48" s="167">
        <v>0</v>
      </c>
    </row>
    <row r="49" spans="14:28" x14ac:dyDescent="0.2">
      <c r="N49" s="24" t="s">
        <v>1203</v>
      </c>
      <c r="O49" s="19">
        <v>945</v>
      </c>
      <c r="P49" s="19">
        <v>0</v>
      </c>
      <c r="Q49" s="19">
        <v>0</v>
      </c>
      <c r="R49" s="19">
        <v>0</v>
      </c>
      <c r="S49" s="19">
        <v>0</v>
      </c>
      <c r="T49" s="19">
        <v>0</v>
      </c>
      <c r="U49" s="19">
        <v>0</v>
      </c>
      <c r="V49" s="19">
        <v>0</v>
      </c>
      <c r="W49" s="19">
        <v>0</v>
      </c>
      <c r="X49" s="19">
        <v>0</v>
      </c>
      <c r="Y49" s="19">
        <v>0</v>
      </c>
      <c r="Z49" s="19">
        <v>0</v>
      </c>
      <c r="AA49" s="19">
        <v>945</v>
      </c>
      <c r="AB49" s="15">
        <v>3.4501130142019679E-4</v>
      </c>
    </row>
    <row r="50" spans="14:28" x14ac:dyDescent="0.2">
      <c r="N50" s="483" t="s">
        <v>1204</v>
      </c>
      <c r="O50" s="494">
        <v>9750</v>
      </c>
      <c r="P50" s="494">
        <v>9085</v>
      </c>
      <c r="Q50" s="494">
        <v>6205</v>
      </c>
      <c r="R50" s="494">
        <v>762</v>
      </c>
      <c r="S50" s="494">
        <v>4457</v>
      </c>
      <c r="T50" s="494">
        <v>4849</v>
      </c>
      <c r="U50" s="494">
        <v>17931</v>
      </c>
      <c r="V50" s="494">
        <v>177.1</v>
      </c>
      <c r="W50" s="494">
        <v>28602.69</v>
      </c>
      <c r="X50" s="494">
        <v>2647.7</v>
      </c>
      <c r="Y50" s="494">
        <v>5371</v>
      </c>
      <c r="Z50" s="494">
        <v>5603.85</v>
      </c>
      <c r="AA50" s="494">
        <v>95441.34</v>
      </c>
      <c r="AB50" s="495">
        <v>3.4844805209193107E-2</v>
      </c>
    </row>
    <row r="51" spans="14:28" x14ac:dyDescent="0.2">
      <c r="N51" s="483" t="s">
        <v>1205</v>
      </c>
      <c r="O51" s="494">
        <v>1253.44</v>
      </c>
      <c r="P51" s="494">
        <v>3076.76</v>
      </c>
      <c r="Q51" s="494">
        <v>563.84</v>
      </c>
      <c r="R51" s="494">
        <v>182.56</v>
      </c>
      <c r="S51" s="494">
        <v>0</v>
      </c>
      <c r="T51" s="494">
        <v>0</v>
      </c>
      <c r="U51" s="494">
        <v>0</v>
      </c>
      <c r="V51" s="494">
        <v>0</v>
      </c>
      <c r="W51" s="494">
        <v>0</v>
      </c>
      <c r="X51" s="494">
        <v>0</v>
      </c>
      <c r="Y51" s="494">
        <v>0</v>
      </c>
      <c r="Z51" s="494">
        <v>0</v>
      </c>
      <c r="AA51" s="494">
        <v>5076.6000000000013</v>
      </c>
      <c r="AB51" s="495">
        <v>1.8534226167087528E-3</v>
      </c>
    </row>
    <row r="52" spans="14:28" x14ac:dyDescent="0.2">
      <c r="N52" s="483" t="s">
        <v>1206</v>
      </c>
      <c r="O52" s="494">
        <v>5070.8100000000004</v>
      </c>
      <c r="P52" s="494">
        <v>38315.019999999997</v>
      </c>
      <c r="Q52" s="494">
        <v>44388.91</v>
      </c>
      <c r="R52" s="494">
        <v>37595.629999999997</v>
      </c>
      <c r="S52" s="494">
        <v>42261.65</v>
      </c>
      <c r="T52" s="494">
        <v>31498.23</v>
      </c>
      <c r="U52" s="494">
        <v>31902.23</v>
      </c>
      <c r="V52" s="494">
        <v>29273.57</v>
      </c>
      <c r="W52" s="494">
        <v>25444.28</v>
      </c>
      <c r="X52" s="494">
        <v>29870.92</v>
      </c>
      <c r="Y52" s="494">
        <v>37099.449999999997</v>
      </c>
      <c r="Z52" s="494">
        <v>49188.56</v>
      </c>
      <c r="AA52" s="494">
        <v>401909.26</v>
      </c>
      <c r="AB52" s="495">
        <v>0.14673358396341613</v>
      </c>
    </row>
    <row r="53" spans="14:28" x14ac:dyDescent="0.2">
      <c r="N53" s="483" t="s">
        <v>1207</v>
      </c>
      <c r="O53" s="494">
        <v>2009.21</v>
      </c>
      <c r="P53" s="494">
        <v>532.41000000000008</v>
      </c>
      <c r="Q53" s="494">
        <v>863.39</v>
      </c>
      <c r="R53" s="494">
        <v>3846.43</v>
      </c>
      <c r="S53" s="494">
        <v>3739.24</v>
      </c>
      <c r="T53" s="494">
        <v>2751.6400000000003</v>
      </c>
      <c r="U53" s="494">
        <v>2714.13</v>
      </c>
      <c r="V53" s="494">
        <v>2499.46</v>
      </c>
      <c r="W53" s="494">
        <v>1716.45</v>
      </c>
      <c r="X53" s="494">
        <v>347.5</v>
      </c>
      <c r="Y53" s="494">
        <v>1400.13</v>
      </c>
      <c r="Z53" s="494">
        <v>831.42000000000007</v>
      </c>
      <c r="AA53" s="494">
        <v>23251.410000000003</v>
      </c>
      <c r="AB53" s="495">
        <v>8.4888880676768034E-3</v>
      </c>
    </row>
    <row r="54" spans="14:28" x14ac:dyDescent="0.2">
      <c r="N54" s="8" t="s">
        <v>1208</v>
      </c>
      <c r="O54" s="120">
        <v>19028.46</v>
      </c>
      <c r="P54" s="120">
        <v>51009.19</v>
      </c>
      <c r="Q54" s="120">
        <v>52021.14</v>
      </c>
      <c r="R54" s="120">
        <v>42386.619999999995</v>
      </c>
      <c r="S54" s="120">
        <v>50457.89</v>
      </c>
      <c r="T54" s="120">
        <v>39098.869999999995</v>
      </c>
      <c r="U54" s="120">
        <v>52547.359999999993</v>
      </c>
      <c r="V54" s="120">
        <v>31950.129999999997</v>
      </c>
      <c r="W54" s="120">
        <v>55763.42</v>
      </c>
      <c r="X54" s="120">
        <v>32866.119999999995</v>
      </c>
      <c r="Y54" s="120">
        <v>43870.579999999994</v>
      </c>
      <c r="Z54" s="120">
        <v>55623.829999999994</v>
      </c>
      <c r="AA54" s="120">
        <v>526623.61</v>
      </c>
      <c r="AB54" s="121">
        <v>0.19226571115841498</v>
      </c>
    </row>
    <row r="55" spans="14:28" x14ac:dyDescent="0.2">
      <c r="N55" s="24" t="s">
        <v>1209</v>
      </c>
      <c r="O55" s="35">
        <v>-199.4</v>
      </c>
      <c r="P55" s="35">
        <v>-1234.02</v>
      </c>
      <c r="Q55" s="35">
        <v>-3702.08</v>
      </c>
      <c r="R55" s="35">
        <v>-6152.13</v>
      </c>
      <c r="S55" s="35">
        <v>-9651.5</v>
      </c>
      <c r="T55" s="35">
        <v>-9765.57</v>
      </c>
      <c r="U55" s="35">
        <v>-7047.4699999999993</v>
      </c>
      <c r="V55" s="35">
        <v>-6046.9400000000005</v>
      </c>
      <c r="W55" s="35">
        <v>-6620.79</v>
      </c>
      <c r="X55" s="35">
        <v>-8386.24</v>
      </c>
      <c r="Y55" s="35">
        <v>-11704.859999999999</v>
      </c>
      <c r="Z55" s="35">
        <v>-11136.380000000001</v>
      </c>
      <c r="AA55" s="35">
        <v>-81647.38</v>
      </c>
      <c r="AB55" s="36">
        <v>-2.9808750086083968E-2</v>
      </c>
    </row>
    <row r="56" spans="14:28" x14ac:dyDescent="0.2">
      <c r="N56" s="8" t="s">
        <v>1001</v>
      </c>
      <c r="O56" s="120">
        <v>154107.21</v>
      </c>
      <c r="P56" s="120">
        <v>271863.27</v>
      </c>
      <c r="Q56" s="120">
        <v>239692.01000000004</v>
      </c>
      <c r="R56" s="120">
        <v>250971.01</v>
      </c>
      <c r="S56" s="120">
        <v>276217.51</v>
      </c>
      <c r="T56" s="120">
        <v>201588.78</v>
      </c>
      <c r="U56" s="120">
        <v>210893.25999999998</v>
      </c>
      <c r="V56" s="120">
        <v>189691.38</v>
      </c>
      <c r="W56" s="120">
        <v>205467.1</v>
      </c>
      <c r="X56" s="120">
        <v>195962.94</v>
      </c>
      <c r="Y56" s="120">
        <v>235866.06</v>
      </c>
      <c r="Z56" s="120">
        <v>306720.18</v>
      </c>
      <c r="AA56" s="120">
        <v>2739040.7100000004</v>
      </c>
      <c r="AB56" s="121">
        <v>1</v>
      </c>
    </row>
    <row r="57" spans="14:28" x14ac:dyDescent="0.2">
      <c r="N57" s="1"/>
      <c r="O57" s="144"/>
      <c r="P57" s="147"/>
      <c r="Q57" s="147"/>
      <c r="R57" s="147"/>
      <c r="S57" s="147"/>
      <c r="T57" s="147"/>
      <c r="U57" s="147"/>
      <c r="V57" s="147"/>
      <c r="W57" s="147"/>
      <c r="X57" s="147"/>
      <c r="Y57" s="147"/>
      <c r="Z57" s="147"/>
      <c r="AA57" s="147"/>
      <c r="AB57" s="51"/>
    </row>
    <row r="58" spans="14:28" x14ac:dyDescent="0.2">
      <c r="N58" s="37" t="s">
        <v>1210</v>
      </c>
      <c r="O58" s="50"/>
      <c r="P58" s="1"/>
      <c r="Q58" s="1"/>
      <c r="R58" s="1"/>
      <c r="S58" s="1"/>
      <c r="T58" s="1"/>
      <c r="U58" s="1"/>
      <c r="V58" s="1"/>
      <c r="W58" s="1"/>
      <c r="X58" s="1"/>
      <c r="Y58" s="1"/>
      <c r="Z58" s="1"/>
      <c r="AA58" s="1"/>
      <c r="AB58" s="51"/>
    </row>
    <row r="59" spans="14:28" x14ac:dyDescent="0.2">
      <c r="N59" s="8" t="s">
        <v>1211</v>
      </c>
      <c r="O59" s="50"/>
      <c r="P59" s="1"/>
      <c r="Q59" s="1"/>
      <c r="R59" s="1"/>
      <c r="S59" s="1"/>
      <c r="T59" s="1"/>
      <c r="U59" s="1"/>
      <c r="V59" s="1"/>
      <c r="W59" s="1"/>
      <c r="X59" s="1"/>
      <c r="Y59" s="1"/>
      <c r="Z59" s="1"/>
      <c r="AA59" s="1"/>
      <c r="AB59" s="51"/>
    </row>
    <row r="60" spans="14:28" x14ac:dyDescent="0.2">
      <c r="N60" s="483" t="s">
        <v>1212</v>
      </c>
      <c r="O60" s="496">
        <v>25949.59</v>
      </c>
      <c r="P60" s="493">
        <v>58628.17</v>
      </c>
      <c r="Q60" s="493">
        <v>26430.04</v>
      </c>
      <c r="R60" s="493">
        <v>48299.29</v>
      </c>
      <c r="S60" s="493">
        <v>65247.390000000007</v>
      </c>
      <c r="T60" s="493">
        <v>36740.57</v>
      </c>
      <c r="U60" s="493">
        <v>41014.610000000008</v>
      </c>
      <c r="V60" s="493">
        <v>47807.049999999996</v>
      </c>
      <c r="W60" s="493">
        <v>30925.309999999998</v>
      </c>
      <c r="X60" s="493">
        <v>42742.58</v>
      </c>
      <c r="Y60" s="493">
        <v>47686.47</v>
      </c>
      <c r="Z60" s="493">
        <v>50403.369999999995</v>
      </c>
      <c r="AA60" s="493">
        <v>521874.44000000006</v>
      </c>
      <c r="AB60" s="497">
        <v>0.36271421098949314</v>
      </c>
    </row>
    <row r="61" spans="14:28" x14ac:dyDescent="0.2">
      <c r="N61" s="483" t="s">
        <v>1213</v>
      </c>
      <c r="O61" s="498">
        <v>12900.32</v>
      </c>
      <c r="P61" s="499">
        <v>15081.960000000001</v>
      </c>
      <c r="Q61" s="499">
        <v>17251.7</v>
      </c>
      <c r="R61" s="499">
        <v>30327.649999999998</v>
      </c>
      <c r="S61" s="499">
        <v>14429.47</v>
      </c>
      <c r="T61" s="499">
        <v>11473.27</v>
      </c>
      <c r="U61" s="499">
        <v>12796.47</v>
      </c>
      <c r="V61" s="499">
        <v>12619.72</v>
      </c>
      <c r="W61" s="499">
        <v>6290.13</v>
      </c>
      <c r="X61" s="499">
        <v>12301.13</v>
      </c>
      <c r="Y61" s="499">
        <v>13006.59</v>
      </c>
      <c r="Z61" s="499">
        <v>15228.81</v>
      </c>
      <c r="AA61" s="499">
        <v>173707.22</v>
      </c>
      <c r="AB61" s="500">
        <v>0.20310431991129541</v>
      </c>
    </row>
    <row r="62" spans="14:28" x14ac:dyDescent="0.2">
      <c r="N62" s="151" t="s">
        <v>1214</v>
      </c>
      <c r="O62" s="202">
        <v>38849.910000000003</v>
      </c>
      <c r="P62" s="120">
        <v>73710.13</v>
      </c>
      <c r="Q62" s="120">
        <v>43681.740000000005</v>
      </c>
      <c r="R62" s="120">
        <v>78626.94</v>
      </c>
      <c r="S62" s="120">
        <v>79676.86</v>
      </c>
      <c r="T62" s="120">
        <v>48213.84</v>
      </c>
      <c r="U62" s="120">
        <v>53811.080000000009</v>
      </c>
      <c r="V62" s="120">
        <v>60426.77</v>
      </c>
      <c r="W62" s="120">
        <v>37215.439999999995</v>
      </c>
      <c r="X62" s="120">
        <v>55043.71</v>
      </c>
      <c r="Y62" s="120">
        <v>60693.06</v>
      </c>
      <c r="Z62" s="120">
        <v>65632.179999999993</v>
      </c>
      <c r="AA62" s="120">
        <v>695581.65999999992</v>
      </c>
      <c r="AB62" s="121">
        <v>0.30320928904317457</v>
      </c>
    </row>
    <row r="63" spans="14:28" x14ac:dyDescent="0.2">
      <c r="N63" s="151" t="s">
        <v>1215</v>
      </c>
      <c r="O63" s="287"/>
      <c r="P63" s="288"/>
      <c r="Q63" s="288"/>
      <c r="R63" s="288"/>
      <c r="S63" s="288"/>
      <c r="T63" s="288"/>
      <c r="U63" s="288"/>
      <c r="V63" s="288"/>
      <c r="W63" s="288"/>
      <c r="X63" s="288"/>
      <c r="Y63" s="288"/>
      <c r="Z63" s="288"/>
      <c r="AA63" s="288">
        <v>0</v>
      </c>
      <c r="AB63" s="289"/>
    </row>
    <row r="64" spans="14:28" x14ac:dyDescent="0.2">
      <c r="N64" s="24" t="s">
        <v>1216</v>
      </c>
      <c r="O64" s="282">
        <v>0</v>
      </c>
      <c r="P64" s="283">
        <v>0</v>
      </c>
      <c r="Q64" s="283">
        <v>0</v>
      </c>
      <c r="R64" s="283">
        <v>0</v>
      </c>
      <c r="S64" s="283">
        <v>0</v>
      </c>
      <c r="T64" s="283">
        <v>0</v>
      </c>
      <c r="U64" s="283">
        <v>0</v>
      </c>
      <c r="V64" s="283">
        <v>0</v>
      </c>
      <c r="W64" s="283">
        <v>0</v>
      </c>
      <c r="X64" s="283">
        <v>0</v>
      </c>
      <c r="Y64" s="283">
        <v>0</v>
      </c>
      <c r="Z64" s="283">
        <v>0</v>
      </c>
      <c r="AA64" s="283">
        <v>0</v>
      </c>
      <c r="AB64" s="284"/>
    </row>
    <row r="65" spans="14:28" x14ac:dyDescent="0.2">
      <c r="N65" s="24" t="s">
        <v>1204</v>
      </c>
      <c r="O65" s="282">
        <v>0</v>
      </c>
      <c r="P65" s="283">
        <v>0</v>
      </c>
      <c r="Q65" s="283">
        <v>0</v>
      </c>
      <c r="R65" s="283">
        <v>0</v>
      </c>
      <c r="S65" s="283">
        <v>0</v>
      </c>
      <c r="T65" s="283">
        <v>0</v>
      </c>
      <c r="U65" s="283">
        <v>0</v>
      </c>
      <c r="V65" s="283">
        <v>0</v>
      </c>
      <c r="W65" s="283">
        <v>0</v>
      </c>
      <c r="X65" s="283">
        <v>0</v>
      </c>
      <c r="Y65" s="283">
        <v>0</v>
      </c>
      <c r="Z65" s="283">
        <v>0</v>
      </c>
      <c r="AA65" s="283">
        <v>0</v>
      </c>
      <c r="AB65" s="284"/>
    </row>
    <row r="66" spans="14:28" x14ac:dyDescent="0.2">
      <c r="N66" s="483" t="s">
        <v>1217</v>
      </c>
      <c r="O66" s="498">
        <v>770.25</v>
      </c>
      <c r="P66" s="499">
        <v>3184.5099999999998</v>
      </c>
      <c r="Q66" s="499">
        <v>2796.72</v>
      </c>
      <c r="R66" s="499">
        <v>1545.8899999999999</v>
      </c>
      <c r="S66" s="499">
        <v>1770.4699999999998</v>
      </c>
      <c r="T66" s="499">
        <v>1371.86</v>
      </c>
      <c r="U66" s="499">
        <v>529.5</v>
      </c>
      <c r="V66" s="499">
        <v>1434.4299999999998</v>
      </c>
      <c r="W66" s="499">
        <v>874.66999999999985</v>
      </c>
      <c r="X66" s="499">
        <v>-261.27</v>
      </c>
      <c r="Y66" s="499">
        <v>2162.27</v>
      </c>
      <c r="Z66" s="499">
        <v>3180.16</v>
      </c>
      <c r="AA66" s="499">
        <v>19359.46</v>
      </c>
      <c r="AB66" s="500">
        <v>3.6761473721240868E-2</v>
      </c>
    </row>
    <row r="67" spans="14:28" x14ac:dyDescent="0.2">
      <c r="N67" s="151" t="s">
        <v>1218</v>
      </c>
      <c r="O67" s="203">
        <v>770.25</v>
      </c>
      <c r="P67" s="33">
        <v>3184.5099999999998</v>
      </c>
      <c r="Q67" s="33">
        <v>2796.72</v>
      </c>
      <c r="R67" s="33">
        <v>1545.8899999999999</v>
      </c>
      <c r="S67" s="33">
        <v>1770.4699999999998</v>
      </c>
      <c r="T67" s="33">
        <v>1371.86</v>
      </c>
      <c r="U67" s="33">
        <v>529.5</v>
      </c>
      <c r="V67" s="33">
        <v>1434.4299999999998</v>
      </c>
      <c r="W67" s="33">
        <v>874.66999999999985</v>
      </c>
      <c r="X67" s="33">
        <v>-261.27</v>
      </c>
      <c r="Y67" s="33">
        <v>2162.27</v>
      </c>
      <c r="Z67" s="33">
        <v>3180.16</v>
      </c>
      <c r="AA67" s="33">
        <v>19359.46</v>
      </c>
      <c r="AB67" s="34">
        <v>3.6761473721240868E-2</v>
      </c>
    </row>
    <row r="68" spans="14:28" x14ac:dyDescent="0.2">
      <c r="N68" s="151" t="s">
        <v>1219</v>
      </c>
      <c r="O68" s="202">
        <v>39620.160000000003</v>
      </c>
      <c r="P68" s="120">
        <v>76894.64</v>
      </c>
      <c r="Q68" s="120">
        <v>46478.460000000006</v>
      </c>
      <c r="R68" s="120">
        <v>80172.83</v>
      </c>
      <c r="S68" s="120">
        <v>81447.33</v>
      </c>
      <c r="T68" s="120">
        <v>49585.7</v>
      </c>
      <c r="U68" s="120">
        <v>54340.580000000009</v>
      </c>
      <c r="V68" s="120">
        <v>61861.2</v>
      </c>
      <c r="W68" s="120">
        <v>38090.109999999993</v>
      </c>
      <c r="X68" s="120">
        <v>54782.44</v>
      </c>
      <c r="Y68" s="120">
        <v>62855.329999999994</v>
      </c>
      <c r="Z68" s="120">
        <v>68812.34</v>
      </c>
      <c r="AA68" s="120">
        <v>714941.12000000011</v>
      </c>
      <c r="AB68" s="121">
        <v>0.26101880026456414</v>
      </c>
    </row>
    <row r="69" spans="14:28" x14ac:dyDescent="0.2">
      <c r="N69" s="23"/>
      <c r="O69" s="44"/>
      <c r="P69" s="44"/>
      <c r="Q69" s="44"/>
      <c r="R69" s="44"/>
      <c r="S69" s="44"/>
      <c r="T69" s="44"/>
      <c r="U69" s="44"/>
      <c r="V69" s="44"/>
      <c r="W69" s="44"/>
      <c r="X69" s="44"/>
      <c r="Y69" s="44"/>
      <c r="Z69" s="44"/>
      <c r="AA69" s="44"/>
      <c r="AB69" s="45"/>
    </row>
    <row r="70" spans="14:28" x14ac:dyDescent="0.2">
      <c r="N70" s="23" t="s">
        <v>1220</v>
      </c>
      <c r="O70" s="145">
        <v>114487.04999999999</v>
      </c>
      <c r="P70" s="145">
        <v>194968.63</v>
      </c>
      <c r="Q70" s="145">
        <v>193213.55000000005</v>
      </c>
      <c r="R70" s="145">
        <v>170798.18</v>
      </c>
      <c r="S70" s="145">
        <v>194770.18</v>
      </c>
      <c r="T70" s="145">
        <v>152003.08000000002</v>
      </c>
      <c r="U70" s="145">
        <v>156552.67999999996</v>
      </c>
      <c r="V70" s="145">
        <v>127830.18000000001</v>
      </c>
      <c r="W70" s="145">
        <v>167376.99000000002</v>
      </c>
      <c r="X70" s="145">
        <v>141180.5</v>
      </c>
      <c r="Y70" s="145">
        <v>173010.73</v>
      </c>
      <c r="Z70" s="145">
        <v>237907.84</v>
      </c>
      <c r="AA70" s="145">
        <v>2024099.59</v>
      </c>
      <c r="AB70" s="121">
        <v>0.88232026939364849</v>
      </c>
    </row>
    <row r="71" spans="14:28" x14ac:dyDescent="0.2">
      <c r="N71" s="1"/>
      <c r="O71" s="144"/>
      <c r="P71" s="147"/>
      <c r="Q71" s="147"/>
      <c r="R71" s="147"/>
      <c r="S71" s="147"/>
      <c r="T71" s="147"/>
      <c r="U71" s="147"/>
      <c r="V71" s="147"/>
      <c r="W71" s="147"/>
      <c r="X71" s="147"/>
      <c r="Y71" s="147"/>
      <c r="Z71" s="147"/>
      <c r="AA71" s="147"/>
      <c r="AB71" s="51"/>
    </row>
    <row r="72" spans="14:28" x14ac:dyDescent="0.2">
      <c r="N72" s="37" t="s">
        <v>1073</v>
      </c>
      <c r="O72" s="50"/>
      <c r="P72" s="1"/>
      <c r="Q72" s="147"/>
      <c r="R72" s="1"/>
      <c r="S72" s="1"/>
      <c r="T72" s="1"/>
      <c r="U72" s="1"/>
      <c r="V72" s="1"/>
      <c r="W72" s="1"/>
      <c r="X72" s="1"/>
      <c r="Y72" s="1"/>
      <c r="Z72" s="1"/>
      <c r="AA72" s="1"/>
      <c r="AB72" s="149"/>
    </row>
    <row r="73" spans="14:28" x14ac:dyDescent="0.2">
      <c r="N73" s="8" t="s">
        <v>1074</v>
      </c>
      <c r="O73" s="40"/>
      <c r="P73" s="43"/>
      <c r="Q73" s="43"/>
      <c r="R73" s="43"/>
      <c r="S73" s="43"/>
      <c r="T73" s="43"/>
      <c r="U73" s="43"/>
      <c r="V73" s="43"/>
      <c r="W73" s="43"/>
      <c r="X73" s="43"/>
      <c r="Y73" s="43"/>
      <c r="Z73" s="43"/>
      <c r="AA73" s="43"/>
      <c r="AB73" s="41"/>
    </row>
    <row r="74" spans="14:28" x14ac:dyDescent="0.2">
      <c r="N74" s="24" t="s">
        <v>1221</v>
      </c>
      <c r="O74" s="35">
        <v>0</v>
      </c>
      <c r="P74" s="35">
        <v>0</v>
      </c>
      <c r="Q74" s="35">
        <v>0</v>
      </c>
      <c r="R74" s="35">
        <v>0</v>
      </c>
      <c r="S74" s="35">
        <v>0</v>
      </c>
      <c r="T74" s="35">
        <v>0</v>
      </c>
      <c r="U74" s="35">
        <v>0</v>
      </c>
      <c r="V74" s="35">
        <v>0</v>
      </c>
      <c r="W74" s="35">
        <v>0</v>
      </c>
      <c r="X74" s="35">
        <v>0</v>
      </c>
      <c r="Y74" s="35">
        <v>0</v>
      </c>
      <c r="Z74" s="35">
        <v>0</v>
      </c>
      <c r="AA74" s="283">
        <v>0</v>
      </c>
      <c r="AB74" s="36">
        <v>0</v>
      </c>
    </row>
    <row r="75" spans="14:28" x14ac:dyDescent="0.2">
      <c r="N75" s="24" t="s">
        <v>1222</v>
      </c>
      <c r="O75" s="35">
        <v>0</v>
      </c>
      <c r="P75" s="35">
        <v>0</v>
      </c>
      <c r="Q75" s="35">
        <v>0</v>
      </c>
      <c r="R75" s="35">
        <v>0</v>
      </c>
      <c r="S75" s="35">
        <v>0</v>
      </c>
      <c r="T75" s="35">
        <v>0</v>
      </c>
      <c r="U75" s="35">
        <v>0</v>
      </c>
      <c r="V75" s="35">
        <v>0</v>
      </c>
      <c r="W75" s="35">
        <v>0</v>
      </c>
      <c r="X75" s="35">
        <v>0</v>
      </c>
      <c r="Y75" s="35">
        <v>0</v>
      </c>
      <c r="Z75" s="35">
        <v>0</v>
      </c>
      <c r="AA75" s="283">
        <v>0</v>
      </c>
      <c r="AB75" s="36">
        <v>0</v>
      </c>
    </row>
    <row r="76" spans="14:28" x14ac:dyDescent="0.2">
      <c r="N76" s="23" t="s">
        <v>1076</v>
      </c>
      <c r="O76" s="35"/>
      <c r="P76" s="35"/>
      <c r="Q76" s="35"/>
      <c r="R76" s="35"/>
      <c r="S76" s="35"/>
      <c r="T76" s="35"/>
      <c r="U76" s="35"/>
      <c r="V76" s="35"/>
      <c r="W76" s="35"/>
      <c r="X76" s="35"/>
      <c r="Y76" s="35"/>
      <c r="Z76" s="35"/>
      <c r="AA76" s="283">
        <v>0</v>
      </c>
      <c r="AB76" s="36">
        <v>0</v>
      </c>
    </row>
    <row r="77" spans="14:28" x14ac:dyDescent="0.2">
      <c r="N77" s="24" t="s">
        <v>335</v>
      </c>
      <c r="O77" s="282">
        <v>1199.5</v>
      </c>
      <c r="P77" s="282">
        <v>0</v>
      </c>
      <c r="Q77" s="282">
        <v>0</v>
      </c>
      <c r="R77" s="282">
        <v>0</v>
      </c>
      <c r="S77" s="282">
        <v>0</v>
      </c>
      <c r="T77" s="282">
        <v>0</v>
      </c>
      <c r="U77" s="282">
        <v>0</v>
      </c>
      <c r="V77" s="282">
        <v>0</v>
      </c>
      <c r="W77" s="282">
        <v>0</v>
      </c>
      <c r="X77" s="282">
        <v>0</v>
      </c>
      <c r="Y77" s="282">
        <v>0</v>
      </c>
      <c r="Z77" s="282">
        <v>0</v>
      </c>
      <c r="AA77" s="282">
        <v>1199.5</v>
      </c>
      <c r="AB77" s="501">
        <v>4.3792704344288472E-4</v>
      </c>
    </row>
    <row r="78" spans="14:28" x14ac:dyDescent="0.2">
      <c r="N78" s="483" t="s">
        <v>336</v>
      </c>
      <c r="O78" s="496">
        <v>39889.670000000006</v>
      </c>
      <c r="P78" s="496">
        <v>56939.44</v>
      </c>
      <c r="Q78" s="496">
        <v>49609.74</v>
      </c>
      <c r="R78" s="496">
        <v>65571.63</v>
      </c>
      <c r="S78" s="496">
        <v>67054.14</v>
      </c>
      <c r="T78" s="496">
        <v>53859.53</v>
      </c>
      <c r="U78" s="496">
        <v>85441.21</v>
      </c>
      <c r="V78" s="496">
        <v>69885.460000000006</v>
      </c>
      <c r="W78" s="496">
        <v>63917.23</v>
      </c>
      <c r="X78" s="496">
        <v>67766.87999999999</v>
      </c>
      <c r="Y78" s="496">
        <v>70134.11</v>
      </c>
      <c r="Z78" s="496">
        <v>90287.920000000013</v>
      </c>
      <c r="AA78" s="496">
        <v>780356.96000000008</v>
      </c>
      <c r="AB78" s="502">
        <v>0.28490155591736349</v>
      </c>
    </row>
    <row r="79" spans="14:28" x14ac:dyDescent="0.2">
      <c r="N79" s="151" t="s">
        <v>1079</v>
      </c>
      <c r="O79" s="120">
        <v>41089.170000000006</v>
      </c>
      <c r="P79" s="120">
        <v>56939.44</v>
      </c>
      <c r="Q79" s="120">
        <v>49609.74</v>
      </c>
      <c r="R79" s="120">
        <v>65571.63</v>
      </c>
      <c r="S79" s="120">
        <v>67054.14</v>
      </c>
      <c r="T79" s="120">
        <v>53859.53</v>
      </c>
      <c r="U79" s="120">
        <v>85441.21</v>
      </c>
      <c r="V79" s="120">
        <v>69885.460000000006</v>
      </c>
      <c r="W79" s="120">
        <v>63917.23</v>
      </c>
      <c r="X79" s="120">
        <v>67766.87999999999</v>
      </c>
      <c r="Y79" s="120">
        <v>70134.11</v>
      </c>
      <c r="Z79" s="120">
        <v>90287.920000000013</v>
      </c>
      <c r="AA79" s="120">
        <v>781556.46000000008</v>
      </c>
      <c r="AB79" s="121">
        <v>0.28533948296080636</v>
      </c>
    </row>
    <row r="80" spans="14:28" x14ac:dyDescent="0.2">
      <c r="N80" s="24" t="s">
        <v>1080</v>
      </c>
      <c r="O80" s="494">
        <v>4567.1099999999997</v>
      </c>
      <c r="P80" s="494">
        <v>35642.6</v>
      </c>
      <c r="Q80" s="494">
        <v>44208.920000000006</v>
      </c>
      <c r="R80" s="494">
        <v>31728.560000000001</v>
      </c>
      <c r="S80" s="494">
        <v>24830.9</v>
      </c>
      <c r="T80" s="494">
        <v>26040.010000000002</v>
      </c>
      <c r="U80" s="494">
        <v>26767.47</v>
      </c>
      <c r="V80" s="494">
        <v>24957.48</v>
      </c>
      <c r="W80" s="494">
        <v>21313.4</v>
      </c>
      <c r="X80" s="494">
        <v>25036.57</v>
      </c>
      <c r="Y80" s="494">
        <v>31240.18</v>
      </c>
      <c r="Z80" s="494">
        <v>41385.01</v>
      </c>
      <c r="AA80" s="494">
        <v>337718.21</v>
      </c>
      <c r="AB80" s="503">
        <v>0.12329798851365008</v>
      </c>
    </row>
    <row r="81" spans="14:28" x14ac:dyDescent="0.2">
      <c r="N81" s="483" t="s">
        <v>1081</v>
      </c>
      <c r="O81" s="494">
        <v>27301.79</v>
      </c>
      <c r="P81" s="494">
        <v>28954.05</v>
      </c>
      <c r="Q81" s="494">
        <v>31967.119999999999</v>
      </c>
      <c r="R81" s="494">
        <v>27591.22</v>
      </c>
      <c r="S81" s="494">
        <v>34224.019999999997</v>
      </c>
      <c r="T81" s="494">
        <v>36335.410000000003</v>
      </c>
      <c r="U81" s="494">
        <v>4000</v>
      </c>
      <c r="V81" s="494">
        <v>7036.91</v>
      </c>
      <c r="W81" s="494">
        <v>4158.18</v>
      </c>
      <c r="X81" s="494">
        <v>4000</v>
      </c>
      <c r="Y81" s="494">
        <v>6200</v>
      </c>
      <c r="Z81" s="494">
        <v>1500</v>
      </c>
      <c r="AA81" s="494">
        <v>213268.69999999998</v>
      </c>
      <c r="AB81" s="503">
        <v>7.786255210496669E-2</v>
      </c>
    </row>
    <row r="82" spans="14:28" x14ac:dyDescent="0.2">
      <c r="N82" s="24" t="s">
        <v>1082</v>
      </c>
      <c r="O82" s="35">
        <v>0</v>
      </c>
      <c r="P82" s="35">
        <v>0</v>
      </c>
      <c r="Q82" s="35">
        <v>0</v>
      </c>
      <c r="R82" s="35">
        <v>0</v>
      </c>
      <c r="S82" s="35">
        <v>0</v>
      </c>
      <c r="T82" s="35">
        <v>0</v>
      </c>
      <c r="U82" s="35">
        <v>0</v>
      </c>
      <c r="V82" s="35">
        <v>0</v>
      </c>
      <c r="W82" s="35">
        <v>0</v>
      </c>
      <c r="X82" s="35">
        <v>0</v>
      </c>
      <c r="Y82" s="35">
        <v>0</v>
      </c>
      <c r="Z82" s="35">
        <v>0</v>
      </c>
      <c r="AA82" s="35">
        <v>0</v>
      </c>
      <c r="AB82" s="504">
        <v>0</v>
      </c>
    </row>
    <row r="83" spans="14:28" x14ac:dyDescent="0.2">
      <c r="N83" s="151" t="s">
        <v>1083</v>
      </c>
      <c r="O83" s="120">
        <v>72958.070000000007</v>
      </c>
      <c r="P83" s="120">
        <v>121536.09000000001</v>
      </c>
      <c r="Q83" s="120">
        <v>125785.78</v>
      </c>
      <c r="R83" s="120">
        <v>124891.41</v>
      </c>
      <c r="S83" s="120">
        <v>126109.06</v>
      </c>
      <c r="T83" s="120">
        <v>116234.95000000001</v>
      </c>
      <c r="U83" s="120">
        <v>116208.68000000001</v>
      </c>
      <c r="V83" s="120">
        <v>101879.85</v>
      </c>
      <c r="W83" s="120">
        <v>89388.81</v>
      </c>
      <c r="X83" s="120">
        <v>96803.449999999983</v>
      </c>
      <c r="Y83" s="120">
        <v>107574.29000000001</v>
      </c>
      <c r="Z83" s="120">
        <v>133172.93000000002</v>
      </c>
      <c r="AA83" s="120">
        <v>1332543.3700000001</v>
      </c>
      <c r="AB83" s="121">
        <v>0.48650002357942312</v>
      </c>
    </row>
    <row r="84" spans="14:28" x14ac:dyDescent="0.2">
      <c r="N84" s="483" t="s">
        <v>561</v>
      </c>
      <c r="O84" s="494">
        <v>6152.28</v>
      </c>
      <c r="P84" s="494">
        <v>8683.19</v>
      </c>
      <c r="Q84" s="494">
        <v>6924.79</v>
      </c>
      <c r="R84" s="494">
        <v>7715.42</v>
      </c>
      <c r="S84" s="494">
        <v>6826.0499999999993</v>
      </c>
      <c r="T84" s="494">
        <v>5417.08</v>
      </c>
      <c r="U84" s="494">
        <v>5755.34</v>
      </c>
      <c r="V84" s="494">
        <v>5136.3999999999996</v>
      </c>
      <c r="W84" s="494">
        <v>4533.8999999999996</v>
      </c>
      <c r="X84" s="494">
        <v>5672.26</v>
      </c>
      <c r="Y84" s="494">
        <v>5760.63</v>
      </c>
      <c r="Z84" s="494">
        <v>6698.45</v>
      </c>
      <c r="AA84" s="494">
        <v>75275.789999999994</v>
      </c>
      <c r="AB84" s="503">
        <v>2.7482537855379296E-2</v>
      </c>
    </row>
    <row r="85" spans="14:28" x14ac:dyDescent="0.2">
      <c r="N85" s="24" t="s">
        <v>560</v>
      </c>
      <c r="O85" s="35">
        <v>0</v>
      </c>
      <c r="P85" s="35">
        <v>2493.94</v>
      </c>
      <c r="Q85" s="35">
        <v>0</v>
      </c>
      <c r="R85" s="35">
        <v>0</v>
      </c>
      <c r="S85" s="35">
        <v>0</v>
      </c>
      <c r="T85" s="35">
        <v>0</v>
      </c>
      <c r="U85" s="35">
        <v>0</v>
      </c>
      <c r="V85" s="35">
        <v>0</v>
      </c>
      <c r="W85" s="35">
        <v>0</v>
      </c>
      <c r="X85" s="35">
        <v>0</v>
      </c>
      <c r="Y85" s="35">
        <v>0</v>
      </c>
      <c r="Z85" s="35">
        <v>-406.66</v>
      </c>
      <c r="AA85" s="35">
        <v>2087.2800000000002</v>
      </c>
      <c r="AB85" s="504">
        <v>7.620478192892576E-4</v>
      </c>
    </row>
    <row r="86" spans="14:28" x14ac:dyDescent="0.2">
      <c r="N86" s="483" t="s">
        <v>562</v>
      </c>
      <c r="O86" s="494">
        <v>4310.42</v>
      </c>
      <c r="P86" s="494">
        <v>639.32999999999993</v>
      </c>
      <c r="Q86" s="494">
        <v>683.08</v>
      </c>
      <c r="R86" s="494">
        <v>1209.98</v>
      </c>
      <c r="S86" s="494">
        <v>846.57</v>
      </c>
      <c r="T86" s="494">
        <v>766.98</v>
      </c>
      <c r="U86" s="494">
        <v>848.41</v>
      </c>
      <c r="V86" s="494">
        <v>715.13</v>
      </c>
      <c r="W86" s="494">
        <v>628</v>
      </c>
      <c r="X86" s="494">
        <v>754.04</v>
      </c>
      <c r="Y86" s="494">
        <v>594.67999999999995</v>
      </c>
      <c r="Z86" s="494">
        <v>343.89</v>
      </c>
      <c r="AA86" s="494">
        <v>12340.509999999998</v>
      </c>
      <c r="AB86" s="503">
        <v>4.5054131378719072E-3</v>
      </c>
    </row>
    <row r="87" spans="14:28" x14ac:dyDescent="0.2">
      <c r="N87" s="151" t="s">
        <v>1084</v>
      </c>
      <c r="O87" s="33">
        <v>10462.700000000001</v>
      </c>
      <c r="P87" s="33">
        <v>11816.460000000001</v>
      </c>
      <c r="Q87" s="33">
        <v>7607.87</v>
      </c>
      <c r="R87" s="33">
        <v>8925.4</v>
      </c>
      <c r="S87" s="33">
        <v>7672.619999999999</v>
      </c>
      <c r="T87" s="33">
        <v>6184.0599999999995</v>
      </c>
      <c r="U87" s="33">
        <v>6603.75</v>
      </c>
      <c r="V87" s="33">
        <v>5851.53</v>
      </c>
      <c r="W87" s="33">
        <v>5161.8999999999996</v>
      </c>
      <c r="X87" s="33">
        <v>6426.3</v>
      </c>
      <c r="Y87" s="33">
        <v>6355.31</v>
      </c>
      <c r="Z87" s="33">
        <v>6635.68</v>
      </c>
      <c r="AA87" s="33">
        <v>89703.579999999987</v>
      </c>
      <c r="AB87" s="34">
        <v>3.2749998812540461E-2</v>
      </c>
    </row>
    <row r="88" spans="14:28" x14ac:dyDescent="0.2">
      <c r="N88" s="151" t="s">
        <v>1085</v>
      </c>
      <c r="O88" s="33">
        <v>83420.77</v>
      </c>
      <c r="P88" s="33">
        <v>133352.55000000002</v>
      </c>
      <c r="Q88" s="33">
        <v>133393.65</v>
      </c>
      <c r="R88" s="33">
        <v>133816.81</v>
      </c>
      <c r="S88" s="33">
        <v>133781.68</v>
      </c>
      <c r="T88" s="33">
        <v>122419.01000000001</v>
      </c>
      <c r="U88" s="33">
        <v>122812.43000000001</v>
      </c>
      <c r="V88" s="33">
        <v>107731.38</v>
      </c>
      <c r="W88" s="33">
        <v>94550.709999999992</v>
      </c>
      <c r="X88" s="33">
        <v>103229.74999999999</v>
      </c>
      <c r="Y88" s="33">
        <v>113929.60000000001</v>
      </c>
      <c r="Z88" s="33">
        <v>139808.61000000002</v>
      </c>
      <c r="AA88" s="33">
        <v>1422246.9500000002</v>
      </c>
      <c r="AB88" s="34">
        <v>0.51925002239196361</v>
      </c>
    </row>
    <row r="89" spans="14:28" x14ac:dyDescent="0.2">
      <c r="N89" s="1"/>
      <c r="O89" s="174"/>
      <c r="P89" s="262"/>
      <c r="Q89" s="262"/>
      <c r="R89" s="262"/>
      <c r="S89" s="262"/>
      <c r="T89" s="262"/>
      <c r="U89" s="262"/>
      <c r="V89" s="262"/>
      <c r="W89" s="262"/>
      <c r="X89" s="262"/>
      <c r="Y89" s="262"/>
      <c r="Z89" s="262"/>
      <c r="AA89" s="262"/>
      <c r="AB89" s="39"/>
    </row>
    <row r="90" spans="14:28" x14ac:dyDescent="0.2">
      <c r="N90" s="37" t="s">
        <v>1087</v>
      </c>
      <c r="O90" s="40"/>
      <c r="P90" s="43"/>
      <c r="Q90" s="43"/>
      <c r="R90" s="43"/>
      <c r="S90" s="43"/>
      <c r="T90" s="43"/>
      <c r="U90" s="43"/>
      <c r="V90" s="43"/>
      <c r="W90" s="43"/>
      <c r="X90" s="43"/>
      <c r="Y90" s="43"/>
      <c r="Z90" s="43"/>
      <c r="AA90" s="43"/>
      <c r="AB90" s="41"/>
    </row>
    <row r="91" spans="14:28" x14ac:dyDescent="0.2">
      <c r="N91" s="483" t="s">
        <v>1088</v>
      </c>
      <c r="O91" s="494">
        <v>1595.4</v>
      </c>
      <c r="P91" s="494">
        <v>2000.49</v>
      </c>
      <c r="Q91" s="494">
        <v>2024.08</v>
      </c>
      <c r="R91" s="494">
        <v>2240.36</v>
      </c>
      <c r="S91" s="494">
        <v>2157.5300000000002</v>
      </c>
      <c r="T91" s="494">
        <v>2420.35</v>
      </c>
      <c r="U91" s="494">
        <v>2188.58</v>
      </c>
      <c r="V91" s="494">
        <v>1511.61</v>
      </c>
      <c r="W91" s="494">
        <v>1814.02</v>
      </c>
      <c r="X91" s="494">
        <v>2440.02</v>
      </c>
      <c r="Y91" s="494">
        <v>2654.46</v>
      </c>
      <c r="Z91" s="494">
        <v>3751.85</v>
      </c>
      <c r="AA91" s="493">
        <v>26798.75</v>
      </c>
      <c r="AB91" s="495">
        <v>9.7839911258566122E-3</v>
      </c>
    </row>
    <row r="92" spans="14:28" x14ac:dyDescent="0.2">
      <c r="N92" s="24" t="s">
        <v>1223</v>
      </c>
      <c r="O92" s="35">
        <v>0</v>
      </c>
      <c r="P92" s="35">
        <v>0</v>
      </c>
      <c r="Q92" s="35">
        <v>0</v>
      </c>
      <c r="R92" s="35">
        <v>0</v>
      </c>
      <c r="S92" s="35">
        <v>0</v>
      </c>
      <c r="T92" s="35">
        <v>0</v>
      </c>
      <c r="U92" s="35">
        <v>0</v>
      </c>
      <c r="V92" s="35">
        <v>0</v>
      </c>
      <c r="W92" s="35">
        <v>0</v>
      </c>
      <c r="X92" s="35">
        <v>0</v>
      </c>
      <c r="Y92" s="35">
        <v>0</v>
      </c>
      <c r="Z92" s="35">
        <v>0</v>
      </c>
      <c r="AA92" s="283">
        <v>0</v>
      </c>
      <c r="AB92" s="36">
        <v>0</v>
      </c>
    </row>
    <row r="93" spans="14:28" x14ac:dyDescent="0.2">
      <c r="N93" s="24" t="s">
        <v>1089</v>
      </c>
      <c r="O93" s="35">
        <v>0</v>
      </c>
      <c r="P93" s="35">
        <v>0</v>
      </c>
      <c r="Q93" s="35">
        <v>0</v>
      </c>
      <c r="R93" s="35">
        <v>0</v>
      </c>
      <c r="S93" s="35">
        <v>0</v>
      </c>
      <c r="T93" s="35">
        <v>0</v>
      </c>
      <c r="U93" s="35">
        <v>0</v>
      </c>
      <c r="V93" s="35">
        <v>0</v>
      </c>
      <c r="W93" s="35">
        <v>0</v>
      </c>
      <c r="X93" s="35">
        <v>0</v>
      </c>
      <c r="Y93" s="35">
        <v>0</v>
      </c>
      <c r="Z93" s="35">
        <v>0</v>
      </c>
      <c r="AA93" s="283">
        <v>0</v>
      </c>
      <c r="AB93" s="36">
        <v>0</v>
      </c>
    </row>
    <row r="94" spans="14:28" x14ac:dyDescent="0.2">
      <c r="N94" s="483" t="s">
        <v>1090</v>
      </c>
      <c r="O94" s="494">
        <v>19.75</v>
      </c>
      <c r="P94" s="494">
        <v>837.23</v>
      </c>
      <c r="Q94" s="494">
        <v>68</v>
      </c>
      <c r="R94" s="494">
        <v>3553.17</v>
      </c>
      <c r="S94" s="494">
        <v>1327.62</v>
      </c>
      <c r="T94" s="494">
        <v>430.94</v>
      </c>
      <c r="U94" s="494">
        <v>888.56</v>
      </c>
      <c r="V94" s="494">
        <v>2596.2800000000002</v>
      </c>
      <c r="W94" s="494">
        <v>1096.44</v>
      </c>
      <c r="X94" s="494">
        <v>890.59</v>
      </c>
      <c r="Y94" s="494">
        <v>3145.44</v>
      </c>
      <c r="Z94" s="494">
        <v>2823.7</v>
      </c>
      <c r="AA94" s="493">
        <v>17677.72</v>
      </c>
      <c r="AB94" s="495">
        <v>6.4539822045945414E-3</v>
      </c>
    </row>
    <row r="95" spans="14:28" x14ac:dyDescent="0.2">
      <c r="N95" s="483" t="s">
        <v>1091</v>
      </c>
      <c r="O95" s="494">
        <v>539.30999999999995</v>
      </c>
      <c r="P95" s="494">
        <v>2583.31</v>
      </c>
      <c r="Q95" s="494">
        <v>1488.83</v>
      </c>
      <c r="R95" s="494">
        <v>2129.1799999999998</v>
      </c>
      <c r="S95" s="494">
        <v>1183.7</v>
      </c>
      <c r="T95" s="494">
        <v>1412.75</v>
      </c>
      <c r="U95" s="494">
        <v>2398.98</v>
      </c>
      <c r="V95" s="494">
        <v>2771.46</v>
      </c>
      <c r="W95" s="494">
        <v>1685.23</v>
      </c>
      <c r="X95" s="494">
        <v>-326.45</v>
      </c>
      <c r="Y95" s="494">
        <v>2976.66</v>
      </c>
      <c r="Z95" s="494">
        <v>2918.42</v>
      </c>
      <c r="AA95" s="493">
        <v>21761.379999999997</v>
      </c>
      <c r="AB95" s="495">
        <v>7.9448910417983503E-3</v>
      </c>
    </row>
    <row r="96" spans="14:28" x14ac:dyDescent="0.2">
      <c r="N96" s="24" t="s">
        <v>1224</v>
      </c>
      <c r="O96" s="35">
        <v>1166.79</v>
      </c>
      <c r="P96" s="35">
        <v>1587.65</v>
      </c>
      <c r="Q96" s="35">
        <v>521.5</v>
      </c>
      <c r="R96" s="35">
        <v>1941.16</v>
      </c>
      <c r="S96" s="35">
        <v>2081.58</v>
      </c>
      <c r="T96" s="35">
        <v>1164.5</v>
      </c>
      <c r="U96" s="35">
        <v>56</v>
      </c>
      <c r="V96" s="35">
        <v>1256.06</v>
      </c>
      <c r="W96" s="35">
        <v>584.97</v>
      </c>
      <c r="X96" s="35">
        <v>990.55</v>
      </c>
      <c r="Y96" s="35">
        <v>2003.07</v>
      </c>
      <c r="Z96" s="35">
        <v>1296.8599999999999</v>
      </c>
      <c r="AA96" s="283">
        <v>14650.689999999999</v>
      </c>
      <c r="AB96" s="36">
        <v>5.348839813337421E-3</v>
      </c>
    </row>
    <row r="97" spans="14:28" x14ac:dyDescent="0.2">
      <c r="N97" s="483" t="s">
        <v>1225</v>
      </c>
      <c r="O97" s="494">
        <v>0</v>
      </c>
      <c r="P97" s="494">
        <v>0</v>
      </c>
      <c r="Q97" s="494">
        <v>0</v>
      </c>
      <c r="R97" s="494">
        <v>0</v>
      </c>
      <c r="S97" s="494">
        <v>0</v>
      </c>
      <c r="T97" s="494">
        <v>0</v>
      </c>
      <c r="U97" s="494">
        <v>0</v>
      </c>
      <c r="V97" s="494">
        <v>0</v>
      </c>
      <c r="W97" s="494">
        <v>0</v>
      </c>
      <c r="X97" s="494">
        <v>0</v>
      </c>
      <c r="Y97" s="494">
        <v>0</v>
      </c>
      <c r="Z97" s="494">
        <v>0</v>
      </c>
      <c r="AA97" s="493">
        <v>0</v>
      </c>
      <c r="AB97" s="495">
        <v>0</v>
      </c>
    </row>
    <row r="98" spans="14:28" x14ac:dyDescent="0.2">
      <c r="N98" s="483" t="s">
        <v>1226</v>
      </c>
      <c r="O98" s="494">
        <v>1021.47</v>
      </c>
      <c r="P98" s="494">
        <v>868.5</v>
      </c>
      <c r="Q98" s="494">
        <v>0</v>
      </c>
      <c r="R98" s="494">
        <v>0</v>
      </c>
      <c r="S98" s="494">
        <v>38.450000000000003</v>
      </c>
      <c r="T98" s="494">
        <v>0</v>
      </c>
      <c r="U98" s="494">
        <v>0</v>
      </c>
      <c r="V98" s="494">
        <v>0</v>
      </c>
      <c r="W98" s="494">
        <v>0</v>
      </c>
      <c r="X98" s="494">
        <v>0</v>
      </c>
      <c r="Y98" s="494">
        <v>0</v>
      </c>
      <c r="Z98" s="494">
        <v>1031.6600000000001</v>
      </c>
      <c r="AA98" s="493">
        <v>2960.08</v>
      </c>
      <c r="AB98" s="495">
        <v>1.0806995270983028E-3</v>
      </c>
    </row>
    <row r="99" spans="14:28" x14ac:dyDescent="0.2">
      <c r="N99" s="483" t="s">
        <v>1227</v>
      </c>
      <c r="O99" s="494">
        <v>124.48</v>
      </c>
      <c r="P99" s="494">
        <v>0</v>
      </c>
      <c r="Q99" s="494">
        <v>139</v>
      </c>
      <c r="R99" s="494">
        <v>366</v>
      </c>
      <c r="S99" s="494">
        <v>192</v>
      </c>
      <c r="T99" s="494">
        <v>724.8</v>
      </c>
      <c r="U99" s="494">
        <v>1380.57</v>
      </c>
      <c r="V99" s="494">
        <v>1138.97</v>
      </c>
      <c r="W99" s="494">
        <v>546.88</v>
      </c>
      <c r="X99" s="494">
        <v>68</v>
      </c>
      <c r="Y99" s="494">
        <v>122.25</v>
      </c>
      <c r="Z99" s="494">
        <v>394</v>
      </c>
      <c r="AA99" s="493">
        <v>5196.95</v>
      </c>
      <c r="AB99" s="495">
        <v>1.8973613575827425E-3</v>
      </c>
    </row>
    <row r="100" spans="14:28" x14ac:dyDescent="0.2">
      <c r="N100" s="24" t="s">
        <v>1093</v>
      </c>
      <c r="O100" s="35">
        <v>0</v>
      </c>
      <c r="P100" s="35">
        <v>0</v>
      </c>
      <c r="Q100" s="35">
        <v>0</v>
      </c>
      <c r="R100" s="35">
        <v>0</v>
      </c>
      <c r="S100" s="35">
        <v>0</v>
      </c>
      <c r="T100" s="35">
        <v>0</v>
      </c>
      <c r="U100" s="35">
        <v>0</v>
      </c>
      <c r="V100" s="35">
        <v>0</v>
      </c>
      <c r="W100" s="35">
        <v>0</v>
      </c>
      <c r="X100" s="35">
        <v>0</v>
      </c>
      <c r="Y100" s="35">
        <v>0</v>
      </c>
      <c r="Z100" s="35">
        <v>0</v>
      </c>
      <c r="AA100" s="283">
        <v>0</v>
      </c>
      <c r="AB100" s="36">
        <v>0</v>
      </c>
    </row>
    <row r="101" spans="14:28" x14ac:dyDescent="0.2">
      <c r="N101" s="505" t="s">
        <v>1155</v>
      </c>
      <c r="O101" s="506">
        <v>0</v>
      </c>
      <c r="P101" s="506">
        <v>20</v>
      </c>
      <c r="Q101" s="506">
        <v>0</v>
      </c>
      <c r="R101" s="506">
        <v>0</v>
      </c>
      <c r="S101" s="506">
        <v>0</v>
      </c>
      <c r="T101" s="506">
        <v>0</v>
      </c>
      <c r="U101" s="506">
        <v>0</v>
      </c>
      <c r="V101" s="506">
        <v>0</v>
      </c>
      <c r="W101" s="506">
        <v>0</v>
      </c>
      <c r="X101" s="506">
        <v>0</v>
      </c>
      <c r="Y101" s="506">
        <v>0</v>
      </c>
      <c r="Z101" s="506">
        <v>0</v>
      </c>
      <c r="AA101" s="507">
        <v>20</v>
      </c>
      <c r="AB101" s="508">
        <v>7.3018264850835305E-6</v>
      </c>
    </row>
    <row r="102" spans="14:28" x14ac:dyDescent="0.2">
      <c r="N102" s="483" t="s">
        <v>1095</v>
      </c>
      <c r="O102" s="494">
        <v>724.84</v>
      </c>
      <c r="P102" s="494">
        <v>0</v>
      </c>
      <c r="Q102" s="509">
        <v>2500</v>
      </c>
      <c r="R102" s="509">
        <v>-2500</v>
      </c>
      <c r="S102" s="494">
        <v>0</v>
      </c>
      <c r="T102" s="494">
        <v>0</v>
      </c>
      <c r="U102" s="494">
        <v>0</v>
      </c>
      <c r="V102" s="494">
        <v>0</v>
      </c>
      <c r="W102" s="494">
        <v>0</v>
      </c>
      <c r="X102" s="494">
        <v>0</v>
      </c>
      <c r="Y102" s="494">
        <v>0</v>
      </c>
      <c r="Z102" s="494">
        <v>0</v>
      </c>
      <c r="AA102" s="493">
        <v>724.84000000000015</v>
      </c>
      <c r="AB102" s="495">
        <v>2.6463279547239737E-4</v>
      </c>
    </row>
    <row r="103" spans="14:28" x14ac:dyDescent="0.2">
      <c r="N103" s="24" t="s">
        <v>1096</v>
      </c>
      <c r="O103" s="35">
        <v>0</v>
      </c>
      <c r="P103" s="35">
        <v>0</v>
      </c>
      <c r="Q103" s="35">
        <v>0</v>
      </c>
      <c r="R103" s="35">
        <v>0</v>
      </c>
      <c r="S103" s="35">
        <v>0</v>
      </c>
      <c r="T103" s="35">
        <v>0</v>
      </c>
      <c r="U103" s="35">
        <v>0</v>
      </c>
      <c r="V103" s="35">
        <v>0</v>
      </c>
      <c r="W103" s="35">
        <v>-0.17</v>
      </c>
      <c r="X103" s="35">
        <v>0</v>
      </c>
      <c r="Y103" s="35">
        <v>0</v>
      </c>
      <c r="Z103" s="35">
        <v>0</v>
      </c>
      <c r="AA103" s="283">
        <v>-0.17</v>
      </c>
      <c r="AB103" s="36">
        <v>-6.2065525123210014E-8</v>
      </c>
    </row>
    <row r="104" spans="14:28" x14ac:dyDescent="0.2">
      <c r="N104" s="483" t="s">
        <v>1099</v>
      </c>
      <c r="O104" s="494">
        <v>0</v>
      </c>
      <c r="P104" s="494">
        <v>0</v>
      </c>
      <c r="Q104" s="494">
        <v>0</v>
      </c>
      <c r="R104" s="494">
        <v>0</v>
      </c>
      <c r="S104" s="494">
        <v>0</v>
      </c>
      <c r="T104" s="494">
        <v>0</v>
      </c>
      <c r="U104" s="494">
        <v>0</v>
      </c>
      <c r="V104" s="494">
        <v>0</v>
      </c>
      <c r="W104" s="494">
        <v>0</v>
      </c>
      <c r="X104" s="494">
        <v>0</v>
      </c>
      <c r="Y104" s="494">
        <v>0</v>
      </c>
      <c r="Z104" s="494">
        <v>0</v>
      </c>
      <c r="AA104" s="493">
        <v>0</v>
      </c>
      <c r="AB104" s="495">
        <v>0</v>
      </c>
    </row>
    <row r="105" spans="14:28" x14ac:dyDescent="0.2">
      <c r="N105" s="24" t="s">
        <v>1100</v>
      </c>
      <c r="O105" s="35">
        <v>0</v>
      </c>
      <c r="P105" s="35">
        <v>0</v>
      </c>
      <c r="Q105" s="35">
        <v>0</v>
      </c>
      <c r="R105" s="35">
        <v>0</v>
      </c>
      <c r="S105" s="35">
        <v>0</v>
      </c>
      <c r="T105" s="35">
        <v>0</v>
      </c>
      <c r="U105" s="35">
        <v>0</v>
      </c>
      <c r="V105" s="35">
        <v>0</v>
      </c>
      <c r="W105" s="509">
        <v>99.02</v>
      </c>
      <c r="X105" s="35">
        <v>0</v>
      </c>
      <c r="Y105" s="35">
        <v>0</v>
      </c>
      <c r="Z105" s="35">
        <v>0</v>
      </c>
      <c r="AA105" s="283">
        <v>99.02</v>
      </c>
      <c r="AB105" s="36">
        <v>3.6151342927648558E-5</v>
      </c>
    </row>
    <row r="106" spans="14:28" x14ac:dyDescent="0.2">
      <c r="N106" s="483" t="s">
        <v>1101</v>
      </c>
      <c r="O106" s="494">
        <v>225.25</v>
      </c>
      <c r="P106" s="494">
        <v>0</v>
      </c>
      <c r="Q106" s="494">
        <v>0</v>
      </c>
      <c r="R106" s="494">
        <v>984.77</v>
      </c>
      <c r="S106" s="494">
        <v>0</v>
      </c>
      <c r="T106" s="494">
        <v>0</v>
      </c>
      <c r="U106" s="494">
        <v>0</v>
      </c>
      <c r="V106" s="494">
        <v>0</v>
      </c>
      <c r="W106" s="494">
        <v>80.98</v>
      </c>
      <c r="X106" s="494">
        <v>0</v>
      </c>
      <c r="Y106" s="494">
        <v>977.64</v>
      </c>
      <c r="Z106" s="494">
        <v>0</v>
      </c>
      <c r="AA106" s="493">
        <v>2268.64</v>
      </c>
      <c r="AB106" s="495">
        <v>8.2826078185599492E-4</v>
      </c>
    </row>
    <row r="107" spans="14:28" x14ac:dyDescent="0.2">
      <c r="N107" s="24" t="s">
        <v>1102</v>
      </c>
      <c r="O107" s="35">
        <v>92.89</v>
      </c>
      <c r="P107" s="35">
        <v>0</v>
      </c>
      <c r="Q107" s="35">
        <v>0</v>
      </c>
      <c r="R107" s="35">
        <v>0</v>
      </c>
      <c r="S107" s="35">
        <v>0</v>
      </c>
      <c r="T107" s="35">
        <v>0</v>
      </c>
      <c r="U107" s="35">
        <v>0</v>
      </c>
      <c r="V107" s="35">
        <v>0</v>
      </c>
      <c r="W107" s="35">
        <v>0</v>
      </c>
      <c r="X107" s="35">
        <v>0</v>
      </c>
      <c r="Y107" s="35">
        <v>0</v>
      </c>
      <c r="Z107" s="35">
        <v>0</v>
      </c>
      <c r="AA107" s="283">
        <v>92.89</v>
      </c>
      <c r="AB107" s="36">
        <v>3.3913333109970453E-5</v>
      </c>
    </row>
    <row r="108" spans="14:28" x14ac:dyDescent="0.2">
      <c r="N108" s="483" t="s">
        <v>1103</v>
      </c>
      <c r="O108" s="494">
        <v>1813.42</v>
      </c>
      <c r="P108" s="494">
        <v>1839</v>
      </c>
      <c r="Q108" s="494">
        <v>678.52</v>
      </c>
      <c r="R108" s="494">
        <v>1565.69</v>
      </c>
      <c r="S108" s="494">
        <v>1452.63</v>
      </c>
      <c r="T108" s="494">
        <v>1865.96</v>
      </c>
      <c r="U108" s="494">
        <v>2109.9499999999998</v>
      </c>
      <c r="V108" s="494">
        <v>1654.04</v>
      </c>
      <c r="W108" s="494">
        <v>1728.68</v>
      </c>
      <c r="X108" s="494">
        <v>2199.5</v>
      </c>
      <c r="Y108" s="494">
        <v>1995.56</v>
      </c>
      <c r="Z108" s="494">
        <v>1630.26</v>
      </c>
      <c r="AA108" s="493">
        <v>20533.210000000003</v>
      </c>
      <c r="AB108" s="495">
        <v>7.4964968300891008E-3</v>
      </c>
    </row>
    <row r="109" spans="14:28" x14ac:dyDescent="0.2">
      <c r="N109" s="24" t="s">
        <v>1228</v>
      </c>
      <c r="O109" s="35">
        <v>395.48</v>
      </c>
      <c r="P109" s="35">
        <v>0</v>
      </c>
      <c r="Q109" s="35">
        <v>0</v>
      </c>
      <c r="R109" s="35">
        <v>0</v>
      </c>
      <c r="S109" s="35">
        <v>0</v>
      </c>
      <c r="T109" s="35">
        <v>0</v>
      </c>
      <c r="U109" s="35">
        <v>0</v>
      </c>
      <c r="V109" s="35">
        <v>0</v>
      </c>
      <c r="W109" s="35">
        <v>0</v>
      </c>
      <c r="X109" s="35">
        <v>0</v>
      </c>
      <c r="Y109" s="35">
        <v>0</v>
      </c>
      <c r="Z109" s="35">
        <v>0</v>
      </c>
      <c r="AA109" s="283">
        <v>395.48</v>
      </c>
      <c r="AB109" s="36">
        <v>1.4438631691604173E-4</v>
      </c>
    </row>
    <row r="110" spans="14:28" x14ac:dyDescent="0.2">
      <c r="N110" s="483" t="s">
        <v>1229</v>
      </c>
      <c r="O110" s="494">
        <v>0</v>
      </c>
      <c r="P110" s="494">
        <v>0</v>
      </c>
      <c r="Q110" s="494">
        <v>496.72</v>
      </c>
      <c r="R110" s="494">
        <v>431.8</v>
      </c>
      <c r="S110" s="494">
        <v>0</v>
      </c>
      <c r="T110" s="494">
        <v>0</v>
      </c>
      <c r="U110" s="494">
        <v>381.61</v>
      </c>
      <c r="V110" s="494">
        <v>895.4</v>
      </c>
      <c r="W110" s="494">
        <v>0</v>
      </c>
      <c r="X110" s="494">
        <v>0</v>
      </c>
      <c r="Y110" s="494">
        <v>0</v>
      </c>
      <c r="Z110" s="494">
        <v>0</v>
      </c>
      <c r="AA110" s="493">
        <v>2205.5300000000002</v>
      </c>
      <c r="AB110" s="495">
        <v>8.05219868382314E-4</v>
      </c>
    </row>
    <row r="111" spans="14:28" x14ac:dyDescent="0.2">
      <c r="N111" s="24" t="s">
        <v>1230</v>
      </c>
      <c r="O111" s="35">
        <v>0</v>
      </c>
      <c r="P111" s="35">
        <v>0</v>
      </c>
      <c r="Q111" s="35">
        <v>0</v>
      </c>
      <c r="R111" s="35">
        <v>0</v>
      </c>
      <c r="S111" s="35">
        <v>0</v>
      </c>
      <c r="T111" s="35">
        <v>0</v>
      </c>
      <c r="U111" s="35">
        <v>0</v>
      </c>
      <c r="V111" s="35">
        <v>0</v>
      </c>
      <c r="W111" s="35">
        <v>0</v>
      </c>
      <c r="X111" s="35">
        <v>0</v>
      </c>
      <c r="Y111" s="35">
        <v>0</v>
      </c>
      <c r="Z111" s="35">
        <v>0</v>
      </c>
      <c r="AA111" s="283">
        <v>0</v>
      </c>
      <c r="AB111" s="36">
        <v>0</v>
      </c>
    </row>
    <row r="112" spans="14:28" x14ac:dyDescent="0.2">
      <c r="N112" s="24" t="s">
        <v>1231</v>
      </c>
      <c r="O112" s="35">
        <v>0</v>
      </c>
      <c r="P112" s="35">
        <v>0</v>
      </c>
      <c r="Q112" s="35">
        <v>0</v>
      </c>
      <c r="R112" s="35">
        <v>0</v>
      </c>
      <c r="S112" s="35">
        <v>0</v>
      </c>
      <c r="T112" s="35">
        <v>0</v>
      </c>
      <c r="U112" s="35">
        <v>0</v>
      </c>
      <c r="V112" s="35">
        <v>0</v>
      </c>
      <c r="W112" s="35">
        <v>0</v>
      </c>
      <c r="X112" s="35">
        <v>0</v>
      </c>
      <c r="Y112" s="35">
        <v>0</v>
      </c>
      <c r="Z112" s="35">
        <v>0</v>
      </c>
      <c r="AA112" s="283">
        <v>0</v>
      </c>
      <c r="AB112" s="36">
        <v>0</v>
      </c>
    </row>
    <row r="113" spans="14:28" x14ac:dyDescent="0.2">
      <c r="N113" s="483" t="s">
        <v>1232</v>
      </c>
      <c r="O113" s="494">
        <v>3774.91</v>
      </c>
      <c r="P113" s="494">
        <v>180</v>
      </c>
      <c r="Q113" s="494">
        <v>884.5</v>
      </c>
      <c r="R113" s="494">
        <v>0</v>
      </c>
      <c r="S113" s="494">
        <v>986</v>
      </c>
      <c r="T113" s="494">
        <v>0</v>
      </c>
      <c r="U113" s="494">
        <v>578.59</v>
      </c>
      <c r="V113" s="494">
        <v>769.75</v>
      </c>
      <c r="W113" s="494">
        <v>2509.0500000000002</v>
      </c>
      <c r="X113" s="494">
        <v>3205.8199999999997</v>
      </c>
      <c r="Y113" s="494">
        <v>561.75</v>
      </c>
      <c r="Z113" s="494">
        <v>3239.75</v>
      </c>
      <c r="AA113" s="493">
        <v>16690.12</v>
      </c>
      <c r="AB113" s="495">
        <v>6.0934180127611157E-3</v>
      </c>
    </row>
    <row r="114" spans="14:28" x14ac:dyDescent="0.2">
      <c r="N114" s="483" t="s">
        <v>1233</v>
      </c>
      <c r="O114" s="494">
        <v>0</v>
      </c>
      <c r="P114" s="494">
        <v>250</v>
      </c>
      <c r="Q114" s="494">
        <v>1500</v>
      </c>
      <c r="R114" s="494">
        <v>3950</v>
      </c>
      <c r="S114" s="494">
        <v>2000</v>
      </c>
      <c r="T114" s="494">
        <v>1250</v>
      </c>
      <c r="U114" s="494">
        <v>600</v>
      </c>
      <c r="V114" s="494">
        <v>1000</v>
      </c>
      <c r="W114" s="494">
        <v>900</v>
      </c>
      <c r="X114" s="494">
        <v>950</v>
      </c>
      <c r="Y114" s="494">
        <v>750</v>
      </c>
      <c r="Z114" s="494">
        <v>5040</v>
      </c>
      <c r="AA114" s="493">
        <v>18190</v>
      </c>
      <c r="AB114" s="495">
        <v>6.641011188183471E-3</v>
      </c>
    </row>
    <row r="115" spans="14:28" x14ac:dyDescent="0.2">
      <c r="N115" s="24" t="s">
        <v>1234</v>
      </c>
      <c r="O115" s="35">
        <v>0</v>
      </c>
      <c r="P115" s="35">
        <v>0</v>
      </c>
      <c r="Q115" s="35">
        <v>0</v>
      </c>
      <c r="R115" s="35">
        <v>0</v>
      </c>
      <c r="S115" s="35">
        <v>0</v>
      </c>
      <c r="T115" s="35">
        <v>0</v>
      </c>
      <c r="U115" s="35">
        <v>0</v>
      </c>
      <c r="V115" s="35">
        <v>0</v>
      </c>
      <c r="W115" s="35">
        <v>0</v>
      </c>
      <c r="X115" s="35">
        <v>0</v>
      </c>
      <c r="Y115" s="35">
        <v>0</v>
      </c>
      <c r="Z115" s="35">
        <v>0</v>
      </c>
      <c r="AA115" s="283">
        <v>0</v>
      </c>
      <c r="AB115" s="36">
        <v>0</v>
      </c>
    </row>
    <row r="116" spans="14:28" x14ac:dyDescent="0.2">
      <c r="N116" s="483" t="s">
        <v>1108</v>
      </c>
      <c r="O116" s="494">
        <v>0</v>
      </c>
      <c r="P116" s="494">
        <v>0</v>
      </c>
      <c r="Q116" s="494">
        <v>630.55999999999995</v>
      </c>
      <c r="R116" s="494">
        <v>219.35</v>
      </c>
      <c r="S116" s="494">
        <v>184.9</v>
      </c>
      <c r="T116" s="494">
        <v>181.9</v>
      </c>
      <c r="U116" s="494">
        <v>181.9</v>
      </c>
      <c r="V116" s="494">
        <v>454</v>
      </c>
      <c r="W116" s="494">
        <v>315.89999999999998</v>
      </c>
      <c r="X116" s="494">
        <v>181.9</v>
      </c>
      <c r="Y116" s="494">
        <v>210.06</v>
      </c>
      <c r="Z116" s="494">
        <v>350.4</v>
      </c>
      <c r="AA116" s="493">
        <v>2910.8700000000003</v>
      </c>
      <c r="AB116" s="495">
        <v>1.0627333830317549E-3</v>
      </c>
    </row>
    <row r="117" spans="14:28" x14ac:dyDescent="0.2">
      <c r="N117" s="23" t="s">
        <v>1111</v>
      </c>
      <c r="O117" s="30">
        <v>11493.99</v>
      </c>
      <c r="P117" s="30">
        <v>10166.18</v>
      </c>
      <c r="Q117" s="30">
        <v>10931.710000000001</v>
      </c>
      <c r="R117" s="30">
        <v>14881.480000000001</v>
      </c>
      <c r="S117" s="30">
        <v>11604.41</v>
      </c>
      <c r="T117" s="30">
        <v>9451.1999999999989</v>
      </c>
      <c r="U117" s="30">
        <v>10764.74</v>
      </c>
      <c r="V117" s="30">
        <v>14047.569999999998</v>
      </c>
      <c r="W117" s="30">
        <v>11361.000000000002</v>
      </c>
      <c r="X117" s="30">
        <v>10599.929999999998</v>
      </c>
      <c r="Y117" s="30">
        <v>15396.889999999998</v>
      </c>
      <c r="Z117" s="30">
        <v>22476.9</v>
      </c>
      <c r="AA117" s="30">
        <v>153176</v>
      </c>
      <c r="AB117" s="31">
        <v>5.5923228683957743E-2</v>
      </c>
    </row>
    <row r="118" spans="14:28" x14ac:dyDescent="0.2">
      <c r="N118" s="1"/>
      <c r="O118" s="147"/>
      <c r="P118" s="147"/>
      <c r="Q118" s="147"/>
      <c r="R118" s="147"/>
      <c r="S118" s="147"/>
      <c r="T118" s="147"/>
      <c r="U118" s="147"/>
      <c r="V118" s="147"/>
      <c r="W118" s="147"/>
      <c r="X118" s="147"/>
      <c r="Y118" s="147"/>
      <c r="Z118" s="147"/>
      <c r="AA118" s="147"/>
      <c r="AB118" s="1"/>
    </row>
    <row r="119" spans="14:28" x14ac:dyDescent="0.2">
      <c r="N119" s="23" t="s">
        <v>1112</v>
      </c>
      <c r="O119" s="33">
        <v>94914.760000000009</v>
      </c>
      <c r="P119" s="33">
        <v>143518.73000000001</v>
      </c>
      <c r="Q119" s="33">
        <v>144325.35999999999</v>
      </c>
      <c r="R119" s="33">
        <v>148698.29</v>
      </c>
      <c r="S119" s="33">
        <v>145386.09</v>
      </c>
      <c r="T119" s="33">
        <v>131870.21000000002</v>
      </c>
      <c r="U119" s="33">
        <v>133577.17000000001</v>
      </c>
      <c r="V119" s="33">
        <v>121778.95</v>
      </c>
      <c r="W119" s="33">
        <v>105911.70999999999</v>
      </c>
      <c r="X119" s="33">
        <v>113829.67999999998</v>
      </c>
      <c r="Y119" s="33">
        <v>129326.49</v>
      </c>
      <c r="Z119" s="33">
        <v>162285.51</v>
      </c>
      <c r="AA119" s="33">
        <v>1575422.95</v>
      </c>
      <c r="AB119" s="34">
        <v>0.57517325107592132</v>
      </c>
    </row>
    <row r="120" spans="14:28" ht="16" thickBot="1" x14ac:dyDescent="0.25">
      <c r="N120" s="23" t="s">
        <v>1113</v>
      </c>
      <c r="O120" s="58">
        <v>19572.289999999979</v>
      </c>
      <c r="P120" s="58">
        <v>51449.899999999994</v>
      </c>
      <c r="Q120" s="58">
        <v>48888.190000000061</v>
      </c>
      <c r="R120" s="58">
        <v>22099.889999999985</v>
      </c>
      <c r="S120" s="58">
        <v>49384.09</v>
      </c>
      <c r="T120" s="58">
        <v>20132.869999999995</v>
      </c>
      <c r="U120" s="58">
        <v>22975.509999999951</v>
      </c>
      <c r="V120" s="58">
        <v>6051.2300000000105</v>
      </c>
      <c r="W120" s="58">
        <v>61465.280000000028</v>
      </c>
      <c r="X120" s="58">
        <v>27350.820000000022</v>
      </c>
      <c r="Y120" s="58">
        <v>43684.240000000005</v>
      </c>
      <c r="Z120" s="58">
        <v>75622.329999999987</v>
      </c>
      <c r="AA120" s="58">
        <v>448676.64</v>
      </c>
      <c r="AB120" s="59">
        <v>0.16380794865951442</v>
      </c>
    </row>
    <row r="121" spans="14:28" ht="16" thickTop="1" x14ac:dyDescent="0.2"/>
    <row r="124" spans="14:28" x14ac:dyDescent="0.2">
      <c r="N124" s="37" t="s">
        <v>1575</v>
      </c>
    </row>
    <row r="125" spans="14:28" x14ac:dyDescent="0.2">
      <c r="N125" s="37"/>
    </row>
    <row r="126" spans="14:28" x14ac:dyDescent="0.2">
      <c r="N126" s="23" t="s">
        <v>1013</v>
      </c>
    </row>
    <row r="127" spans="14:28" x14ac:dyDescent="0.2">
      <c r="N127" t="s">
        <v>1576</v>
      </c>
      <c r="O127" s="510">
        <v>76467</v>
      </c>
      <c r="P127" s="510">
        <v>154341.89000000001</v>
      </c>
      <c r="Q127" s="511">
        <v>109761.47</v>
      </c>
      <c r="R127" s="512">
        <v>114383.58</v>
      </c>
      <c r="S127" s="510">
        <v>132591.09</v>
      </c>
      <c r="T127" s="510">
        <v>103815.85</v>
      </c>
      <c r="U127" s="510">
        <v>103016.24</v>
      </c>
      <c r="V127" s="510">
        <v>99047.27</v>
      </c>
      <c r="W127" s="510">
        <v>96556.7</v>
      </c>
      <c r="X127" s="511">
        <v>108502.39</v>
      </c>
      <c r="Y127" s="512">
        <v>120465.02</v>
      </c>
      <c r="Z127" s="510">
        <v>176994.11</v>
      </c>
      <c r="AA127" s="510">
        <v>1395942.6099999999</v>
      </c>
    </row>
    <row r="128" spans="14:28" x14ac:dyDescent="0.2">
      <c r="N128" t="s">
        <v>1577</v>
      </c>
      <c r="O128" s="35">
        <v>2348</v>
      </c>
      <c r="P128" s="35">
        <v>3914</v>
      </c>
      <c r="Q128" s="35">
        <v>9395.1200000000008</v>
      </c>
      <c r="R128" s="35">
        <v>19447.849999999999</v>
      </c>
      <c r="S128" s="35">
        <v>23455.42</v>
      </c>
      <c r="T128" s="35">
        <v>16389.63</v>
      </c>
      <c r="U128" s="513">
        <v>16563.080000000002</v>
      </c>
      <c r="V128" s="514">
        <v>15405.36</v>
      </c>
      <c r="W128" s="514">
        <v>12440.21</v>
      </c>
      <c r="X128" s="515">
        <v>13781.67</v>
      </c>
      <c r="Y128" s="516">
        <v>17351.23</v>
      </c>
      <c r="Z128" s="514">
        <v>19458.43</v>
      </c>
      <c r="AA128" s="517">
        <v>169950.00000000003</v>
      </c>
    </row>
    <row r="129" spans="14:27" x14ac:dyDescent="0.2">
      <c r="N129" t="s">
        <v>1578</v>
      </c>
      <c r="O129" s="35">
        <v>27685</v>
      </c>
      <c r="P129" s="35">
        <v>58376.01</v>
      </c>
      <c r="Q129" s="35">
        <v>65449.36</v>
      </c>
      <c r="R129" s="35">
        <v>76097.090000000011</v>
      </c>
      <c r="S129" s="35">
        <v>74860.22</v>
      </c>
      <c r="T129" s="35">
        <v>47606</v>
      </c>
      <c r="U129" s="513">
        <v>41975.05</v>
      </c>
      <c r="V129" s="514">
        <v>44547</v>
      </c>
      <c r="W129" s="517">
        <v>42765.01</v>
      </c>
      <c r="X129" s="518">
        <v>44996</v>
      </c>
      <c r="Y129" s="519">
        <v>61292.5</v>
      </c>
      <c r="Z129" s="520">
        <v>61041.600000000006</v>
      </c>
      <c r="AA129" s="517">
        <v>646690.84</v>
      </c>
    </row>
    <row r="130" spans="14:27" x14ac:dyDescent="0.2">
      <c r="N130" t="s">
        <v>1579</v>
      </c>
      <c r="O130" s="35">
        <v>8750</v>
      </c>
      <c r="P130" s="35">
        <v>9085</v>
      </c>
      <c r="Q130" s="35">
        <v>6205</v>
      </c>
      <c r="R130" s="35">
        <v>762</v>
      </c>
      <c r="S130" s="35">
        <v>4457</v>
      </c>
      <c r="T130" s="35">
        <v>4849</v>
      </c>
      <c r="U130" s="35">
        <v>17931</v>
      </c>
      <c r="V130" s="35">
        <v>177.1</v>
      </c>
      <c r="W130" s="35">
        <v>28602.69</v>
      </c>
      <c r="X130" s="35">
        <v>2647.7</v>
      </c>
      <c r="Y130" s="35">
        <v>5371</v>
      </c>
      <c r="Z130" s="35">
        <v>5603.85</v>
      </c>
      <c r="AA130" s="35">
        <v>94441.34</v>
      </c>
    </row>
    <row r="131" spans="14:27" x14ac:dyDescent="0.2">
      <c r="N131" t="s">
        <v>1580</v>
      </c>
      <c r="O131" s="35">
        <v>735.6</v>
      </c>
      <c r="P131" s="35">
        <v>307.41000000000003</v>
      </c>
      <c r="Q131" s="35">
        <v>211.39</v>
      </c>
      <c r="R131" s="35">
        <v>2741.43</v>
      </c>
      <c r="S131" s="35">
        <v>2514.9899999999998</v>
      </c>
      <c r="T131" s="35">
        <v>1771.64</v>
      </c>
      <c r="U131" s="35">
        <v>2224.5300000000002</v>
      </c>
      <c r="V131" s="35">
        <v>1041.46</v>
      </c>
      <c r="W131" s="35">
        <v>1041.45</v>
      </c>
      <c r="X131" s="35">
        <v>122.5</v>
      </c>
      <c r="Y131" s="35">
        <v>1400.13</v>
      </c>
      <c r="Z131" s="35">
        <v>831.42000000000007</v>
      </c>
      <c r="AA131" s="35">
        <v>14943.950000000003</v>
      </c>
    </row>
    <row r="132" spans="14:27" x14ac:dyDescent="0.2">
      <c r="N132" t="s">
        <v>1581</v>
      </c>
      <c r="O132" s="35">
        <v>1253.44</v>
      </c>
      <c r="P132" s="35">
        <v>3076.76</v>
      </c>
      <c r="Q132" s="35">
        <v>563.84</v>
      </c>
      <c r="R132" s="35">
        <v>182.56</v>
      </c>
      <c r="S132" s="35">
        <v>0</v>
      </c>
      <c r="T132" s="35">
        <v>0</v>
      </c>
      <c r="U132" s="35">
        <v>0</v>
      </c>
      <c r="V132" s="35">
        <v>0</v>
      </c>
      <c r="W132" s="35">
        <v>0</v>
      </c>
      <c r="X132" s="35">
        <v>0</v>
      </c>
      <c r="Y132" s="35">
        <v>0</v>
      </c>
      <c r="Z132" s="35">
        <v>0</v>
      </c>
      <c r="AA132" s="35">
        <v>5076.6000000000013</v>
      </c>
    </row>
    <row r="133" spans="14:27" x14ac:dyDescent="0.2">
      <c r="N133" t="s">
        <v>1582</v>
      </c>
      <c r="O133" s="35">
        <v>0</v>
      </c>
      <c r="P133" s="35">
        <v>875</v>
      </c>
      <c r="Q133" s="35">
        <v>0</v>
      </c>
      <c r="R133" s="35">
        <v>0</v>
      </c>
      <c r="S133" s="35">
        <v>0</v>
      </c>
      <c r="T133" s="35">
        <v>0</v>
      </c>
      <c r="U133" s="35">
        <v>0</v>
      </c>
      <c r="V133" s="35">
        <v>0</v>
      </c>
      <c r="W133" s="35">
        <v>0</v>
      </c>
      <c r="X133" s="35">
        <v>0</v>
      </c>
      <c r="Y133" s="35">
        <v>0</v>
      </c>
      <c r="Z133" s="35">
        <v>0</v>
      </c>
      <c r="AA133" s="35">
        <v>875</v>
      </c>
    </row>
    <row r="134" spans="14:27" x14ac:dyDescent="0.2">
      <c r="N134" t="s">
        <v>1583</v>
      </c>
      <c r="O134" s="35">
        <v>0</v>
      </c>
      <c r="P134" s="35">
        <v>37231.019999999997</v>
      </c>
      <c r="Q134" s="35">
        <v>44333.91</v>
      </c>
      <c r="R134" s="35">
        <v>37385.629999999997</v>
      </c>
      <c r="S134" s="35">
        <v>41891.65</v>
      </c>
      <c r="T134" s="35">
        <v>30963.23</v>
      </c>
      <c r="U134" s="35">
        <v>31492.23</v>
      </c>
      <c r="V134" s="35">
        <v>29023.67</v>
      </c>
      <c r="W134" s="35">
        <v>24999.279999999999</v>
      </c>
      <c r="X134" s="35">
        <v>29435.919999999998</v>
      </c>
      <c r="Y134" s="35">
        <v>36795.449999999997</v>
      </c>
      <c r="Z134" s="35">
        <v>48872.63</v>
      </c>
      <c r="AA134" s="35">
        <v>392424.62</v>
      </c>
    </row>
    <row r="135" spans="14:27" x14ac:dyDescent="0.2">
      <c r="N135" t="s">
        <v>1584</v>
      </c>
      <c r="O135" s="35">
        <v>233</v>
      </c>
      <c r="P135" s="35">
        <v>209</v>
      </c>
      <c r="Q135" s="35">
        <v>55</v>
      </c>
      <c r="R135" s="35">
        <v>210</v>
      </c>
      <c r="S135" s="35">
        <v>370</v>
      </c>
      <c r="T135" s="35">
        <v>535</v>
      </c>
      <c r="U135" s="35">
        <v>410</v>
      </c>
      <c r="V135" s="35">
        <v>249.9</v>
      </c>
      <c r="W135" s="35">
        <v>445</v>
      </c>
      <c r="X135" s="35">
        <v>435</v>
      </c>
      <c r="Y135" s="35">
        <v>304</v>
      </c>
      <c r="Z135" s="35">
        <v>315.93</v>
      </c>
      <c r="AA135" s="35">
        <v>3771.83</v>
      </c>
    </row>
    <row r="136" spans="14:27" x14ac:dyDescent="0.2">
      <c r="N136" t="s">
        <v>1585</v>
      </c>
      <c r="O136" s="521">
        <v>-199.4</v>
      </c>
      <c r="P136" s="521">
        <v>-1234.02</v>
      </c>
      <c r="Q136" s="521">
        <v>-3702.08</v>
      </c>
      <c r="R136" s="521">
        <v>-6152.13</v>
      </c>
      <c r="S136" s="521">
        <v>-9651.5</v>
      </c>
      <c r="T136" s="521">
        <v>-9765.57</v>
      </c>
      <c r="U136" s="521">
        <v>-7047.4699999999993</v>
      </c>
      <c r="V136" s="521">
        <v>-6046.9400000000005</v>
      </c>
      <c r="W136" s="521">
        <v>-6620.79</v>
      </c>
      <c r="X136" s="521">
        <v>-8386.24</v>
      </c>
      <c r="Y136" s="521">
        <v>-11704.859999999999</v>
      </c>
      <c r="Z136" s="521">
        <v>-11136.380000000001</v>
      </c>
      <c r="AA136" s="521">
        <v>-81647.38</v>
      </c>
    </row>
    <row r="137" spans="14:27" x14ac:dyDescent="0.2">
      <c r="N137" t="s">
        <v>1586</v>
      </c>
      <c r="O137" s="35">
        <v>117272.64000000001</v>
      </c>
      <c r="P137" s="35">
        <v>266182.07</v>
      </c>
      <c r="Q137" s="35">
        <v>232273.01000000004</v>
      </c>
      <c r="R137" s="35">
        <v>245058.01</v>
      </c>
      <c r="S137" s="35">
        <v>270488.87</v>
      </c>
      <c r="T137" s="35">
        <v>196164.78000000003</v>
      </c>
      <c r="U137" s="35">
        <v>206564.66</v>
      </c>
      <c r="V137" s="35">
        <v>183444.81999999998</v>
      </c>
      <c r="W137" s="35">
        <v>200229.55000000002</v>
      </c>
      <c r="X137" s="35">
        <v>191534.94</v>
      </c>
      <c r="Y137" s="35">
        <v>231274.47000000003</v>
      </c>
      <c r="Z137" s="35">
        <v>301981.58999999997</v>
      </c>
      <c r="AA137" s="35">
        <v>2642469.41</v>
      </c>
    </row>
    <row r="139" spans="14:27" x14ac:dyDescent="0.2">
      <c r="N139" s="522" t="s">
        <v>1587</v>
      </c>
    </row>
    <row r="140" spans="14:27" x14ac:dyDescent="0.2">
      <c r="N140" t="s">
        <v>1588</v>
      </c>
      <c r="O140" s="510">
        <v>20852.82</v>
      </c>
      <c r="P140" s="510">
        <v>52346.69</v>
      </c>
      <c r="Q140" s="510">
        <v>26166</v>
      </c>
      <c r="R140" s="510">
        <v>47003.94</v>
      </c>
      <c r="S140" s="510">
        <v>64256.280000000006</v>
      </c>
      <c r="T140" s="510">
        <v>35930.35</v>
      </c>
      <c r="U140" s="510">
        <v>39942.600000000006</v>
      </c>
      <c r="V140" s="510">
        <v>47172.499999999993</v>
      </c>
      <c r="W140" s="510">
        <v>30254.729999999996</v>
      </c>
      <c r="X140" s="510">
        <v>41836.33</v>
      </c>
      <c r="Y140" s="510">
        <v>46730.31</v>
      </c>
      <c r="Z140" s="510">
        <v>49645.52</v>
      </c>
      <c r="AA140" s="510">
        <v>502138.07000000007</v>
      </c>
    </row>
    <row r="141" spans="14:27" x14ac:dyDescent="0.2">
      <c r="N141" t="s">
        <v>1589</v>
      </c>
      <c r="O141" s="510">
        <v>1604.02</v>
      </c>
      <c r="P141" s="510">
        <v>1652.02</v>
      </c>
      <c r="Q141" s="510">
        <v>2887.61</v>
      </c>
      <c r="R141" s="510">
        <v>6947.38</v>
      </c>
      <c r="S141" s="510">
        <v>4852.49</v>
      </c>
      <c r="T141" s="510">
        <v>4841.08</v>
      </c>
      <c r="U141" s="510">
        <v>5638.49</v>
      </c>
      <c r="V141" s="510">
        <v>4941.9399999999996</v>
      </c>
      <c r="W141" s="510">
        <v>3059.44</v>
      </c>
      <c r="X141" s="510">
        <v>2695.4</v>
      </c>
      <c r="Y141" s="510">
        <v>2917.16</v>
      </c>
      <c r="Z141" s="510">
        <v>6248.34</v>
      </c>
      <c r="AA141" s="510">
        <v>48285.369999999995</v>
      </c>
    </row>
    <row r="142" spans="14:27" x14ac:dyDescent="0.2">
      <c r="N142" t="s">
        <v>1590</v>
      </c>
      <c r="O142" s="510">
        <v>8730.08</v>
      </c>
      <c r="P142" s="510">
        <v>12368.35</v>
      </c>
      <c r="Q142" s="510">
        <v>12805.630000000001</v>
      </c>
      <c r="R142" s="510">
        <v>22786.1</v>
      </c>
      <c r="S142" s="510">
        <v>8963.41</v>
      </c>
      <c r="T142" s="510">
        <v>5993.15</v>
      </c>
      <c r="U142" s="510">
        <v>6617.98</v>
      </c>
      <c r="V142" s="510">
        <v>6965.29</v>
      </c>
      <c r="W142" s="510">
        <v>2583.73</v>
      </c>
      <c r="X142" s="510">
        <v>9144.81</v>
      </c>
      <c r="Y142" s="510">
        <v>9497.83</v>
      </c>
      <c r="Z142" s="510">
        <v>10009.73</v>
      </c>
      <c r="AA142" s="510">
        <v>116466.08999999997</v>
      </c>
    </row>
    <row r="143" spans="14:27" x14ac:dyDescent="0.2">
      <c r="N143" s="523" t="s">
        <v>1591</v>
      </c>
      <c r="O143" s="510">
        <v>317.89999999999998</v>
      </c>
      <c r="P143" s="510">
        <v>3059.16</v>
      </c>
      <c r="Q143" s="510">
        <v>2426.12</v>
      </c>
      <c r="R143" s="510">
        <v>930.04</v>
      </c>
      <c r="S143" s="510">
        <v>1078.32</v>
      </c>
      <c r="T143" s="510">
        <v>859.56</v>
      </c>
      <c r="U143" s="510">
        <v>257</v>
      </c>
      <c r="V143" s="510">
        <v>589.67999999999995</v>
      </c>
      <c r="W143" s="510">
        <v>-391.36</v>
      </c>
      <c r="X143" s="510">
        <v>715.08</v>
      </c>
      <c r="Y143" s="510">
        <v>2087.42</v>
      </c>
      <c r="Z143" s="510">
        <v>2148.21</v>
      </c>
      <c r="AA143" s="510">
        <v>14077.130000000001</v>
      </c>
    </row>
    <row r="144" spans="14:27" x14ac:dyDescent="0.2">
      <c r="N144" s="523" t="s">
        <v>1592</v>
      </c>
      <c r="O144" s="524">
        <v>0</v>
      </c>
      <c r="P144" s="524">
        <v>0</v>
      </c>
      <c r="Q144" s="524">
        <v>0</v>
      </c>
      <c r="R144" s="524">
        <v>0</v>
      </c>
      <c r="S144" s="524">
        <v>0</v>
      </c>
      <c r="T144" s="524">
        <v>0</v>
      </c>
      <c r="U144" s="524">
        <v>0</v>
      </c>
      <c r="V144" s="524">
        <v>0</v>
      </c>
      <c r="W144" s="524">
        <v>1665</v>
      </c>
      <c r="X144" s="524">
        <v>-1074.45</v>
      </c>
      <c r="Y144" s="524">
        <v>74.849999999999994</v>
      </c>
      <c r="Z144" s="524">
        <v>140.6</v>
      </c>
      <c r="AA144" s="524">
        <v>806</v>
      </c>
    </row>
    <row r="145" spans="14:27" x14ac:dyDescent="0.2">
      <c r="N145" t="s">
        <v>1586</v>
      </c>
      <c r="O145" s="525">
        <v>31504.82</v>
      </c>
      <c r="P145" s="525">
        <v>69426.22</v>
      </c>
      <c r="Q145" s="525">
        <v>44285.360000000008</v>
      </c>
      <c r="R145" s="525">
        <v>77667.459999999992</v>
      </c>
      <c r="S145" s="525">
        <v>79150.500000000015</v>
      </c>
      <c r="T145" s="525">
        <v>47624.14</v>
      </c>
      <c r="U145" s="525">
        <v>52456.070000000007</v>
      </c>
      <c r="V145" s="525">
        <v>59669.409999999996</v>
      </c>
      <c r="W145" s="525">
        <v>37171.54</v>
      </c>
      <c r="X145" s="525">
        <v>53317.170000000006</v>
      </c>
      <c r="Y145" s="525">
        <v>61307.57</v>
      </c>
      <c r="Z145" s="525">
        <v>68192.400000000009</v>
      </c>
      <c r="AA145" s="525">
        <v>681772.66</v>
      </c>
    </row>
    <row r="147" spans="14:27" x14ac:dyDescent="0.2">
      <c r="N147" s="522" t="s">
        <v>1593</v>
      </c>
    </row>
    <row r="148" spans="14:27" x14ac:dyDescent="0.2">
      <c r="N148" t="s">
        <v>1594</v>
      </c>
      <c r="O148" s="510">
        <v>38064.51</v>
      </c>
      <c r="P148" s="510">
        <v>55660.71</v>
      </c>
      <c r="Q148" s="510">
        <v>46675.24</v>
      </c>
      <c r="R148" s="510">
        <v>65571.63</v>
      </c>
      <c r="S148" s="510">
        <v>67054.14</v>
      </c>
      <c r="T148" s="510">
        <v>53859.53</v>
      </c>
      <c r="U148" s="510">
        <v>85441.21</v>
      </c>
      <c r="V148" s="510">
        <v>69885.460000000006</v>
      </c>
      <c r="W148" s="510">
        <v>63917.23</v>
      </c>
      <c r="X148" s="510">
        <v>67766.87999999999</v>
      </c>
      <c r="Y148" s="510">
        <v>70134.11</v>
      </c>
      <c r="Z148" s="510">
        <v>88614.840000000011</v>
      </c>
      <c r="AA148" s="510">
        <v>772645.49</v>
      </c>
    </row>
    <row r="149" spans="14:27" x14ac:dyDescent="0.2">
      <c r="N149" t="s">
        <v>1595</v>
      </c>
      <c r="O149" s="510">
        <v>0</v>
      </c>
      <c r="P149" s="510">
        <v>1278.73</v>
      </c>
      <c r="Q149" s="510">
        <v>2934.5</v>
      </c>
      <c r="R149" s="510">
        <v>0</v>
      </c>
      <c r="S149" s="510">
        <v>0</v>
      </c>
      <c r="T149" s="510">
        <v>0</v>
      </c>
      <c r="U149" s="510">
        <v>0</v>
      </c>
      <c r="V149" s="510">
        <v>0</v>
      </c>
      <c r="W149" s="510">
        <v>0</v>
      </c>
      <c r="X149" s="510">
        <v>0</v>
      </c>
      <c r="Y149" s="510">
        <v>0</v>
      </c>
      <c r="Z149" s="510">
        <v>1673.08</v>
      </c>
      <c r="AA149" s="510">
        <v>5886.3099999999995</v>
      </c>
    </row>
    <row r="150" spans="14:27" x14ac:dyDescent="0.2">
      <c r="N150" t="s">
        <v>1596</v>
      </c>
      <c r="O150" s="510">
        <v>23124.04</v>
      </c>
      <c r="P150" s="510">
        <v>28954.05</v>
      </c>
      <c r="Q150" s="510">
        <v>31967.119999999999</v>
      </c>
      <c r="R150" s="510">
        <v>27591.22</v>
      </c>
      <c r="S150" s="510">
        <v>34224.019999999997</v>
      </c>
      <c r="T150" s="510">
        <v>36335.410000000003</v>
      </c>
      <c r="U150" s="510">
        <v>4000</v>
      </c>
      <c r="V150" s="510">
        <v>7036.91</v>
      </c>
      <c r="W150" s="510">
        <v>4158.18</v>
      </c>
      <c r="X150" s="510">
        <v>4000</v>
      </c>
      <c r="Y150" s="510">
        <v>6200</v>
      </c>
      <c r="Z150" s="510">
        <v>1500</v>
      </c>
      <c r="AA150" s="510">
        <v>209090.94999999998</v>
      </c>
    </row>
    <row r="151" spans="14:27" x14ac:dyDescent="0.2">
      <c r="N151" t="s">
        <v>1597</v>
      </c>
      <c r="O151" s="510">
        <v>0</v>
      </c>
      <c r="P151" s="510">
        <v>35300</v>
      </c>
      <c r="Q151" s="510">
        <v>43696.520000000004</v>
      </c>
      <c r="R151" s="510">
        <v>31378.560000000001</v>
      </c>
      <c r="S151" s="510">
        <v>24800</v>
      </c>
      <c r="T151" s="510">
        <v>26009.11</v>
      </c>
      <c r="U151" s="510">
        <v>26453.47</v>
      </c>
      <c r="V151" s="510">
        <v>24379.88</v>
      </c>
      <c r="W151" s="510">
        <v>20999.4</v>
      </c>
      <c r="X151" s="510">
        <v>24726.17</v>
      </c>
      <c r="Y151" s="510">
        <v>30908.18</v>
      </c>
      <c r="Z151" s="510">
        <v>41053.01</v>
      </c>
      <c r="AA151" s="510">
        <v>329704.3</v>
      </c>
    </row>
    <row r="152" spans="14:27" x14ac:dyDescent="0.2">
      <c r="N152" t="s">
        <v>1598</v>
      </c>
      <c r="O152" s="510">
        <v>0</v>
      </c>
      <c r="P152" s="510">
        <v>342.6</v>
      </c>
      <c r="Q152" s="510">
        <v>512.4</v>
      </c>
      <c r="R152" s="510">
        <v>350</v>
      </c>
      <c r="S152" s="510">
        <v>30.9</v>
      </c>
      <c r="T152" s="510">
        <v>30.9</v>
      </c>
      <c r="U152" s="510">
        <v>314</v>
      </c>
      <c r="V152" s="510">
        <v>577.6</v>
      </c>
      <c r="W152" s="510">
        <v>314</v>
      </c>
      <c r="X152" s="510">
        <v>310.39999999999998</v>
      </c>
      <c r="Y152" s="510">
        <v>332</v>
      </c>
      <c r="Z152" s="510">
        <v>332</v>
      </c>
      <c r="AA152" s="510">
        <v>3446.8</v>
      </c>
    </row>
    <row r="153" spans="14:27" x14ac:dyDescent="0.2">
      <c r="N153" t="s">
        <v>1599</v>
      </c>
      <c r="O153" s="510">
        <v>5382.63</v>
      </c>
      <c r="P153" s="510">
        <v>8683.19</v>
      </c>
      <c r="Q153" s="510">
        <v>6924.79</v>
      </c>
      <c r="R153" s="510">
        <v>7715.42</v>
      </c>
      <c r="S153" s="510">
        <v>6826.0499999999993</v>
      </c>
      <c r="T153" s="510">
        <v>5417.08</v>
      </c>
      <c r="U153" s="510">
        <v>5755.34</v>
      </c>
      <c r="V153" s="510">
        <v>5136.3999999999996</v>
      </c>
      <c r="W153" s="510">
        <v>4533.8999999999996</v>
      </c>
      <c r="X153" s="510">
        <v>5672.26</v>
      </c>
      <c r="Y153" s="510">
        <v>5760.63</v>
      </c>
      <c r="Z153" s="510">
        <v>6698.45</v>
      </c>
      <c r="AA153" s="510">
        <v>74506.14</v>
      </c>
    </row>
    <row r="154" spans="14:27" x14ac:dyDescent="0.2">
      <c r="N154" t="s">
        <v>1600</v>
      </c>
      <c r="O154" s="510">
        <v>527.98</v>
      </c>
      <c r="P154" s="510">
        <v>767.89</v>
      </c>
      <c r="Q154" s="510">
        <v>683.08</v>
      </c>
      <c r="R154" s="510">
        <v>1209.98</v>
      </c>
      <c r="S154" s="510">
        <v>846.57</v>
      </c>
      <c r="T154" s="510">
        <v>766.98</v>
      </c>
      <c r="U154" s="510">
        <v>848.41</v>
      </c>
      <c r="V154" s="510">
        <v>715.13</v>
      </c>
      <c r="W154" s="510">
        <v>628</v>
      </c>
      <c r="X154" s="510">
        <v>754.04</v>
      </c>
      <c r="Y154" s="510">
        <v>594.67999999999995</v>
      </c>
      <c r="Z154" s="510">
        <v>343.89</v>
      </c>
      <c r="AA154" s="510">
        <v>8686.6299999999992</v>
      </c>
    </row>
    <row r="155" spans="14:27" x14ac:dyDescent="0.2">
      <c r="N155" t="s">
        <v>1586</v>
      </c>
      <c r="O155" s="525">
        <v>67099.16</v>
      </c>
      <c r="P155" s="525">
        <v>130987.17000000001</v>
      </c>
      <c r="Q155" s="525">
        <v>133393.65</v>
      </c>
      <c r="R155" s="525">
        <v>133816.81000000003</v>
      </c>
      <c r="S155" s="525">
        <v>133781.68</v>
      </c>
      <c r="T155" s="525">
        <v>122419.01</v>
      </c>
      <c r="U155" s="525">
        <v>122812.43000000001</v>
      </c>
      <c r="V155" s="525">
        <v>107731.38000000002</v>
      </c>
      <c r="W155" s="525">
        <v>94550.709999999992</v>
      </c>
      <c r="X155" s="525">
        <v>103229.74999999997</v>
      </c>
      <c r="Y155" s="525">
        <v>113929.60000000001</v>
      </c>
      <c r="Z155" s="525">
        <v>140215.27000000005</v>
      </c>
      <c r="AA155" s="525">
        <v>1403966.62</v>
      </c>
    </row>
    <row r="157" spans="14:27" x14ac:dyDescent="0.2">
      <c r="N157" s="23" t="s">
        <v>1087</v>
      </c>
    </row>
    <row r="158" spans="14:27" x14ac:dyDescent="0.2">
      <c r="N158" t="s">
        <v>1601</v>
      </c>
      <c r="O158" s="510">
        <v>1021.47</v>
      </c>
      <c r="P158" s="510">
        <v>868.5</v>
      </c>
      <c r="Q158" s="510">
        <v>0</v>
      </c>
      <c r="R158" s="510">
        <v>0</v>
      </c>
      <c r="S158" s="510">
        <v>38.450000000000003</v>
      </c>
      <c r="T158" s="510">
        <v>0</v>
      </c>
      <c r="U158" s="510">
        <v>0</v>
      </c>
      <c r="V158" s="510">
        <v>0</v>
      </c>
      <c r="W158" s="510">
        <v>0</v>
      </c>
      <c r="X158" s="510">
        <v>0</v>
      </c>
      <c r="Y158" s="510">
        <v>0</v>
      </c>
      <c r="Z158" s="510">
        <v>1031.6600000000001</v>
      </c>
      <c r="AA158" s="510">
        <v>2960.08</v>
      </c>
    </row>
    <row r="159" spans="14:27" x14ac:dyDescent="0.2">
      <c r="N159" t="s">
        <v>1602</v>
      </c>
      <c r="O159" s="510">
        <v>1595.4</v>
      </c>
      <c r="P159" s="510">
        <v>2000.49</v>
      </c>
      <c r="Q159" s="510">
        <v>2024.08</v>
      </c>
      <c r="R159" s="510">
        <v>2240.36</v>
      </c>
      <c r="S159" s="510">
        <v>2157.5300000000002</v>
      </c>
      <c r="T159" s="510">
        <v>2420.35</v>
      </c>
      <c r="U159" s="510">
        <v>2188.58</v>
      </c>
      <c r="V159" s="510">
        <v>1511.61</v>
      </c>
      <c r="W159" s="510">
        <v>1814.02</v>
      </c>
      <c r="X159" s="510">
        <v>2440.02</v>
      </c>
      <c r="Y159" s="510">
        <v>2654.46</v>
      </c>
      <c r="Z159" s="510">
        <v>3751.85</v>
      </c>
      <c r="AA159" s="510">
        <v>26798.75</v>
      </c>
    </row>
    <row r="160" spans="14:27" x14ac:dyDescent="0.2">
      <c r="N160" t="s">
        <v>1603</v>
      </c>
      <c r="O160" s="510">
        <v>539.30999999999995</v>
      </c>
      <c r="P160" s="510">
        <v>2583.31</v>
      </c>
      <c r="Q160" s="510">
        <v>1488.83</v>
      </c>
      <c r="R160" s="510">
        <v>2129.1799999999998</v>
      </c>
      <c r="S160" s="510">
        <v>1183.7</v>
      </c>
      <c r="T160" s="510">
        <v>1412.75</v>
      </c>
      <c r="U160" s="510">
        <v>2398.98</v>
      </c>
      <c r="V160" s="510">
        <v>2771.46</v>
      </c>
      <c r="W160" s="510">
        <v>1685.23</v>
      </c>
      <c r="X160" s="510">
        <v>-326.45</v>
      </c>
      <c r="Y160" s="510">
        <v>2976.66</v>
      </c>
      <c r="Z160" s="510">
        <v>2918.42</v>
      </c>
      <c r="AA160" s="510">
        <v>21761.379999999997</v>
      </c>
    </row>
    <row r="161" spans="14:28" x14ac:dyDescent="0.2">
      <c r="N161" s="489" t="s">
        <v>1604</v>
      </c>
      <c r="O161" s="510">
        <v>0</v>
      </c>
      <c r="P161" s="510">
        <v>0</v>
      </c>
      <c r="Q161" s="510">
        <v>496.72</v>
      </c>
      <c r="R161" s="510">
        <v>431.8</v>
      </c>
      <c r="S161" s="510">
        <v>0</v>
      </c>
      <c r="T161" s="510">
        <v>0</v>
      </c>
      <c r="U161" s="510">
        <v>381.61</v>
      </c>
      <c r="V161" s="510">
        <v>895.4</v>
      </c>
      <c r="W161" s="510">
        <v>0</v>
      </c>
      <c r="X161" s="510">
        <v>0</v>
      </c>
      <c r="Y161" s="510">
        <v>0</v>
      </c>
      <c r="Z161" s="510">
        <v>0</v>
      </c>
      <c r="AA161" s="510">
        <v>2205.5300000000002</v>
      </c>
      <c r="AB161" s="489"/>
    </row>
    <row r="162" spans="14:28" x14ac:dyDescent="0.2">
      <c r="N162" t="s">
        <v>1605</v>
      </c>
      <c r="O162" s="510">
        <v>0</v>
      </c>
      <c r="P162" s="510">
        <v>0</v>
      </c>
      <c r="Q162" s="510">
        <v>379.86</v>
      </c>
      <c r="R162" s="510">
        <v>219.35</v>
      </c>
      <c r="S162" s="510">
        <v>181.9</v>
      </c>
      <c r="T162" s="510">
        <v>181.9</v>
      </c>
      <c r="U162" s="510">
        <v>181.9</v>
      </c>
      <c r="V162" s="510">
        <v>452</v>
      </c>
      <c r="W162" s="510">
        <v>312.89999999999998</v>
      </c>
      <c r="X162" s="510">
        <v>181.9</v>
      </c>
      <c r="Y162" s="510">
        <v>210.06</v>
      </c>
      <c r="Z162" s="510">
        <v>317.39999999999998</v>
      </c>
      <c r="AA162" s="510">
        <v>2619.17</v>
      </c>
    </row>
    <row r="163" spans="14:28" x14ac:dyDescent="0.2">
      <c r="N163" t="s">
        <v>1606</v>
      </c>
      <c r="O163" s="510">
        <v>1166.79</v>
      </c>
      <c r="P163" s="510">
        <v>1587.65</v>
      </c>
      <c r="Q163" s="510">
        <v>521.5</v>
      </c>
      <c r="R163" s="510">
        <v>1941.16</v>
      </c>
      <c r="S163" s="510">
        <v>2081.58</v>
      </c>
      <c r="T163" s="510">
        <v>1164.5</v>
      </c>
      <c r="U163" s="510">
        <v>56</v>
      </c>
      <c r="V163" s="510">
        <v>1256.06</v>
      </c>
      <c r="W163" s="510">
        <v>584.97</v>
      </c>
      <c r="X163" s="510">
        <v>990.55</v>
      </c>
      <c r="Y163" s="510">
        <v>2003.07</v>
      </c>
      <c r="Z163" s="510">
        <v>1296.8599999999999</v>
      </c>
      <c r="AA163" s="510">
        <v>14650.689999999999</v>
      </c>
    </row>
    <row r="164" spans="14:28" x14ac:dyDescent="0.2">
      <c r="N164" t="s">
        <v>1607</v>
      </c>
      <c r="O164" s="510">
        <v>1074.3</v>
      </c>
      <c r="P164" s="510">
        <v>1839</v>
      </c>
      <c r="Q164" s="510">
        <v>678.52</v>
      </c>
      <c r="R164" s="510">
        <v>1565.69</v>
      </c>
      <c r="S164" s="510">
        <v>1452.63</v>
      </c>
      <c r="T164" s="510">
        <v>1865.96</v>
      </c>
      <c r="U164" s="510">
        <v>2109.9499999999998</v>
      </c>
      <c r="V164" s="510">
        <v>1654.04</v>
      </c>
      <c r="W164" s="510">
        <v>1728.68</v>
      </c>
      <c r="X164" s="510">
        <v>2199.5</v>
      </c>
      <c r="Y164" s="510">
        <v>1995.56</v>
      </c>
      <c r="Z164" s="510">
        <v>1630.26</v>
      </c>
      <c r="AA164" s="510">
        <v>19794.09</v>
      </c>
    </row>
    <row r="165" spans="14:28" x14ac:dyDescent="0.2">
      <c r="N165" t="s">
        <v>1608</v>
      </c>
      <c r="O165" s="510">
        <v>19.75</v>
      </c>
      <c r="P165" s="510">
        <v>837.23</v>
      </c>
      <c r="Q165" s="510">
        <v>68</v>
      </c>
      <c r="R165" s="510">
        <v>3553.17</v>
      </c>
      <c r="S165" s="510">
        <v>1327.62</v>
      </c>
      <c r="T165" s="510">
        <v>430.94</v>
      </c>
      <c r="U165" s="510">
        <v>1083.3</v>
      </c>
      <c r="V165" s="510">
        <v>2596.2800000000002</v>
      </c>
      <c r="W165" s="510">
        <v>1096.44</v>
      </c>
      <c r="X165" s="510">
        <v>890.59</v>
      </c>
      <c r="Y165" s="510">
        <v>3145.44</v>
      </c>
      <c r="Z165" s="510">
        <v>2823.7</v>
      </c>
      <c r="AA165" s="510">
        <v>17872.46</v>
      </c>
    </row>
    <row r="166" spans="14:28" x14ac:dyDescent="0.2">
      <c r="N166" t="s">
        <v>1609</v>
      </c>
      <c r="O166" s="510">
        <v>225.25</v>
      </c>
      <c r="P166" s="510">
        <v>0</v>
      </c>
      <c r="Q166" s="510">
        <v>0</v>
      </c>
      <c r="R166" s="510">
        <v>984.77</v>
      </c>
      <c r="S166" s="510">
        <v>0</v>
      </c>
      <c r="T166" s="510">
        <v>0</v>
      </c>
      <c r="U166" s="510">
        <v>0</v>
      </c>
      <c r="V166" s="510">
        <v>0</v>
      </c>
      <c r="W166" s="510">
        <v>80.98</v>
      </c>
      <c r="X166" s="510">
        <v>0</v>
      </c>
      <c r="Y166" s="510">
        <v>977.64</v>
      </c>
      <c r="Z166" s="510">
        <v>0</v>
      </c>
      <c r="AA166" s="510">
        <v>2268.64</v>
      </c>
    </row>
    <row r="167" spans="14:28" x14ac:dyDescent="0.2">
      <c r="N167" t="s">
        <v>1610</v>
      </c>
      <c r="O167" s="510">
        <v>2765.17</v>
      </c>
      <c r="P167" s="510">
        <v>180</v>
      </c>
      <c r="Q167" s="510">
        <v>884.5</v>
      </c>
      <c r="R167" s="510">
        <v>0</v>
      </c>
      <c r="S167" s="510">
        <v>986</v>
      </c>
      <c r="T167" s="510">
        <v>0</v>
      </c>
      <c r="U167" s="510">
        <v>578.59</v>
      </c>
      <c r="V167" s="510">
        <v>769.75</v>
      </c>
      <c r="W167" s="510">
        <v>2509.0500000000002</v>
      </c>
      <c r="X167" s="510">
        <v>3205.8199999999997</v>
      </c>
      <c r="Y167" s="510">
        <v>561.75</v>
      </c>
      <c r="Z167" s="510">
        <v>2447.75</v>
      </c>
      <c r="AA167" s="510">
        <v>14888.380000000001</v>
      </c>
    </row>
    <row r="168" spans="14:28" x14ac:dyDescent="0.2">
      <c r="N168" t="s">
        <v>1611</v>
      </c>
      <c r="O168" s="510">
        <v>0</v>
      </c>
      <c r="P168" s="510">
        <v>0</v>
      </c>
      <c r="Q168" s="510">
        <v>139</v>
      </c>
      <c r="R168" s="510">
        <v>366</v>
      </c>
      <c r="S168" s="510">
        <v>192</v>
      </c>
      <c r="T168" s="510">
        <v>724.8</v>
      </c>
      <c r="U168" s="510">
        <v>1380.57</v>
      </c>
      <c r="V168" s="510">
        <v>1138.97</v>
      </c>
      <c r="W168" s="510">
        <v>546.88</v>
      </c>
      <c r="X168" s="510">
        <v>68</v>
      </c>
      <c r="Y168" s="510">
        <v>122.25</v>
      </c>
      <c r="Z168" s="510">
        <v>394</v>
      </c>
      <c r="AA168" s="510">
        <v>5072.47</v>
      </c>
    </row>
    <row r="169" spans="14:28" x14ac:dyDescent="0.2">
      <c r="N169" t="s">
        <v>1612</v>
      </c>
      <c r="O169" s="510">
        <v>0</v>
      </c>
      <c r="P169" s="510">
        <v>0</v>
      </c>
      <c r="Q169" s="510">
        <v>1500</v>
      </c>
      <c r="R169" s="510">
        <v>3950</v>
      </c>
      <c r="S169" s="510">
        <v>2000</v>
      </c>
      <c r="T169" s="510">
        <v>1250</v>
      </c>
      <c r="U169" s="510">
        <v>600</v>
      </c>
      <c r="V169" s="510">
        <v>1000</v>
      </c>
      <c r="W169" s="510">
        <v>900</v>
      </c>
      <c r="X169" s="510">
        <v>950</v>
      </c>
      <c r="Y169" s="510">
        <v>750</v>
      </c>
      <c r="Z169" s="510">
        <v>5040</v>
      </c>
      <c r="AA169" s="510">
        <v>17940</v>
      </c>
    </row>
    <row r="170" spans="14:28" x14ac:dyDescent="0.2">
      <c r="N170" t="s">
        <v>1613</v>
      </c>
      <c r="O170" s="510">
        <v>0</v>
      </c>
      <c r="P170" s="510">
        <v>0</v>
      </c>
      <c r="Q170" s="510">
        <v>250.7</v>
      </c>
      <c r="R170" s="510">
        <v>0</v>
      </c>
      <c r="S170" s="510">
        <v>3</v>
      </c>
      <c r="T170" s="510">
        <v>0</v>
      </c>
      <c r="U170" s="510">
        <v>0</v>
      </c>
      <c r="V170" s="510">
        <v>2</v>
      </c>
      <c r="W170" s="510">
        <v>3</v>
      </c>
      <c r="X170" s="510">
        <v>0</v>
      </c>
      <c r="Y170" s="510">
        <v>0</v>
      </c>
      <c r="Z170" s="510">
        <v>33</v>
      </c>
      <c r="AA170" s="510">
        <v>291.7</v>
      </c>
    </row>
    <row r="171" spans="14:28" x14ac:dyDescent="0.2">
      <c r="N171" t="s">
        <v>1586</v>
      </c>
      <c r="O171" s="525">
        <v>8407.4399999999987</v>
      </c>
      <c r="P171" s="525">
        <v>9896.1799999999985</v>
      </c>
      <c r="Q171" s="525">
        <v>8431.7100000000009</v>
      </c>
      <c r="R171" s="525">
        <v>17381.480000000003</v>
      </c>
      <c r="S171" s="525">
        <v>11604.41</v>
      </c>
      <c r="T171" s="525">
        <v>9451.1999999999989</v>
      </c>
      <c r="U171" s="525">
        <v>10959.479999999998</v>
      </c>
      <c r="V171" s="525">
        <v>14047.57</v>
      </c>
      <c r="W171" s="525">
        <v>11262.15</v>
      </c>
      <c r="X171" s="525">
        <v>10599.93</v>
      </c>
      <c r="Y171" s="525">
        <v>15396.89</v>
      </c>
      <c r="Z171" s="525">
        <v>21684.9</v>
      </c>
      <c r="AA171" s="525">
        <v>149123.34</v>
      </c>
    </row>
    <row r="173" spans="14:28" x14ac:dyDescent="0.2">
      <c r="N173" s="23" t="s">
        <v>1573</v>
      </c>
    </row>
    <row r="174" spans="14:28" x14ac:dyDescent="0.2">
      <c r="N174" t="s">
        <v>1001</v>
      </c>
      <c r="O174" s="512">
        <v>117272.63999999998</v>
      </c>
      <c r="P174" s="512">
        <v>266182.07</v>
      </c>
      <c r="Q174" s="512">
        <v>232316.19000000003</v>
      </c>
      <c r="R174" s="512">
        <v>245058.01</v>
      </c>
      <c r="S174" s="512">
        <v>270488.87</v>
      </c>
      <c r="T174" s="512">
        <v>196164.78</v>
      </c>
      <c r="U174" s="512">
        <v>206564.65999999997</v>
      </c>
      <c r="V174" s="512">
        <v>183444.82</v>
      </c>
      <c r="W174" s="512">
        <v>200229.55000000002</v>
      </c>
      <c r="X174" s="512">
        <v>191534.94</v>
      </c>
      <c r="Y174" s="512">
        <v>231274.47</v>
      </c>
      <c r="Z174" s="512">
        <v>301981.58999999997</v>
      </c>
      <c r="AA174" s="512">
        <v>2642512.5900000003</v>
      </c>
    </row>
    <row r="175" spans="14:28" x14ac:dyDescent="0.2">
      <c r="N175" t="s">
        <v>1219</v>
      </c>
      <c r="O175" s="35">
        <v>31504.820000000003</v>
      </c>
      <c r="P175" s="35">
        <v>69426.22</v>
      </c>
      <c r="Q175" s="35">
        <v>44285.360000000008</v>
      </c>
      <c r="R175" s="35">
        <v>77667.460000000006</v>
      </c>
      <c r="S175" s="35">
        <v>79150.5</v>
      </c>
      <c r="T175" s="35">
        <v>47624.14</v>
      </c>
      <c r="U175" s="35">
        <v>52456.070000000007</v>
      </c>
      <c r="V175" s="35">
        <v>59669.409999999996</v>
      </c>
      <c r="W175" s="35">
        <v>37171.539999999994</v>
      </c>
      <c r="X175" s="35">
        <v>53317.170000000006</v>
      </c>
      <c r="Y175" s="35">
        <v>61307.569999999992</v>
      </c>
      <c r="Z175" s="35">
        <v>68192.399999999994</v>
      </c>
      <c r="AA175" s="35">
        <v>681772.66000000015</v>
      </c>
    </row>
    <row r="176" spans="14:28" x14ac:dyDescent="0.2">
      <c r="N176" t="s">
        <v>1085</v>
      </c>
      <c r="O176" s="35">
        <v>67099.16</v>
      </c>
      <c r="P176" s="35">
        <v>130987.17000000001</v>
      </c>
      <c r="Q176" s="35">
        <v>133393.65</v>
      </c>
      <c r="R176" s="35">
        <v>133816.81</v>
      </c>
      <c r="S176" s="35">
        <v>133781.68</v>
      </c>
      <c r="T176" s="35">
        <v>122419.01000000001</v>
      </c>
      <c r="U176" s="35">
        <v>122812.43000000001</v>
      </c>
      <c r="V176" s="35">
        <v>107731.38</v>
      </c>
      <c r="W176" s="35">
        <v>94550.709999999992</v>
      </c>
      <c r="X176" s="35">
        <v>103229.74999999999</v>
      </c>
      <c r="Y176" s="35">
        <v>113929.60000000001</v>
      </c>
      <c r="Z176" s="35">
        <v>140215.27000000002</v>
      </c>
      <c r="AA176" s="35">
        <v>1403966.62</v>
      </c>
    </row>
    <row r="177" spans="14:27" x14ac:dyDescent="0.2">
      <c r="N177" t="s">
        <v>1111</v>
      </c>
      <c r="O177" s="35">
        <v>8407.4399999999987</v>
      </c>
      <c r="P177" s="35">
        <v>9896.18</v>
      </c>
      <c r="Q177" s="35">
        <v>10975.650000000001</v>
      </c>
      <c r="R177" s="35">
        <v>14881.480000000001</v>
      </c>
      <c r="S177" s="35">
        <v>11604.41</v>
      </c>
      <c r="T177" s="35">
        <v>9451.1999999999989</v>
      </c>
      <c r="U177" s="35">
        <v>10959.48</v>
      </c>
      <c r="V177" s="35">
        <v>14047.569999999998</v>
      </c>
      <c r="W177" s="35">
        <v>11361.170000000002</v>
      </c>
      <c r="X177" s="35">
        <v>10599.929999999998</v>
      </c>
      <c r="Y177" s="35">
        <v>15396.889999999998</v>
      </c>
      <c r="Z177" s="35">
        <v>21684.9</v>
      </c>
      <c r="AA177" s="35">
        <v>149266.29999999999</v>
      </c>
    </row>
    <row r="178" spans="14:27" x14ac:dyDescent="0.2">
      <c r="Q178" s="486"/>
    </row>
    <row r="179" spans="14:27" x14ac:dyDescent="0.2">
      <c r="Q179" s="486"/>
    </row>
  </sheetData>
  <pageMargins left="0.7" right="0.7" top="0.75" bottom="0.75" header="0.3" footer="0.3"/>
  <legacyDrawing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80">
    <tabColor theme="9" tint="0.39997558519241921"/>
    <pageSetUpPr fitToPage="1"/>
  </sheetPr>
  <dimension ref="A1:AP160"/>
  <sheetViews>
    <sheetView topLeftCell="K25" zoomScale="85" zoomScaleNormal="85" workbookViewId="0">
      <pane xSplit="3" ySplit="8" topLeftCell="N33" activePane="bottomRight" state="frozen"/>
      <selection activeCell="K25" sqref="K25"/>
      <selection pane="topRight" activeCell="N25" sqref="N25"/>
      <selection pane="bottomLeft" activeCell="K33" sqref="K33"/>
      <selection pane="bottomRight" activeCell="N33" sqref="N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 hidden="1" customWidth="1" outlineLevel="1"/>
    <col min="13" max="13" width="36.6640625" style="1" customWidth="1" collapsed="1"/>
    <col min="14" max="25" width="11.6640625" style="1" customWidth="1" outlineLevel="1"/>
    <col min="26" max="26" width="12.6640625" style="1" customWidth="1"/>
    <col min="27" max="27" width="7.6640625" style="1" customWidth="1"/>
    <col min="28" max="28" width="1.6640625" style="1" customWidth="1"/>
    <col min="29" max="29" width="12.6640625" style="1" customWidth="1"/>
    <col min="30" max="30" width="7.6640625" style="1" customWidth="1"/>
    <col min="31" max="31" width="11.6640625" style="1" customWidth="1"/>
    <col min="32" max="32" width="12.6640625" style="1" customWidth="1"/>
    <col min="33" max="33" width="7.6640625" style="1" customWidth="1"/>
    <col min="34" max="34" width="11.6640625" style="1" customWidth="1"/>
    <col min="35" max="39" width="9.1640625" style="1" hidden="1" customWidth="1" outlineLevel="1"/>
    <col min="40" max="40" width="9.1640625" style="1" collapsed="1"/>
    <col min="41" max="16384" width="9.1640625" style="1"/>
  </cols>
  <sheetData>
    <row r="1" spans="1:34" hidden="1" outlineLevel="1" x14ac:dyDescent="0.2">
      <c r="A1" s="8" t="s">
        <v>48</v>
      </c>
      <c r="B1" s="2" t="s">
        <v>49</v>
      </c>
      <c r="C1" s="8" t="s">
        <v>980</v>
      </c>
      <c r="I1" s="1"/>
      <c r="J1" s="1"/>
    </row>
    <row r="2" spans="1:34" hidden="1" outlineLevel="1" x14ac:dyDescent="0.2">
      <c r="A2" s="8" t="s">
        <v>22</v>
      </c>
      <c r="B2" s="12" t="s">
        <v>56</v>
      </c>
      <c r="C2" s="1" t="s">
        <v>981</v>
      </c>
      <c r="I2" s="1"/>
      <c r="J2" s="1"/>
    </row>
    <row r="3" spans="1:34" hidden="1" outlineLevel="1" x14ac:dyDescent="0.2">
      <c r="A3" s="8" t="s">
        <v>50</v>
      </c>
      <c r="B3" s="9" t="s">
        <v>979</v>
      </c>
      <c r="C3" s="1" t="s">
        <v>982</v>
      </c>
      <c r="I3" s="1"/>
      <c r="J3" s="1"/>
    </row>
    <row r="4" spans="1:34" hidden="1" outlineLevel="1" x14ac:dyDescent="0.2">
      <c r="A4" s="8" t="s">
        <v>19</v>
      </c>
      <c r="B4" s="9" t="str">
        <f>SetUp!$D$6</f>
        <v>CURRENT</v>
      </c>
      <c r="C4" s="1" t="s">
        <v>960</v>
      </c>
      <c r="E4" s="46">
        <v>20250100</v>
      </c>
      <c r="F4" s="46">
        <v>20250100</v>
      </c>
    </row>
    <row r="5" spans="1:34" hidden="1" outlineLevel="1" x14ac:dyDescent="0.2">
      <c r="A5" s="8" t="s">
        <v>51</v>
      </c>
      <c r="B5" s="12" t="s">
        <v>59</v>
      </c>
      <c r="C5" s="1" t="s">
        <v>59</v>
      </c>
    </row>
    <row r="6" spans="1:34" hidden="1" outlineLevel="1" x14ac:dyDescent="0.2">
      <c r="A6" s="8" t="s">
        <v>52</v>
      </c>
      <c r="B6" s="12" t="s">
        <v>463</v>
      </c>
      <c r="C6" s="1" t="s">
        <v>1015</v>
      </c>
      <c r="E6" s="46"/>
      <c r="F6" s="1" t="s">
        <v>278</v>
      </c>
    </row>
    <row r="7" spans="1:34" hidden="1" outlineLevel="1" x14ac:dyDescent="0.2">
      <c r="A7" s="8" t="s">
        <v>53</v>
      </c>
      <c r="B7" s="12" t="s">
        <v>61</v>
      </c>
      <c r="C7" s="1" t="s">
        <v>984</v>
      </c>
    </row>
    <row r="8" spans="1:34" hidden="1" outlineLevel="1" x14ac:dyDescent="0.2">
      <c r="A8" s="8" t="s">
        <v>20</v>
      </c>
      <c r="B8" s="12" t="s">
        <v>63</v>
      </c>
      <c r="C8" s="1" t="s">
        <v>985</v>
      </c>
    </row>
    <row r="9" spans="1:34" hidden="1" outlineLevel="1" x14ac:dyDescent="0.2">
      <c r="A9" s="8" t="s">
        <v>54</v>
      </c>
      <c r="B9" s="9" t="str">
        <f>SetUp!$D$10</f>
        <v>LC</v>
      </c>
      <c r="C9" s="1" t="s">
        <v>986</v>
      </c>
    </row>
    <row r="10" spans="1:34" hidden="1" outlineLevel="1" x14ac:dyDescent="0.2">
      <c r="A10" s="8" t="s">
        <v>18</v>
      </c>
      <c r="B10" s="9" t="str">
        <f>SetUp!$D$7</f>
        <v>2024.TOTAL</v>
      </c>
      <c r="C10" s="1" t="s">
        <v>987</v>
      </c>
      <c r="D10" s="212" t="s">
        <v>988</v>
      </c>
    </row>
    <row r="11" spans="1:34" hidden="1" outlineLevel="1" x14ac:dyDescent="0.2">
      <c r="B11" s="8"/>
      <c r="L11" s="46" t="str">
        <f>IF(LEFT(SetUp!$D$6,3)="ALT","Y","N")</f>
        <v>N</v>
      </c>
      <c r="M11" s="1" t="s">
        <v>800</v>
      </c>
      <c r="N11" s="2" t="s">
        <v>682</v>
      </c>
      <c r="O11" s="2" t="s">
        <v>682</v>
      </c>
      <c r="P11" s="2" t="s">
        <v>682</v>
      </c>
      <c r="Q11" s="2" t="s">
        <v>682</v>
      </c>
      <c r="R11" s="2" t="s">
        <v>682</v>
      </c>
      <c r="S11" s="2" t="s">
        <v>682</v>
      </c>
      <c r="T11" s="2" t="s">
        <v>682</v>
      </c>
      <c r="U11" s="2" t="s">
        <v>682</v>
      </c>
      <c r="V11" s="2" t="s">
        <v>682</v>
      </c>
      <c r="W11" s="2" t="s">
        <v>682</v>
      </c>
      <c r="X11" s="2" t="s">
        <v>682</v>
      </c>
      <c r="Y11" s="2" t="s">
        <v>682</v>
      </c>
    </row>
    <row r="12" spans="1:34" hidden="1" outlineLevel="1" x14ac:dyDescent="0.2">
      <c r="A12" s="1" t="s">
        <v>115</v>
      </c>
      <c r="B12" s="46">
        <v>2024</v>
      </c>
      <c r="L12" s="11"/>
      <c r="M12" s="1" t="s">
        <v>597</v>
      </c>
      <c r="N12" s="213" t="s">
        <v>78</v>
      </c>
      <c r="O12" s="213" t="s">
        <v>78</v>
      </c>
      <c r="P12" s="213" t="s">
        <v>78</v>
      </c>
      <c r="Q12" s="213" t="s">
        <v>78</v>
      </c>
      <c r="R12" s="213" t="s">
        <v>78</v>
      </c>
      <c r="S12" s="213" t="s">
        <v>78</v>
      </c>
      <c r="T12" s="213" t="s">
        <v>78</v>
      </c>
      <c r="U12" s="213" t="s">
        <v>78</v>
      </c>
      <c r="V12" s="213" t="s">
        <v>78</v>
      </c>
      <c r="W12" s="213" t="s">
        <v>78</v>
      </c>
      <c r="X12" s="213" t="s">
        <v>78</v>
      </c>
      <c r="Y12" s="213" t="s">
        <v>78</v>
      </c>
      <c r="Z12" s="213"/>
      <c r="AC12" s="213"/>
      <c r="AF12" s="213"/>
    </row>
    <row r="13" spans="1:34" hidden="1" outlineLevel="1" x14ac:dyDescent="0.2">
      <c r="A13" s="1" t="s">
        <v>602</v>
      </c>
      <c r="B13" s="46">
        <v>2024</v>
      </c>
      <c r="L13" s="11"/>
      <c r="M13" s="1" t="s">
        <v>598</v>
      </c>
      <c r="N13" s="53">
        <v>20240100</v>
      </c>
      <c r="O13" s="53">
        <v>20240200</v>
      </c>
      <c r="P13" s="53">
        <v>20240300</v>
      </c>
      <c r="Q13" s="53">
        <v>20240400</v>
      </c>
      <c r="R13" s="53">
        <v>20240500</v>
      </c>
      <c r="S13" s="53">
        <v>20240600</v>
      </c>
      <c r="T13" s="53">
        <v>20240700</v>
      </c>
      <c r="U13" s="53">
        <v>20240800</v>
      </c>
      <c r="V13" s="53">
        <v>20240900</v>
      </c>
      <c r="W13" s="53">
        <v>20241000</v>
      </c>
      <c r="X13" s="53">
        <v>20241100</v>
      </c>
      <c r="Y13" s="53">
        <v>20241200</v>
      </c>
      <c r="Z13" s="53">
        <v>10000193</v>
      </c>
      <c r="AC13" s="53">
        <v>10000193</v>
      </c>
      <c r="AF13" s="53">
        <v>10000183</v>
      </c>
    </row>
    <row r="14" spans="1:34" hidden="1" outlineLevel="1" x14ac:dyDescent="0.2">
      <c r="A14" s="4" t="s">
        <v>989</v>
      </c>
      <c r="L14" s="11"/>
      <c r="M14" s="1" t="s">
        <v>599</v>
      </c>
      <c r="N14" s="53" t="s">
        <v>603</v>
      </c>
      <c r="O14" s="53" t="s">
        <v>604</v>
      </c>
      <c r="P14" s="53" t="s">
        <v>605</v>
      </c>
      <c r="Q14" s="53" t="s">
        <v>606</v>
      </c>
      <c r="R14" s="53" t="s">
        <v>607</v>
      </c>
      <c r="S14" s="53" t="s">
        <v>608</v>
      </c>
      <c r="T14" s="53" t="s">
        <v>609</v>
      </c>
      <c r="U14" s="53" t="s">
        <v>610</v>
      </c>
      <c r="V14" s="53" t="s">
        <v>611</v>
      </c>
      <c r="W14" s="53" t="s">
        <v>612</v>
      </c>
      <c r="X14" s="53" t="s">
        <v>613</v>
      </c>
      <c r="Y14" s="53" t="s">
        <v>614</v>
      </c>
      <c r="Z14" s="53" t="s">
        <v>116</v>
      </c>
      <c r="AC14" s="53" t="s">
        <v>116</v>
      </c>
      <c r="AF14" s="53" t="s">
        <v>116</v>
      </c>
    </row>
    <row r="15" spans="1:34" hidden="1" outlineLevel="1" x14ac:dyDescent="0.2">
      <c r="L15" s="11"/>
      <c r="M15" s="1" t="s">
        <v>600</v>
      </c>
      <c r="N15" s="53" t="s">
        <v>615</v>
      </c>
      <c r="O15" s="53" t="s">
        <v>616</v>
      </c>
      <c r="P15" s="214" t="s">
        <v>617</v>
      </c>
      <c r="Q15" s="214" t="s">
        <v>618</v>
      </c>
      <c r="R15" s="214" t="s">
        <v>619</v>
      </c>
      <c r="S15" s="214" t="s">
        <v>620</v>
      </c>
      <c r="T15" s="214" t="s">
        <v>621</v>
      </c>
      <c r="U15" s="214" t="s">
        <v>622</v>
      </c>
      <c r="V15" s="214" t="s">
        <v>623</v>
      </c>
      <c r="W15" s="214" t="s">
        <v>624</v>
      </c>
      <c r="X15" s="214" t="s">
        <v>625</v>
      </c>
      <c r="Y15" s="214" t="s">
        <v>626</v>
      </c>
      <c r="Z15" s="53" t="s">
        <v>116</v>
      </c>
      <c r="AC15" s="53" t="s">
        <v>116</v>
      </c>
      <c r="AF15" s="53" t="s">
        <v>116</v>
      </c>
    </row>
    <row r="16" spans="1:34" hidden="1" outlineLevel="1" x14ac:dyDescent="0.2">
      <c r="A16" s="3" t="s">
        <v>0</v>
      </c>
      <c r="B16" s="5" t="s">
        <v>1</v>
      </c>
      <c r="L16" s="11"/>
      <c r="M16" s="1" t="s">
        <v>18</v>
      </c>
      <c r="N16" s="2" t="s">
        <v>990</v>
      </c>
      <c r="O16" s="2" t="s">
        <v>991</v>
      </c>
      <c r="P16" s="2" t="s">
        <v>992</v>
      </c>
      <c r="Q16" s="2" t="s">
        <v>993</v>
      </c>
      <c r="R16" s="2" t="s">
        <v>994</v>
      </c>
      <c r="S16" s="2" t="s">
        <v>995</v>
      </c>
      <c r="T16" s="2" t="s">
        <v>996</v>
      </c>
      <c r="U16" s="2" t="s">
        <v>997</v>
      </c>
      <c r="V16" s="2" t="s">
        <v>998</v>
      </c>
      <c r="W16" s="2" t="s">
        <v>999</v>
      </c>
      <c r="X16" s="2" t="s">
        <v>1000</v>
      </c>
      <c r="Y16" s="2" t="str">
        <f>IF(SetUp!$O$1=TRUE,SetUp!$Q$6,IF($D$10="FY",LEFT($B$10,6)&amp;"."&amp;Y15,$B$12&amp;"."&amp;Y14))</f>
        <v>2024.DEC</v>
      </c>
      <c r="Z16" s="2" t="str">
        <f>IF($D$10="FY",LEFT($B$10,6)&amp;"."&amp;Z15,$B$12&amp;"."&amp;Z14)</f>
        <v>2024.TOTAL</v>
      </c>
      <c r="AA16" s="10"/>
      <c r="AB16" s="10"/>
      <c r="AC16" s="2" t="str">
        <f>IF(SetUp!$O$1=TRUE,SetUp!$Q$6,SetUp!$G$7)</f>
        <v>2024.TOTAL</v>
      </c>
      <c r="AD16" s="10"/>
      <c r="AE16" s="10"/>
      <c r="AF16" s="2" t="s">
        <v>955</v>
      </c>
      <c r="AG16" s="10"/>
      <c r="AH16" s="10"/>
    </row>
    <row r="17" spans="1:39" hidden="1" outlineLevel="1" x14ac:dyDescent="0.2">
      <c r="A17" s="6" t="s">
        <v>2</v>
      </c>
      <c r="B17" s="14" t="s">
        <v>1235</v>
      </c>
      <c r="L17" s="11"/>
      <c r="M17" s="1" t="s">
        <v>19</v>
      </c>
      <c r="N17" s="2" t="s">
        <v>682</v>
      </c>
      <c r="O17" s="2" t="s">
        <v>682</v>
      </c>
      <c r="P17" s="2" t="s">
        <v>682</v>
      </c>
      <c r="Q17" s="2" t="s">
        <v>682</v>
      </c>
      <c r="R17" s="2" t="s">
        <v>682</v>
      </c>
      <c r="S17" s="2" t="s">
        <v>682</v>
      </c>
      <c r="T17" s="2" t="s">
        <v>682</v>
      </c>
      <c r="U17" s="2" t="s">
        <v>682</v>
      </c>
      <c r="V17" s="2" t="s">
        <v>682</v>
      </c>
      <c r="W17" s="2" t="s">
        <v>682</v>
      </c>
      <c r="X17" s="2" t="s">
        <v>682</v>
      </c>
      <c r="Y17" s="2" t="s">
        <v>682</v>
      </c>
      <c r="Z17" s="2"/>
      <c r="AA17" s="10"/>
      <c r="AB17" s="10"/>
      <c r="AC17" s="2" t="str">
        <f>SetUp!$G$6</f>
        <v>BUDGET</v>
      </c>
      <c r="AD17" s="10"/>
      <c r="AE17" s="10"/>
      <c r="AF17" s="2" t="str">
        <f>SetUp!$J$6</f>
        <v>ACTUAL_CON</v>
      </c>
      <c r="AG17" s="10"/>
      <c r="AH17" s="10"/>
    </row>
    <row r="18" spans="1:39" hidden="1" outlineLevel="1" x14ac:dyDescent="0.2">
      <c r="A18" s="6" t="s">
        <v>3</v>
      </c>
      <c r="B18" s="14" t="s">
        <v>1236</v>
      </c>
      <c r="L18" s="11"/>
      <c r="M18" s="1" t="s">
        <v>601</v>
      </c>
      <c r="N18" s="10" t="s">
        <v>55</v>
      </c>
      <c r="O18" s="10" t="s">
        <v>55</v>
      </c>
      <c r="P18" s="10" t="s">
        <v>55</v>
      </c>
      <c r="Q18" s="10" t="s">
        <v>55</v>
      </c>
      <c r="R18" s="10" t="s">
        <v>55</v>
      </c>
      <c r="S18" s="10" t="s">
        <v>55</v>
      </c>
      <c r="T18" s="10" t="s">
        <v>55</v>
      </c>
      <c r="U18" s="10" t="s">
        <v>55</v>
      </c>
      <c r="V18" s="10" t="s">
        <v>55</v>
      </c>
      <c r="W18" s="10" t="s">
        <v>55</v>
      </c>
      <c r="X18" s="10" t="s">
        <v>55</v>
      </c>
      <c r="Y18" s="10" t="s">
        <v>55</v>
      </c>
      <c r="Z18" s="10"/>
      <c r="AA18" s="10"/>
      <c r="AB18" s="10"/>
      <c r="AC18" s="2" t="str">
        <f>IF(SetUp!$O$1=TRUE,"TRAILING12",IF(AC17="CURRENT","ROLLINGFORECAST","PERIODIC"))</f>
        <v>PERIODIC</v>
      </c>
      <c r="AD18" s="10"/>
      <c r="AE18" s="10"/>
      <c r="AF18" s="2" t="str">
        <f>IF(SetUp!$O$1=TRUE,"TRAILING12",IF(AF17="CURRENT","ROLLINGFORECAST","PERIODIC"))</f>
        <v>PERIODIC</v>
      </c>
      <c r="AG18" s="10"/>
      <c r="AH18" s="10"/>
    </row>
    <row r="19" spans="1:39" hidden="1" outlineLevel="1" x14ac:dyDescent="0.2">
      <c r="A19" s="6" t="s">
        <v>4</v>
      </c>
      <c r="B19" s="14" t="s">
        <v>1237</v>
      </c>
      <c r="G19" s="16" t="str">
        <f>$B$6</f>
        <v>D_OTHER_CON</v>
      </c>
      <c r="H19" s="16">
        <v>400000</v>
      </c>
      <c r="I19" s="17"/>
      <c r="J19" s="17"/>
      <c r="K19" s="16"/>
      <c r="L19" s="16"/>
      <c r="M19" s="16" t="s">
        <v>1001</v>
      </c>
      <c r="N19" s="18">
        <v>1778.05</v>
      </c>
      <c r="O19" s="18">
        <v>1452.64</v>
      </c>
      <c r="P19" s="18">
        <v>2514.5100000000002</v>
      </c>
      <c r="Q19" s="18">
        <v>1461.55</v>
      </c>
      <c r="R19" s="18">
        <v>686.39</v>
      </c>
      <c r="S19" s="18">
        <v>971.47</v>
      </c>
      <c r="T19" s="18">
        <v>1646.04</v>
      </c>
      <c r="U19" s="18">
        <v>900.7</v>
      </c>
      <c r="V19" s="18">
        <v>865.48</v>
      </c>
      <c r="W19" s="18">
        <v>1388.87</v>
      </c>
      <c r="X19" s="18">
        <v>2028.13</v>
      </c>
      <c r="Y19" s="18">
        <v>2112.59</v>
      </c>
      <c r="Z19" s="18">
        <f>SUM(N19:Y19)</f>
        <v>17806.420000000002</v>
      </c>
      <c r="AA19" s="16"/>
      <c r="AB19" s="16"/>
      <c r="AC19" s="18">
        <v>16092.4</v>
      </c>
      <c r="AD19" s="16"/>
      <c r="AE19" s="16"/>
      <c r="AF19" s="18">
        <v>15885.61</v>
      </c>
      <c r="AG19" s="16"/>
      <c r="AH19" s="16"/>
    </row>
    <row r="20" spans="1:39" hidden="1" outlineLevel="1" x14ac:dyDescent="0.2">
      <c r="A20" s="6" t="s">
        <v>5</v>
      </c>
      <c r="B20" s="7"/>
      <c r="G20" s="16" t="s">
        <v>749</v>
      </c>
      <c r="H20" s="16">
        <v>900200</v>
      </c>
      <c r="I20" s="17"/>
      <c r="J20" s="17"/>
      <c r="K20" s="16"/>
      <c r="L20" s="17"/>
      <c r="M20" s="16" t="s">
        <v>1047</v>
      </c>
      <c r="N20" s="18">
        <v>3694</v>
      </c>
      <c r="O20" s="18">
        <v>3593</v>
      </c>
      <c r="P20" s="18">
        <v>3831</v>
      </c>
      <c r="Q20" s="18">
        <v>3720</v>
      </c>
      <c r="R20" s="18">
        <v>3473</v>
      </c>
      <c r="S20" s="18">
        <v>3105</v>
      </c>
      <c r="T20" s="18">
        <v>3034</v>
      </c>
      <c r="U20" s="18">
        <v>3033</v>
      </c>
      <c r="V20" s="18">
        <v>2632</v>
      </c>
      <c r="W20" s="18">
        <v>3186</v>
      </c>
      <c r="X20" s="18">
        <v>3534</v>
      </c>
      <c r="Y20" s="18">
        <v>3635</v>
      </c>
      <c r="Z20" s="18">
        <f>SUM(N20:Y20)</f>
        <v>40470</v>
      </c>
      <c r="AA20" s="16"/>
      <c r="AB20" s="16"/>
      <c r="AC20" s="18">
        <v>40231</v>
      </c>
      <c r="AD20" s="16"/>
      <c r="AE20" s="16"/>
      <c r="AF20" s="18">
        <v>39886</v>
      </c>
      <c r="AG20" s="16"/>
      <c r="AH20" s="16"/>
    </row>
    <row r="21" spans="1:39" hidden="1" outlineLevel="1" x14ac:dyDescent="0.2">
      <c r="A21" s="6" t="s">
        <v>6</v>
      </c>
      <c r="B21" s="7"/>
      <c r="I21" s="1"/>
      <c r="J21" s="1"/>
    </row>
    <row r="22" spans="1:39" hidden="1" outlineLevel="1" x14ac:dyDescent="0.2">
      <c r="A22" s="6" t="s">
        <v>7</v>
      </c>
      <c r="B22" s="14" t="s">
        <v>1238</v>
      </c>
      <c r="I22" s="1"/>
      <c r="J22" s="1"/>
    </row>
    <row r="23" spans="1:39" hidden="1" outlineLevel="1" x14ac:dyDescent="0.2">
      <c r="A23" s="6" t="s">
        <v>47</v>
      </c>
      <c r="B23" s="14" t="s">
        <v>1239</v>
      </c>
      <c r="K23" s="53"/>
      <c r="L23" s="53"/>
      <c r="AC23" s="136"/>
    </row>
    <row r="24" spans="1:39" hidden="1" outlineLevel="1" x14ac:dyDescent="0.2">
      <c r="A24" s="6" t="s">
        <v>8</v>
      </c>
      <c r="B24" s="7"/>
    </row>
    <row r="25" spans="1:39" collapsed="1" x14ac:dyDescent="0.2"/>
    <row r="26" spans="1:39" ht="23" x14ac:dyDescent="0.25">
      <c r="A26" s="3" t="s">
        <v>9</v>
      </c>
      <c r="B26" s="5" t="s">
        <v>10</v>
      </c>
      <c r="C26" s="5" t="s">
        <v>357</v>
      </c>
      <c r="M26" s="61" t="s">
        <v>982</v>
      </c>
    </row>
    <row r="27" spans="1:39" ht="18" x14ac:dyDescent="0.2">
      <c r="A27" s="6" t="s">
        <v>11</v>
      </c>
      <c r="B27" s="7" t="s">
        <v>21</v>
      </c>
      <c r="C27" s="7" t="s">
        <v>21</v>
      </c>
      <c r="M27" s="66" t="s">
        <v>1015</v>
      </c>
    </row>
    <row r="28" spans="1:39" ht="16" x14ac:dyDescent="0.2">
      <c r="A28" s="6" t="s">
        <v>12</v>
      </c>
      <c r="B28" s="7" t="s">
        <v>52</v>
      </c>
      <c r="C28" s="7" t="s">
        <v>22</v>
      </c>
      <c r="M28" s="67" t="s">
        <v>1002</v>
      </c>
    </row>
    <row r="29" spans="1:39" ht="15" customHeight="1" x14ac:dyDescent="0.2">
      <c r="A29" s="6" t="s">
        <v>13</v>
      </c>
      <c r="B29" s="7" t="s">
        <v>468</v>
      </c>
      <c r="C29" s="7" t="s">
        <v>467</v>
      </c>
      <c r="M29" s="67" t="s">
        <v>986</v>
      </c>
    </row>
    <row r="30" spans="1:39" x14ac:dyDescent="0.2">
      <c r="A30" s="6" t="s">
        <v>14</v>
      </c>
      <c r="B30" s="7"/>
      <c r="C30" s="7"/>
      <c r="N30" s="208"/>
      <c r="O30" s="209"/>
      <c r="P30" s="209"/>
      <c r="Q30" s="209"/>
      <c r="R30" s="209"/>
      <c r="S30" s="209"/>
      <c r="T30" s="209"/>
      <c r="U30" s="209"/>
      <c r="V30" s="209"/>
      <c r="W30" s="209"/>
      <c r="X30" s="209"/>
      <c r="Y30" s="209"/>
      <c r="Z30" s="209"/>
      <c r="AA30" s="210"/>
      <c r="AC30" s="209"/>
      <c r="AD30" s="209"/>
      <c r="AE30" s="209"/>
      <c r="AF30" s="209"/>
      <c r="AG30" s="209"/>
      <c r="AH30" s="209"/>
      <c r="AI30" s="208" t="s">
        <v>748</v>
      </c>
      <c r="AJ30" s="209"/>
      <c r="AK30" s="210"/>
      <c r="AL30" s="209" t="s">
        <v>750</v>
      </c>
      <c r="AM30" s="209"/>
    </row>
    <row r="31" spans="1:39" x14ac:dyDescent="0.2">
      <c r="A31" s="6" t="s">
        <v>15</v>
      </c>
      <c r="B31" s="7"/>
      <c r="C31" s="7"/>
      <c r="G31" s="13"/>
      <c r="N31" s="211" t="s">
        <v>603</v>
      </c>
      <c r="O31" s="211" t="s">
        <v>604</v>
      </c>
      <c r="P31" s="211" t="s">
        <v>605</v>
      </c>
      <c r="Q31" s="211" t="s">
        <v>606</v>
      </c>
      <c r="R31" s="211" t="s">
        <v>607</v>
      </c>
      <c r="S31" s="211" t="s">
        <v>608</v>
      </c>
      <c r="T31" s="211" t="s">
        <v>609</v>
      </c>
      <c r="U31" s="211" t="s">
        <v>610</v>
      </c>
      <c r="V31" s="211" t="s">
        <v>611</v>
      </c>
      <c r="W31" s="211" t="s">
        <v>612</v>
      </c>
      <c r="X31" s="211" t="s">
        <v>613</v>
      </c>
      <c r="Y31" s="211" t="s">
        <v>614</v>
      </c>
      <c r="Z31" s="211" t="str">
        <f>Z14</f>
        <v>TOTAL</v>
      </c>
      <c r="AA31" s="207"/>
      <c r="AC31" s="540" t="s">
        <v>987</v>
      </c>
      <c r="AD31" s="541"/>
      <c r="AE31" s="211" t="s">
        <v>631</v>
      </c>
      <c r="AF31" s="540" t="s">
        <v>1003</v>
      </c>
      <c r="AG31" s="541"/>
      <c r="AH31" s="211" t="s">
        <v>631</v>
      </c>
      <c r="AI31" s="211">
        <v>2024</v>
      </c>
      <c r="AJ31" s="238">
        <v>2024</v>
      </c>
      <c r="AK31" s="238">
        <v>2023</v>
      </c>
      <c r="AL31" s="211" t="str">
        <f>"vs "&amp;AJ31</f>
        <v>vs 2024</v>
      </c>
      <c r="AM31" s="211" t="str">
        <f>"vs "&amp;AK31</f>
        <v>vs 2023</v>
      </c>
    </row>
    <row r="32" spans="1:39" s="232" customFormat="1" ht="30" customHeight="1" x14ac:dyDescent="0.2">
      <c r="A32" s="230" t="s">
        <v>16</v>
      </c>
      <c r="B32" s="231"/>
      <c r="C32" s="231"/>
      <c r="G32" s="317"/>
      <c r="H32" s="233"/>
      <c r="I32" s="234"/>
      <c r="J32" s="234"/>
      <c r="N32" s="237" t="s">
        <v>957</v>
      </c>
      <c r="O32" s="237" t="s">
        <v>957</v>
      </c>
      <c r="P32" s="237" t="s">
        <v>957</v>
      </c>
      <c r="Q32" s="237" t="s">
        <v>957</v>
      </c>
      <c r="R32" s="237" t="s">
        <v>957</v>
      </c>
      <c r="S32" s="237" t="s">
        <v>957</v>
      </c>
      <c r="T32" s="237" t="s">
        <v>957</v>
      </c>
      <c r="U32" s="237" t="s">
        <v>957</v>
      </c>
      <c r="V32" s="237" t="s">
        <v>957</v>
      </c>
      <c r="W32" s="237" t="s">
        <v>957</v>
      </c>
      <c r="X32" s="237" t="s">
        <v>957</v>
      </c>
      <c r="Y32" s="237" t="s">
        <v>957</v>
      </c>
      <c r="Z32" s="238"/>
      <c r="AA32" s="238" t="s">
        <v>58</v>
      </c>
      <c r="AC32" s="237" t="s">
        <v>959</v>
      </c>
      <c r="AD32" s="238" t="s">
        <v>58</v>
      </c>
      <c r="AE32" s="237" t="s">
        <v>57</v>
      </c>
      <c r="AF32" s="237" t="s">
        <v>957</v>
      </c>
      <c r="AG32" s="238" t="s">
        <v>58</v>
      </c>
      <c r="AH32" s="237" t="s">
        <v>57</v>
      </c>
      <c r="AI32" s="237" t="str">
        <f>Y32</f>
        <v>Actual</v>
      </c>
      <c r="AJ32" s="238" t="str">
        <f>AC32</f>
        <v>Budget</v>
      </c>
      <c r="AK32" s="237" t="str">
        <f>AF32</f>
        <v>Actual</v>
      </c>
      <c r="AL32" s="211" t="s">
        <v>747</v>
      </c>
      <c r="AM32" s="211" t="s">
        <v>747</v>
      </c>
    </row>
    <row r="33" spans="1:39" x14ac:dyDescent="0.2">
      <c r="A33" s="6" t="s">
        <v>17</v>
      </c>
      <c r="B33" s="7"/>
      <c r="C33" s="7"/>
      <c r="H33" s="1" t="s">
        <v>69</v>
      </c>
      <c r="I33" s="11" t="s">
        <v>1006</v>
      </c>
      <c r="J33" s="11" t="s">
        <v>78</v>
      </c>
      <c r="M33" s="37" t="s">
        <v>1013</v>
      </c>
      <c r="N33" s="38"/>
      <c r="O33" s="42"/>
      <c r="P33" s="42"/>
      <c r="Q33" s="42"/>
      <c r="R33" s="42"/>
      <c r="S33" s="42"/>
      <c r="T33" s="42"/>
      <c r="U33" s="42"/>
      <c r="V33" s="42"/>
      <c r="W33" s="42"/>
      <c r="X33" s="42"/>
      <c r="Y33" s="42"/>
      <c r="Z33" s="42"/>
      <c r="AA33" s="39"/>
      <c r="AC33" s="38"/>
      <c r="AD33" s="42"/>
      <c r="AE33" s="39"/>
      <c r="AF33" s="38"/>
      <c r="AG33" s="42"/>
      <c r="AH33" s="39"/>
    </row>
    <row r="34" spans="1:39" x14ac:dyDescent="0.2">
      <c r="G34" s="10" t="s">
        <v>365</v>
      </c>
      <c r="H34" s="10" t="s">
        <v>280</v>
      </c>
      <c r="I34" s="25">
        <v>7</v>
      </c>
      <c r="J34" s="25" t="s">
        <v>78</v>
      </c>
      <c r="K34" s="64" t="str">
        <f t="shared" ref="K34:K39" si="0">IF(AND(I34&gt;="T5"),"&gt;","")</f>
        <v/>
      </c>
      <c r="L34" s="24"/>
      <c r="M34" s="24" t="s">
        <v>1240</v>
      </c>
      <c r="N34" s="19"/>
      <c r="O34" s="19"/>
      <c r="P34" s="19"/>
      <c r="Q34" s="19"/>
      <c r="R34" s="19"/>
      <c r="S34" s="19"/>
      <c r="T34" s="19"/>
      <c r="U34" s="19"/>
      <c r="V34" s="19"/>
      <c r="W34" s="19"/>
      <c r="X34" s="19"/>
      <c r="Y34" s="19"/>
      <c r="Z34" s="283">
        <f t="shared" ref="Z34:Z40" si="1">IF($I34="B1","",SUM(N34:Y34))</f>
        <v>0</v>
      </c>
      <c r="AA34" s="15" t="str">
        <f t="shared" ref="AA34:AA40" si="2">IF(Z34=0,"",IFERROR(Z34/Z$19,""))</f>
        <v/>
      </c>
      <c r="AC34" s="19"/>
      <c r="AD34" s="15" t="str">
        <f t="shared" ref="AD34:AD40" si="3">IF(AC34=0,"",IFERROR(AC34/AC$19,""))</f>
        <v/>
      </c>
      <c r="AE34" s="47">
        <f t="shared" ref="AE34:AE40" si="4">IF(AND($Z34="",AC34=""),"",$Z34-AC34)</f>
        <v>0</v>
      </c>
      <c r="AF34" s="19"/>
      <c r="AG34" s="15" t="str">
        <f t="shared" ref="AG34:AG40" si="5">IF(AF34=0,"",IFERROR(AF34/AF$19,""))</f>
        <v/>
      </c>
      <c r="AH34" s="47">
        <f t="shared" ref="AH34:AH40" si="6">IF(AND($Z34="",AF34=""),"",$Z34-AF34)</f>
        <v>0</v>
      </c>
      <c r="AI34" s="371">
        <f t="shared" ref="AI34:AI40" si="7">IFERROR(Z34/Z$20,0)</f>
        <v>0</v>
      </c>
      <c r="AJ34" s="372">
        <f t="shared" ref="AJ34:AJ40" si="8">IFERROR(AC34/AC$20,0)</f>
        <v>0</v>
      </c>
      <c r="AK34" s="373">
        <f t="shared" ref="AK34:AK40" si="9">IFERROR(AF34/AF$20,0)</f>
        <v>0</v>
      </c>
      <c r="AL34" s="374">
        <f t="shared" ref="AL34:AL40" si="10">+IFERROR(ROUND(($AA34-AD34)*100,2)&amp;" pts.",0)</f>
        <v>0</v>
      </c>
      <c r="AM34" s="375">
        <f t="shared" ref="AM34:AM40" si="11">+IFERROR(ROUND(($AA34-AG34)*100,2)&amp;" pts.",0)</f>
        <v>0</v>
      </c>
    </row>
    <row r="35" spans="1:39" x14ac:dyDescent="0.2">
      <c r="A35" s="20" t="s">
        <v>92</v>
      </c>
      <c r="B35" s="21" t="s">
        <v>93</v>
      </c>
      <c r="C35" s="21" t="s">
        <v>94</v>
      </c>
      <c r="D35" s="21" t="s">
        <v>95</v>
      </c>
      <c r="E35" s="21" t="s">
        <v>96</v>
      </c>
      <c r="F35" s="22" t="s">
        <v>97</v>
      </c>
      <c r="G35" s="10" t="s">
        <v>366</v>
      </c>
      <c r="H35" s="10" t="s">
        <v>280</v>
      </c>
      <c r="I35" s="25">
        <v>7</v>
      </c>
      <c r="J35" s="25" t="s">
        <v>78</v>
      </c>
      <c r="K35" s="64" t="str">
        <f t="shared" si="0"/>
        <v/>
      </c>
      <c r="L35" s="24"/>
      <c r="M35" s="24" t="s">
        <v>1241</v>
      </c>
      <c r="N35" s="19"/>
      <c r="O35" s="19"/>
      <c r="P35" s="19"/>
      <c r="Q35" s="19"/>
      <c r="R35" s="19"/>
      <c r="S35" s="19"/>
      <c r="T35" s="19"/>
      <c r="U35" s="19"/>
      <c r="V35" s="19"/>
      <c r="W35" s="19"/>
      <c r="X35" s="19"/>
      <c r="Y35" s="19"/>
      <c r="Z35" s="283">
        <f t="shared" si="1"/>
        <v>0</v>
      </c>
      <c r="AA35" s="15" t="str">
        <f t="shared" si="2"/>
        <v/>
      </c>
      <c r="AC35" s="19"/>
      <c r="AD35" s="15" t="str">
        <f t="shared" si="3"/>
        <v/>
      </c>
      <c r="AE35" s="47">
        <f t="shared" si="4"/>
        <v>0</v>
      </c>
      <c r="AF35" s="19"/>
      <c r="AG35" s="15" t="str">
        <f t="shared" si="5"/>
        <v/>
      </c>
      <c r="AH35" s="47">
        <f t="shared" si="6"/>
        <v>0</v>
      </c>
      <c r="AI35" s="371">
        <f t="shared" si="7"/>
        <v>0</v>
      </c>
      <c r="AJ35" s="372">
        <f t="shared" si="8"/>
        <v>0</v>
      </c>
      <c r="AK35" s="373">
        <f t="shared" si="9"/>
        <v>0</v>
      </c>
      <c r="AL35" s="374">
        <f t="shared" si="10"/>
        <v>0</v>
      </c>
      <c r="AM35" s="375">
        <f t="shared" si="11"/>
        <v>0</v>
      </c>
    </row>
    <row r="36" spans="1:39" x14ac:dyDescent="0.2">
      <c r="G36" s="10" t="s">
        <v>380</v>
      </c>
      <c r="H36" s="10" t="s">
        <v>280</v>
      </c>
      <c r="I36" s="25">
        <v>7</v>
      </c>
      <c r="J36" s="25" t="s">
        <v>78</v>
      </c>
      <c r="K36" s="64" t="str">
        <f t="shared" si="0"/>
        <v/>
      </c>
      <c r="L36" s="24"/>
      <c r="M36" s="24" t="s">
        <v>1242</v>
      </c>
      <c r="N36" s="19"/>
      <c r="O36" s="19"/>
      <c r="P36" s="19"/>
      <c r="Q36" s="19"/>
      <c r="R36" s="19"/>
      <c r="S36" s="19"/>
      <c r="T36" s="19"/>
      <c r="U36" s="19"/>
      <c r="V36" s="19"/>
      <c r="W36" s="19"/>
      <c r="X36" s="19"/>
      <c r="Y36" s="19"/>
      <c r="Z36" s="283">
        <f t="shared" si="1"/>
        <v>0</v>
      </c>
      <c r="AA36" s="15" t="str">
        <f t="shared" si="2"/>
        <v/>
      </c>
      <c r="AC36" s="19"/>
      <c r="AD36" s="15" t="str">
        <f t="shared" si="3"/>
        <v/>
      </c>
      <c r="AE36" s="47">
        <f t="shared" si="4"/>
        <v>0</v>
      </c>
      <c r="AF36" s="19">
        <v>0</v>
      </c>
      <c r="AG36" s="15" t="str">
        <f t="shared" si="5"/>
        <v/>
      </c>
      <c r="AH36" s="47">
        <f t="shared" si="6"/>
        <v>0</v>
      </c>
      <c r="AI36" s="371">
        <f t="shared" si="7"/>
        <v>0</v>
      </c>
      <c r="AJ36" s="372">
        <f t="shared" si="8"/>
        <v>0</v>
      </c>
      <c r="AK36" s="373">
        <f t="shared" si="9"/>
        <v>0</v>
      </c>
      <c r="AL36" s="374">
        <f t="shared" si="10"/>
        <v>0</v>
      </c>
      <c r="AM36" s="375">
        <f t="shared" si="11"/>
        <v>0</v>
      </c>
    </row>
    <row r="37" spans="1:39" x14ac:dyDescent="0.2">
      <c r="A37" s="1" t="s">
        <v>105</v>
      </c>
      <c r="C37" s="24" t="s">
        <v>101</v>
      </c>
      <c r="D37" s="1" t="s">
        <v>106</v>
      </c>
      <c r="F37" s="1" t="s">
        <v>98</v>
      </c>
      <c r="G37" s="10" t="s">
        <v>386</v>
      </c>
      <c r="H37" s="10" t="s">
        <v>280</v>
      </c>
      <c r="I37" s="25">
        <v>7</v>
      </c>
      <c r="J37" s="25" t="s">
        <v>78</v>
      </c>
      <c r="K37" s="64" t="str">
        <f t="shared" si="0"/>
        <v/>
      </c>
      <c r="L37" s="24"/>
      <c r="M37" s="24" t="s">
        <v>1243</v>
      </c>
      <c r="N37" s="19"/>
      <c r="O37" s="19"/>
      <c r="P37" s="19"/>
      <c r="Q37" s="19"/>
      <c r="R37" s="19"/>
      <c r="S37" s="19"/>
      <c r="T37" s="19"/>
      <c r="U37" s="19"/>
      <c r="V37" s="19"/>
      <c r="W37" s="19"/>
      <c r="X37" s="19"/>
      <c r="Y37" s="19"/>
      <c r="Z37" s="283">
        <f t="shared" si="1"/>
        <v>0</v>
      </c>
      <c r="AA37" s="15" t="str">
        <f t="shared" si="2"/>
        <v/>
      </c>
      <c r="AC37" s="19"/>
      <c r="AD37" s="15" t="str">
        <f t="shared" si="3"/>
        <v/>
      </c>
      <c r="AE37" s="47">
        <f t="shared" si="4"/>
        <v>0</v>
      </c>
      <c r="AF37" s="19">
        <v>19.28</v>
      </c>
      <c r="AG37" s="15">
        <f t="shared" si="5"/>
        <v>1.213677032232316E-3</v>
      </c>
      <c r="AH37" s="47">
        <f t="shared" si="6"/>
        <v>-19.28</v>
      </c>
      <c r="AI37" s="371">
        <f t="shared" si="7"/>
        <v>0</v>
      </c>
      <c r="AJ37" s="372">
        <f t="shared" si="8"/>
        <v>0</v>
      </c>
      <c r="AK37" s="373">
        <f t="shared" si="9"/>
        <v>4.8337762623476912E-4</v>
      </c>
      <c r="AL37" s="374">
        <f t="shared" si="10"/>
        <v>0</v>
      </c>
      <c r="AM37" s="375">
        <f t="shared" si="11"/>
        <v>0</v>
      </c>
    </row>
    <row r="38" spans="1:39" x14ac:dyDescent="0.2">
      <c r="A38" s="1" t="s">
        <v>465</v>
      </c>
      <c r="C38" s="24" t="s">
        <v>101</v>
      </c>
      <c r="D38" s="1" t="s">
        <v>106</v>
      </c>
      <c r="F38" s="1" t="s">
        <v>98</v>
      </c>
      <c r="G38" s="10" t="s">
        <v>406</v>
      </c>
      <c r="H38" s="10" t="s">
        <v>280</v>
      </c>
      <c r="I38" s="25">
        <v>6</v>
      </c>
      <c r="J38" s="25" t="s">
        <v>78</v>
      </c>
      <c r="K38" s="64" t="str">
        <f t="shared" si="0"/>
        <v/>
      </c>
      <c r="L38" s="24"/>
      <c r="M38" s="24" t="s">
        <v>1244</v>
      </c>
      <c r="N38" s="19"/>
      <c r="O38" s="19"/>
      <c r="P38" s="19"/>
      <c r="Q38" s="19"/>
      <c r="R38" s="19"/>
      <c r="S38" s="19"/>
      <c r="T38" s="19"/>
      <c r="U38" s="19"/>
      <c r="V38" s="19"/>
      <c r="W38" s="19"/>
      <c r="X38" s="19"/>
      <c r="Y38" s="19"/>
      <c r="Z38" s="283">
        <f t="shared" si="1"/>
        <v>0</v>
      </c>
      <c r="AA38" s="15" t="str">
        <f t="shared" si="2"/>
        <v/>
      </c>
      <c r="AC38" s="19"/>
      <c r="AD38" s="15" t="str">
        <f t="shared" si="3"/>
        <v/>
      </c>
      <c r="AE38" s="47">
        <f t="shared" si="4"/>
        <v>0</v>
      </c>
      <c r="AF38" s="19"/>
      <c r="AG38" s="15" t="str">
        <f t="shared" si="5"/>
        <v/>
      </c>
      <c r="AH38" s="47">
        <f t="shared" si="6"/>
        <v>0</v>
      </c>
      <c r="AI38" s="371">
        <f t="shared" si="7"/>
        <v>0</v>
      </c>
      <c r="AJ38" s="372">
        <f t="shared" si="8"/>
        <v>0</v>
      </c>
      <c r="AK38" s="373">
        <f t="shared" si="9"/>
        <v>0</v>
      </c>
      <c r="AL38" s="374">
        <f t="shared" si="10"/>
        <v>0</v>
      </c>
      <c r="AM38" s="375">
        <f t="shared" si="11"/>
        <v>0</v>
      </c>
    </row>
    <row r="39" spans="1:39" x14ac:dyDescent="0.2">
      <c r="A39" s="1" t="s">
        <v>466</v>
      </c>
      <c r="C39" s="8" t="s">
        <v>101</v>
      </c>
      <c r="D39" s="1" t="s">
        <v>106</v>
      </c>
      <c r="F39" s="1" t="s">
        <v>98</v>
      </c>
      <c r="G39" s="10" t="s">
        <v>423</v>
      </c>
      <c r="H39" s="10" t="s">
        <v>280</v>
      </c>
      <c r="I39" s="25">
        <v>7</v>
      </c>
      <c r="J39" s="25" t="s">
        <v>78</v>
      </c>
      <c r="K39" s="64" t="str">
        <f t="shared" si="0"/>
        <v/>
      </c>
      <c r="L39" s="24"/>
      <c r="M39" s="24" t="s">
        <v>1245</v>
      </c>
      <c r="N39" s="19">
        <v>1778.05</v>
      </c>
      <c r="O39" s="19">
        <v>1452.64</v>
      </c>
      <c r="P39" s="19">
        <v>2514.5100000000002</v>
      </c>
      <c r="Q39" s="19">
        <v>1461.55</v>
      </c>
      <c r="R39" s="19">
        <v>686.39</v>
      </c>
      <c r="S39" s="19">
        <v>971.47</v>
      </c>
      <c r="T39" s="19">
        <v>1646.04</v>
      </c>
      <c r="U39" s="19">
        <v>900.7</v>
      </c>
      <c r="V39" s="19">
        <v>865.48</v>
      </c>
      <c r="W39" s="19">
        <v>1388.87</v>
      </c>
      <c r="X39" s="19">
        <v>2028.13</v>
      </c>
      <c r="Y39" s="19">
        <v>2112.59</v>
      </c>
      <c r="Z39" s="283">
        <f t="shared" si="1"/>
        <v>17806.420000000002</v>
      </c>
      <c r="AA39" s="15">
        <f t="shared" si="2"/>
        <v>1</v>
      </c>
      <c r="AC39" s="19">
        <v>16092.4</v>
      </c>
      <c r="AD39" s="15">
        <f t="shared" si="3"/>
        <v>1</v>
      </c>
      <c r="AE39" s="47">
        <f t="shared" si="4"/>
        <v>1714.0200000000023</v>
      </c>
      <c r="AF39" s="19">
        <v>15866.33</v>
      </c>
      <c r="AG39" s="15">
        <f t="shared" si="5"/>
        <v>0.99878632296776759</v>
      </c>
      <c r="AH39" s="47">
        <f t="shared" si="6"/>
        <v>1940.090000000002</v>
      </c>
      <c r="AI39" s="371">
        <f t="shared" si="7"/>
        <v>0.43999061032863857</v>
      </c>
      <c r="AJ39" s="372">
        <f t="shared" si="8"/>
        <v>0.39999999999999997</v>
      </c>
      <c r="AK39" s="373">
        <f t="shared" si="9"/>
        <v>0.39779195707767134</v>
      </c>
      <c r="AL39" s="374" t="str">
        <f t="shared" si="10"/>
        <v>0 pts.</v>
      </c>
      <c r="AM39" s="375" t="str">
        <f t="shared" si="11"/>
        <v>0.12 pts.</v>
      </c>
    </row>
    <row r="40" spans="1:39" x14ac:dyDescent="0.2">
      <c r="A40" s="1" t="s">
        <v>466</v>
      </c>
      <c r="C40" s="135" t="s">
        <v>101</v>
      </c>
      <c r="D40" s="1" t="s">
        <v>107</v>
      </c>
      <c r="F40" s="1" t="s">
        <v>99</v>
      </c>
      <c r="H40" s="320" t="s">
        <v>69</v>
      </c>
      <c r="I40" s="64"/>
      <c r="J40" s="64"/>
      <c r="K40" s="64"/>
      <c r="L40" s="24"/>
      <c r="M40" s="23" t="s">
        <v>470</v>
      </c>
      <c r="N40" s="145">
        <f t="shared" ref="N40:Y40" si="12">SUM(N34:N39)</f>
        <v>1778.05</v>
      </c>
      <c r="O40" s="145">
        <f t="shared" si="12"/>
        <v>1452.64</v>
      </c>
      <c r="P40" s="145">
        <f t="shared" si="12"/>
        <v>2514.5100000000002</v>
      </c>
      <c r="Q40" s="145">
        <f t="shared" si="12"/>
        <v>1461.55</v>
      </c>
      <c r="R40" s="145">
        <f t="shared" si="12"/>
        <v>686.39</v>
      </c>
      <c r="S40" s="145">
        <f t="shared" si="12"/>
        <v>971.47</v>
      </c>
      <c r="T40" s="145">
        <f t="shared" si="12"/>
        <v>1646.04</v>
      </c>
      <c r="U40" s="145">
        <f t="shared" si="12"/>
        <v>900.7</v>
      </c>
      <c r="V40" s="145">
        <f t="shared" si="12"/>
        <v>865.48</v>
      </c>
      <c r="W40" s="145">
        <f t="shared" si="12"/>
        <v>1388.87</v>
      </c>
      <c r="X40" s="145">
        <f t="shared" si="12"/>
        <v>2028.13</v>
      </c>
      <c r="Y40" s="145">
        <f t="shared" si="12"/>
        <v>2112.59</v>
      </c>
      <c r="Z40" s="145">
        <f t="shared" si="1"/>
        <v>17806.420000000002</v>
      </c>
      <c r="AA40" s="156">
        <f t="shared" si="2"/>
        <v>1</v>
      </c>
      <c r="AC40" s="145">
        <f>SUM(AC34:AC39)</f>
        <v>16092.4</v>
      </c>
      <c r="AD40" s="156">
        <f t="shared" si="3"/>
        <v>1</v>
      </c>
      <c r="AE40" s="146">
        <f t="shared" si="4"/>
        <v>1714.0200000000023</v>
      </c>
      <c r="AF40" s="145">
        <f>SUM(AF34:AF39)</f>
        <v>15885.61</v>
      </c>
      <c r="AG40" s="156">
        <f t="shared" si="5"/>
        <v>1</v>
      </c>
      <c r="AH40" s="146">
        <f t="shared" si="6"/>
        <v>1920.8100000000013</v>
      </c>
      <c r="AI40" s="364">
        <f t="shared" si="7"/>
        <v>0.43999061032863857</v>
      </c>
      <c r="AJ40" s="365">
        <f t="shared" si="8"/>
        <v>0.39999999999999997</v>
      </c>
      <c r="AK40" s="366">
        <f t="shared" si="9"/>
        <v>0.39827533470390614</v>
      </c>
      <c r="AL40" s="367" t="str">
        <f t="shared" si="10"/>
        <v>0 pts.</v>
      </c>
      <c r="AM40" s="409" t="str">
        <f t="shared" si="11"/>
        <v>0 pts.</v>
      </c>
    </row>
    <row r="41" spans="1:39" x14ac:dyDescent="0.2">
      <c r="G41" s="23"/>
      <c r="H41" s="23"/>
      <c r="I41" s="23"/>
      <c r="J41" s="23"/>
      <c r="K41" s="23"/>
      <c r="L41" s="23"/>
      <c r="M41" s="23"/>
      <c r="N41" s="50"/>
      <c r="AA41" s="51"/>
      <c r="AC41" s="50"/>
      <c r="AE41" s="51"/>
      <c r="AF41" s="50"/>
      <c r="AH41" s="51"/>
    </row>
    <row r="42" spans="1:39" x14ac:dyDescent="0.2">
      <c r="H42" s="1" t="s">
        <v>464</v>
      </c>
      <c r="I42" s="11" t="s">
        <v>1007</v>
      </c>
      <c r="J42" s="11" t="s">
        <v>78</v>
      </c>
      <c r="M42" s="37" t="s">
        <v>1043</v>
      </c>
      <c r="N42" s="50"/>
      <c r="AA42" s="51"/>
      <c r="AC42" s="50"/>
      <c r="AE42" s="51"/>
      <c r="AF42" s="50"/>
      <c r="AH42" s="51"/>
    </row>
    <row r="43" spans="1:39" x14ac:dyDescent="0.2">
      <c r="A43" s="3" t="s">
        <v>23</v>
      </c>
      <c r="B43" s="5" t="s">
        <v>24</v>
      </c>
      <c r="G43" s="10" t="s">
        <v>365</v>
      </c>
      <c r="H43" s="10" t="s">
        <v>464</v>
      </c>
      <c r="I43" s="25">
        <v>7</v>
      </c>
      <c r="J43" s="25" t="s">
        <v>78</v>
      </c>
      <c r="K43" s="24"/>
      <c r="L43" s="24"/>
      <c r="M43" s="24" t="s">
        <v>1240</v>
      </c>
      <c r="N43" s="19"/>
      <c r="O43" s="19"/>
      <c r="P43" s="19"/>
      <c r="Q43" s="19"/>
      <c r="R43" s="19"/>
      <c r="S43" s="19"/>
      <c r="T43" s="19"/>
      <c r="U43" s="19"/>
      <c r="V43" s="19"/>
      <c r="W43" s="19"/>
      <c r="X43" s="19"/>
      <c r="Y43" s="19"/>
      <c r="Z43" s="283">
        <f t="shared" ref="Z43:Z49" si="13">IF($I43="B1","",SUM(N43:Y43))</f>
        <v>0</v>
      </c>
      <c r="AA43" s="15" t="str">
        <f t="shared" ref="AA43:AA49" si="14">IF(Z43=0,"",IFERROR(Z43/Z34,""))</f>
        <v/>
      </c>
      <c r="AC43" s="19"/>
      <c r="AD43" s="15" t="str">
        <f t="shared" ref="AD43:AD49" si="15">IF(AC43=0,"",IFERROR(AC43/AC34,""))</f>
        <v/>
      </c>
      <c r="AE43" s="47">
        <f t="shared" ref="AE43:AE49" si="16">IF(AND($Z43="",AC43=""),"",$Z43-AC43)</f>
        <v>0</v>
      </c>
      <c r="AF43" s="19"/>
      <c r="AG43" s="15" t="str">
        <f t="shared" ref="AG43:AG49" si="17">IF(AF43=0,"",IFERROR(AF43/AF34,""))</f>
        <v/>
      </c>
      <c r="AH43" s="47">
        <f t="shared" ref="AH43:AH49" si="18">IF(AND($Z43="",AF43=""),"",$Z43-AF43)</f>
        <v>0</v>
      </c>
      <c r="AI43" s="371">
        <f t="shared" ref="AI43:AI49" si="19">IFERROR(Z43/Z$20,0)</f>
        <v>0</v>
      </c>
      <c r="AJ43" s="372">
        <f t="shared" ref="AJ43:AJ49" si="20">IFERROR(AC43/AC$20,0)</f>
        <v>0</v>
      </c>
      <c r="AK43" s="373">
        <f t="shared" ref="AK43:AK49" si="21">IFERROR(AF43/AF$20,0)</f>
        <v>0</v>
      </c>
      <c r="AL43" s="374">
        <f t="shared" ref="AL43:AL49" si="22">+IFERROR(ROUND(($AA43-AD43)*100,2)&amp;" pts.",0)</f>
        <v>0</v>
      </c>
      <c r="AM43" s="375">
        <f t="shared" ref="AM43:AM49" si="23">+IFERROR(ROUND(($AA43-AG43)*100,2)&amp;" pts.",0)</f>
        <v>0</v>
      </c>
    </row>
    <row r="44" spans="1:39" x14ac:dyDescent="0.2">
      <c r="A44" s="6" t="s">
        <v>25</v>
      </c>
      <c r="B44" s="7"/>
      <c r="G44" s="10" t="s">
        <v>366</v>
      </c>
      <c r="H44" s="10" t="s">
        <v>464</v>
      </c>
      <c r="I44" s="25">
        <v>7</v>
      </c>
      <c r="J44" s="25" t="s">
        <v>78</v>
      </c>
      <c r="K44" s="24"/>
      <c r="L44" s="24"/>
      <c r="M44" s="24" t="s">
        <v>1241</v>
      </c>
      <c r="N44" s="19"/>
      <c r="O44" s="19"/>
      <c r="P44" s="19"/>
      <c r="Q44" s="19"/>
      <c r="R44" s="19"/>
      <c r="S44" s="19"/>
      <c r="T44" s="19"/>
      <c r="U44" s="19"/>
      <c r="V44" s="19"/>
      <c r="W44" s="19"/>
      <c r="X44" s="19"/>
      <c r="Y44" s="19"/>
      <c r="Z44" s="283">
        <f t="shared" si="13"/>
        <v>0</v>
      </c>
      <c r="AA44" s="15" t="str">
        <f t="shared" si="14"/>
        <v/>
      </c>
      <c r="AC44" s="19"/>
      <c r="AD44" s="15" t="str">
        <f t="shared" si="15"/>
        <v/>
      </c>
      <c r="AE44" s="47">
        <f t="shared" si="16"/>
        <v>0</v>
      </c>
      <c r="AF44" s="19"/>
      <c r="AG44" s="15" t="str">
        <f t="shared" si="17"/>
        <v/>
      </c>
      <c r="AH44" s="47">
        <f t="shared" si="18"/>
        <v>0</v>
      </c>
      <c r="AI44" s="371">
        <f t="shared" si="19"/>
        <v>0</v>
      </c>
      <c r="AJ44" s="372">
        <f t="shared" si="20"/>
        <v>0</v>
      </c>
      <c r="AK44" s="373">
        <f t="shared" si="21"/>
        <v>0</v>
      </c>
      <c r="AL44" s="374">
        <f t="shared" si="22"/>
        <v>0</v>
      </c>
      <c r="AM44" s="375">
        <f t="shared" si="23"/>
        <v>0</v>
      </c>
    </row>
    <row r="45" spans="1:39" x14ac:dyDescent="0.2">
      <c r="A45" s="6" t="s">
        <v>26</v>
      </c>
      <c r="B45" s="7"/>
      <c r="G45" s="10" t="s">
        <v>380</v>
      </c>
      <c r="H45" s="10" t="s">
        <v>464</v>
      </c>
      <c r="I45" s="25">
        <v>7</v>
      </c>
      <c r="J45" s="25" t="s">
        <v>78</v>
      </c>
      <c r="K45" s="24"/>
      <c r="L45" s="24"/>
      <c r="M45" s="24" t="s">
        <v>1242</v>
      </c>
      <c r="N45" s="19"/>
      <c r="O45" s="19"/>
      <c r="P45" s="19"/>
      <c r="Q45" s="19"/>
      <c r="R45" s="19"/>
      <c r="S45" s="19"/>
      <c r="T45" s="19"/>
      <c r="U45" s="19"/>
      <c r="V45" s="19"/>
      <c r="W45" s="19"/>
      <c r="X45" s="19"/>
      <c r="Y45" s="19"/>
      <c r="Z45" s="283">
        <f t="shared" si="13"/>
        <v>0</v>
      </c>
      <c r="AA45" s="15" t="str">
        <f t="shared" si="14"/>
        <v/>
      </c>
      <c r="AC45" s="19"/>
      <c r="AD45" s="15" t="str">
        <f t="shared" si="15"/>
        <v/>
      </c>
      <c r="AE45" s="47">
        <f t="shared" si="16"/>
        <v>0</v>
      </c>
      <c r="AF45" s="19"/>
      <c r="AG45" s="15" t="str">
        <f t="shared" si="17"/>
        <v/>
      </c>
      <c r="AH45" s="47">
        <f t="shared" si="18"/>
        <v>0</v>
      </c>
      <c r="AI45" s="371">
        <f t="shared" si="19"/>
        <v>0</v>
      </c>
      <c r="AJ45" s="372">
        <f t="shared" si="20"/>
        <v>0</v>
      </c>
      <c r="AK45" s="373">
        <f t="shared" si="21"/>
        <v>0</v>
      </c>
      <c r="AL45" s="374">
        <f t="shared" si="22"/>
        <v>0</v>
      </c>
      <c r="AM45" s="375">
        <f t="shared" si="23"/>
        <v>0</v>
      </c>
    </row>
    <row r="46" spans="1:39" x14ac:dyDescent="0.2">
      <c r="A46" s="6" t="s">
        <v>27</v>
      </c>
      <c r="B46" s="7"/>
      <c r="G46" s="10" t="s">
        <v>386</v>
      </c>
      <c r="H46" s="10" t="s">
        <v>464</v>
      </c>
      <c r="I46" s="25">
        <v>7</v>
      </c>
      <c r="J46" s="25" t="s">
        <v>78</v>
      </c>
      <c r="K46" s="24"/>
      <c r="L46" s="24"/>
      <c r="M46" s="24" t="s">
        <v>1243</v>
      </c>
      <c r="N46" s="19"/>
      <c r="O46" s="19"/>
      <c r="P46" s="19"/>
      <c r="Q46" s="19"/>
      <c r="R46" s="19"/>
      <c r="S46" s="19"/>
      <c r="T46" s="19"/>
      <c r="U46" s="19"/>
      <c r="V46" s="19"/>
      <c r="W46" s="19"/>
      <c r="X46" s="19"/>
      <c r="Y46" s="19"/>
      <c r="Z46" s="283">
        <f t="shared" si="13"/>
        <v>0</v>
      </c>
      <c r="AA46" s="15" t="str">
        <f t="shared" si="14"/>
        <v/>
      </c>
      <c r="AC46" s="19"/>
      <c r="AD46" s="15" t="str">
        <f t="shared" si="15"/>
        <v/>
      </c>
      <c r="AE46" s="47">
        <f t="shared" si="16"/>
        <v>0</v>
      </c>
      <c r="AF46" s="19"/>
      <c r="AG46" s="15" t="str">
        <f t="shared" si="17"/>
        <v/>
      </c>
      <c r="AH46" s="47">
        <f t="shared" si="18"/>
        <v>0</v>
      </c>
      <c r="AI46" s="371">
        <f t="shared" si="19"/>
        <v>0</v>
      </c>
      <c r="AJ46" s="372">
        <f t="shared" si="20"/>
        <v>0</v>
      </c>
      <c r="AK46" s="373">
        <f t="shared" si="21"/>
        <v>0</v>
      </c>
      <c r="AL46" s="374">
        <f t="shared" si="22"/>
        <v>0</v>
      </c>
      <c r="AM46" s="375">
        <f t="shared" si="23"/>
        <v>0</v>
      </c>
    </row>
    <row r="47" spans="1:39" x14ac:dyDescent="0.2">
      <c r="A47" s="6" t="s">
        <v>28</v>
      </c>
      <c r="B47" s="7"/>
      <c r="G47" s="10" t="s">
        <v>406</v>
      </c>
      <c r="H47" s="10" t="s">
        <v>464</v>
      </c>
      <c r="I47" s="25">
        <v>6</v>
      </c>
      <c r="J47" s="25" t="s">
        <v>78</v>
      </c>
      <c r="K47" s="24"/>
      <c r="L47" s="24"/>
      <c r="M47" s="24" t="s">
        <v>1244</v>
      </c>
      <c r="N47" s="19"/>
      <c r="O47" s="19"/>
      <c r="P47" s="19"/>
      <c r="Q47" s="19"/>
      <c r="R47" s="19"/>
      <c r="S47" s="19"/>
      <c r="T47" s="19"/>
      <c r="U47" s="19"/>
      <c r="V47" s="19"/>
      <c r="W47" s="19"/>
      <c r="X47" s="19"/>
      <c r="Y47" s="19"/>
      <c r="Z47" s="283">
        <f t="shared" si="13"/>
        <v>0</v>
      </c>
      <c r="AA47" s="15" t="str">
        <f t="shared" si="14"/>
        <v/>
      </c>
      <c r="AC47" s="19"/>
      <c r="AD47" s="15" t="str">
        <f t="shared" si="15"/>
        <v/>
      </c>
      <c r="AE47" s="47">
        <f t="shared" si="16"/>
        <v>0</v>
      </c>
      <c r="AF47" s="19"/>
      <c r="AG47" s="15" t="str">
        <f t="shared" si="17"/>
        <v/>
      </c>
      <c r="AH47" s="47">
        <f t="shared" si="18"/>
        <v>0</v>
      </c>
      <c r="AI47" s="371">
        <f t="shared" si="19"/>
        <v>0</v>
      </c>
      <c r="AJ47" s="372">
        <f t="shared" si="20"/>
        <v>0</v>
      </c>
      <c r="AK47" s="373">
        <f t="shared" si="21"/>
        <v>0</v>
      </c>
      <c r="AL47" s="374">
        <f t="shared" si="22"/>
        <v>0</v>
      </c>
      <c r="AM47" s="375">
        <f t="shared" si="23"/>
        <v>0</v>
      </c>
    </row>
    <row r="48" spans="1:39" x14ac:dyDescent="0.2">
      <c r="A48" s="6" t="s">
        <v>29</v>
      </c>
      <c r="B48" s="7"/>
      <c r="G48" s="10" t="s">
        <v>423</v>
      </c>
      <c r="H48" s="10" t="s">
        <v>464</v>
      </c>
      <c r="I48" s="25">
        <v>7</v>
      </c>
      <c r="J48" s="25" t="s">
        <v>78</v>
      </c>
      <c r="K48" s="24"/>
      <c r="L48" s="24"/>
      <c r="M48" s="24" t="s">
        <v>1245</v>
      </c>
      <c r="N48" s="19">
        <v>677.06</v>
      </c>
      <c r="O48" s="19">
        <v>291.47000000000003</v>
      </c>
      <c r="P48" s="19">
        <v>711</v>
      </c>
      <c r="Q48" s="19">
        <v>642.24</v>
      </c>
      <c r="R48" s="19">
        <v>294.5</v>
      </c>
      <c r="S48" s="19">
        <v>206.68</v>
      </c>
      <c r="T48" s="19">
        <v>520.26</v>
      </c>
      <c r="U48" s="19">
        <v>165.54</v>
      </c>
      <c r="V48" s="19">
        <v>348.76</v>
      </c>
      <c r="W48" s="19">
        <v>319.45</v>
      </c>
      <c r="X48" s="19">
        <v>767.44</v>
      </c>
      <c r="Y48" s="19">
        <v>180.6</v>
      </c>
      <c r="Z48" s="283">
        <f t="shared" si="13"/>
        <v>5125</v>
      </c>
      <c r="AA48" s="15">
        <f t="shared" si="14"/>
        <v>0.28781753996592235</v>
      </c>
      <c r="AC48" s="19">
        <v>7070.1959399999996</v>
      </c>
      <c r="AD48" s="15">
        <f t="shared" si="15"/>
        <v>0.43934999999999996</v>
      </c>
      <c r="AE48" s="47">
        <f t="shared" si="16"/>
        <v>-1945.1959399999996</v>
      </c>
      <c r="AF48" s="19">
        <v>7208.72</v>
      </c>
      <c r="AG48" s="15">
        <f t="shared" si="17"/>
        <v>0.45434073286008803</v>
      </c>
      <c r="AH48" s="47">
        <f t="shared" si="18"/>
        <v>-2083.7200000000003</v>
      </c>
      <c r="AI48" s="371">
        <f t="shared" si="19"/>
        <v>0.12663701507289349</v>
      </c>
      <c r="AJ48" s="372">
        <f t="shared" si="20"/>
        <v>0.17573999999999998</v>
      </c>
      <c r="AK48" s="373">
        <f t="shared" si="21"/>
        <v>0.18073308930451787</v>
      </c>
      <c r="AL48" s="374" t="str">
        <f t="shared" si="22"/>
        <v>-15.15 pts.</v>
      </c>
      <c r="AM48" s="375" t="str">
        <f t="shared" si="23"/>
        <v>-16.65 pts.</v>
      </c>
    </row>
    <row r="49" spans="1:42" x14ac:dyDescent="0.2">
      <c r="A49" s="6" t="s">
        <v>30</v>
      </c>
      <c r="B49" s="7" t="s">
        <v>78</v>
      </c>
      <c r="H49" s="320" t="s">
        <v>493</v>
      </c>
      <c r="I49" s="64"/>
      <c r="J49" s="64"/>
      <c r="K49" s="64"/>
      <c r="L49" s="24"/>
      <c r="M49" s="23" t="s">
        <v>469</v>
      </c>
      <c r="N49" s="145">
        <f t="shared" ref="N49:Y49" si="24">SUM(N43:N48)</f>
        <v>677.06</v>
      </c>
      <c r="O49" s="145">
        <f t="shared" si="24"/>
        <v>291.47000000000003</v>
      </c>
      <c r="P49" s="145">
        <f t="shared" si="24"/>
        <v>711</v>
      </c>
      <c r="Q49" s="145">
        <f t="shared" si="24"/>
        <v>642.24</v>
      </c>
      <c r="R49" s="145">
        <f t="shared" si="24"/>
        <v>294.5</v>
      </c>
      <c r="S49" s="145">
        <f t="shared" si="24"/>
        <v>206.68</v>
      </c>
      <c r="T49" s="145">
        <f t="shared" si="24"/>
        <v>520.26</v>
      </c>
      <c r="U49" s="145">
        <f t="shared" si="24"/>
        <v>165.54</v>
      </c>
      <c r="V49" s="145">
        <f t="shared" si="24"/>
        <v>348.76</v>
      </c>
      <c r="W49" s="145">
        <f t="shared" si="24"/>
        <v>319.45</v>
      </c>
      <c r="X49" s="145">
        <f t="shared" si="24"/>
        <v>767.44</v>
      </c>
      <c r="Y49" s="145">
        <f t="shared" si="24"/>
        <v>180.6</v>
      </c>
      <c r="Z49" s="145">
        <f t="shared" si="13"/>
        <v>5125</v>
      </c>
      <c r="AA49" s="156">
        <f t="shared" si="14"/>
        <v>0.28781753996592235</v>
      </c>
      <c r="AC49" s="145">
        <f>SUM(AC43:AC48)</f>
        <v>7070.1959399999996</v>
      </c>
      <c r="AD49" s="156">
        <f t="shared" si="15"/>
        <v>0.43934999999999996</v>
      </c>
      <c r="AE49" s="146">
        <f t="shared" si="16"/>
        <v>-1945.1959399999996</v>
      </c>
      <c r="AF49" s="145">
        <f>SUM(AF43:AF48)</f>
        <v>7208.72</v>
      </c>
      <c r="AG49" s="156">
        <f t="shared" si="17"/>
        <v>0.45378930994780808</v>
      </c>
      <c r="AH49" s="146">
        <f t="shared" si="18"/>
        <v>-2083.7200000000003</v>
      </c>
      <c r="AI49" s="364">
        <f t="shared" si="19"/>
        <v>0.12663701507289349</v>
      </c>
      <c r="AJ49" s="365">
        <f t="shared" si="20"/>
        <v>0.17573999999999998</v>
      </c>
      <c r="AK49" s="366">
        <f t="shared" si="21"/>
        <v>0.18073308930451787</v>
      </c>
      <c r="AL49" s="367" t="str">
        <f t="shared" si="22"/>
        <v>-15.15 pts.</v>
      </c>
      <c r="AM49" s="409" t="str">
        <f t="shared" si="23"/>
        <v>-16.6 pts.</v>
      </c>
    </row>
    <row r="50" spans="1:42" x14ac:dyDescent="0.2">
      <c r="A50" s="6" t="s">
        <v>31</v>
      </c>
      <c r="B50" s="7" t="s">
        <v>78</v>
      </c>
      <c r="G50" s="23"/>
      <c r="H50" s="23"/>
      <c r="I50" s="23"/>
      <c r="J50" s="23"/>
      <c r="K50" s="23"/>
      <c r="L50" s="23"/>
      <c r="M50" s="23"/>
      <c r="N50" s="50"/>
      <c r="AA50" s="51"/>
      <c r="AC50" s="50"/>
      <c r="AE50" s="51"/>
      <c r="AF50" s="50"/>
      <c r="AH50" s="51"/>
    </row>
    <row r="51" spans="1:42" x14ac:dyDescent="0.2">
      <c r="A51" s="6" t="s">
        <v>32</v>
      </c>
      <c r="B51" s="7"/>
      <c r="H51" s="1" t="s">
        <v>81</v>
      </c>
      <c r="I51" s="11" t="s">
        <v>1007</v>
      </c>
      <c r="J51" s="11" t="s">
        <v>78</v>
      </c>
      <c r="M51" s="37" t="s">
        <v>1113</v>
      </c>
      <c r="N51" s="50"/>
      <c r="AA51" s="51"/>
      <c r="AC51" s="50"/>
      <c r="AE51" s="51"/>
      <c r="AF51" s="50"/>
      <c r="AH51" s="51"/>
    </row>
    <row r="52" spans="1:42" x14ac:dyDescent="0.2">
      <c r="A52" s="6" t="s">
        <v>33</v>
      </c>
      <c r="B52" s="7"/>
      <c r="G52" s="10" t="s">
        <v>365</v>
      </c>
      <c r="H52" s="10" t="s">
        <v>81</v>
      </c>
      <c r="I52" s="25">
        <v>7</v>
      </c>
      <c r="J52" s="25" t="s">
        <v>78</v>
      </c>
      <c r="K52" s="24"/>
      <c r="L52" s="24"/>
      <c r="M52" s="24" t="s">
        <v>1240</v>
      </c>
      <c r="N52" s="19">
        <f t="shared" ref="N52:Y52" si="25">IFERROR(N34-N43,"")</f>
        <v>0</v>
      </c>
      <c r="O52" s="19">
        <f t="shared" si="25"/>
        <v>0</v>
      </c>
      <c r="P52" s="19">
        <f t="shared" si="25"/>
        <v>0</v>
      </c>
      <c r="Q52" s="19">
        <f t="shared" si="25"/>
        <v>0</v>
      </c>
      <c r="R52" s="19">
        <f t="shared" si="25"/>
        <v>0</v>
      </c>
      <c r="S52" s="19">
        <f t="shared" si="25"/>
        <v>0</v>
      </c>
      <c r="T52" s="19">
        <f t="shared" si="25"/>
        <v>0</v>
      </c>
      <c r="U52" s="19">
        <f t="shared" si="25"/>
        <v>0</v>
      </c>
      <c r="V52" s="19">
        <f t="shared" si="25"/>
        <v>0</v>
      </c>
      <c r="W52" s="19">
        <f t="shared" si="25"/>
        <v>0</v>
      </c>
      <c r="X52" s="19">
        <f t="shared" si="25"/>
        <v>0</v>
      </c>
      <c r="Y52" s="19">
        <f t="shared" si="25"/>
        <v>0</v>
      </c>
      <c r="Z52" s="283">
        <f t="shared" ref="Z52:Z58" si="26">IF($I52="B1","",SUM(N52:Y52))</f>
        <v>0</v>
      </c>
      <c r="AA52" s="15" t="str">
        <f t="shared" ref="AA52:AA58" si="27">IF(Z52=0,"",IFERROR(Z52/Z34,""))</f>
        <v/>
      </c>
      <c r="AC52" s="19">
        <f t="shared" ref="AC52:AC57" si="28">IFERROR(AC34-AC43,"")</f>
        <v>0</v>
      </c>
      <c r="AD52" s="15" t="str">
        <f t="shared" ref="AD52:AD58" si="29">IF(AC52=0,"",IFERROR(AC52/AC34,""))</f>
        <v/>
      </c>
      <c r="AE52" s="47">
        <f t="shared" ref="AE52:AE58" si="30">IF(AND($Z52="",AC52=""),"",$Z52-AC52)</f>
        <v>0</v>
      </c>
      <c r="AF52" s="19">
        <f t="shared" ref="AF52:AF57" si="31">IFERROR(AF34-AF43,"")</f>
        <v>0</v>
      </c>
      <c r="AG52" s="15" t="str">
        <f t="shared" ref="AG52:AG58" si="32">IF(AF52=0,"",IFERROR(AF52/AF34,""))</f>
        <v/>
      </c>
      <c r="AH52" s="47">
        <f t="shared" ref="AH52:AH58" si="33">IF(AND($Z52="",AF52=""),"",$Z52-AF52)</f>
        <v>0</v>
      </c>
      <c r="AI52" s="371">
        <f t="shared" ref="AI52:AI58" si="34">IFERROR(Z52/Z$20,0)</f>
        <v>0</v>
      </c>
      <c r="AJ52" s="372">
        <f t="shared" ref="AJ52:AJ58" si="35">IFERROR(AC52/AC$20,0)</f>
        <v>0</v>
      </c>
      <c r="AK52" s="373">
        <f t="shared" ref="AK52:AK58" si="36">IFERROR(AF52/AF$20,0)</f>
        <v>0</v>
      </c>
      <c r="AL52" s="374">
        <f t="shared" ref="AL52:AL58" si="37">+IFERROR(ROUND(($AA52-AD52)*100,2)&amp;" pts.",0)</f>
        <v>0</v>
      </c>
      <c r="AM52" s="375">
        <f t="shared" ref="AM52:AM58" si="38">+IFERROR(ROUND(($AA52-AG52)*100,2)&amp;" pts.",0)</f>
        <v>0</v>
      </c>
    </row>
    <row r="53" spans="1:42" x14ac:dyDescent="0.2">
      <c r="A53" s="6" t="s">
        <v>34</v>
      </c>
      <c r="B53" s="7"/>
      <c r="G53" s="10" t="s">
        <v>366</v>
      </c>
      <c r="H53" s="10" t="s">
        <v>81</v>
      </c>
      <c r="I53" s="25">
        <v>7</v>
      </c>
      <c r="J53" s="25" t="s">
        <v>78</v>
      </c>
      <c r="K53" s="24"/>
      <c r="L53" s="24"/>
      <c r="M53" s="24" t="s">
        <v>1241</v>
      </c>
      <c r="N53" s="19">
        <f t="shared" ref="N53:Y53" si="39">IFERROR(N35-N44,"")</f>
        <v>0</v>
      </c>
      <c r="O53" s="19">
        <f t="shared" si="39"/>
        <v>0</v>
      </c>
      <c r="P53" s="19">
        <f t="shared" si="39"/>
        <v>0</v>
      </c>
      <c r="Q53" s="19">
        <f t="shared" si="39"/>
        <v>0</v>
      </c>
      <c r="R53" s="19">
        <f t="shared" si="39"/>
        <v>0</v>
      </c>
      <c r="S53" s="19">
        <f t="shared" si="39"/>
        <v>0</v>
      </c>
      <c r="T53" s="19">
        <f t="shared" si="39"/>
        <v>0</v>
      </c>
      <c r="U53" s="19">
        <f t="shared" si="39"/>
        <v>0</v>
      </c>
      <c r="V53" s="19">
        <f t="shared" si="39"/>
        <v>0</v>
      </c>
      <c r="W53" s="19">
        <f t="shared" si="39"/>
        <v>0</v>
      </c>
      <c r="X53" s="19">
        <f t="shared" si="39"/>
        <v>0</v>
      </c>
      <c r="Y53" s="19">
        <f t="shared" si="39"/>
        <v>0</v>
      </c>
      <c r="Z53" s="283">
        <f t="shared" si="26"/>
        <v>0</v>
      </c>
      <c r="AA53" s="15" t="str">
        <f t="shared" si="27"/>
        <v/>
      </c>
      <c r="AC53" s="19">
        <f t="shared" si="28"/>
        <v>0</v>
      </c>
      <c r="AD53" s="15" t="str">
        <f t="shared" si="29"/>
        <v/>
      </c>
      <c r="AE53" s="47">
        <f t="shared" si="30"/>
        <v>0</v>
      </c>
      <c r="AF53" s="19">
        <f t="shared" si="31"/>
        <v>0</v>
      </c>
      <c r="AG53" s="15" t="str">
        <f t="shared" si="32"/>
        <v/>
      </c>
      <c r="AH53" s="47">
        <f t="shared" si="33"/>
        <v>0</v>
      </c>
      <c r="AI53" s="371">
        <f t="shared" si="34"/>
        <v>0</v>
      </c>
      <c r="AJ53" s="372">
        <f t="shared" si="35"/>
        <v>0</v>
      </c>
      <c r="AK53" s="373">
        <f t="shared" si="36"/>
        <v>0</v>
      </c>
      <c r="AL53" s="374">
        <f t="shared" si="37"/>
        <v>0</v>
      </c>
      <c r="AM53" s="375">
        <f t="shared" si="38"/>
        <v>0</v>
      </c>
    </row>
    <row r="54" spans="1:42" x14ac:dyDescent="0.2">
      <c r="A54" s="6" t="s">
        <v>35</v>
      </c>
      <c r="B54" s="7"/>
      <c r="G54" s="10" t="s">
        <v>380</v>
      </c>
      <c r="H54" s="10" t="s">
        <v>81</v>
      </c>
      <c r="I54" s="25">
        <v>7</v>
      </c>
      <c r="J54" s="25" t="s">
        <v>78</v>
      </c>
      <c r="K54" s="24"/>
      <c r="L54" s="24"/>
      <c r="M54" s="24" t="s">
        <v>1242</v>
      </c>
      <c r="N54" s="19">
        <f t="shared" ref="N54:Y54" si="40">IFERROR(N36-N45,"")</f>
        <v>0</v>
      </c>
      <c r="O54" s="19">
        <f t="shared" si="40"/>
        <v>0</v>
      </c>
      <c r="P54" s="19">
        <f t="shared" si="40"/>
        <v>0</v>
      </c>
      <c r="Q54" s="19">
        <f t="shared" si="40"/>
        <v>0</v>
      </c>
      <c r="R54" s="19">
        <f t="shared" si="40"/>
        <v>0</v>
      </c>
      <c r="S54" s="19">
        <f t="shared" si="40"/>
        <v>0</v>
      </c>
      <c r="T54" s="19">
        <f t="shared" si="40"/>
        <v>0</v>
      </c>
      <c r="U54" s="19">
        <f t="shared" si="40"/>
        <v>0</v>
      </c>
      <c r="V54" s="19">
        <f t="shared" si="40"/>
        <v>0</v>
      </c>
      <c r="W54" s="19">
        <f t="shared" si="40"/>
        <v>0</v>
      </c>
      <c r="X54" s="19">
        <f t="shared" si="40"/>
        <v>0</v>
      </c>
      <c r="Y54" s="19">
        <f t="shared" si="40"/>
        <v>0</v>
      </c>
      <c r="Z54" s="283">
        <f t="shared" si="26"/>
        <v>0</v>
      </c>
      <c r="AA54" s="15" t="str">
        <f t="shared" si="27"/>
        <v/>
      </c>
      <c r="AC54" s="19">
        <f t="shared" si="28"/>
        <v>0</v>
      </c>
      <c r="AD54" s="15" t="str">
        <f t="shared" si="29"/>
        <v/>
      </c>
      <c r="AE54" s="47">
        <f t="shared" si="30"/>
        <v>0</v>
      </c>
      <c r="AF54" s="19">
        <f t="shared" si="31"/>
        <v>0</v>
      </c>
      <c r="AG54" s="15" t="str">
        <f t="shared" si="32"/>
        <v/>
      </c>
      <c r="AH54" s="47">
        <f t="shared" si="33"/>
        <v>0</v>
      </c>
      <c r="AI54" s="371">
        <f t="shared" si="34"/>
        <v>0</v>
      </c>
      <c r="AJ54" s="372">
        <f t="shared" si="35"/>
        <v>0</v>
      </c>
      <c r="AK54" s="373">
        <f t="shared" si="36"/>
        <v>0</v>
      </c>
      <c r="AL54" s="374">
        <f t="shared" si="37"/>
        <v>0</v>
      </c>
      <c r="AM54" s="375">
        <f t="shared" si="38"/>
        <v>0</v>
      </c>
    </row>
    <row r="55" spans="1:42" x14ac:dyDescent="0.2">
      <c r="A55" s="6" t="s">
        <v>36</v>
      </c>
      <c r="B55" s="7"/>
      <c r="G55" s="10" t="s">
        <v>386</v>
      </c>
      <c r="H55" s="10" t="s">
        <v>81</v>
      </c>
      <c r="I55" s="25">
        <v>7</v>
      </c>
      <c r="J55" s="25" t="s">
        <v>78</v>
      </c>
      <c r="K55" s="24"/>
      <c r="L55" s="24"/>
      <c r="M55" s="24" t="s">
        <v>1243</v>
      </c>
      <c r="N55" s="19">
        <f t="shared" ref="N55:Y55" si="41">IFERROR(N37-N46,"")</f>
        <v>0</v>
      </c>
      <c r="O55" s="19">
        <f t="shared" si="41"/>
        <v>0</v>
      </c>
      <c r="P55" s="19">
        <f t="shared" si="41"/>
        <v>0</v>
      </c>
      <c r="Q55" s="19">
        <f t="shared" si="41"/>
        <v>0</v>
      </c>
      <c r="R55" s="19">
        <f t="shared" si="41"/>
        <v>0</v>
      </c>
      <c r="S55" s="19">
        <f t="shared" si="41"/>
        <v>0</v>
      </c>
      <c r="T55" s="19">
        <f t="shared" si="41"/>
        <v>0</v>
      </c>
      <c r="U55" s="19">
        <f t="shared" si="41"/>
        <v>0</v>
      </c>
      <c r="V55" s="19">
        <f t="shared" si="41"/>
        <v>0</v>
      </c>
      <c r="W55" s="19">
        <f t="shared" si="41"/>
        <v>0</v>
      </c>
      <c r="X55" s="19">
        <f t="shared" si="41"/>
        <v>0</v>
      </c>
      <c r="Y55" s="19">
        <f t="shared" si="41"/>
        <v>0</v>
      </c>
      <c r="Z55" s="283">
        <f t="shared" si="26"/>
        <v>0</v>
      </c>
      <c r="AA55" s="15" t="str">
        <f t="shared" si="27"/>
        <v/>
      </c>
      <c r="AC55" s="19">
        <f t="shared" si="28"/>
        <v>0</v>
      </c>
      <c r="AD55" s="15" t="str">
        <f t="shared" si="29"/>
        <v/>
      </c>
      <c r="AE55" s="47">
        <f t="shared" si="30"/>
        <v>0</v>
      </c>
      <c r="AF55" s="19">
        <f t="shared" si="31"/>
        <v>19.28</v>
      </c>
      <c r="AG55" s="15">
        <f t="shared" si="32"/>
        <v>1</v>
      </c>
      <c r="AH55" s="47">
        <f t="shared" si="33"/>
        <v>-19.28</v>
      </c>
      <c r="AI55" s="371">
        <f t="shared" si="34"/>
        <v>0</v>
      </c>
      <c r="AJ55" s="372">
        <f t="shared" si="35"/>
        <v>0</v>
      </c>
      <c r="AK55" s="373">
        <f t="shared" si="36"/>
        <v>4.8337762623476912E-4</v>
      </c>
      <c r="AL55" s="374">
        <f t="shared" si="37"/>
        <v>0</v>
      </c>
      <c r="AM55" s="375">
        <f t="shared" si="38"/>
        <v>0</v>
      </c>
    </row>
    <row r="56" spans="1:42" x14ac:dyDescent="0.2">
      <c r="A56" s="6" t="s">
        <v>37</v>
      </c>
      <c r="B56" s="7"/>
      <c r="G56" s="10" t="s">
        <v>406</v>
      </c>
      <c r="H56" s="10" t="s">
        <v>81</v>
      </c>
      <c r="I56" s="25">
        <v>6</v>
      </c>
      <c r="J56" s="25" t="s">
        <v>78</v>
      </c>
      <c r="K56" s="24"/>
      <c r="L56" s="24"/>
      <c r="M56" s="24" t="s">
        <v>1244</v>
      </c>
      <c r="N56" s="19">
        <f t="shared" ref="N56:Y56" si="42">IFERROR(N38-N47,"")</f>
        <v>0</v>
      </c>
      <c r="O56" s="19">
        <f t="shared" si="42"/>
        <v>0</v>
      </c>
      <c r="P56" s="19">
        <f t="shared" si="42"/>
        <v>0</v>
      </c>
      <c r="Q56" s="19">
        <f t="shared" si="42"/>
        <v>0</v>
      </c>
      <c r="R56" s="19">
        <f t="shared" si="42"/>
        <v>0</v>
      </c>
      <c r="S56" s="19">
        <f t="shared" si="42"/>
        <v>0</v>
      </c>
      <c r="T56" s="19">
        <f t="shared" si="42"/>
        <v>0</v>
      </c>
      <c r="U56" s="19">
        <f t="shared" si="42"/>
        <v>0</v>
      </c>
      <c r="V56" s="19">
        <f t="shared" si="42"/>
        <v>0</v>
      </c>
      <c r="W56" s="19">
        <f t="shared" si="42"/>
        <v>0</v>
      </c>
      <c r="X56" s="19">
        <f t="shared" si="42"/>
        <v>0</v>
      </c>
      <c r="Y56" s="19">
        <f t="shared" si="42"/>
        <v>0</v>
      </c>
      <c r="Z56" s="283">
        <f t="shared" si="26"/>
        <v>0</v>
      </c>
      <c r="AA56" s="15" t="str">
        <f t="shared" si="27"/>
        <v/>
      </c>
      <c r="AC56" s="19">
        <f t="shared" si="28"/>
        <v>0</v>
      </c>
      <c r="AD56" s="15" t="str">
        <f t="shared" si="29"/>
        <v/>
      </c>
      <c r="AE56" s="47">
        <f t="shared" si="30"/>
        <v>0</v>
      </c>
      <c r="AF56" s="19">
        <f t="shared" si="31"/>
        <v>0</v>
      </c>
      <c r="AG56" s="15" t="str">
        <f t="shared" si="32"/>
        <v/>
      </c>
      <c r="AH56" s="47">
        <f t="shared" si="33"/>
        <v>0</v>
      </c>
      <c r="AI56" s="371">
        <f t="shared" si="34"/>
        <v>0</v>
      </c>
      <c r="AJ56" s="372">
        <f t="shared" si="35"/>
        <v>0</v>
      </c>
      <c r="AK56" s="373">
        <f t="shared" si="36"/>
        <v>0</v>
      </c>
      <c r="AL56" s="374">
        <f t="shared" si="37"/>
        <v>0</v>
      </c>
      <c r="AM56" s="375">
        <f t="shared" si="38"/>
        <v>0</v>
      </c>
      <c r="AO56" s="370"/>
      <c r="AP56" s="370"/>
    </row>
    <row r="57" spans="1:42" x14ac:dyDescent="0.2">
      <c r="A57" s="6" t="s">
        <v>38</v>
      </c>
      <c r="B57" s="7"/>
      <c r="G57" s="10" t="s">
        <v>423</v>
      </c>
      <c r="H57" s="10" t="s">
        <v>81</v>
      </c>
      <c r="I57" s="25">
        <v>7</v>
      </c>
      <c r="J57" s="25" t="s">
        <v>78</v>
      </c>
      <c r="K57" s="24"/>
      <c r="L57" s="24"/>
      <c r="M57" s="24" t="s">
        <v>1245</v>
      </c>
      <c r="N57" s="19">
        <f t="shared" ref="N57:Y57" si="43">IFERROR(N39-N48,"")</f>
        <v>1100.99</v>
      </c>
      <c r="O57" s="19">
        <f t="shared" si="43"/>
        <v>1161.17</v>
      </c>
      <c r="P57" s="19">
        <f t="shared" si="43"/>
        <v>1803.5100000000002</v>
      </c>
      <c r="Q57" s="19">
        <f t="shared" si="43"/>
        <v>819.31</v>
      </c>
      <c r="R57" s="19">
        <f t="shared" si="43"/>
        <v>391.89</v>
      </c>
      <c r="S57" s="19">
        <f t="shared" si="43"/>
        <v>764.79</v>
      </c>
      <c r="T57" s="19">
        <f t="shared" si="43"/>
        <v>1125.78</v>
      </c>
      <c r="U57" s="19">
        <f t="shared" si="43"/>
        <v>735.16000000000008</v>
      </c>
      <c r="V57" s="19">
        <f t="shared" si="43"/>
        <v>516.72</v>
      </c>
      <c r="W57" s="19">
        <f t="shared" si="43"/>
        <v>1069.4199999999998</v>
      </c>
      <c r="X57" s="19">
        <f t="shared" si="43"/>
        <v>1260.69</v>
      </c>
      <c r="Y57" s="19">
        <f t="shared" si="43"/>
        <v>1931.9900000000002</v>
      </c>
      <c r="Z57" s="283">
        <f t="shared" si="26"/>
        <v>12681.42</v>
      </c>
      <c r="AA57" s="15">
        <f t="shared" si="27"/>
        <v>0.71218246003407748</v>
      </c>
      <c r="AC57" s="19">
        <f t="shared" si="28"/>
        <v>9022.20406</v>
      </c>
      <c r="AD57" s="15">
        <f t="shared" si="29"/>
        <v>0.56064999999999998</v>
      </c>
      <c r="AE57" s="47">
        <f t="shared" si="30"/>
        <v>3659.21594</v>
      </c>
      <c r="AF57" s="19">
        <f t="shared" si="31"/>
        <v>8657.61</v>
      </c>
      <c r="AG57" s="15">
        <f t="shared" si="32"/>
        <v>0.54565926713991209</v>
      </c>
      <c r="AH57" s="47">
        <f t="shared" si="33"/>
        <v>4023.8099999999995</v>
      </c>
      <c r="AI57" s="371">
        <f t="shared" si="34"/>
        <v>0.31335359525574502</v>
      </c>
      <c r="AJ57" s="372">
        <f t="shared" si="35"/>
        <v>0.22425999999999999</v>
      </c>
      <c r="AK57" s="373">
        <f t="shared" si="36"/>
        <v>0.2170588677731535</v>
      </c>
      <c r="AL57" s="374" t="str">
        <f t="shared" si="37"/>
        <v>15.15 pts.</v>
      </c>
      <c r="AM57" s="375" t="str">
        <f t="shared" si="38"/>
        <v>16.65 pts.</v>
      </c>
    </row>
    <row r="58" spans="1:42" x14ac:dyDescent="0.2">
      <c r="A58" s="6" t="s">
        <v>39</v>
      </c>
      <c r="B58" s="7"/>
      <c r="H58" s="64"/>
      <c r="I58" s="64"/>
      <c r="J58" s="64"/>
      <c r="K58" s="64"/>
      <c r="L58" s="24"/>
      <c r="M58" s="23" t="s">
        <v>471</v>
      </c>
      <c r="N58" s="145">
        <f t="shared" ref="N58:Y58" si="44">SUM(N52:N57)</f>
        <v>1100.99</v>
      </c>
      <c r="O58" s="145">
        <f t="shared" si="44"/>
        <v>1161.17</v>
      </c>
      <c r="P58" s="145">
        <f t="shared" si="44"/>
        <v>1803.5100000000002</v>
      </c>
      <c r="Q58" s="145">
        <f t="shared" si="44"/>
        <v>819.31</v>
      </c>
      <c r="R58" s="145">
        <f t="shared" si="44"/>
        <v>391.89</v>
      </c>
      <c r="S58" s="145">
        <f t="shared" si="44"/>
        <v>764.79</v>
      </c>
      <c r="T58" s="145">
        <f t="shared" si="44"/>
        <v>1125.78</v>
      </c>
      <c r="U58" s="145">
        <f t="shared" si="44"/>
        <v>735.16000000000008</v>
      </c>
      <c r="V58" s="145">
        <f t="shared" si="44"/>
        <v>516.72</v>
      </c>
      <c r="W58" s="145">
        <f t="shared" si="44"/>
        <v>1069.4199999999998</v>
      </c>
      <c r="X58" s="145">
        <f t="shared" si="44"/>
        <v>1260.69</v>
      </c>
      <c r="Y58" s="145">
        <f t="shared" si="44"/>
        <v>1931.9900000000002</v>
      </c>
      <c r="Z58" s="145">
        <f t="shared" si="26"/>
        <v>12681.42</v>
      </c>
      <c r="AA58" s="156">
        <f t="shared" si="27"/>
        <v>0.71218246003407748</v>
      </c>
      <c r="AC58" s="145">
        <f>SUM(AC52:AC57)</f>
        <v>9022.20406</v>
      </c>
      <c r="AD58" s="156">
        <f t="shared" si="29"/>
        <v>0.56064999999999998</v>
      </c>
      <c r="AE58" s="146">
        <f t="shared" si="30"/>
        <v>3659.21594</v>
      </c>
      <c r="AF58" s="145">
        <f>SUM(AF52:AF57)</f>
        <v>8676.8900000000012</v>
      </c>
      <c r="AG58" s="156">
        <f t="shared" si="32"/>
        <v>0.54621069005219192</v>
      </c>
      <c r="AH58" s="146">
        <f t="shared" si="33"/>
        <v>4004.5299999999988</v>
      </c>
      <c r="AI58" s="364">
        <f t="shared" si="34"/>
        <v>0.31335359525574502</v>
      </c>
      <c r="AJ58" s="365">
        <f t="shared" si="35"/>
        <v>0.22425999999999999</v>
      </c>
      <c r="AK58" s="366">
        <f t="shared" si="36"/>
        <v>0.2175422453993883</v>
      </c>
      <c r="AL58" s="367" t="str">
        <f t="shared" si="37"/>
        <v>15.15 pts.</v>
      </c>
      <c r="AM58" s="409" t="str">
        <f t="shared" si="38"/>
        <v>16.6 pts.</v>
      </c>
    </row>
    <row r="59" spans="1:42" x14ac:dyDescent="0.2">
      <c r="A59" s="6" t="s">
        <v>40</v>
      </c>
      <c r="B59" s="7"/>
      <c r="I59" s="1"/>
      <c r="J59" s="1"/>
    </row>
    <row r="60" spans="1:42" ht="16" thickBot="1" x14ac:dyDescent="0.25">
      <c r="A60" s="6" t="s">
        <v>41</v>
      </c>
      <c r="B60" s="7"/>
      <c r="G60" s="10" t="s">
        <v>463</v>
      </c>
      <c r="H60" s="10" t="s">
        <v>81</v>
      </c>
      <c r="I60" s="25" t="s">
        <v>1007</v>
      </c>
      <c r="J60" s="25" t="s">
        <v>78</v>
      </c>
      <c r="K60" s="23"/>
      <c r="L60" s="23"/>
      <c r="M60" s="23" t="s">
        <v>1113</v>
      </c>
      <c r="N60" s="58">
        <v>1100.99</v>
      </c>
      <c r="O60" s="58">
        <v>1161.17</v>
      </c>
      <c r="P60" s="58">
        <v>1803.51</v>
      </c>
      <c r="Q60" s="58">
        <v>819.31</v>
      </c>
      <c r="R60" s="58">
        <v>391.89</v>
      </c>
      <c r="S60" s="58">
        <v>764.79</v>
      </c>
      <c r="T60" s="58">
        <v>1125.78</v>
      </c>
      <c r="U60" s="58">
        <v>735.16</v>
      </c>
      <c r="V60" s="58">
        <v>516.72</v>
      </c>
      <c r="W60" s="58">
        <v>1069.42</v>
      </c>
      <c r="X60" s="58">
        <v>1260.69</v>
      </c>
      <c r="Y60" s="58">
        <v>1931.99</v>
      </c>
      <c r="Z60" s="58">
        <f>IF($I60="B1","",SUM(N60:Y60))</f>
        <v>12681.42</v>
      </c>
      <c r="AA60" s="59">
        <f>IF(Z60=0,"",IFERROR(Z60/Z$19,""))</f>
        <v>0.71218246003407748</v>
      </c>
      <c r="AC60" s="58">
        <v>9022.20406</v>
      </c>
      <c r="AD60" s="59">
        <f>IF(AC60=0,"",IFERROR(AC60/AC$19,""))</f>
        <v>0.56064999999999998</v>
      </c>
      <c r="AE60" s="60">
        <f>IF(AND($Z60="",AC60=""),"",$Z60-AC60)</f>
        <v>3659.21594</v>
      </c>
      <c r="AF60" s="58">
        <v>8676.89</v>
      </c>
      <c r="AG60" s="59">
        <f>IF(AF60=0,"",IFERROR(AF60/AF$19,""))</f>
        <v>0.54621069005219181</v>
      </c>
      <c r="AH60" s="60">
        <f>IF(AND($Z60="",AF60=""),"",$Z60-AF60)</f>
        <v>4004.5300000000007</v>
      </c>
      <c r="AI60" s="402">
        <f>IFERROR(Z60/Z$20,0)</f>
        <v>0.31335359525574502</v>
      </c>
      <c r="AJ60" s="403">
        <f>IFERROR(AC60/AC$20,0)</f>
        <v>0.22425999999999999</v>
      </c>
      <c r="AK60" s="404">
        <f>IFERROR(AF60/AF$20,0)</f>
        <v>0.21754224539938824</v>
      </c>
      <c r="AL60" s="405" t="str">
        <f>+IFERROR(ROUND(($AA60-AD60)*100,2)&amp;" pts.",0)</f>
        <v>15.15 pts.</v>
      </c>
      <c r="AM60" s="410" t="str">
        <f>+IFERROR(ROUND(($AA60-AG60)*100,2)&amp;" pts.",0)</f>
        <v>16.6 pts.</v>
      </c>
    </row>
    <row r="61" spans="1:42" ht="16" thickTop="1" x14ac:dyDescent="0.2">
      <c r="A61" s="6" t="s">
        <v>42</v>
      </c>
      <c r="B61" s="7"/>
      <c r="I61" s="1"/>
      <c r="J61" s="1"/>
    </row>
    <row r="62" spans="1:42" x14ac:dyDescent="0.2">
      <c r="A62" s="6" t="s">
        <v>43</v>
      </c>
      <c r="B62" s="7"/>
      <c r="M62" s="24" t="str">
        <f>$M$51&amp;" - Check"</f>
        <v>Department Profit (Loss) - Check</v>
      </c>
      <c r="N62" s="124">
        <f t="shared" ref="N62:Z62" si="45">SUMIF($H$34:$H$49,"REV",N34:N49)-SUMIF($H$34:$H$49,"EXP",N34:N49)-N60</f>
        <v>0</v>
      </c>
      <c r="O62" s="124">
        <f t="shared" si="45"/>
        <v>0</v>
      </c>
      <c r="P62" s="124">
        <f t="shared" si="45"/>
        <v>0</v>
      </c>
      <c r="Q62" s="124">
        <f t="shared" si="45"/>
        <v>0</v>
      </c>
      <c r="R62" s="124">
        <f t="shared" si="45"/>
        <v>0</v>
      </c>
      <c r="S62" s="124">
        <f t="shared" si="45"/>
        <v>0</v>
      </c>
      <c r="T62" s="124">
        <f t="shared" si="45"/>
        <v>0</v>
      </c>
      <c r="U62" s="124">
        <f t="shared" si="45"/>
        <v>0</v>
      </c>
      <c r="V62" s="124">
        <f t="shared" si="45"/>
        <v>0</v>
      </c>
      <c r="W62" s="124">
        <f t="shared" si="45"/>
        <v>0</v>
      </c>
      <c r="X62" s="124">
        <f t="shared" si="45"/>
        <v>0</v>
      </c>
      <c r="Y62" s="124">
        <f t="shared" si="45"/>
        <v>0</v>
      </c>
      <c r="Z62" s="124">
        <f t="shared" si="45"/>
        <v>0</v>
      </c>
      <c r="AA62" s="15"/>
      <c r="AC62" s="124">
        <f>SUMIF($H$34:$H$49,"REV",AC34:AC49)-SUMIF($H$34:$H$49,"EXP",AC34:AC49)-AC60</f>
        <v>0</v>
      </c>
      <c r="AD62" s="15"/>
      <c r="AE62" s="19"/>
      <c r="AF62" s="124">
        <f>SUMIF($H$34:$H$49,"REV",AF34:AF49)-SUMIF($H$34:$H$49,"EXP",AF34:AF49)-AF60</f>
        <v>0</v>
      </c>
      <c r="AG62" s="15"/>
      <c r="AH62" s="19"/>
    </row>
    <row r="63" spans="1:42" x14ac:dyDescent="0.2">
      <c r="A63" s="6" t="s">
        <v>44</v>
      </c>
      <c r="B63" s="7"/>
      <c r="N63" s="147"/>
      <c r="O63" s="147"/>
      <c r="P63" s="147"/>
      <c r="Q63" s="147"/>
      <c r="R63" s="147"/>
      <c r="S63" s="147"/>
      <c r="T63" s="147"/>
      <c r="U63" s="147"/>
      <c r="V63" s="147"/>
      <c r="W63" s="147"/>
      <c r="X63" s="147"/>
      <c r="Y63" s="147"/>
      <c r="Z63" s="147"/>
    </row>
    <row r="64" spans="1:42" x14ac:dyDescent="0.2">
      <c r="A64" s="6" t="s">
        <v>45</v>
      </c>
      <c r="B64" s="7"/>
      <c r="N64" s="147"/>
      <c r="O64" s="147"/>
      <c r="P64" s="147"/>
      <c r="Q64" s="147"/>
      <c r="R64" s="147"/>
      <c r="S64" s="147"/>
      <c r="T64" s="147"/>
      <c r="U64" s="147"/>
      <c r="V64" s="147"/>
      <c r="W64" s="147"/>
      <c r="X64" s="147"/>
      <c r="Y64" s="147"/>
      <c r="Z64" s="147"/>
      <c r="AC64" s="147"/>
      <c r="AF64" s="147"/>
    </row>
    <row r="65" spans="1:32" x14ac:dyDescent="0.2">
      <c r="A65" s="6" t="s">
        <v>46</v>
      </c>
      <c r="B65" s="7"/>
      <c r="N65" s="147"/>
      <c r="O65" s="147"/>
      <c r="P65" s="147"/>
      <c r="Q65" s="147"/>
      <c r="R65" s="147"/>
      <c r="S65" s="147"/>
      <c r="T65" s="147"/>
      <c r="U65" s="147"/>
      <c r="V65" s="147"/>
      <c r="W65" s="147"/>
      <c r="X65" s="147"/>
      <c r="Y65" s="147"/>
      <c r="Z65" s="147"/>
      <c r="AC65" s="147"/>
      <c r="AF65" s="147"/>
    </row>
    <row r="66" spans="1:32" x14ac:dyDescent="0.2">
      <c r="N66" s="147"/>
      <c r="O66" s="147"/>
      <c r="P66" s="147"/>
      <c r="Q66" s="147"/>
      <c r="R66" s="147"/>
      <c r="S66" s="147"/>
      <c r="T66" s="147"/>
      <c r="U66" s="147"/>
      <c r="V66" s="147"/>
      <c r="W66" s="147"/>
      <c r="X66" s="147"/>
      <c r="Y66" s="147"/>
      <c r="Z66" s="147"/>
      <c r="AC66" s="147"/>
      <c r="AF66" s="147"/>
    </row>
    <row r="69" spans="1:32" x14ac:dyDescent="0.2">
      <c r="H69" s="11"/>
      <c r="J69" s="1"/>
    </row>
    <row r="70" spans="1:32" x14ac:dyDescent="0.2">
      <c r="H70" s="11"/>
      <c r="J70" s="1"/>
    </row>
    <row r="71" spans="1:32" x14ac:dyDescent="0.2">
      <c r="H71" s="11"/>
      <c r="J71" s="1"/>
    </row>
    <row r="72" spans="1:32" x14ac:dyDescent="0.2">
      <c r="G72" s="13"/>
      <c r="H72" s="11"/>
      <c r="J72" s="1"/>
    </row>
    <row r="73" spans="1:32" x14ac:dyDescent="0.2">
      <c r="H73" s="11"/>
      <c r="J73" s="1"/>
    </row>
    <row r="74" spans="1:32" x14ac:dyDescent="0.2">
      <c r="H74" s="11"/>
      <c r="J74" s="1"/>
    </row>
    <row r="75" spans="1:32" x14ac:dyDescent="0.2">
      <c r="H75" s="11"/>
      <c r="J75" s="1"/>
    </row>
    <row r="76" spans="1:32" x14ac:dyDescent="0.2">
      <c r="H76" s="11"/>
      <c r="J76" s="1"/>
    </row>
    <row r="77" spans="1:32" x14ac:dyDescent="0.2">
      <c r="G77" s="13"/>
      <c r="H77" s="11"/>
      <c r="J77" s="1"/>
    </row>
    <row r="78" spans="1:32" x14ac:dyDescent="0.2">
      <c r="H78" s="11"/>
      <c r="J78" s="1"/>
    </row>
    <row r="79" spans="1:32" x14ac:dyDescent="0.2">
      <c r="H79" s="11"/>
      <c r="J79" s="1"/>
    </row>
    <row r="80" spans="1:32" x14ac:dyDescent="0.2">
      <c r="H80" s="11"/>
      <c r="J80" s="1"/>
    </row>
    <row r="81" spans="8:10" x14ac:dyDescent="0.2">
      <c r="H81" s="11"/>
      <c r="J81" s="1"/>
    </row>
    <row r="82" spans="8:10" x14ac:dyDescent="0.2">
      <c r="H82" s="11"/>
      <c r="J82" s="1"/>
    </row>
    <row r="83" spans="8:10" x14ac:dyDescent="0.2">
      <c r="H83" s="11"/>
      <c r="J83" s="1"/>
    </row>
    <row r="84" spans="8:10" x14ac:dyDescent="0.2">
      <c r="H84" s="11"/>
      <c r="J84" s="1"/>
    </row>
    <row r="85" spans="8:10" x14ac:dyDescent="0.2">
      <c r="H85" s="11"/>
      <c r="J85" s="1"/>
    </row>
    <row r="86" spans="8:10" x14ac:dyDescent="0.2">
      <c r="H86" s="11"/>
      <c r="J86" s="1"/>
    </row>
    <row r="87" spans="8:10" x14ac:dyDescent="0.2">
      <c r="H87" s="11"/>
      <c r="J87" s="1"/>
    </row>
    <row r="88" spans="8:10" x14ac:dyDescent="0.2">
      <c r="H88" s="11"/>
      <c r="J88" s="1"/>
    </row>
    <row r="89" spans="8:10" x14ac:dyDescent="0.2">
      <c r="H89" s="11"/>
      <c r="J89" s="1"/>
    </row>
    <row r="90" spans="8:10" x14ac:dyDescent="0.2">
      <c r="H90" s="11"/>
      <c r="J90" s="1"/>
    </row>
    <row r="91" spans="8:10" x14ac:dyDescent="0.2">
      <c r="H91" s="11"/>
      <c r="J91" s="1"/>
    </row>
    <row r="132" spans="5:33" x14ac:dyDescent="0.2">
      <c r="I132" s="72"/>
      <c r="J132" s="1"/>
      <c r="K132" s="72"/>
      <c r="L132" s="72"/>
      <c r="N132" s="72"/>
      <c r="O132" s="72"/>
      <c r="P132" s="72"/>
      <c r="Q132" s="72"/>
      <c r="R132" s="72"/>
      <c r="S132" s="72"/>
      <c r="T132" s="72"/>
      <c r="U132" s="72"/>
      <c r="V132" s="72"/>
      <c r="W132" s="72"/>
      <c r="X132" s="72"/>
      <c r="Y132" s="72"/>
      <c r="Z132" s="72"/>
      <c r="AC132" s="72"/>
      <c r="AE132" s="72"/>
      <c r="AG132" s="72"/>
    </row>
    <row r="136" spans="5:33" x14ac:dyDescent="0.2">
      <c r="I136" s="72"/>
      <c r="J136" s="1"/>
      <c r="K136" s="72"/>
      <c r="L136" s="72"/>
      <c r="N136" s="72"/>
      <c r="O136" s="72"/>
      <c r="P136" s="72"/>
      <c r="Q136" s="72"/>
      <c r="R136" s="72"/>
      <c r="S136" s="72"/>
      <c r="T136" s="72"/>
      <c r="U136" s="72"/>
      <c r="V136" s="72"/>
      <c r="W136" s="72"/>
      <c r="X136" s="72"/>
      <c r="Y136" s="72"/>
      <c r="Z136" s="72"/>
      <c r="AC136" s="72"/>
      <c r="AE136" s="72"/>
      <c r="AG136" s="72"/>
    </row>
    <row r="144" spans="5:33" x14ac:dyDescent="0.2">
      <c r="E144" s="72"/>
    </row>
    <row r="148" spans="5:7" x14ac:dyDescent="0.2">
      <c r="E148" s="72"/>
    </row>
    <row r="156" spans="5:7" x14ac:dyDescent="0.2">
      <c r="G156" s="72"/>
    </row>
    <row r="160" spans="5:7" x14ac:dyDescent="0.2">
      <c r="G160" s="72"/>
    </row>
  </sheetData>
  <mergeCells count="2">
    <mergeCell ref="AC31:AD31"/>
    <mergeCell ref="AF31:AG31"/>
  </mergeCells>
  <dataValidations count="2">
    <dataValidation type="list" allowBlank="1" sqref="B29:C29" xr:uid="{00000000-0002-0000-3D00-000000000000}">
      <formula1>"SELF,ALL,BAS,DEP,BASMEMBERS,MEMBERS,NOEXPAND,GDEP"</formula1>
    </dataValidation>
    <dataValidation type="list" allowBlank="1" sqref="B28:C28" xr:uid="{00000000-0002-0000-3D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15">
    <tabColor theme="9" tint="0.39997558519241921"/>
    <pageSetUpPr fitToPage="1"/>
  </sheetPr>
  <dimension ref="A1:AI192"/>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48" sqref="O48"/>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16384" width="9.1640625" style="1"/>
  </cols>
  <sheetData>
    <row r="1" spans="1:35" hidden="1" outlineLevel="1" x14ac:dyDescent="0.2">
      <c r="A1" s="8" t="s">
        <v>48</v>
      </c>
      <c r="B1" s="2" t="s">
        <v>49</v>
      </c>
      <c r="C1" s="8" t="e">
        <f ca="1">_xll.EVAPD($B$1)</f>
        <v>#NAME?</v>
      </c>
      <c r="I1" s="1"/>
      <c r="J1" s="1"/>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365</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35"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35" hidden="1" outlineLevel="1" x14ac:dyDescent="0.2">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35" hidden="1" outlineLevel="1" x14ac:dyDescent="0.2">
      <c r="A19" s="6" t="s">
        <v>4</v>
      </c>
      <c r="B19" s="7" t="e">
        <f ca="1">_xll.EVRNG(H34:H39)</f>
        <v>#NAME?</v>
      </c>
      <c r="G19" s="16" t="str">
        <f>$B$6</f>
        <v>D_TELCOM</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35" hidden="1" outlineLevel="1" x14ac:dyDescent="0.2">
      <c r="A20" s="6" t="s">
        <v>5</v>
      </c>
      <c r="B20" s="7"/>
      <c r="I20" s="1"/>
      <c r="J20" s="1"/>
    </row>
    <row r="21" spans="1:35" hidden="1" outlineLevel="1" x14ac:dyDescent="0.2">
      <c r="A21" s="6" t="s">
        <v>6</v>
      </c>
      <c r="B21" s="7"/>
      <c r="I21" s="1"/>
      <c r="J21" s="1"/>
    </row>
    <row r="22" spans="1:35" hidden="1" outlineLevel="1" x14ac:dyDescent="0.2">
      <c r="A22" s="6" t="s">
        <v>7</v>
      </c>
      <c r="B22" s="7" t="e">
        <f ca="1">_xll.EVRNG(A36:F40)</f>
        <v>#NAME?</v>
      </c>
      <c r="I22" s="1"/>
      <c r="J22" s="1"/>
    </row>
    <row r="23" spans="1:35" hidden="1" outlineLevel="1" x14ac:dyDescent="0.2">
      <c r="A23" s="6" t="s">
        <v>47</v>
      </c>
      <c r="B23" s="7" t="e">
        <f ca="1">_xll.EVRNG($A$117:$B$138)</f>
        <v>#NAME?</v>
      </c>
      <c r="K23" s="53"/>
      <c r="L23" s="53"/>
      <c r="M23" s="53"/>
    </row>
    <row r="24" spans="1:35" hidden="1" outlineLevel="1" x14ac:dyDescent="0.2">
      <c r="A24" s="6" t="s">
        <v>8</v>
      </c>
      <c r="B24" s="7"/>
    </row>
    <row r="25" spans="1:35" collapsed="1" x14ac:dyDescent="0.2"/>
    <row r="26" spans="1:35" ht="23" x14ac:dyDescent="0.25">
      <c r="A26" s="3" t="s">
        <v>9</v>
      </c>
      <c r="B26" s="5" t="s">
        <v>10</v>
      </c>
      <c r="N26" s="61" t="e">
        <f ca="1">IF(_xll.EVDES(B3,$B$1)="#NODATA","",_xll.EVDES(B3,$B$1))</f>
        <v>#NAME?</v>
      </c>
    </row>
    <row r="27" spans="1:35" ht="18" x14ac:dyDescent="0.2">
      <c r="A27" s="6" t="s">
        <v>11</v>
      </c>
      <c r="B27" s="7" t="s">
        <v>21</v>
      </c>
      <c r="N27" s="66" t="e">
        <f ca="1">IF(_xll.EVDES(B6,$B$1)="#NODATA","",_xll.EVDES(B6,$B$1)&amp;" Department")</f>
        <v>#NAME?</v>
      </c>
    </row>
    <row r="28" spans="1:35" ht="16" x14ac:dyDescent="0.2">
      <c r="A28" s="6" t="s">
        <v>12</v>
      </c>
      <c r="B28" s="7" t="s">
        <v>22</v>
      </c>
      <c r="N28" s="67" t="e">
        <f ca="1">"For the Period ended"&amp;" "&amp;IF(_xll.EVDES($B$10,$B$1)="#NODATA","",_xll.EVDES($B$10,$B$1))</f>
        <v>#NAME?</v>
      </c>
    </row>
    <row r="29" spans="1:35" ht="15" customHeight="1" x14ac:dyDescent="0.2">
      <c r="A29" s="6" t="s">
        <v>13</v>
      </c>
      <c r="B29" s="7" t="e">
        <f ca="1">"DEP(410000) AND "&amp;$E$6&amp;"=Y,400000"</f>
        <v>#NAME?</v>
      </c>
      <c r="N29" s="67" t="e">
        <f ca="1">_xll.EVDES(B9,B1)</f>
        <v>#NAME?</v>
      </c>
    </row>
    <row r="30" spans="1:35"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row>
    <row r="31" spans="1:35" x14ac:dyDescent="0.2">
      <c r="A31" s="6" t="s">
        <v>15</v>
      </c>
      <c r="B31" s="7"/>
      <c r="G31" s="13"/>
      <c r="K31" s="11"/>
      <c r="L31" s="11"/>
      <c r="M31" s="1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row>
    <row r="32" spans="1:35" s="232" customFormat="1" ht="30" customHeight="1" x14ac:dyDescent="0.2">
      <c r="A32" s="230" t="s">
        <v>16</v>
      </c>
      <c r="B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row>
    <row r="33" spans="1:35" x14ac:dyDescent="0.2">
      <c r="A33" s="6" t="s">
        <v>17</v>
      </c>
      <c r="B33" s="7"/>
      <c r="H33" s="1" t="s">
        <v>69</v>
      </c>
      <c r="I33" s="11" t="e">
        <f ca="1">_xll.EVPRO($B$1,$H33,"STYLE")</f>
        <v>#NAME?</v>
      </c>
      <c r="J33" s="11" t="e">
        <f ca="1">_xll.EVPRO($B$1,$H33,"CALC")</f>
        <v>#NAME?</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35" x14ac:dyDescent="0.2">
      <c r="H34" s="10" t="s">
        <v>656</v>
      </c>
      <c r="I34" s="25" t="e">
        <f ca="1">_xll.EVPRO($B$1,$H34,"STYLE")</f>
        <v>#NAME?</v>
      </c>
      <c r="J34" s="25" t="e">
        <f ca="1">_xll.EVPRO($B$1,$H34,"CALC")</f>
        <v>#NAME?</v>
      </c>
      <c r="K34" s="64" t="e">
        <f t="shared" ref="K34" ca="1" si="0">IF(AND(I34&gt;="T5"),"&gt;","")</f>
        <v>#NAME?</v>
      </c>
      <c r="L34" s="24" t="e">
        <f ca="1">_xll.EVPRO($B$1,H34,"JDEID")</f>
        <v>#NAME?</v>
      </c>
      <c r="M34" s="24" t="e">
        <f ca="1">IF(AND(I34="N",J34="N"),_xll.EVPRO($B$1,H34,"PSFTID"),"")</f>
        <v>#NAME?</v>
      </c>
      <c r="N34" s="24" t="e">
        <f ca="1">IF(_xll.EVDES(H34,$B$1)="#NODATA","",_xll.EVDES(H34,$B$1))</f>
        <v>#NAME?</v>
      </c>
      <c r="O34" s="282"/>
      <c r="P34" s="283"/>
      <c r="Q34" s="283"/>
      <c r="R34" s="283"/>
      <c r="S34" s="283"/>
      <c r="T34" s="283"/>
      <c r="U34" s="283"/>
      <c r="V34" s="283"/>
      <c r="W34" s="283"/>
      <c r="X34" s="283"/>
      <c r="Y34" s="283"/>
      <c r="Z34" s="283"/>
      <c r="AA34" s="283" t="e">
        <f t="shared" ref="AA34:AA39" ca="1" si="1">IF($I34="B1","",SUM(O34:Z34))</f>
        <v>#NAME?</v>
      </c>
      <c r="AB34" s="284" t="e">
        <f t="shared" ref="AB34:AB39" ca="1" si="2">IF(AA34=0,"",IFERROR(AA34/AA$19,""))</f>
        <v>#NAME?</v>
      </c>
      <c r="AC34" s="300"/>
      <c r="AD34" s="283"/>
      <c r="AE34" s="284" t="str">
        <f t="shared" ref="AE34:AE39" si="3">IF(AD34=0,"",IFERROR(AD34/AD$19,""))</f>
        <v/>
      </c>
      <c r="AF34" s="285" t="e">
        <f t="shared" ref="AF34:AF39" ca="1" si="4">IF(AND($AA34="",AD34=""),"",$AA34-AD34)</f>
        <v>#NAME?</v>
      </c>
      <c r="AG34" s="283"/>
      <c r="AH34" s="284" t="str">
        <f t="shared" ref="AH34" si="5">IF(AG34=0,"",IFERROR(AG34/AG$19,""))</f>
        <v/>
      </c>
      <c r="AI34" s="286" t="e">
        <f t="shared" ref="AI34" ca="1" si="6">IF(AND($AA34="",AG34=""),"",$AA34-AG34)</f>
        <v>#NAME?</v>
      </c>
    </row>
    <row r="35" spans="1:35" x14ac:dyDescent="0.2">
      <c r="A35" s="20" t="s">
        <v>92</v>
      </c>
      <c r="B35" s="21" t="s">
        <v>93</v>
      </c>
      <c r="C35" s="21" t="s">
        <v>94</v>
      </c>
      <c r="D35" s="21" t="s">
        <v>95</v>
      </c>
      <c r="E35" s="21" t="s">
        <v>96</v>
      </c>
      <c r="F35" s="22" t="s">
        <v>97</v>
      </c>
      <c r="H35" s="10" t="s">
        <v>657</v>
      </c>
      <c r="I35" s="25" t="e">
        <f ca="1">_xll.EVPRO($B$1,$H35,"STYLE")</f>
        <v>#NAME?</v>
      </c>
      <c r="J35" s="25" t="e">
        <f ca="1">_xll.EVPRO($B$1,$H35,"CALC")</f>
        <v>#NAME?</v>
      </c>
      <c r="K35" s="64" t="e">
        <f t="shared" ref="K35:K39" ca="1" si="7">IF(AND(I35&gt;="T5"),"&gt;","")</f>
        <v>#NAME?</v>
      </c>
      <c r="L35" s="24" t="e">
        <f ca="1">_xll.EVPRO($B$1,H35,"JDEID")</f>
        <v>#NAME?</v>
      </c>
      <c r="M35" s="24" t="e">
        <f ca="1">IF(AND(I35="N",J35="N"),_xll.EVPRO($B$1,H35,"PSFTID"),"")</f>
        <v>#NAME?</v>
      </c>
      <c r="N35" s="24" t="e">
        <f ca="1">IF(_xll.EVDES(H35,$B$1)="#NODATA","",_xll.EVDES(H35,$B$1))</f>
        <v>#NAME?</v>
      </c>
      <c r="O35" s="282"/>
      <c r="P35" s="283"/>
      <c r="Q35" s="283"/>
      <c r="R35" s="283"/>
      <c r="S35" s="283"/>
      <c r="T35" s="283"/>
      <c r="U35" s="283"/>
      <c r="V35" s="283"/>
      <c r="W35" s="283"/>
      <c r="X35" s="283"/>
      <c r="Y35" s="283"/>
      <c r="Z35" s="283"/>
      <c r="AA35" s="283" t="e">
        <f t="shared" ca="1" si="1"/>
        <v>#NAME?</v>
      </c>
      <c r="AB35" s="284" t="e">
        <f t="shared" ca="1" si="2"/>
        <v>#NAME?</v>
      </c>
      <c r="AC35" s="300"/>
      <c r="AD35" s="283"/>
      <c r="AE35" s="284" t="str">
        <f t="shared" si="3"/>
        <v/>
      </c>
      <c r="AF35" s="285" t="e">
        <f t="shared" ca="1" si="4"/>
        <v>#NAME?</v>
      </c>
      <c r="AG35" s="283"/>
      <c r="AH35" s="284" t="str">
        <f t="shared" ref="AH35:AH39" si="8">IF(AG35=0,"",IFERROR(AG35/AG$19,""))</f>
        <v/>
      </c>
      <c r="AI35" s="286" t="e">
        <f t="shared" ref="AI35:AI39" ca="1" si="9">IF(AND($AA35="",AG35=""),"",$AA35-AG35)</f>
        <v>#NAME?</v>
      </c>
    </row>
    <row r="36" spans="1:35" x14ac:dyDescent="0.2">
      <c r="H36" s="10" t="s">
        <v>658</v>
      </c>
      <c r="I36" s="25" t="e">
        <f ca="1">_xll.EVPRO($B$1,$H36,"STYLE")</f>
        <v>#NAME?</v>
      </c>
      <c r="J36" s="25" t="e">
        <f ca="1">_xll.EVPRO($B$1,$H36,"CALC")</f>
        <v>#NAME?</v>
      </c>
      <c r="K36" s="64" t="e">
        <f t="shared" ca="1" si="7"/>
        <v>#NAME?</v>
      </c>
      <c r="L36" s="24" t="e">
        <f ca="1">_xll.EVPRO($B$1,H36,"JDEID")</f>
        <v>#NAME?</v>
      </c>
      <c r="M36" s="24" t="e">
        <f ca="1">IF(AND(I36="N",J36="N"),_xll.EVPRO($B$1,H36,"PSFTID"),"")</f>
        <v>#NAME?</v>
      </c>
      <c r="N36" s="24" t="e">
        <f ca="1">IF(_xll.EVDES(H36,$B$1)="#NODATA","",_xll.EVDES(H36,$B$1))</f>
        <v>#NAME?</v>
      </c>
      <c r="O36" s="282"/>
      <c r="P36" s="283"/>
      <c r="Q36" s="283"/>
      <c r="R36" s="283"/>
      <c r="S36" s="283"/>
      <c r="T36" s="283"/>
      <c r="U36" s="283"/>
      <c r="V36" s="283"/>
      <c r="W36" s="283"/>
      <c r="X36" s="283"/>
      <c r="Y36" s="283"/>
      <c r="Z36" s="283"/>
      <c r="AA36" s="283" t="e">
        <f t="shared" ca="1" si="1"/>
        <v>#NAME?</v>
      </c>
      <c r="AB36" s="284" t="e">
        <f t="shared" ca="1" si="2"/>
        <v>#NAME?</v>
      </c>
      <c r="AC36" s="300"/>
      <c r="AD36" s="283"/>
      <c r="AE36" s="284" t="str">
        <f t="shared" si="3"/>
        <v/>
      </c>
      <c r="AF36" s="285" t="e">
        <f t="shared" ca="1" si="4"/>
        <v>#NAME?</v>
      </c>
      <c r="AG36" s="283"/>
      <c r="AH36" s="284" t="str">
        <f t="shared" si="8"/>
        <v/>
      </c>
      <c r="AI36" s="286" t="e">
        <f t="shared" ca="1" si="9"/>
        <v>#NAME?</v>
      </c>
    </row>
    <row r="37" spans="1:35" x14ac:dyDescent="0.2">
      <c r="A37" s="1" t="s">
        <v>209</v>
      </c>
      <c r="B37" s="1" t="s">
        <v>21</v>
      </c>
      <c r="C37" s="70"/>
      <c r="D37" s="1" t="s">
        <v>590</v>
      </c>
      <c r="F37" s="1" t="s">
        <v>99</v>
      </c>
      <c r="H37" s="10" t="s">
        <v>659</v>
      </c>
      <c r="I37" s="25" t="e">
        <f ca="1">_xll.EVPRO($B$1,$H37,"STYLE")</f>
        <v>#NAME?</v>
      </c>
      <c r="J37" s="25" t="e">
        <f ca="1">_xll.EVPRO($B$1,$H37,"CALC")</f>
        <v>#NAME?</v>
      </c>
      <c r="K37" s="64" t="e">
        <f t="shared" ca="1" si="7"/>
        <v>#NAME?</v>
      </c>
      <c r="L37" s="24" t="e">
        <f ca="1">_xll.EVPRO($B$1,H37,"JDEID")</f>
        <v>#NAME?</v>
      </c>
      <c r="M37" s="24" t="e">
        <f ca="1">IF(AND(I37="N",J37="N"),_xll.EVPRO($B$1,H37,"PSFTID"),"")</f>
        <v>#NAME?</v>
      </c>
      <c r="N37" s="24" t="e">
        <f ca="1">IF(_xll.EVDES(H37,$B$1)="#NODATA","",_xll.EVDES(H37,$B$1))</f>
        <v>#NAME?</v>
      </c>
      <c r="O37" s="282"/>
      <c r="P37" s="283"/>
      <c r="Q37" s="283"/>
      <c r="R37" s="283"/>
      <c r="S37" s="283"/>
      <c r="T37" s="283"/>
      <c r="U37" s="283"/>
      <c r="V37" s="283"/>
      <c r="W37" s="283"/>
      <c r="X37" s="283"/>
      <c r="Y37" s="283"/>
      <c r="Z37" s="283"/>
      <c r="AA37" s="283" t="e">
        <f t="shared" ca="1" si="1"/>
        <v>#NAME?</v>
      </c>
      <c r="AB37" s="284" t="e">
        <f t="shared" ca="1" si="2"/>
        <v>#NAME?</v>
      </c>
      <c r="AC37" s="300"/>
      <c r="AD37" s="283"/>
      <c r="AE37" s="284" t="str">
        <f t="shared" si="3"/>
        <v/>
      </c>
      <c r="AF37" s="285" t="e">
        <f t="shared" ca="1" si="4"/>
        <v>#NAME?</v>
      </c>
      <c r="AG37" s="283"/>
      <c r="AH37" s="284" t="str">
        <f t="shared" si="8"/>
        <v/>
      </c>
      <c r="AI37" s="286" t="e">
        <f t="shared" ca="1" si="9"/>
        <v>#NAME?</v>
      </c>
    </row>
    <row r="38" spans="1:35" x14ac:dyDescent="0.2">
      <c r="A38" s="1" t="s">
        <v>105</v>
      </c>
      <c r="C38" s="24" t="s">
        <v>101</v>
      </c>
      <c r="D38" s="1" t="s">
        <v>106</v>
      </c>
      <c r="F38" s="1" t="s">
        <v>98</v>
      </c>
      <c r="H38" s="10" t="s">
        <v>660</v>
      </c>
      <c r="I38" s="25" t="e">
        <f ca="1">_xll.EVPRO($B$1,$H38,"STYLE")</f>
        <v>#NAME?</v>
      </c>
      <c r="J38" s="25" t="e">
        <f ca="1">_xll.EVPRO($B$1,$H38,"CALC")</f>
        <v>#NAME?</v>
      </c>
      <c r="K38" s="64" t="e">
        <f t="shared" ca="1" si="7"/>
        <v>#NAME?</v>
      </c>
      <c r="L38" s="24" t="e">
        <f ca="1">_xll.EVPRO($B$1,H38,"JDEID")</f>
        <v>#NAME?</v>
      </c>
      <c r="M38" s="24" t="e">
        <f ca="1">IF(AND(I38="N",J38="N"),_xll.EVPRO($B$1,H38,"PSFTID"),"")</f>
        <v>#NAME?</v>
      </c>
      <c r="N38" s="24" t="e">
        <f ca="1">IF(_xll.EVDES(H38,$B$1)="#NODATA","",_xll.EVDES(H38,$B$1))</f>
        <v>#NAME?</v>
      </c>
      <c r="O38" s="295"/>
      <c r="P38" s="296"/>
      <c r="Q38" s="296"/>
      <c r="R38" s="296"/>
      <c r="S38" s="296"/>
      <c r="T38" s="296"/>
      <c r="U38" s="296"/>
      <c r="V38" s="296"/>
      <c r="W38" s="296"/>
      <c r="X38" s="296"/>
      <c r="Y38" s="296"/>
      <c r="Z38" s="296"/>
      <c r="AA38" s="296" t="e">
        <f t="shared" ca="1" si="1"/>
        <v>#NAME?</v>
      </c>
      <c r="AB38" s="297" t="e">
        <f t="shared" ca="1" si="2"/>
        <v>#NAME?</v>
      </c>
      <c r="AC38" s="263"/>
      <c r="AD38" s="296"/>
      <c r="AE38" s="297" t="str">
        <f t="shared" si="3"/>
        <v/>
      </c>
      <c r="AF38" s="298" t="e">
        <f t="shared" ca="1" si="4"/>
        <v>#NAME?</v>
      </c>
      <c r="AG38" s="296"/>
      <c r="AH38" s="297" t="str">
        <f t="shared" si="8"/>
        <v/>
      </c>
      <c r="AI38" s="299" t="e">
        <f t="shared" ca="1" si="9"/>
        <v>#NAME?</v>
      </c>
    </row>
    <row r="39" spans="1:35" x14ac:dyDescent="0.2">
      <c r="A39" s="1" t="s">
        <v>108</v>
      </c>
      <c r="C39" s="23" t="s">
        <v>101</v>
      </c>
      <c r="D39" s="1" t="s">
        <v>106</v>
      </c>
      <c r="F39" s="1" t="s">
        <v>98</v>
      </c>
      <c r="H39" s="10" t="s">
        <v>280</v>
      </c>
      <c r="I39" s="447" t="e">
        <f ca="1">_xll.EVPRO($B$1,$H39,"STYLE")</f>
        <v>#NAME?</v>
      </c>
      <c r="J39" s="447" t="e">
        <f ca="1">_xll.EVPRO($B$1,$H39,"CALC")</f>
        <v>#NAME?</v>
      </c>
      <c r="K39" s="448" t="e">
        <f t="shared" ca="1" si="7"/>
        <v>#NAME?</v>
      </c>
      <c r="L39" s="151" t="e">
        <f ca="1">_xll.EVPRO($B$1,H39,"JDEID")</f>
        <v>#NAME?</v>
      </c>
      <c r="M39" s="151" t="e">
        <f ca="1">IF(AND(I39="N",J39="N"),_xll.EVPRO($B$1,H39,"PSFTID"),"")</f>
        <v>#NAME?</v>
      </c>
      <c r="N39" s="151" t="e">
        <f ca="1">IF(_xll.EVDES(H39,$B$1)="#NODATA","",_xll.EVDES(H39,$B$1))</f>
        <v>#NAME?</v>
      </c>
      <c r="O39" s="202"/>
      <c r="P39" s="120"/>
      <c r="Q39" s="120"/>
      <c r="R39" s="120"/>
      <c r="S39" s="120"/>
      <c r="T39" s="120"/>
      <c r="U39" s="120"/>
      <c r="V39" s="120"/>
      <c r="W39" s="120"/>
      <c r="X39" s="120"/>
      <c r="Y39" s="120"/>
      <c r="Z39" s="120"/>
      <c r="AA39" s="120" t="e">
        <f t="shared" ca="1" si="1"/>
        <v>#NAME?</v>
      </c>
      <c r="AB39" s="121" t="e">
        <f t="shared" ca="1" si="2"/>
        <v>#NAME?</v>
      </c>
      <c r="AC39" s="123"/>
      <c r="AD39" s="120"/>
      <c r="AE39" s="121" t="str">
        <f t="shared" si="3"/>
        <v/>
      </c>
      <c r="AF39" s="122" t="e">
        <f t="shared" ca="1" si="4"/>
        <v>#NAME?</v>
      </c>
      <c r="AG39" s="120"/>
      <c r="AH39" s="121" t="str">
        <f t="shared" si="8"/>
        <v/>
      </c>
      <c r="AI39" s="264" t="e">
        <f t="shared" ca="1" si="9"/>
        <v>#NAME?</v>
      </c>
    </row>
    <row r="40" spans="1:35" x14ac:dyDescent="0.2">
      <c r="A40" s="1" t="s">
        <v>108</v>
      </c>
      <c r="C40" s="135" t="s">
        <v>101</v>
      </c>
      <c r="D40" s="1" t="s">
        <v>107</v>
      </c>
      <c r="F40" s="1" t="s">
        <v>99</v>
      </c>
      <c r="O40" s="50"/>
      <c r="AB40" s="51"/>
      <c r="AD40" s="50"/>
      <c r="AF40" s="51"/>
      <c r="AG40" s="50"/>
      <c r="AI40" s="51"/>
    </row>
    <row r="41" spans="1:35" x14ac:dyDescent="0.2">
      <c r="H41" s="1" t="s">
        <v>281</v>
      </c>
      <c r="I41" s="11" t="e">
        <f ca="1">_xll.EVPRO($B$1,$H41,"STYLE")</f>
        <v>#NAME?</v>
      </c>
      <c r="J41" s="11" t="e">
        <f ca="1">_xll.EVPRO($B$1,$H41,"CALC")</f>
        <v>#NAME?</v>
      </c>
      <c r="N41" s="37" t="e">
        <f ca="1">IF(_xll.EVDES(H41,$B$1)="#NODATA","",_xll.EVDES(H41,$B$1))</f>
        <v>#NAME?</v>
      </c>
      <c r="O41" s="50"/>
      <c r="AB41" s="51"/>
      <c r="AD41" s="50"/>
      <c r="AF41" s="51"/>
      <c r="AG41" s="50"/>
      <c r="AI41" s="51"/>
    </row>
    <row r="42" spans="1:35" x14ac:dyDescent="0.2">
      <c r="H42" s="10" t="s">
        <v>661</v>
      </c>
      <c r="I42" s="25" t="e">
        <f ca="1">_xll.EVPRO($B$1,$H42,"STYLE")</f>
        <v>#NAME?</v>
      </c>
      <c r="J42" s="25" t="e">
        <f ca="1">_xll.EVPRO($B$1,$H42,"CALC")</f>
        <v>#NAME?</v>
      </c>
      <c r="K42" s="64" t="e">
        <f t="shared" ref="K42:K48" ca="1" si="10">IF(AND(I42&gt;="T5"),"&gt;","")</f>
        <v>#NAME?</v>
      </c>
      <c r="L42" s="24" t="e">
        <f ca="1">_xll.EVPRO($B$1,H42,"JDEID")</f>
        <v>#NAME?</v>
      </c>
      <c r="M42" s="24" t="e">
        <f ca="1">IF(AND(I42="N",J42="N"),_xll.EVPRO($B$1,H42,"PSFTID"),"")</f>
        <v>#NAME?</v>
      </c>
      <c r="N42" s="24" t="e">
        <f ca="1">IF(_xll.EVDES(H42,$B$1)="#NODATA","",_xll.EVDES(H42,$B$1))</f>
        <v>#NAME?</v>
      </c>
      <c r="O42" s="282"/>
      <c r="P42" s="283"/>
      <c r="Q42" s="283"/>
      <c r="R42" s="283"/>
      <c r="S42" s="283"/>
      <c r="T42" s="283"/>
      <c r="U42" s="283"/>
      <c r="V42" s="283"/>
      <c r="W42" s="283"/>
      <c r="X42" s="283"/>
      <c r="Y42" s="283"/>
      <c r="Z42" s="283"/>
      <c r="AA42" s="283" t="e">
        <f ca="1">IF($I42="B1","",SUM(O42:Z42))</f>
        <v>#NAME?</v>
      </c>
      <c r="AB42" s="284" t="e">
        <f ca="1">IF(AA42=0,"",IFERROR(AA42/_xll.EVGTS($B$1,1,_xll.EVPRO($B$1,$H42,"COSBASIS"),$B$3,$B$5,$B$6,$B$7,$B$9,AA$16,AA$17,AA$11),""))</f>
        <v>#NAME?</v>
      </c>
      <c r="AC42" s="300"/>
      <c r="AD42" s="283"/>
      <c r="AE42" s="284" t="str">
        <f>IF(AD42=0,"",IFERROR(AD42/_xll.EVGTS($B$1,1,_xll.EVPRO($B$1,$H42,"COSBASIS"),$B$3,$B$5,$B$6,$B$7,$B$9,AD$16,AD$17,AD$18),""))</f>
        <v/>
      </c>
      <c r="AF42" s="285" t="e">
        <f ca="1">IF(AND($AA42="",AD42=""),"",$AA42-AD42)</f>
        <v>#NAME?</v>
      </c>
      <c r="AG42" s="283"/>
      <c r="AH42" s="284" t="str">
        <f>IF(AG42=0,"",IFERROR(AG42/_xll.EVGTS($B$1,1,_xll.EVPRO($B$1,$H42,"COSBASIS"),$B$3,$B$5,$B$6,$B$7,$B$9,AG$16,AG$17,AG$18),""))</f>
        <v/>
      </c>
      <c r="AI42" s="286" t="e">
        <f t="shared" ref="AI42:AI48" ca="1" si="11">IF(AND($AA42="",AG42=""),"",$AA42-AG42)</f>
        <v>#NAME?</v>
      </c>
    </row>
    <row r="43" spans="1:35" x14ac:dyDescent="0.2">
      <c r="A43" s="4" t="e">
        <f ca="1">_xll.EVDRE($B$1,A46:B53,A56:B62)</f>
        <v>#NAME?</v>
      </c>
      <c r="H43" s="10" t="s">
        <v>662</v>
      </c>
      <c r="I43" s="25" t="e">
        <f ca="1">_xll.EVPRO($B$1,$H43,"STYLE")</f>
        <v>#NAME?</v>
      </c>
      <c r="J43" s="25" t="e">
        <f ca="1">_xll.EVPRO($B$1,$H43,"CALC")</f>
        <v>#NAME?</v>
      </c>
      <c r="K43" s="64" t="e">
        <f t="shared" ref="K43:K46" ca="1" si="12">IF(AND(I43&gt;="T5"),"&gt;","")</f>
        <v>#NAME?</v>
      </c>
      <c r="L43" s="24" t="e">
        <f ca="1">_xll.EVPRO($B$1,H43,"JDEID")</f>
        <v>#NAME?</v>
      </c>
      <c r="M43" s="24" t="e">
        <f ca="1">IF(AND(I43="N",J43="N"),_xll.EVPRO($B$1,H43,"PSFTID"),"")</f>
        <v>#NAME?</v>
      </c>
      <c r="N43" s="24" t="e">
        <f ca="1">IF(_xll.EVDES(H43,$B$1)="#NODATA","",_xll.EVDES(H43,$B$1))</f>
        <v>#NAME?</v>
      </c>
      <c r="O43" s="282"/>
      <c r="P43" s="283"/>
      <c r="Q43" s="283"/>
      <c r="R43" s="283"/>
      <c r="S43" s="283"/>
      <c r="T43" s="283"/>
      <c r="U43" s="283"/>
      <c r="V43" s="283"/>
      <c r="W43" s="283"/>
      <c r="X43" s="283"/>
      <c r="Y43" s="283"/>
      <c r="Z43" s="283"/>
      <c r="AA43" s="283" t="e">
        <f ca="1">IF($I43="B1","",SUM(O43:Z43))</f>
        <v>#NAME?</v>
      </c>
      <c r="AB43" s="284" t="e">
        <f ca="1">IF(AA43=0,"",IFERROR(AA43/_xll.EVGTS($B$1,1,_xll.EVPRO($B$1,$H43,"COSBASIS"),$B$3,$B$5,$B$6,$B$7,$B$9,AA$16,AA$17,AA$11),""))</f>
        <v>#NAME?</v>
      </c>
      <c r="AC43" s="300"/>
      <c r="AD43" s="283"/>
      <c r="AE43" s="284" t="str">
        <f>IF(AD43=0,"",IFERROR(AD43/_xll.EVGTS($B$1,1,_xll.EVPRO($B$1,$H43,"COSBASIS"),$B$3,$B$5,$B$6,$B$7,$B$9,AD$16,AD$17,AD$18),""))</f>
        <v/>
      </c>
      <c r="AF43" s="285" t="e">
        <f ca="1">IF(AND($AA43="",AD43=""),"",$AA43-AD43)</f>
        <v>#NAME?</v>
      </c>
      <c r="AG43" s="283"/>
      <c r="AH43" s="284" t="str">
        <f>IF(AG43=0,"",IFERROR(AG43/_xll.EVGTS($B$1,1,_xll.EVPRO($B$1,$H43,"COSBASIS"),$B$3,$B$5,$B$6,$B$7,$B$9,AG$16,AG$17,AG$18),""))</f>
        <v/>
      </c>
      <c r="AI43" s="286" t="e">
        <f t="shared" ref="AI43:AI46" ca="1" si="13">IF(AND($AA43="",AG43=""),"",$AA43-AG43)</f>
        <v>#NAME?</v>
      </c>
    </row>
    <row r="44" spans="1:35" x14ac:dyDescent="0.2">
      <c r="H44" s="10" t="s">
        <v>663</v>
      </c>
      <c r="I44" s="25" t="e">
        <f ca="1">_xll.EVPRO($B$1,$H44,"STYLE")</f>
        <v>#NAME?</v>
      </c>
      <c r="J44" s="25" t="e">
        <f ca="1">_xll.EVPRO($B$1,$H44,"CALC")</f>
        <v>#NAME?</v>
      </c>
      <c r="K44" s="64" t="e">
        <f t="shared" ca="1" si="12"/>
        <v>#NAME?</v>
      </c>
      <c r="L44" s="24" t="e">
        <f ca="1">_xll.EVPRO($B$1,H44,"JDEID")</f>
        <v>#NAME?</v>
      </c>
      <c r="M44" s="24" t="e">
        <f ca="1">IF(AND(I44="N",J44="N"),_xll.EVPRO($B$1,H44,"PSFTID"),"")</f>
        <v>#NAME?</v>
      </c>
      <c r="N44" s="24" t="e">
        <f ca="1">IF(_xll.EVDES(H44,$B$1)="#NODATA","",_xll.EVDES(H44,$B$1))</f>
        <v>#NAME?</v>
      </c>
      <c r="O44" s="282"/>
      <c r="P44" s="283"/>
      <c r="Q44" s="283"/>
      <c r="R44" s="283"/>
      <c r="S44" s="283"/>
      <c r="T44" s="283"/>
      <c r="U44" s="283"/>
      <c r="V44" s="283"/>
      <c r="W44" s="283"/>
      <c r="X44" s="283"/>
      <c r="Y44" s="283"/>
      <c r="Z44" s="283"/>
      <c r="AA44" s="283" t="e">
        <f ca="1">IF($I44="B1","",SUM(O44:Z44))</f>
        <v>#NAME?</v>
      </c>
      <c r="AB44" s="284" t="e">
        <f ca="1">IF(AA44=0,"",IFERROR(AA44/_xll.EVGTS($B$1,1,_xll.EVPRO($B$1,$H44,"COSBASIS"),$B$3,$B$5,$B$6,$B$7,$B$9,AA$16,AA$17,AA$11),""))</f>
        <v>#NAME?</v>
      </c>
      <c r="AC44" s="300"/>
      <c r="AD44" s="283"/>
      <c r="AE44" s="284" t="str">
        <f>IF(AD44=0,"",IFERROR(AD44/_xll.EVGTS($B$1,1,_xll.EVPRO($B$1,$H44,"COSBASIS"),$B$3,$B$5,$B$6,$B$7,$B$9,AD$16,AD$17,AD$18),""))</f>
        <v/>
      </c>
      <c r="AF44" s="285" t="e">
        <f ca="1">IF(AND($AA44="",AD44=""),"",$AA44-AD44)</f>
        <v>#NAME?</v>
      </c>
      <c r="AG44" s="283"/>
      <c r="AH44" s="284" t="str">
        <f>IF(AG44=0,"",IFERROR(AG44/_xll.EVGTS($B$1,1,_xll.EVPRO($B$1,$H44,"COSBASIS"),$B$3,$B$5,$B$6,$B$7,$B$9,AG$16,AG$17,AG$18),""))</f>
        <v/>
      </c>
      <c r="AI44" s="286" t="e">
        <f t="shared" ca="1" si="13"/>
        <v>#NAME?</v>
      </c>
    </row>
    <row r="45" spans="1:35" x14ac:dyDescent="0.2">
      <c r="A45" s="3" t="s">
        <v>0</v>
      </c>
      <c r="B45" s="5" t="s">
        <v>1</v>
      </c>
      <c r="H45" s="10" t="s">
        <v>664</v>
      </c>
      <c r="I45" s="25" t="e">
        <f ca="1">_xll.EVPRO($B$1,$H45,"STYLE")</f>
        <v>#NAME?</v>
      </c>
      <c r="J45" s="25" t="e">
        <f ca="1">_xll.EVPRO($B$1,$H45,"CALC")</f>
        <v>#NAME?</v>
      </c>
      <c r="K45" s="64" t="e">
        <f t="shared" ca="1" si="12"/>
        <v>#NAME?</v>
      </c>
      <c r="L45" s="24" t="e">
        <f ca="1">_xll.EVPRO($B$1,H45,"JDEID")</f>
        <v>#NAME?</v>
      </c>
      <c r="M45" s="24" t="e">
        <f ca="1">IF(AND(I45="N",J45="N"),_xll.EVPRO($B$1,H45,"PSFTID"),"")</f>
        <v>#NAME?</v>
      </c>
      <c r="N45" s="24" t="e">
        <f ca="1">IF(_xll.EVDES(H45,$B$1)="#NODATA","",_xll.EVDES(H45,$B$1))</f>
        <v>#NAME?</v>
      </c>
      <c r="O45" s="295"/>
      <c r="P45" s="296"/>
      <c r="Q45" s="296"/>
      <c r="R45" s="296"/>
      <c r="S45" s="296"/>
      <c r="T45" s="296"/>
      <c r="U45" s="296"/>
      <c r="V45" s="296"/>
      <c r="W45" s="296"/>
      <c r="X45" s="296"/>
      <c r="Y45" s="296"/>
      <c r="Z45" s="296"/>
      <c r="AA45" s="296" t="e">
        <f ca="1">IF($I45="B1","",SUM(O45:Z45))</f>
        <v>#NAME?</v>
      </c>
      <c r="AB45" s="297" t="e">
        <f ca="1">IF(AA45=0,"",IFERROR(AA45/_xll.EVGTS($B$1,1,_xll.EVPRO($B$1,$H45,"COSBASIS"),$B$3,$B$5,$B$6,$B$7,$B$9,AA$16,AA$17,AA$11),""))</f>
        <v>#NAME?</v>
      </c>
      <c r="AC45" s="263"/>
      <c r="AD45" s="296"/>
      <c r="AE45" s="297" t="str">
        <f>IF(AD45=0,"",IFERROR(AD45/_xll.EVGTS($B$1,1,_xll.EVPRO($B$1,$H45,"COSBASIS"),$B$3,$B$5,$B$6,$B$7,$B$9,AD$16,AD$17,AD$18),""))</f>
        <v/>
      </c>
      <c r="AF45" s="298" t="e">
        <f ca="1">IF(AND($AA45="",AD45=""),"",$AA45-AD45)</f>
        <v>#NAME?</v>
      </c>
      <c r="AG45" s="296"/>
      <c r="AH45" s="297" t="str">
        <f>IF(AG45=0,"",IFERROR(AG45/_xll.EVGTS($B$1,1,_xll.EVPRO($B$1,$H45,"COSBASIS"),$B$3,$B$5,$B$6,$B$7,$B$9,AG$16,AG$17,AG$18),""))</f>
        <v/>
      </c>
      <c r="AI45" s="299" t="e">
        <f t="shared" ca="1" si="13"/>
        <v>#NAME?</v>
      </c>
    </row>
    <row r="46" spans="1:35" x14ac:dyDescent="0.2">
      <c r="A46" s="6" t="s">
        <v>2</v>
      </c>
      <c r="B46" s="7" t="e">
        <f ca="1">_xll.EVRNG($B$2:$B$10)</f>
        <v>#NAME?</v>
      </c>
      <c r="H46" s="10" t="s">
        <v>289</v>
      </c>
      <c r="I46" s="447" t="e">
        <f ca="1">_xll.EVPRO($B$1,$H46,"STYLE")</f>
        <v>#NAME?</v>
      </c>
      <c r="J46" s="447" t="e">
        <f ca="1">_xll.EVPRO($B$1,$H46,"CALC")</f>
        <v>#NAME?</v>
      </c>
      <c r="K46" s="448" t="e">
        <f t="shared" ca="1" si="12"/>
        <v>#NAME?</v>
      </c>
      <c r="L46" s="151" t="e">
        <f ca="1">_xll.EVPRO($B$1,H46,"JDEID")</f>
        <v>#NAME?</v>
      </c>
      <c r="M46" s="151" t="e">
        <f ca="1">IF(AND(I46="N",J46="N"),_xll.EVPRO($B$1,H46,"PSFTID"),"")</f>
        <v>#NAME?</v>
      </c>
      <c r="N46" s="151" t="e">
        <f ca="1">IF(_xll.EVDES(H46,$B$1)="#NODATA","",_xll.EVDES(H46,$B$1))</f>
        <v>#NAME?</v>
      </c>
      <c r="O46" s="202"/>
      <c r="P46" s="120"/>
      <c r="Q46" s="120"/>
      <c r="R46" s="120"/>
      <c r="S46" s="120"/>
      <c r="T46" s="120"/>
      <c r="U46" s="120"/>
      <c r="V46" s="120"/>
      <c r="W46" s="120"/>
      <c r="X46" s="120"/>
      <c r="Y46" s="120"/>
      <c r="Z46" s="120"/>
      <c r="AA46" s="120" t="e">
        <f ca="1">IF($I46="B1","",SUM(O46:Z46))</f>
        <v>#NAME?</v>
      </c>
      <c r="AB46" s="121" t="e">
        <f ca="1">IF(AA46=0,"",IFERROR(AA46/_xll.EVGTS($B$1,1,_xll.EVPRO($B$1,$H46,"COSBASIS"),$B$3,$B$5,$B$6,$B$7,$B$9,AA$16,AA$17,AA$11),""))</f>
        <v>#NAME?</v>
      </c>
      <c r="AC46" s="123"/>
      <c r="AD46" s="120"/>
      <c r="AE46" s="121" t="str">
        <f>IF(AD46=0,"",IFERROR(AD46/_xll.EVGTS($B$1,1,_xll.EVPRO($B$1,$H46,"COSBASIS"),$B$3,$B$5,$B$6,$B$7,$B$9,AD$16,AD$17,AD$18),""))</f>
        <v/>
      </c>
      <c r="AF46" s="122" t="e">
        <f ca="1">IF(AND($AA46="",AD46=""),"",$AA46-AD46)</f>
        <v>#NAME?</v>
      </c>
      <c r="AG46" s="120"/>
      <c r="AH46" s="121" t="str">
        <f>IF(AG46=0,"",IFERROR(AG46/_xll.EVGTS($B$1,1,_xll.EVPRO($B$1,$H46,"COSBASIS"),$B$3,$B$5,$B$6,$B$7,$B$9,AG$16,AG$17,AG$18),""))</f>
        <v/>
      </c>
      <c r="AI46" s="264" t="e">
        <f t="shared" ca="1" si="13"/>
        <v>#NAME?</v>
      </c>
    </row>
    <row r="47" spans="1:35" x14ac:dyDescent="0.2">
      <c r="A47" s="6" t="s">
        <v>3</v>
      </c>
      <c r="B47" s="7" t="e">
        <f ca="1">_xll.EVRNG(O16:AI18)</f>
        <v>#NAME?</v>
      </c>
      <c r="H47" s="133" t="s">
        <v>175</v>
      </c>
      <c r="I47" s="26" t="e">
        <f ca="1">_xll.EVPRO($B$1,$H47,"STYLE")</f>
        <v>#NAME?</v>
      </c>
      <c r="J47" s="26" t="e">
        <f ca="1">_xll.EVPRO($B$1,$H47,"CALC")</f>
        <v>#NAME?</v>
      </c>
      <c r="K47" s="65" t="e">
        <f t="shared" ca="1" si="10"/>
        <v>#NAME?</v>
      </c>
      <c r="L47" s="65"/>
      <c r="M47" s="65"/>
      <c r="N47" s="23" t="e">
        <f ca="1">IF(_xll.EVDES(H47,$B$1)="#NODATA","",_xll.EVDES(H47,$B$1))</f>
        <v>#NAME?</v>
      </c>
      <c r="O47" s="44"/>
      <c r="P47" s="44"/>
      <c r="Q47" s="44"/>
      <c r="R47" s="44"/>
      <c r="S47" s="44"/>
      <c r="T47" s="44"/>
      <c r="U47" s="44"/>
      <c r="V47" s="44"/>
      <c r="W47" s="44"/>
      <c r="X47" s="44"/>
      <c r="Y47" s="44"/>
      <c r="Z47" s="44"/>
      <c r="AA47" s="44"/>
      <c r="AB47" s="45" t="str">
        <f>IF(O47=0,"",IFERROR(O47/_xll.EVGTS($B$1,1,INDEX($C$144:$C$167,MATCH($H47,$A$144:$A$167,0)),$B$3,$B$5,$B$6,$B$7,$B$9,O$16,O$17,O$18),""))</f>
        <v/>
      </c>
      <c r="AD47" s="44"/>
      <c r="AE47" s="45" t="str">
        <f>IF(AD47=0,"",IFERROR(AD47/_xll.EVGTS($B$1,1,INDEX($C$144:$C$167,MATCH($H47,$A$144:$A$167,0)),$B$3,$B$5,$B$6,$B$7,$B$9,AD$16,AD$17,AD$18),""))</f>
        <v/>
      </c>
      <c r="AF47" s="134" t="str">
        <f t="shared" ref="AF47:AF48" si="14">IF(AND($AA47="",AD47=""),"",$AA47-AD47)</f>
        <v/>
      </c>
      <c r="AG47" s="44"/>
      <c r="AH47" s="45" t="str">
        <f>IF(AG47=0,"",IFERROR(AG47/_xll.EVGTS($B$1,1,INDEX($C$144:$C$167,MATCH($H47,$A$144:$A$167,0)),$B$3,$B$5,$B$6,$B$7,$B$9,AG$16,AG$17,AG$18),""))</f>
        <v/>
      </c>
      <c r="AI47" s="134" t="str">
        <f t="shared" si="11"/>
        <v/>
      </c>
    </row>
    <row r="48" spans="1:35" x14ac:dyDescent="0.2">
      <c r="A48" s="6" t="s">
        <v>4</v>
      </c>
      <c r="B48" s="7" t="e">
        <f ca="1">_xll.EVRNG(H42:H46)</f>
        <v>#NAME?</v>
      </c>
      <c r="H48" s="133" t="s">
        <v>292</v>
      </c>
      <c r="I48" s="26" t="e">
        <f ca="1">_xll.EVPRO($B$1,$H48,"STYLE")</f>
        <v>#NAME?</v>
      </c>
      <c r="J48" s="26" t="e">
        <f ca="1">_xll.EVPRO($B$1,$H48,"CALC")</f>
        <v>#NAME?</v>
      </c>
      <c r="K48" s="65" t="e">
        <f t="shared" ca="1" si="10"/>
        <v>#NAME?</v>
      </c>
      <c r="L48" s="65"/>
      <c r="M48" s="65"/>
      <c r="N48" s="23" t="e">
        <f ca="1">IF(_xll.EVDES(H48,$B$1)="#NODATA","",_xll.EVDES(H48,$B$1))</f>
        <v>#NAME?</v>
      </c>
      <c r="O48" s="145">
        <f>SUMIF($H$34:$H$46,"400000",O34:O46)-SUMIF($H$34:$H$46,"500001",O34:O46)</f>
        <v>0</v>
      </c>
      <c r="P48" s="145">
        <f t="shared" ref="P48:Z48" si="15">SUMIF($H$34:$H$46,"400000",P34:P46)-SUMIF($H$34:$H$46,"500001",P34:P46)</f>
        <v>0</v>
      </c>
      <c r="Q48" s="145">
        <f t="shared" si="15"/>
        <v>0</v>
      </c>
      <c r="R48" s="145">
        <f t="shared" si="15"/>
        <v>0</v>
      </c>
      <c r="S48" s="145">
        <f t="shared" si="15"/>
        <v>0</v>
      </c>
      <c r="T48" s="145">
        <f t="shared" si="15"/>
        <v>0</v>
      </c>
      <c r="U48" s="145">
        <f t="shared" si="15"/>
        <v>0</v>
      </c>
      <c r="V48" s="145">
        <f t="shared" si="15"/>
        <v>0</v>
      </c>
      <c r="W48" s="145">
        <f t="shared" si="15"/>
        <v>0</v>
      </c>
      <c r="X48" s="145">
        <f t="shared" si="15"/>
        <v>0</v>
      </c>
      <c r="Y48" s="145">
        <f t="shared" si="15"/>
        <v>0</v>
      </c>
      <c r="Z48" s="145">
        <f t="shared" si="15"/>
        <v>0</v>
      </c>
      <c r="AA48" s="120" t="e">
        <f ca="1">IF($I48="B1","",SUM(O48:Z48))</f>
        <v>#NAME?</v>
      </c>
      <c r="AB48" s="121" t="e">
        <f ca="1">IF(AA48=0,"",IFERROR(AA48/AA$19,""))</f>
        <v>#NAME?</v>
      </c>
      <c r="AD48" s="145">
        <f>SUMIF($H$34:$H$46,"400000",AD34:AD46)-SUMIF($H$34:$H$46,"500001",AD34:AD46)</f>
        <v>0</v>
      </c>
      <c r="AE48" s="121" t="str">
        <f>IF(AD48=0,"",IFERROR(AD48/AD$19,""))</f>
        <v/>
      </c>
      <c r="AF48" s="146" t="e">
        <f t="shared" ca="1" si="14"/>
        <v>#NAME?</v>
      </c>
      <c r="AG48" s="145">
        <f>SUMIF($H$34:$H$46,"400000",AG34:AG46)-SUMIF($H$34:$H$46,"500001",AG34:AG46)</f>
        <v>0</v>
      </c>
      <c r="AH48" s="121" t="str">
        <f>IF(AG48=0,"",IFERROR(AG48/AG$19,""))</f>
        <v/>
      </c>
      <c r="AI48" s="146" t="e">
        <f t="shared" ca="1" si="11"/>
        <v>#NAME?</v>
      </c>
    </row>
    <row r="49" spans="1:35" x14ac:dyDescent="0.2">
      <c r="A49" s="6" t="s">
        <v>5</v>
      </c>
      <c r="B49" s="7"/>
      <c r="F49" s="136"/>
      <c r="O49" s="144"/>
      <c r="P49" s="147"/>
      <c r="Q49" s="147"/>
      <c r="R49" s="147"/>
      <c r="S49" s="147"/>
      <c r="T49" s="147"/>
      <c r="U49" s="147"/>
      <c r="V49" s="147"/>
      <c r="W49" s="147"/>
      <c r="X49" s="147"/>
      <c r="Y49" s="147"/>
      <c r="Z49" s="147"/>
      <c r="AA49" s="147"/>
      <c r="AB49" s="51"/>
      <c r="AD49" s="50"/>
      <c r="AF49" s="51"/>
      <c r="AI49" s="51"/>
    </row>
    <row r="50" spans="1:35" x14ac:dyDescent="0.2">
      <c r="A50" s="6" t="s">
        <v>6</v>
      </c>
      <c r="B50" s="7"/>
      <c r="F50" s="136"/>
      <c r="H50" s="1" t="s">
        <v>73</v>
      </c>
      <c r="I50" s="11" t="e">
        <f ca="1">_xll.EVPRO($B$1,$H50,"STYLE")</f>
        <v>#NAME?</v>
      </c>
      <c r="J50" s="11" t="e">
        <f ca="1">_xll.EVPRO($B$1,$H50,"CALC")</f>
        <v>#NAME?</v>
      </c>
      <c r="N50" s="37" t="e">
        <f ca="1">IF(_xll.EVDES(H50,$B$1)="#NODATA","",_xll.EVDES(H50,$B$1))</f>
        <v>#NAME?</v>
      </c>
      <c r="O50" s="50"/>
      <c r="AB50" s="149"/>
      <c r="AD50" s="148"/>
      <c r="AE50" s="150"/>
      <c r="AF50" s="51"/>
      <c r="AH50" s="150"/>
      <c r="AI50" s="51"/>
    </row>
    <row r="51" spans="1:35" x14ac:dyDescent="0.2">
      <c r="A51" s="6" t="s">
        <v>7</v>
      </c>
      <c r="B51" s="7" t="e">
        <f ca="1">_xll.EVRNG(A65:F69)</f>
        <v>#NAME?</v>
      </c>
      <c r="F51" s="136"/>
      <c r="H51" s="1" t="s">
        <v>74</v>
      </c>
      <c r="I51" s="11" t="e">
        <f ca="1">_xll.EVPRO($B$1,$H51,"STYLE")</f>
        <v>#NAME?</v>
      </c>
      <c r="J51" s="11" t="e">
        <f ca="1">_xll.EVPRO($B$1,$H51,"CALC")</f>
        <v>#NAME?</v>
      </c>
      <c r="N51" s="8" t="e">
        <f ca="1">IF(_xll.EVDES(H51,$B$1)="#NODATA","",_xll.EVDES(H51,$B$1))</f>
        <v>#NAME?</v>
      </c>
      <c r="O51" s="40"/>
      <c r="P51" s="43"/>
      <c r="Q51" s="43"/>
      <c r="R51" s="43"/>
      <c r="S51" s="43"/>
      <c r="T51" s="43"/>
      <c r="U51" s="43"/>
      <c r="V51" s="43"/>
      <c r="W51" s="43"/>
      <c r="X51" s="43"/>
      <c r="Y51" s="43"/>
      <c r="Z51" s="43"/>
      <c r="AA51" s="43"/>
      <c r="AB51" s="41"/>
      <c r="AD51" s="40"/>
      <c r="AE51" s="43"/>
      <c r="AF51" s="41"/>
      <c r="AG51" s="43"/>
      <c r="AH51" s="43"/>
      <c r="AI51" s="41"/>
    </row>
    <row r="52" spans="1:35" hidden="1" x14ac:dyDescent="0.2">
      <c r="A52" s="6" t="s">
        <v>47</v>
      </c>
      <c r="B52" s="7" t="e">
        <f ca="1">_xll.EVRNG($A$117:$B$138)</f>
        <v>#NAME?</v>
      </c>
      <c r="H52" s="10" t="s">
        <v>667</v>
      </c>
      <c r="I52" s="25" t="e">
        <f ca="1">_xll.EVPRO($B$1,$H52,"STYLE")</f>
        <v>#NAME?</v>
      </c>
      <c r="J52" s="25" t="e">
        <f ca="1">_xll.EVPRO($B$1,$H52,"CALC")</f>
        <v>#NAME?</v>
      </c>
      <c r="K52" s="64" t="e">
        <f ca="1">IF(AND(I52&gt;="T3"),"&gt;","")</f>
        <v>#NAME?</v>
      </c>
      <c r="L52" s="24" t="e">
        <f ca="1">_xll.EVPRO($B$1,H52,"JDEID")</f>
        <v>#NAME?</v>
      </c>
      <c r="M52" s="24" t="e">
        <f ca="1">IF(AND(I52="N",J52="N"),_xll.EVPRO($B$1,H52,"PSFTID"),"")</f>
        <v>#NAME?</v>
      </c>
      <c r="N52" s="24" t="e">
        <f ca="1">IF(_xll.EVDES(H52,$B$1)="#NODATA","",_xll.EVDES(H52,$B$1))</f>
        <v>#NAME?</v>
      </c>
      <c r="O52" s="44"/>
      <c r="P52" s="44"/>
      <c r="Q52" s="44"/>
      <c r="R52" s="44"/>
      <c r="S52" s="44"/>
      <c r="T52" s="44"/>
      <c r="U52" s="44"/>
      <c r="V52" s="44"/>
      <c r="W52" s="44"/>
      <c r="X52" s="44"/>
      <c r="Y52" s="44"/>
      <c r="Z52" s="44"/>
      <c r="AA52" s="296" t="e">
        <f ca="1">IF($I52="B1","",SUM(O52:Z52))</f>
        <v>#NAME?</v>
      </c>
      <c r="AB52" s="45" t="str">
        <f>IF(O52=0,"",IFERROR(O52/O$19,""))</f>
        <v/>
      </c>
      <c r="AD52" s="44"/>
      <c r="AE52" s="45" t="str">
        <f>IF(AD52=0,"",IFERROR(AD52/AD$19,""))</f>
        <v/>
      </c>
      <c r="AF52" s="134" t="e">
        <f ca="1">IF(AND($AA52="",AD52=""),"",$AA52-AD52)</f>
        <v>#NAME?</v>
      </c>
      <c r="AG52" s="44"/>
      <c r="AH52" s="45" t="str">
        <f>IF(AG52=0,"",IFERROR(AG52/AG$19,""))</f>
        <v/>
      </c>
      <c r="AI52" s="134" t="e">
        <f ca="1">IF(AND($AA52="",AG52=""),"",$AA52-AG52)</f>
        <v>#NAME?</v>
      </c>
    </row>
    <row r="53" spans="1:35" hidden="1" x14ac:dyDescent="0.2">
      <c r="A53" s="6" t="s">
        <v>8</v>
      </c>
      <c r="B53" s="7"/>
      <c r="H53" s="10"/>
      <c r="I53" s="25" t="e">
        <f ca="1">_xll.EVPRO($B$1,$H53,"STYLE")</f>
        <v>#NAME?</v>
      </c>
      <c r="J53" s="25" t="e">
        <f ca="1">_xll.EVPRO($B$1,$H53,"CALC")</f>
        <v>#NAME?</v>
      </c>
      <c r="K53" s="64" t="e">
        <f ca="1">IF(AND(I53&gt;="T3"),"&gt;","")</f>
        <v>#NAME?</v>
      </c>
      <c r="L53" s="24" t="e">
        <f ca="1">_xll.EVPRO($B$1,H53,"JDEID")</f>
        <v>#NAME?</v>
      </c>
      <c r="M53" s="24" t="e">
        <f ca="1">IF(AND(I53="N",J53="N"),_xll.EVPRO($B$1,H53,"PSFTID"),"")</f>
        <v>#NAME?</v>
      </c>
      <c r="N53" s="24" t="e">
        <f ca="1">IF(_xll.EVDES(H53,$B$1)="#NODATA","",_xll.EVDES(H53,$B$1))</f>
        <v>#NAME?</v>
      </c>
      <c r="O53" s="44"/>
      <c r="P53" s="44"/>
      <c r="Q53" s="44"/>
      <c r="R53" s="44"/>
      <c r="S53" s="44"/>
      <c r="T53" s="44"/>
      <c r="U53" s="44"/>
      <c r="V53" s="44"/>
      <c r="W53" s="44"/>
      <c r="X53" s="44"/>
      <c r="Y53" s="44"/>
      <c r="Z53" s="44"/>
      <c r="AA53" s="296" t="e">
        <f ca="1">IF($I53="B1","",SUM(O53:Z53))</f>
        <v>#NAME?</v>
      </c>
      <c r="AB53" s="45" t="str">
        <f>IF(O53=0,"",IFERROR(O53/O$19,""))</f>
        <v/>
      </c>
      <c r="AD53" s="44"/>
      <c r="AE53" s="45" t="str">
        <f>IF(AD53=0,"",IFERROR(AD53/AD$19,""))</f>
        <v/>
      </c>
      <c r="AF53" s="134" t="e">
        <f ca="1">IF(AND($AA53="",AD53=""),"",$AA53-AD53)</f>
        <v>#NAME?</v>
      </c>
      <c r="AG53" s="44"/>
      <c r="AH53" s="45" t="str">
        <f>IF(AG53=0,"",IFERROR(AG53/AG$19,""))</f>
        <v/>
      </c>
      <c r="AI53" s="134" t="e">
        <f ca="1">IF(AND($AA53="",AG53=""),"",$AA53-AG53)</f>
        <v>#NAME?</v>
      </c>
    </row>
    <row r="54" spans="1:35" x14ac:dyDescent="0.2">
      <c r="H54" s="10" t="s">
        <v>75</v>
      </c>
      <c r="I54" s="26" t="e">
        <f ca="1">_xll.EVPRO($B$1,$H54,"STYLE")</f>
        <v>#NAME?</v>
      </c>
      <c r="J54" s="26" t="e">
        <f ca="1">_xll.EVPRO($B$1,$H54,"CALC")</f>
        <v>#NAME?</v>
      </c>
      <c r="K54" s="65" t="e">
        <f ca="1">IF(AND(I54&gt;="T3"),"&gt;","")</f>
        <v>#NAME?</v>
      </c>
      <c r="L54" s="23" t="e">
        <f ca="1">_xll.EVPRO($B$1,H54,"JDEID")</f>
        <v>#NAME?</v>
      </c>
      <c r="M54" s="24" t="e">
        <f ca="1">IF(AND(I54="N",J54="N"),_xll.EVPRO($B$1,H54,"PSFTID"),"")</f>
        <v>#NAME?</v>
      </c>
      <c r="N54" s="23" t="e">
        <f ca="1">IF(_xll.EVDES(H54,$B$1)="#NODATA","",_xll.EVDES(H54,$B$1))</f>
        <v>#NAME?</v>
      </c>
      <c r="O54" s="35"/>
      <c r="P54" s="35"/>
      <c r="Q54" s="35"/>
      <c r="R54" s="35"/>
      <c r="S54" s="35"/>
      <c r="T54" s="35"/>
      <c r="U54" s="35"/>
      <c r="V54" s="35"/>
      <c r="W54" s="35"/>
      <c r="X54" s="35"/>
      <c r="Y54" s="35"/>
      <c r="Z54" s="35"/>
      <c r="AA54" s="283" t="e">
        <f ca="1">IF($I54="B1","",SUM(O54:Z54))</f>
        <v>#NAME?</v>
      </c>
      <c r="AB54" s="36" t="str">
        <f>IF(O54=0,"",IFERROR(O54/O$19,""))</f>
        <v/>
      </c>
      <c r="AD54" s="35"/>
      <c r="AE54" s="36" t="str">
        <f>IF(AD54=0,"",IFERROR(AD54/AD$19,""))</f>
        <v/>
      </c>
      <c r="AF54" s="118" t="e">
        <f ca="1">IF(AND($AA54="",AD54=""),"",$AA54-AD54)</f>
        <v>#NAME?</v>
      </c>
      <c r="AG54" s="35"/>
      <c r="AH54" s="36" t="str">
        <f>IF(AG54=0,"",IFERROR(AG54/AG$19,""))</f>
        <v/>
      </c>
      <c r="AI54" s="118" t="e">
        <f ca="1">IF(AND($AA54="",AG54=""),"",$AA54-AG54)</f>
        <v>#NAME?</v>
      </c>
    </row>
    <row r="55" spans="1:35" hidden="1" x14ac:dyDescent="0.2">
      <c r="A55" s="3" t="s">
        <v>9</v>
      </c>
      <c r="B55" s="5" t="s">
        <v>10</v>
      </c>
      <c r="H55" s="10" t="s">
        <v>667</v>
      </c>
      <c r="I55" s="25" t="e">
        <f ca="1">_xll.EVPRO($B$1,$H55,"STYLE")</f>
        <v>#NAME?</v>
      </c>
      <c r="J55" s="25" t="e">
        <f ca="1">_xll.EVPRO($B$1,$H55,"CALC")</f>
        <v>#NAME?</v>
      </c>
      <c r="K55" s="64" t="e">
        <f ca="1">IF(AND(I55&gt;="T3"),"&gt;","")</f>
        <v>#NAME?</v>
      </c>
      <c r="L55" s="24" t="e">
        <f ca="1">_xll.EVPRO($B$1,H55,"JDEID")</f>
        <v>#NAME?</v>
      </c>
      <c r="M55" s="24" t="e">
        <f ca="1">IF(AND(I55="N",J55="N"),_xll.EVPRO($B$1,H55,"PSFTID"),"")</f>
        <v>#NAME?</v>
      </c>
      <c r="N55" s="24" t="e">
        <f ca="1">IF(_xll.EVDES(H55,$B$1)="#NODATA","",_xll.EVDES(H55,$B$1))</f>
        <v>#NAME?</v>
      </c>
      <c r="O55" s="44"/>
      <c r="P55" s="44"/>
      <c r="Q55" s="44"/>
      <c r="R55" s="44"/>
      <c r="S55" s="44"/>
      <c r="T55" s="44"/>
      <c r="U55" s="44"/>
      <c r="V55" s="44"/>
      <c r="W55" s="44"/>
      <c r="X55" s="44"/>
      <c r="Y55" s="44"/>
      <c r="Z55" s="44"/>
      <c r="AA55" s="296" t="e">
        <f ca="1">IF($I55="B1","",SUM(O55:Z55))</f>
        <v>#NAME?</v>
      </c>
      <c r="AB55" s="45" t="str">
        <f>IF(O55=0,"",IFERROR(O55/O$19,""))</f>
        <v/>
      </c>
      <c r="AD55" s="44"/>
      <c r="AE55" s="45" t="str">
        <f>IF(AD55=0,"",IFERROR(AD55/AD$19,""))</f>
        <v/>
      </c>
      <c r="AF55" s="134" t="e">
        <f ca="1">IF(AND($AA55="",AD55=""),"",$AA55-AD55)</f>
        <v>#NAME?</v>
      </c>
      <c r="AG55" s="44"/>
      <c r="AH55" s="45" t="str">
        <f>IF(AG55=0,"",IFERROR(AG55/AG$19,""))</f>
        <v/>
      </c>
      <c r="AI55" s="134" t="e">
        <f ca="1">IF(AND($AA55="",AG55=""),"",$AA55-AG55)</f>
        <v>#NAME?</v>
      </c>
    </row>
    <row r="56" spans="1:35" hidden="1" x14ac:dyDescent="0.2">
      <c r="A56" s="6" t="s">
        <v>11</v>
      </c>
      <c r="B56" s="7" t="s">
        <v>21</v>
      </c>
      <c r="G56" s="13"/>
      <c r="H56" s="10"/>
      <c r="I56" s="25" t="e">
        <f ca="1">_xll.EVPRO($B$1,$H56,"STYLE")</f>
        <v>#NAME?</v>
      </c>
      <c r="J56" s="25" t="e">
        <f ca="1">_xll.EVPRO($B$1,$H56,"CALC")</f>
        <v>#NAME?</v>
      </c>
      <c r="K56" s="64" t="e">
        <f ca="1">IF(AND(I56&gt;="T3"),"&gt;","")</f>
        <v>#NAME?</v>
      </c>
      <c r="L56" s="24" t="e">
        <f ca="1">_xll.EVPRO($B$1,H56,"JDEID")</f>
        <v>#NAME?</v>
      </c>
      <c r="M56" s="24" t="e">
        <f ca="1">IF(AND(I56="N",J56="N"),_xll.EVPRO($B$1,H56,"PSFTID"),"")</f>
        <v>#NAME?</v>
      </c>
      <c r="N56" s="24" t="e">
        <f ca="1">IF(_xll.EVDES(H56,$B$1)="#NODATA","",_xll.EVDES(H56,$B$1))</f>
        <v>#NAME?</v>
      </c>
      <c r="O56" s="44"/>
      <c r="P56" s="44"/>
      <c r="Q56" s="44"/>
      <c r="R56" s="44"/>
      <c r="S56" s="44"/>
      <c r="T56" s="44"/>
      <c r="U56" s="44"/>
      <c r="V56" s="44"/>
      <c r="W56" s="44"/>
      <c r="X56" s="44"/>
      <c r="Y56" s="44"/>
      <c r="Z56" s="44"/>
      <c r="AA56" s="296" t="e">
        <f ca="1">IF($I56="B1","",SUM(O56:Z56))</f>
        <v>#NAME?</v>
      </c>
      <c r="AB56" s="45" t="str">
        <f>IF(O56=0,"",IFERROR(O56/O$19,""))</f>
        <v/>
      </c>
      <c r="AD56" s="44"/>
      <c r="AE56" s="45" t="str">
        <f>IF(AD56=0,"",IFERROR(AD56/AD$19,""))</f>
        <v/>
      </c>
      <c r="AF56" s="134" t="e">
        <f ca="1">IF(AND($AA56="",AD56=""),"",$AA56-AD56)</f>
        <v>#NAME?</v>
      </c>
      <c r="AG56" s="44"/>
      <c r="AH56" s="45" t="str">
        <f>IF(AG56=0,"",IFERROR(AG56/AG$19,""))</f>
        <v/>
      </c>
      <c r="AI56" s="134" t="e">
        <f ca="1">IF(AND($AA56="",AG56=""),"",$AA56-AG56)</f>
        <v>#NAME?</v>
      </c>
    </row>
    <row r="57" spans="1:35" x14ac:dyDescent="0.2">
      <c r="A57" s="6" t="s">
        <v>12</v>
      </c>
      <c r="B57" s="7" t="s">
        <v>22</v>
      </c>
      <c r="O57" s="38"/>
      <c r="P57" s="42"/>
      <c r="Q57" s="42"/>
      <c r="R57" s="42"/>
      <c r="S57" s="42"/>
      <c r="T57" s="42"/>
      <c r="U57" s="42"/>
      <c r="V57" s="42"/>
      <c r="W57" s="42"/>
      <c r="X57" s="42"/>
      <c r="Y57" s="42"/>
      <c r="Z57" s="42"/>
      <c r="AA57" s="42"/>
      <c r="AB57" s="39"/>
      <c r="AD57" s="38"/>
      <c r="AE57" s="42"/>
      <c r="AF57" s="39"/>
      <c r="AG57" s="38"/>
      <c r="AH57" s="42"/>
      <c r="AI57" s="39"/>
    </row>
    <row r="58" spans="1:35" x14ac:dyDescent="0.2">
      <c r="A58" s="6" t="s">
        <v>13</v>
      </c>
      <c r="B58" s="7" t="e">
        <f ca="1">"DEP(510000) AND "&amp;$E$6&amp;"=Y,500001"</f>
        <v>#NAME?</v>
      </c>
      <c r="H58" s="1" t="s">
        <v>82</v>
      </c>
      <c r="I58" s="11" t="e">
        <f ca="1">_xll.EVPRO($B$1,$H58,"STYLE")</f>
        <v>#NAME?</v>
      </c>
      <c r="J58" s="11" t="e">
        <f ca="1">_xll.EVPRO($B$1,$H58,"CALC")</f>
        <v>#NAME?</v>
      </c>
      <c r="N58" s="37" t="e">
        <f ca="1">IF(_xll.EVDES(H58,$B$1)="#NODATA","",_xll.EVDES(H58,$B$1))</f>
        <v>#NAME?</v>
      </c>
      <c r="O58" s="40"/>
      <c r="P58" s="43"/>
      <c r="Q58" s="43"/>
      <c r="R58" s="43"/>
      <c r="S58" s="43"/>
      <c r="T58" s="43"/>
      <c r="U58" s="43"/>
      <c r="V58" s="43"/>
      <c r="W58" s="43"/>
      <c r="X58" s="43"/>
      <c r="Y58" s="43"/>
      <c r="Z58" s="43"/>
      <c r="AA58" s="43"/>
      <c r="AB58" s="41"/>
      <c r="AD58" s="40"/>
      <c r="AE58" s="43"/>
      <c r="AF58" s="41"/>
      <c r="AG58" s="40"/>
      <c r="AH58" s="43"/>
      <c r="AI58" s="41"/>
    </row>
    <row r="59" spans="1:35" hidden="1" x14ac:dyDescent="0.2">
      <c r="A59" s="6" t="s">
        <v>14</v>
      </c>
      <c r="B59" s="7"/>
      <c r="H59" s="10" t="s">
        <v>667</v>
      </c>
      <c r="I59" s="25" t="e">
        <f ca="1">_xll.EVPRO($B$1,$H59,"STYLE")</f>
        <v>#NAME?</v>
      </c>
      <c r="J59" s="25" t="e">
        <f ca="1">_xll.EVPRO($B$1,$H59,"CALC")</f>
        <v>#NAME?</v>
      </c>
      <c r="K59" s="64" t="e">
        <f ca="1">IF(AND(I59&lt;&gt;"B1",J59="Y"),"&gt;","")</f>
        <v>#NAME?</v>
      </c>
      <c r="L59" s="24" t="e">
        <f ca="1">_xll.EVPRO($B$1,H59,"JDEID")</f>
        <v>#NAME?</v>
      </c>
      <c r="M59" s="24" t="e">
        <f ca="1">IF(AND(I59="N",J59="N"),_xll.EVPRO($B$1,H59,"PSFTID"),"")</f>
        <v>#NAME?</v>
      </c>
      <c r="N59" s="24" t="e">
        <f ca="1">IF(_xll.EVDES(H59,$B$1)="#NODATA","",_xll.EVDES(H59,$B$1))</f>
        <v>#NAME?</v>
      </c>
      <c r="O59" s="19"/>
      <c r="P59" s="19"/>
      <c r="Q59" s="19"/>
      <c r="R59" s="19"/>
      <c r="S59" s="19"/>
      <c r="T59" s="19"/>
      <c r="U59" s="19"/>
      <c r="V59" s="19"/>
      <c r="W59" s="19"/>
      <c r="X59" s="19"/>
      <c r="Y59" s="19"/>
      <c r="Z59" s="19"/>
      <c r="AA59" s="283" t="e">
        <f ca="1">IF($I59="B1","",SUM(O59:Z59))</f>
        <v>#NAME?</v>
      </c>
      <c r="AB59" s="15" t="e">
        <f ca="1">IF(AA59=0,"",IFERROR(AA59/AA$19,""))</f>
        <v>#NAME?</v>
      </c>
      <c r="AD59" s="19"/>
      <c r="AE59" s="15" t="str">
        <f>IF(AD59=0,"",IFERROR(AD59/AD$19,""))</f>
        <v/>
      </c>
      <c r="AF59" s="47" t="e">
        <f ca="1">IF(AND($AA59="",AD59=""),"",$AA59-AD59)</f>
        <v>#NAME?</v>
      </c>
      <c r="AG59" s="19"/>
      <c r="AH59" s="15" t="str">
        <f>IF(AG59=0,"",IFERROR(AG59/AG$19,""))</f>
        <v/>
      </c>
      <c r="AI59" s="47" t="e">
        <f ca="1">IF(AND($AA59="",AG59=""),"",$AA59-AG59)</f>
        <v>#NAME?</v>
      </c>
    </row>
    <row r="60" spans="1:35" hidden="1" x14ac:dyDescent="0.2">
      <c r="A60" s="6" t="s">
        <v>15</v>
      </c>
      <c r="B60" s="7"/>
      <c r="H60" s="10"/>
      <c r="I60" s="25" t="e">
        <f ca="1">_xll.EVPRO($B$1,$H60,"STYLE")</f>
        <v>#NAME?</v>
      </c>
      <c r="J60" s="25" t="e">
        <f ca="1">_xll.EVPRO($B$1,$H60,"CALC")</f>
        <v>#NAME?</v>
      </c>
      <c r="K60" s="64" t="e">
        <f ca="1">IF(AND(I60&lt;&gt;"B1",J60="Y"),"&gt;","")</f>
        <v>#NAME?</v>
      </c>
      <c r="L60" s="24" t="e">
        <f ca="1">_xll.EVPRO($B$1,H60,"JDEID")</f>
        <v>#NAME?</v>
      </c>
      <c r="M60" s="24" t="e">
        <f ca="1">IF(AND(I60="N",J60="N"),_xll.EVPRO($B$1,H60,"PSFTID"),"")</f>
        <v>#NAME?</v>
      </c>
      <c r="N60" s="24" t="e">
        <f ca="1">IF(_xll.EVDES(H60,$B$1)="#NODATA","",_xll.EVDES(H60,$B$1))</f>
        <v>#NAME?</v>
      </c>
      <c r="O60" s="19"/>
      <c r="P60" s="19"/>
      <c r="Q60" s="19"/>
      <c r="R60" s="19"/>
      <c r="S60" s="19"/>
      <c r="T60" s="19"/>
      <c r="U60" s="19"/>
      <c r="V60" s="19"/>
      <c r="W60" s="19"/>
      <c r="X60" s="19"/>
      <c r="Y60" s="19"/>
      <c r="Z60" s="19"/>
      <c r="AA60" s="283" t="e">
        <f ca="1">IF($I60="B1","",SUM(O60:Z60))</f>
        <v>#NAME?</v>
      </c>
      <c r="AB60" s="15" t="e">
        <f ca="1">IF(AA60=0,"",IFERROR(AA60/AA$19,""))</f>
        <v>#NAME?</v>
      </c>
      <c r="AD60" s="19"/>
      <c r="AE60" s="15" t="str">
        <f>IF(AD60=0,"",IFERROR(AD60/AD$19,""))</f>
        <v/>
      </c>
      <c r="AF60" s="47" t="e">
        <f ca="1">IF(AND($AA60="",AD60=""),"",$AA60-AD60)</f>
        <v>#NAME?</v>
      </c>
      <c r="AG60" s="19"/>
      <c r="AH60" s="15" t="str">
        <f>IF(AG60=0,"",IFERROR(AG60/AG$19,""))</f>
        <v/>
      </c>
      <c r="AI60" s="47" t="e">
        <f ca="1">IF(AND($AA60="",AG60=""),"",$AA60-AG60)</f>
        <v>#NAME?</v>
      </c>
    </row>
    <row r="61" spans="1:35" x14ac:dyDescent="0.2">
      <c r="A61" s="6" t="s">
        <v>16</v>
      </c>
      <c r="B61" s="7"/>
      <c r="H61" s="10" t="s">
        <v>79</v>
      </c>
      <c r="I61" s="25" t="e">
        <f ca="1">_xll.EVPRO($B$1,$H61,"STYLE")</f>
        <v>#NAME?</v>
      </c>
      <c r="J61" s="25" t="e">
        <f ca="1">_xll.EVPRO($B$1,$H61,"CALC")</f>
        <v>#NAME?</v>
      </c>
      <c r="K61" s="24"/>
      <c r="L61" s="24"/>
      <c r="M61" s="24"/>
      <c r="N61" s="23" t="e">
        <f ca="1">IF(_xll.EVDES(H61,$B$1)="#NODATA","",_xll.EVDES(H61,$B$1))</f>
        <v>#NAME?</v>
      </c>
      <c r="O61" s="30"/>
      <c r="P61" s="30"/>
      <c r="Q61" s="30"/>
      <c r="R61" s="30"/>
      <c r="S61" s="30"/>
      <c r="T61" s="30"/>
      <c r="U61" s="30"/>
      <c r="V61" s="30"/>
      <c r="W61" s="30"/>
      <c r="X61" s="30"/>
      <c r="Y61" s="30"/>
      <c r="Z61" s="30"/>
      <c r="AA61" s="30" t="e">
        <f ca="1">IF($I61="B1","",SUM(O61:Z61))</f>
        <v>#NAME?</v>
      </c>
      <c r="AB61" s="31" t="e">
        <f ca="1">IF(AA61=0,"",IFERROR(AA61/AA$19,""))</f>
        <v>#NAME?</v>
      </c>
      <c r="AD61" s="30"/>
      <c r="AE61" s="31" t="str">
        <f>IF(AD61=0,"",IFERROR(AD61/AD$19,""))</f>
        <v/>
      </c>
      <c r="AF61" s="49" t="e">
        <f ca="1">IF(AND($AA61="",AD61=""),"",$AA61-AD61)</f>
        <v>#NAME?</v>
      </c>
      <c r="AG61" s="30"/>
      <c r="AH61" s="31" t="str">
        <f>IF(AG61=0,"",IFERROR(AG61/AG$19,""))</f>
        <v/>
      </c>
      <c r="AI61" s="49" t="e">
        <f ca="1">IF(AND($AA61="",AG61=""),"",$AA61-AG61)</f>
        <v>#NAME?</v>
      </c>
    </row>
    <row r="62" spans="1:35" x14ac:dyDescent="0.2">
      <c r="A62" s="6" t="s">
        <v>17</v>
      </c>
      <c r="B62" s="7"/>
    </row>
    <row r="63" spans="1:35" x14ac:dyDescent="0.2">
      <c r="H63" s="10" t="s">
        <v>80</v>
      </c>
      <c r="I63" s="25" t="e">
        <f ca="1">_xll.EVPRO($B$1,$H63,"STYLE")</f>
        <v>#NAME?</v>
      </c>
      <c r="J63" s="25" t="e">
        <f ca="1">_xll.EVPRO($B$1,$H63,"CALC")</f>
        <v>#NAME?</v>
      </c>
      <c r="K63" s="23"/>
      <c r="L63" s="23"/>
      <c r="M63" s="23"/>
      <c r="N63" s="23" t="e">
        <f ca="1">IF(_xll.EVDES(H63,$B$1)="#NODATA","",_xll.EVDES(H63,$B$1))</f>
        <v>#NAME?</v>
      </c>
      <c r="O63" s="33"/>
      <c r="P63" s="33"/>
      <c r="Q63" s="33"/>
      <c r="R63" s="33"/>
      <c r="S63" s="33"/>
      <c r="T63" s="33"/>
      <c r="U63" s="33"/>
      <c r="V63" s="33"/>
      <c r="W63" s="33"/>
      <c r="X63" s="33"/>
      <c r="Y63" s="33"/>
      <c r="Z63" s="33"/>
      <c r="AA63" s="33" t="e">
        <f ca="1">IF($I63="B1","",SUM(O63:Z63))</f>
        <v>#NAME?</v>
      </c>
      <c r="AB63" s="34" t="e">
        <f ca="1">IF(AA63=0,"",IFERROR(AA63/AA$19,""))</f>
        <v>#NAME?</v>
      </c>
      <c r="AD63" s="33"/>
      <c r="AE63" s="34" t="str">
        <f>IF(AD63=0,"",IFERROR(AD63/AD$19,""))</f>
        <v/>
      </c>
      <c r="AF63" s="55" t="e">
        <f ca="1">IF(AND($AA63="",AD63=""),"",$AA63-AD63)</f>
        <v>#NAME?</v>
      </c>
      <c r="AG63" s="56"/>
      <c r="AH63" s="57" t="str">
        <f>IF(AG63=0,"",IFERROR(AG63/AG$19,""))</f>
        <v/>
      </c>
      <c r="AI63" s="55" t="e">
        <f ca="1">IF(AND($AA63="",AG63=""),"",$AA63-AG63)</f>
        <v>#NAME?</v>
      </c>
    </row>
    <row r="64" spans="1:35" ht="16" thickBot="1" x14ac:dyDescent="0.25">
      <c r="A64" s="20" t="s">
        <v>92</v>
      </c>
      <c r="B64" s="21" t="s">
        <v>93</v>
      </c>
      <c r="C64" s="21" t="s">
        <v>94</v>
      </c>
      <c r="D64" s="21" t="s">
        <v>95</v>
      </c>
      <c r="E64" s="21" t="s">
        <v>96</v>
      </c>
      <c r="F64" s="22" t="s">
        <v>97</v>
      </c>
      <c r="H64" s="10" t="s">
        <v>81</v>
      </c>
      <c r="I64" s="25" t="e">
        <f ca="1">_xll.EVPRO($B$1,$H64,"STYLE")</f>
        <v>#NAME?</v>
      </c>
      <c r="J64" s="25" t="e">
        <f ca="1">_xll.EVPRO($B$1,$H64,"CALC")</f>
        <v>#NAME?</v>
      </c>
      <c r="K64" s="23"/>
      <c r="L64" s="23"/>
      <c r="M64" s="23"/>
      <c r="N64" s="23" t="e">
        <f ca="1">IF(_xll.EVDES(H64,$B$1)="#NODATA","",_xll.EVDES(H64,$B$1))</f>
        <v>#NAME?</v>
      </c>
      <c r="O64" s="58"/>
      <c r="P64" s="58"/>
      <c r="Q64" s="58"/>
      <c r="R64" s="58"/>
      <c r="S64" s="58"/>
      <c r="T64" s="58"/>
      <c r="U64" s="58"/>
      <c r="V64" s="58"/>
      <c r="W64" s="58"/>
      <c r="X64" s="58"/>
      <c r="Y64" s="58"/>
      <c r="Z64" s="58"/>
      <c r="AA64" s="58" t="e">
        <f ca="1">IF($I64="B1","",SUM(O64:Z64))</f>
        <v>#NAME?</v>
      </c>
      <c r="AB64" s="59" t="e">
        <f ca="1">IF(AA64=0,"",IFERROR(AA64/AA$19,""))</f>
        <v>#NAME?</v>
      </c>
      <c r="AD64" s="58"/>
      <c r="AE64" s="59" t="str">
        <f>IF(AD64=0,"",IFERROR(AD64/AD$19,""))</f>
        <v/>
      </c>
      <c r="AF64" s="60" t="e">
        <f ca="1">IF(AND($AA64="",AD64=""),"",$AA64-AD64)</f>
        <v>#NAME?</v>
      </c>
      <c r="AG64" s="58"/>
      <c r="AH64" s="59" t="str">
        <f>IF(AG64=0,"",IFERROR(AG64/AG$19,""))</f>
        <v/>
      </c>
      <c r="AI64" s="60" t="e">
        <f ca="1">IF(AND($AA64="",AG64=""),"",$AA64-AG64)</f>
        <v>#NAME?</v>
      </c>
    </row>
    <row r="65" spans="1:35" ht="16" thickTop="1" x14ac:dyDescent="0.2"/>
    <row r="66" spans="1:35" x14ac:dyDescent="0.2">
      <c r="A66" s="1" t="s">
        <v>209</v>
      </c>
      <c r="B66" s="1" t="s">
        <v>21</v>
      </c>
      <c r="C66" s="70"/>
      <c r="D66" s="1" t="s">
        <v>590</v>
      </c>
      <c r="F66" s="1" t="s">
        <v>99</v>
      </c>
      <c r="N66" s="24" t="e">
        <f ca="1">N63&amp;" - Check"</f>
        <v>#NAME?</v>
      </c>
      <c r="O66" s="124">
        <f t="shared" ref="O66:AA66" si="16">SUMIF($H$34:$H$64,"600000",O$34:O$64)+SUMIF($H$34:$H$64,"700000",O$34:O$64)-SUMIF($H$34:$H$64,"TOTDEPTEXP",O$34:O$64)</f>
        <v>0</v>
      </c>
      <c r="P66" s="124">
        <f t="shared" si="16"/>
        <v>0</v>
      </c>
      <c r="Q66" s="124">
        <f t="shared" si="16"/>
        <v>0</v>
      </c>
      <c r="R66" s="124">
        <f t="shared" si="16"/>
        <v>0</v>
      </c>
      <c r="S66" s="124">
        <f t="shared" si="16"/>
        <v>0</v>
      </c>
      <c r="T66" s="124">
        <f t="shared" si="16"/>
        <v>0</v>
      </c>
      <c r="U66" s="124">
        <f t="shared" si="16"/>
        <v>0</v>
      </c>
      <c r="V66" s="124">
        <f t="shared" si="16"/>
        <v>0</v>
      </c>
      <c r="W66" s="124">
        <f t="shared" si="16"/>
        <v>0</v>
      </c>
      <c r="X66" s="124">
        <f t="shared" si="16"/>
        <v>0</v>
      </c>
      <c r="Y66" s="124">
        <f t="shared" si="16"/>
        <v>0</v>
      </c>
      <c r="Z66" s="124">
        <f t="shared" si="16"/>
        <v>0</v>
      </c>
      <c r="AA66" s="124" t="e">
        <f t="shared" ca="1" si="16"/>
        <v>#NAME?</v>
      </c>
      <c r="AB66" s="15"/>
      <c r="AD66" s="124">
        <f>SUMIF($H$34:$H$64,"600000",AD$34:AD$64)+SUMIF($H$34:$H$64,"700000",AD$34:AD$64)-SUMIF($H$34:$H$64,"TOTDEPTEXP",AD$34:AD$64)</f>
        <v>0</v>
      </c>
      <c r="AE66" s="15"/>
      <c r="AF66" s="19"/>
      <c r="AG66" s="124">
        <f>SUMIF($H$34:$H$64,"600000",AG$34:AG$64)+SUMIF($H$34:$H$64,"700000",AG$34:AG$64)-SUMIF($H$34:$H$64,"TOTDEPTEXP",AG$34:AG$64)</f>
        <v>0</v>
      </c>
      <c r="AH66" s="15"/>
      <c r="AI66" s="19"/>
    </row>
    <row r="67" spans="1:35" x14ac:dyDescent="0.2">
      <c r="A67" s="1" t="s">
        <v>105</v>
      </c>
      <c r="C67" s="24" t="s">
        <v>101</v>
      </c>
      <c r="D67" s="1" t="s">
        <v>106</v>
      </c>
      <c r="F67" s="1" t="s">
        <v>98</v>
      </c>
      <c r="N67" s="24" t="e">
        <f ca="1">N64&amp;" - Check"</f>
        <v>#NAME?</v>
      </c>
      <c r="O67" s="124">
        <f t="shared" ref="O67:AA67" si="17">SUMIF($H$34:$H$64,"KPI_GP",O$34:O$64)-SUMIF($H$34:$H$64,"TOTDEPTEXP",O$34:O$64)-SUMIF($H$34:$H$64,"TOTDEPTPL",O$34:O$64)</f>
        <v>0</v>
      </c>
      <c r="P67" s="124">
        <f t="shared" si="17"/>
        <v>0</v>
      </c>
      <c r="Q67" s="124">
        <f t="shared" si="17"/>
        <v>0</v>
      </c>
      <c r="R67" s="124">
        <f t="shared" si="17"/>
        <v>0</v>
      </c>
      <c r="S67" s="124">
        <f t="shared" si="17"/>
        <v>0</v>
      </c>
      <c r="T67" s="124">
        <f t="shared" si="17"/>
        <v>0</v>
      </c>
      <c r="U67" s="124">
        <f t="shared" si="17"/>
        <v>0</v>
      </c>
      <c r="V67" s="124">
        <f t="shared" si="17"/>
        <v>0</v>
      </c>
      <c r="W67" s="124">
        <f t="shared" si="17"/>
        <v>0</v>
      </c>
      <c r="X67" s="124">
        <f t="shared" si="17"/>
        <v>0</v>
      </c>
      <c r="Y67" s="124">
        <f t="shared" si="17"/>
        <v>0</v>
      </c>
      <c r="Z67" s="124">
        <f t="shared" si="17"/>
        <v>0</v>
      </c>
      <c r="AA67" s="124" t="e">
        <f t="shared" ca="1" si="17"/>
        <v>#NAME?</v>
      </c>
      <c r="AB67" s="15"/>
      <c r="AD67" s="124">
        <f>SUMIF($H$34:$H$64,"KPI_GP",AD$34:AD$64)-SUMIF($H$34:$H$64,"TOTDEPTEXP",AD$34:AD$64)-SUMIF($H$34:$H$64,"TOTDEPTPL",AD$34:AD$64)</f>
        <v>0</v>
      </c>
      <c r="AE67" s="15"/>
      <c r="AF67" s="19"/>
      <c r="AG67" s="124">
        <f>SUMIF($H$34:$H$64,"KPI_GP",AG$34:AG$64)-SUMIF($H$34:$H$64,"TOTDEPTEXP",AG$34:AG$64)-SUMIF($H$34:$H$64,"TOTDEPTPL",AG$34:AG$64)</f>
        <v>0</v>
      </c>
      <c r="AH67" s="15"/>
      <c r="AI67" s="19"/>
    </row>
    <row r="68" spans="1:35" x14ac:dyDescent="0.2">
      <c r="A68" s="1" t="s">
        <v>108</v>
      </c>
      <c r="C68" s="23" t="s">
        <v>101</v>
      </c>
      <c r="D68" s="1" t="s">
        <v>106</v>
      </c>
      <c r="F68" s="1" t="s">
        <v>98</v>
      </c>
    </row>
    <row r="69" spans="1:35" x14ac:dyDescent="0.2">
      <c r="A69" s="1" t="s">
        <v>108</v>
      </c>
      <c r="C69" s="135" t="s">
        <v>101</v>
      </c>
      <c r="D69" s="1" t="s">
        <v>107</v>
      </c>
      <c r="F69" s="1" t="s">
        <v>99</v>
      </c>
      <c r="O69" s="147"/>
      <c r="P69" s="147"/>
      <c r="Q69" s="147"/>
      <c r="R69" s="147"/>
      <c r="S69" s="147"/>
      <c r="T69" s="147"/>
      <c r="U69" s="147"/>
      <c r="V69" s="147"/>
      <c r="W69" s="147"/>
      <c r="X69" s="147"/>
      <c r="Y69" s="147"/>
      <c r="Z69" s="147"/>
      <c r="AA69" s="147"/>
      <c r="AD69" s="147"/>
      <c r="AG69" s="147"/>
    </row>
    <row r="71" spans="1:35" x14ac:dyDescent="0.2">
      <c r="C71" s="23"/>
      <c r="O71" s="147"/>
      <c r="P71" s="147"/>
      <c r="Q71" s="147"/>
      <c r="R71" s="147"/>
      <c r="S71" s="147"/>
      <c r="T71" s="147"/>
      <c r="U71" s="147"/>
      <c r="V71" s="147"/>
      <c r="W71" s="147"/>
      <c r="X71" s="147"/>
      <c r="Y71" s="147"/>
      <c r="Z71" s="147"/>
      <c r="AA71" s="147"/>
      <c r="AD71" s="147"/>
      <c r="AG71" s="147"/>
    </row>
    <row r="72" spans="1:35" x14ac:dyDescent="0.2">
      <c r="A72" s="4" t="e">
        <f ca="1">_xll.EVDRE($B$1,A75:B82,A85:B91)</f>
        <v>#NAME?</v>
      </c>
    </row>
    <row r="74" spans="1:35" x14ac:dyDescent="0.2">
      <c r="A74" s="3" t="s">
        <v>0</v>
      </c>
      <c r="B74" s="5" t="s">
        <v>1</v>
      </c>
      <c r="H74" s="11"/>
      <c r="J74" s="1"/>
    </row>
    <row r="75" spans="1:35" x14ac:dyDescent="0.2">
      <c r="A75" s="6" t="s">
        <v>2</v>
      </c>
      <c r="B75" s="7" t="e">
        <f ca="1">_xll.EVRNG($B$2:$B$10)</f>
        <v>#NAME?</v>
      </c>
      <c r="H75" s="11"/>
      <c r="J75" s="1"/>
    </row>
    <row r="76" spans="1:35" x14ac:dyDescent="0.2">
      <c r="A76" s="6" t="s">
        <v>3</v>
      </c>
      <c r="B76" s="7" t="e">
        <f ca="1">_xll.EVRNG(O16:AI18)</f>
        <v>#NAME?</v>
      </c>
      <c r="H76" s="11"/>
      <c r="J76" s="1"/>
    </row>
    <row r="77" spans="1:35" x14ac:dyDescent="0.2">
      <c r="A77" s="6" t="s">
        <v>4</v>
      </c>
      <c r="B77" s="7" t="e">
        <f ca="1">_xll.EVRNG(H52:H53,H55:H56,H59:H60)</f>
        <v>#NAME?</v>
      </c>
      <c r="H77" s="11"/>
      <c r="J77" s="1"/>
    </row>
    <row r="78" spans="1:35" x14ac:dyDescent="0.2">
      <c r="A78" s="6" t="s">
        <v>5</v>
      </c>
      <c r="B78" s="7"/>
      <c r="H78" s="11"/>
      <c r="J78" s="1"/>
    </row>
    <row r="79" spans="1:35" x14ac:dyDescent="0.2">
      <c r="A79" s="6" t="s">
        <v>6</v>
      </c>
      <c r="B79" s="7"/>
      <c r="H79" s="11"/>
      <c r="J79" s="1"/>
    </row>
    <row r="80" spans="1:35" x14ac:dyDescent="0.2">
      <c r="A80" s="6" t="s">
        <v>7</v>
      </c>
      <c r="B80" s="7" t="e">
        <f ca="1">_xll.EVRNG(A94:F100)</f>
        <v>#NAME?</v>
      </c>
      <c r="H80" s="11"/>
      <c r="J80" s="1"/>
    </row>
    <row r="81" spans="1:10" x14ac:dyDescent="0.2">
      <c r="A81" s="6" t="s">
        <v>47</v>
      </c>
      <c r="B81" s="7" t="e">
        <f ca="1">_xll.EVRNG($A$117:$B$138)</f>
        <v>#NAME?</v>
      </c>
      <c r="H81" s="11"/>
      <c r="J81" s="1"/>
    </row>
    <row r="82" spans="1:10" x14ac:dyDescent="0.2">
      <c r="A82" s="6" t="s">
        <v>8</v>
      </c>
      <c r="B82" s="7"/>
      <c r="H82" s="11"/>
      <c r="J82" s="1"/>
    </row>
    <row r="83" spans="1:10" x14ac:dyDescent="0.2">
      <c r="H83" s="11"/>
      <c r="J83" s="1"/>
    </row>
    <row r="84" spans="1:10" x14ac:dyDescent="0.2">
      <c r="A84" s="3" t="s">
        <v>9</v>
      </c>
      <c r="B84" s="5" t="s">
        <v>10</v>
      </c>
      <c r="H84" s="11"/>
      <c r="J84" s="1"/>
    </row>
    <row r="85" spans="1:10" x14ac:dyDescent="0.2">
      <c r="A85" s="6" t="s">
        <v>11</v>
      </c>
      <c r="B85" s="7" t="s">
        <v>21</v>
      </c>
      <c r="H85" s="11"/>
      <c r="J85" s="1"/>
    </row>
    <row r="86" spans="1:10" x14ac:dyDescent="0.2">
      <c r="A86" s="6" t="s">
        <v>12</v>
      </c>
      <c r="B86" s="7" t="s">
        <v>22</v>
      </c>
      <c r="H86" s="11"/>
      <c r="J86" s="1"/>
    </row>
    <row r="87" spans="1:10" x14ac:dyDescent="0.2">
      <c r="A87" s="6" t="s">
        <v>13</v>
      </c>
      <c r="B87" s="7" t="s">
        <v>737</v>
      </c>
      <c r="H87" s="11"/>
      <c r="J87" s="1"/>
    </row>
    <row r="88" spans="1:10" x14ac:dyDescent="0.2">
      <c r="A88" s="6" t="s">
        <v>14</v>
      </c>
      <c r="B88" s="7"/>
      <c r="H88" s="11"/>
      <c r="J88" s="1"/>
    </row>
    <row r="89" spans="1:10" x14ac:dyDescent="0.2">
      <c r="A89" s="6" t="s">
        <v>15</v>
      </c>
      <c r="B89" s="7"/>
      <c r="G89" s="13"/>
      <c r="H89" s="11"/>
      <c r="J89" s="1"/>
    </row>
    <row r="90" spans="1:10" x14ac:dyDescent="0.2">
      <c r="A90" s="6" t="s">
        <v>16</v>
      </c>
      <c r="B90" s="7" t="s">
        <v>78</v>
      </c>
      <c r="H90" s="11"/>
      <c r="J90" s="1"/>
    </row>
    <row r="91" spans="1:10" x14ac:dyDescent="0.2">
      <c r="A91" s="6" t="s">
        <v>17</v>
      </c>
      <c r="B91" s="7"/>
      <c r="H91" s="11"/>
      <c r="J91" s="1"/>
    </row>
    <row r="92" spans="1:10" x14ac:dyDescent="0.2">
      <c r="H92" s="11"/>
      <c r="J92" s="1"/>
    </row>
    <row r="93" spans="1:10" x14ac:dyDescent="0.2">
      <c r="A93" s="20" t="s">
        <v>92</v>
      </c>
      <c r="B93" s="21" t="s">
        <v>93</v>
      </c>
      <c r="C93" s="21" t="s">
        <v>94</v>
      </c>
      <c r="D93" s="21" t="s">
        <v>95</v>
      </c>
      <c r="E93" s="21" t="s">
        <v>96</v>
      </c>
      <c r="F93" s="22" t="s">
        <v>97</v>
      </c>
      <c r="H93" s="11"/>
      <c r="J93" s="1"/>
    </row>
    <row r="94" spans="1:10" x14ac:dyDescent="0.2">
      <c r="H94" s="11"/>
      <c r="J94" s="1"/>
    </row>
    <row r="95" spans="1:10" x14ac:dyDescent="0.2">
      <c r="A95" s="1" t="s">
        <v>108</v>
      </c>
      <c r="C95" s="24" t="s">
        <v>101</v>
      </c>
      <c r="D95" s="1" t="s">
        <v>106</v>
      </c>
      <c r="F95" s="1" t="s">
        <v>98</v>
      </c>
      <c r="H95" s="11"/>
      <c r="J95" s="1"/>
    </row>
    <row r="96" spans="1:10" x14ac:dyDescent="0.2">
      <c r="A96" s="1" t="s">
        <v>100</v>
      </c>
      <c r="C96" s="8" t="s">
        <v>101</v>
      </c>
      <c r="D96" s="1" t="s">
        <v>106</v>
      </c>
      <c r="F96" s="1" t="s">
        <v>98</v>
      </c>
      <c r="H96" s="11"/>
      <c r="J96" s="1"/>
    </row>
    <row r="97" spans="1:7" x14ac:dyDescent="0.2">
      <c r="A97" s="1" t="s">
        <v>109</v>
      </c>
      <c r="C97" s="23" t="s">
        <v>101</v>
      </c>
      <c r="D97" s="1" t="s">
        <v>106</v>
      </c>
      <c r="F97" s="1" t="s">
        <v>98</v>
      </c>
    </row>
    <row r="98" spans="1:7" x14ac:dyDescent="0.2">
      <c r="A98" s="1" t="s">
        <v>109</v>
      </c>
      <c r="C98" s="135" t="s">
        <v>101</v>
      </c>
      <c r="D98" s="1" t="s">
        <v>107</v>
      </c>
      <c r="F98" s="1" t="s">
        <v>99</v>
      </c>
    </row>
    <row r="99" spans="1:7" x14ac:dyDescent="0.2">
      <c r="A99" s="1" t="s">
        <v>110</v>
      </c>
      <c r="C99" s="23" t="s">
        <v>101</v>
      </c>
      <c r="D99" s="1" t="s">
        <v>106</v>
      </c>
      <c r="F99" s="1" t="s">
        <v>98</v>
      </c>
    </row>
    <row r="100" spans="1:7" x14ac:dyDescent="0.2">
      <c r="A100" s="1" t="s">
        <v>110</v>
      </c>
      <c r="C100" s="27" t="s">
        <v>101</v>
      </c>
      <c r="D100" s="1" t="s">
        <v>107</v>
      </c>
      <c r="F100" s="1" t="s">
        <v>99</v>
      </c>
    </row>
    <row r="101" spans="1:7" x14ac:dyDescent="0.2">
      <c r="C101" s="23"/>
    </row>
    <row r="103" spans="1:7" x14ac:dyDescent="0.2">
      <c r="A103" s="4" t="e">
        <f ca="1">_xll.EVDRE($B$1,A106:B113)</f>
        <v>#NAME?</v>
      </c>
      <c r="B103" s="1" t="s">
        <v>736</v>
      </c>
      <c r="G103" s="13"/>
    </row>
    <row r="105" spans="1:7" x14ac:dyDescent="0.2">
      <c r="A105" s="3" t="s">
        <v>0</v>
      </c>
      <c r="B105" s="5" t="s">
        <v>1</v>
      </c>
    </row>
    <row r="106" spans="1:7" x14ac:dyDescent="0.2">
      <c r="A106" s="6" t="s">
        <v>2</v>
      </c>
      <c r="B106" s="7" t="e">
        <f ca="1">_xll.EVRNG($B$2:$B$10)</f>
        <v>#NAME?</v>
      </c>
    </row>
    <row r="107" spans="1:7" x14ac:dyDescent="0.2">
      <c r="A107" s="6" t="s">
        <v>3</v>
      </c>
      <c r="B107" s="7" t="e">
        <f ca="1">_xll.EVRNG(O16:AI18)</f>
        <v>#NAME?</v>
      </c>
    </row>
    <row r="108" spans="1:7" x14ac:dyDescent="0.2">
      <c r="A108" s="6" t="s">
        <v>4</v>
      </c>
      <c r="B108" s="7" t="e">
        <f ca="1">_xll.EVRNG(H61:H64)</f>
        <v>#NAME?</v>
      </c>
    </row>
    <row r="109" spans="1:7" x14ac:dyDescent="0.2">
      <c r="A109" s="6" t="s">
        <v>5</v>
      </c>
      <c r="B109" s="7"/>
      <c r="G109" s="13"/>
    </row>
    <row r="110" spans="1:7" x14ac:dyDescent="0.2">
      <c r="A110" s="6" t="s">
        <v>6</v>
      </c>
      <c r="B110" s="7"/>
    </row>
    <row r="111" spans="1:7" x14ac:dyDescent="0.2">
      <c r="A111" s="6" t="s">
        <v>7</v>
      </c>
      <c r="B111" s="7"/>
    </row>
    <row r="112" spans="1:7" x14ac:dyDescent="0.2">
      <c r="A112" s="6" t="s">
        <v>47</v>
      </c>
      <c r="B112" s="7" t="e">
        <f ca="1">_xll.EVRNG($A$117:$B$138)</f>
        <v>#NAME?</v>
      </c>
    </row>
    <row r="113" spans="1:2" x14ac:dyDescent="0.2">
      <c r="A113" s="6" t="s">
        <v>8</v>
      </c>
      <c r="B113" s="7"/>
    </row>
    <row r="116" spans="1:2" x14ac:dyDescent="0.2">
      <c r="A116" s="3" t="s">
        <v>23</v>
      </c>
      <c r="B116" s="5" t="s">
        <v>24</v>
      </c>
    </row>
    <row r="117" spans="1:2" x14ac:dyDescent="0.2">
      <c r="A117" s="6" t="s">
        <v>25</v>
      </c>
      <c r="B117" s="7"/>
    </row>
    <row r="118" spans="1:2" x14ac:dyDescent="0.2">
      <c r="A118" s="6" t="s">
        <v>26</v>
      </c>
      <c r="B118" s="7"/>
    </row>
    <row r="119" spans="1:2" x14ac:dyDescent="0.2">
      <c r="A119" s="6" t="s">
        <v>27</v>
      </c>
      <c r="B119" s="7"/>
    </row>
    <row r="120" spans="1:2" x14ac:dyDescent="0.2">
      <c r="A120" s="6" t="s">
        <v>28</v>
      </c>
      <c r="B120" s="7"/>
    </row>
    <row r="121" spans="1:2" x14ac:dyDescent="0.2">
      <c r="A121" s="6" t="s">
        <v>29</v>
      </c>
      <c r="B121" s="7"/>
    </row>
    <row r="122" spans="1:2" x14ac:dyDescent="0.2">
      <c r="A122" s="6" t="s">
        <v>30</v>
      </c>
      <c r="B122" s="7" t="s">
        <v>78</v>
      </c>
    </row>
    <row r="123" spans="1:2" x14ac:dyDescent="0.2">
      <c r="A123" s="6" t="s">
        <v>31</v>
      </c>
      <c r="B123" s="7" t="s">
        <v>78</v>
      </c>
    </row>
    <row r="124" spans="1:2" x14ac:dyDescent="0.2">
      <c r="A124" s="6" t="s">
        <v>32</v>
      </c>
      <c r="B124" s="7"/>
    </row>
    <row r="125" spans="1:2" x14ac:dyDescent="0.2">
      <c r="A125" s="6" t="s">
        <v>33</v>
      </c>
      <c r="B125" s="7"/>
    </row>
    <row r="126" spans="1:2" x14ac:dyDescent="0.2">
      <c r="A126" s="6" t="s">
        <v>34</v>
      </c>
      <c r="B126" s="7"/>
    </row>
    <row r="127" spans="1:2" x14ac:dyDescent="0.2">
      <c r="A127" s="6" t="s">
        <v>35</v>
      </c>
      <c r="B127" s="7"/>
    </row>
    <row r="128" spans="1:2" x14ac:dyDescent="0.2">
      <c r="A128" s="6" t="s">
        <v>36</v>
      </c>
      <c r="B128" s="7"/>
    </row>
    <row r="129" spans="1:34" x14ac:dyDescent="0.2">
      <c r="A129" s="6" t="s">
        <v>37</v>
      </c>
      <c r="B129" s="7"/>
    </row>
    <row r="130" spans="1:34" x14ac:dyDescent="0.2">
      <c r="A130" s="6" t="s">
        <v>38</v>
      </c>
      <c r="B130" s="7"/>
    </row>
    <row r="131" spans="1:34" x14ac:dyDescent="0.2">
      <c r="A131" s="6" t="s">
        <v>39</v>
      </c>
      <c r="B131" s="7"/>
    </row>
    <row r="132" spans="1:34" x14ac:dyDescent="0.2">
      <c r="A132" s="6" t="s">
        <v>40</v>
      </c>
      <c r="B132" s="7"/>
    </row>
    <row r="133" spans="1:34" x14ac:dyDescent="0.2">
      <c r="A133" s="6" t="s">
        <v>41</v>
      </c>
      <c r="B133" s="7"/>
    </row>
    <row r="134" spans="1:34" x14ac:dyDescent="0.2">
      <c r="A134" s="6" t="s">
        <v>42</v>
      </c>
      <c r="B134" s="7"/>
    </row>
    <row r="135" spans="1:34" x14ac:dyDescent="0.2">
      <c r="A135" s="6" t="s">
        <v>43</v>
      </c>
      <c r="B135" s="7"/>
    </row>
    <row r="136" spans="1:34" x14ac:dyDescent="0.2">
      <c r="A136" s="6" t="s">
        <v>44</v>
      </c>
      <c r="B136" s="7"/>
    </row>
    <row r="137" spans="1:34" x14ac:dyDescent="0.2">
      <c r="A137" s="6" t="s">
        <v>45</v>
      </c>
      <c r="B137" s="7"/>
      <c r="I137" s="72"/>
      <c r="J137" s="1"/>
      <c r="K137" s="72"/>
      <c r="L137" s="72"/>
      <c r="M137" s="72"/>
      <c r="O137" s="72"/>
      <c r="P137" s="72"/>
      <c r="Q137" s="72"/>
      <c r="R137" s="72"/>
      <c r="S137" s="72"/>
      <c r="T137" s="72"/>
      <c r="U137" s="72"/>
      <c r="V137" s="72"/>
      <c r="W137" s="72"/>
      <c r="X137" s="72"/>
      <c r="Y137" s="72"/>
      <c r="Z137" s="72"/>
      <c r="AA137" s="72"/>
      <c r="AD137" s="72"/>
      <c r="AF137" s="72"/>
      <c r="AH137" s="72"/>
    </row>
    <row r="138" spans="1:34" x14ac:dyDescent="0.2">
      <c r="A138" s="6" t="s">
        <v>46</v>
      </c>
      <c r="B138" s="7"/>
    </row>
    <row r="141" spans="1:34" x14ac:dyDescent="0.2">
      <c r="I141" s="72"/>
      <c r="J141" s="1"/>
      <c r="K141" s="72"/>
      <c r="L141" s="72"/>
      <c r="M141" s="72"/>
      <c r="O141" s="72"/>
      <c r="P141" s="72"/>
      <c r="Q141" s="72"/>
      <c r="R141" s="72"/>
      <c r="S141" s="72"/>
      <c r="T141" s="72"/>
      <c r="U141" s="72"/>
      <c r="V141" s="72"/>
      <c r="W141" s="72"/>
      <c r="X141" s="72"/>
      <c r="Y141" s="72"/>
      <c r="Z141" s="72"/>
      <c r="AA141" s="72"/>
      <c r="AD141" s="72"/>
      <c r="AF141" s="72"/>
      <c r="AH141" s="72"/>
    </row>
    <row r="155" spans="5:5" x14ac:dyDescent="0.2">
      <c r="E155" s="72"/>
    </row>
    <row r="159" spans="5:5" x14ac:dyDescent="0.2">
      <c r="E159" s="72"/>
    </row>
    <row r="188" spans="7:7" x14ac:dyDescent="0.2">
      <c r="G188" s="72"/>
    </row>
    <row r="192" spans="7:7" x14ac:dyDescent="0.2">
      <c r="G192" s="72"/>
    </row>
  </sheetData>
  <mergeCells count="2">
    <mergeCell ref="AD31:AE31"/>
    <mergeCell ref="AG31:AH31"/>
  </mergeCells>
  <dataValidations disablePrompts="1" count="2">
    <dataValidation type="list" allowBlank="1" sqref="B87 B58 B29" xr:uid="{00000000-0002-0000-3E00-000000000000}">
      <formula1>"SELF,ALL,BAS,DEP,BASMEMBERS,MEMBERS,NOEXPAND,GDEP"</formula1>
    </dataValidation>
    <dataValidation type="list" allowBlank="1" sqref="B57 B86 B28" xr:uid="{00000000-0002-0000-3E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81">
    <tabColor theme="9" tint="0.39997558519241921"/>
    <pageSetUpPr fitToPage="1"/>
  </sheetPr>
  <dimension ref="A1:AI192"/>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48" sqref="O48"/>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16384" width="9.1640625" style="1"/>
  </cols>
  <sheetData>
    <row r="1" spans="1:35" hidden="1" outlineLevel="1" x14ac:dyDescent="0.2">
      <c r="A1" s="8" t="s">
        <v>48</v>
      </c>
      <c r="B1" s="2" t="s">
        <v>49</v>
      </c>
      <c r="C1" s="8" t="s">
        <v>980</v>
      </c>
      <c r="I1" s="1"/>
      <c r="J1" s="1"/>
    </row>
    <row r="2" spans="1:35" hidden="1" outlineLevel="1" x14ac:dyDescent="0.2">
      <c r="A2" s="8" t="s">
        <v>22</v>
      </c>
      <c r="B2" s="12" t="s">
        <v>56</v>
      </c>
      <c r="C2" s="1" t="s">
        <v>981</v>
      </c>
      <c r="I2" s="1"/>
      <c r="J2" s="1"/>
    </row>
    <row r="3" spans="1:35" hidden="1" outlineLevel="1" x14ac:dyDescent="0.2">
      <c r="A3" s="8" t="s">
        <v>50</v>
      </c>
      <c r="B3" s="9" t="s">
        <v>979</v>
      </c>
      <c r="C3" s="1" t="s">
        <v>982</v>
      </c>
      <c r="I3" s="1"/>
      <c r="J3" s="1"/>
    </row>
    <row r="4" spans="1:35" hidden="1" outlineLevel="1" x14ac:dyDescent="0.2">
      <c r="A4" s="8" t="s">
        <v>19</v>
      </c>
      <c r="B4" s="9" t="str">
        <f>SetUp!$D$6</f>
        <v>CURRENT</v>
      </c>
      <c r="C4" s="1" t="s">
        <v>960</v>
      </c>
      <c r="E4" s="46">
        <v>20250100</v>
      </c>
      <c r="F4" s="46">
        <v>20250100</v>
      </c>
    </row>
    <row r="5" spans="1:35" hidden="1" outlineLevel="1" x14ac:dyDescent="0.2">
      <c r="A5" s="8" t="s">
        <v>51</v>
      </c>
      <c r="B5" s="12" t="s">
        <v>59</v>
      </c>
      <c r="C5" s="1" t="s">
        <v>59</v>
      </c>
    </row>
    <row r="6" spans="1:35" hidden="1" outlineLevel="1" x14ac:dyDescent="0.2">
      <c r="A6" s="8" t="s">
        <v>52</v>
      </c>
      <c r="B6" s="12" t="s">
        <v>365</v>
      </c>
      <c r="C6" s="1" t="s">
        <v>1240</v>
      </c>
      <c r="E6" s="46" t="s">
        <v>1246</v>
      </c>
      <c r="F6" s="1" t="s">
        <v>278</v>
      </c>
    </row>
    <row r="7" spans="1:35" hidden="1" outlineLevel="1" x14ac:dyDescent="0.2">
      <c r="A7" s="8" t="s">
        <v>53</v>
      </c>
      <c r="B7" s="12" t="s">
        <v>61</v>
      </c>
      <c r="C7" s="1" t="s">
        <v>984</v>
      </c>
    </row>
    <row r="8" spans="1:35" hidden="1" outlineLevel="1" x14ac:dyDescent="0.2">
      <c r="A8" s="8" t="s">
        <v>20</v>
      </c>
      <c r="B8" s="12" t="s">
        <v>63</v>
      </c>
      <c r="C8" s="1" t="s">
        <v>985</v>
      </c>
    </row>
    <row r="9" spans="1:35" hidden="1" outlineLevel="1" x14ac:dyDescent="0.2">
      <c r="A9" s="8" t="s">
        <v>54</v>
      </c>
      <c r="B9" s="9" t="str">
        <f>SetUp!$D$10</f>
        <v>LC</v>
      </c>
      <c r="C9" s="1" t="s">
        <v>986</v>
      </c>
    </row>
    <row r="10" spans="1:35" hidden="1" outlineLevel="1" x14ac:dyDescent="0.2">
      <c r="A10" s="8" t="s">
        <v>18</v>
      </c>
      <c r="B10" s="9" t="str">
        <f>SetUp!$D$7</f>
        <v>2024.TOTAL</v>
      </c>
      <c r="C10" s="1" t="s">
        <v>987</v>
      </c>
      <c r="D10" s="212" t="s">
        <v>988</v>
      </c>
    </row>
    <row r="11" spans="1:35" hidden="1" outlineLevel="1" x14ac:dyDescent="0.2">
      <c r="B11" s="8"/>
      <c r="M11" s="46" t="str">
        <f>IF(LEFT(SetUp!$D$6,3)="ALT","Y","N")</f>
        <v>N</v>
      </c>
      <c r="N11" s="1" t="s">
        <v>800</v>
      </c>
      <c r="O11" s="2" t="s">
        <v>682</v>
      </c>
      <c r="P11" s="2" t="s">
        <v>682</v>
      </c>
      <c r="Q11" s="2" t="s">
        <v>682</v>
      </c>
      <c r="R11" s="2" t="s">
        <v>682</v>
      </c>
      <c r="S11" s="2" t="s">
        <v>682</v>
      </c>
      <c r="T11" s="2" t="s">
        <v>682</v>
      </c>
      <c r="U11" s="2" t="s">
        <v>682</v>
      </c>
      <c r="V11" s="2" t="s">
        <v>682</v>
      </c>
      <c r="W11" s="2" t="s">
        <v>682</v>
      </c>
      <c r="X11" s="2" t="s">
        <v>682</v>
      </c>
      <c r="Y11" s="2" t="s">
        <v>682</v>
      </c>
      <c r="Z11" s="2" t="s">
        <v>682</v>
      </c>
      <c r="AA11" s="2" t="str">
        <f>IF(SetUp!$O$1=TRUE,"TRAILING12",IF(AA17="CURRENT","ROLLINGFORECAST","PERIODIC"))</f>
        <v>PERIODIC</v>
      </c>
    </row>
    <row r="12" spans="1:35" hidden="1" outlineLevel="1" x14ac:dyDescent="0.2">
      <c r="A12" s="1" t="s">
        <v>115</v>
      </c>
      <c r="B12" s="46">
        <v>2024</v>
      </c>
      <c r="M12" s="11"/>
      <c r="N12" s="1" t="s">
        <v>597</v>
      </c>
      <c r="O12" s="213" t="s">
        <v>78</v>
      </c>
      <c r="P12" s="213" t="s">
        <v>78</v>
      </c>
      <c r="Q12" s="213" t="s">
        <v>78</v>
      </c>
      <c r="R12" s="213" t="s">
        <v>78</v>
      </c>
      <c r="S12" s="213" t="s">
        <v>78</v>
      </c>
      <c r="T12" s="213" t="s">
        <v>78</v>
      </c>
      <c r="U12" s="213" t="s">
        <v>78</v>
      </c>
      <c r="V12" s="213" t="s">
        <v>78</v>
      </c>
      <c r="W12" s="213" t="s">
        <v>78</v>
      </c>
      <c r="X12" s="213" t="s">
        <v>78</v>
      </c>
      <c r="Y12" s="213" t="s">
        <v>78</v>
      </c>
      <c r="Z12" s="213" t="s">
        <v>78</v>
      </c>
      <c r="AA12" s="213"/>
      <c r="AD12" s="213"/>
      <c r="AG12" s="213"/>
    </row>
    <row r="13" spans="1:35" hidden="1" outlineLevel="1" x14ac:dyDescent="0.2">
      <c r="A13" s="1" t="s">
        <v>602</v>
      </c>
      <c r="B13" s="46">
        <v>2024</v>
      </c>
      <c r="M13" s="11"/>
      <c r="N13" s="1" t="s">
        <v>598</v>
      </c>
      <c r="O13" s="53">
        <v>20240100</v>
      </c>
      <c r="P13" s="53">
        <v>20240200</v>
      </c>
      <c r="Q13" s="53">
        <v>20240300</v>
      </c>
      <c r="R13" s="53">
        <v>20240400</v>
      </c>
      <c r="S13" s="53">
        <v>20240500</v>
      </c>
      <c r="T13" s="53">
        <v>20240600</v>
      </c>
      <c r="U13" s="53">
        <v>20240700</v>
      </c>
      <c r="V13" s="53">
        <v>20240800</v>
      </c>
      <c r="W13" s="53">
        <v>20240900</v>
      </c>
      <c r="X13" s="53">
        <v>20241000</v>
      </c>
      <c r="Y13" s="53">
        <v>20241100</v>
      </c>
      <c r="Z13" s="53">
        <v>20241200</v>
      </c>
      <c r="AA13" s="53">
        <v>10000193</v>
      </c>
      <c r="AD13" s="53">
        <v>10000193</v>
      </c>
      <c r="AG13" s="53">
        <v>10000183</v>
      </c>
    </row>
    <row r="14" spans="1:35" hidden="1" outlineLevel="1" x14ac:dyDescent="0.2">
      <c r="A14" s="4" t="s">
        <v>989</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s">
        <v>990</v>
      </c>
      <c r="P16" s="2" t="s">
        <v>991</v>
      </c>
      <c r="Q16" s="2" t="s">
        <v>992</v>
      </c>
      <c r="R16" s="2" t="s">
        <v>993</v>
      </c>
      <c r="S16" s="2" t="s">
        <v>994</v>
      </c>
      <c r="T16" s="2" t="s">
        <v>995</v>
      </c>
      <c r="U16" s="2" t="s">
        <v>996</v>
      </c>
      <c r="V16" s="2" t="s">
        <v>997</v>
      </c>
      <c r="W16" s="2" t="s">
        <v>998</v>
      </c>
      <c r="X16" s="2" t="s">
        <v>999</v>
      </c>
      <c r="Y16" s="2" t="s">
        <v>1000</v>
      </c>
      <c r="Z16" s="2" t="str">
        <f>IF(SetUp!$O$1=TRUE,SetUp!$Q$6,IF($D$10="FY",LEFT($B$10,6)&amp;"."&amp;Z15,$B$12&amp;"."&amp;Z14))</f>
        <v>2024.DEC</v>
      </c>
      <c r="AA16" s="2" t="str">
        <f>IF($D$10="FY",LEFT($B$10,6)&amp;"."&amp;AA15,$B$12&amp;"."&amp;AA14)</f>
        <v>2024.TOTAL</v>
      </c>
      <c r="AB16" s="10"/>
      <c r="AC16" s="10"/>
      <c r="AD16" s="2" t="str">
        <f>IF(SetUp!$O$1=TRUE,SetUp!$Q$6,SetUp!$G$7)</f>
        <v>2024.TOTAL</v>
      </c>
      <c r="AE16" s="10"/>
      <c r="AF16" s="10"/>
      <c r="AG16" s="2" t="s">
        <v>955</v>
      </c>
      <c r="AH16" s="10"/>
      <c r="AI16" s="10"/>
    </row>
    <row r="17" spans="1:35" hidden="1" outlineLevel="1" x14ac:dyDescent="0.2">
      <c r="A17" s="6" t="s">
        <v>2</v>
      </c>
      <c r="B17" s="14" t="s">
        <v>1247</v>
      </c>
      <c r="M17" s="11"/>
      <c r="N17" s="1" t="s">
        <v>19</v>
      </c>
      <c r="O17" s="2" t="s">
        <v>682</v>
      </c>
      <c r="P17" s="2" t="s">
        <v>682</v>
      </c>
      <c r="Q17" s="2" t="s">
        <v>682</v>
      </c>
      <c r="R17" s="2" t="s">
        <v>682</v>
      </c>
      <c r="S17" s="2" t="s">
        <v>682</v>
      </c>
      <c r="T17" s="2" t="s">
        <v>682</v>
      </c>
      <c r="U17" s="2" t="s">
        <v>682</v>
      </c>
      <c r="V17" s="2" t="s">
        <v>682</v>
      </c>
      <c r="W17" s="2" t="s">
        <v>682</v>
      </c>
      <c r="X17" s="2" t="s">
        <v>682</v>
      </c>
      <c r="Y17" s="2" t="s">
        <v>682</v>
      </c>
      <c r="Z17" s="2" t="s">
        <v>682</v>
      </c>
      <c r="AA17" s="2" t="str">
        <f>Z17</f>
        <v>ACTUAL_CON</v>
      </c>
      <c r="AB17" s="10"/>
      <c r="AC17" s="10"/>
      <c r="AD17" s="2" t="str">
        <f>SetUp!$G$6</f>
        <v>BUDGET</v>
      </c>
      <c r="AE17" s="10"/>
      <c r="AF17" s="10"/>
      <c r="AG17" s="2" t="str">
        <f>SetUp!$J$6</f>
        <v>ACTUAL_CON</v>
      </c>
      <c r="AH17" s="10"/>
      <c r="AI17" s="10"/>
    </row>
    <row r="18" spans="1:35" hidden="1" outlineLevel="1" x14ac:dyDescent="0.2">
      <c r="A18" s="6" t="s">
        <v>3</v>
      </c>
      <c r="B18" s="14" t="s">
        <v>1248</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str">
        <f>IF(SetUp!$O$1=TRUE,"TRAILING12",IF(AD17="CURRENT","ROLLINGFORECAST","PERIODIC"))</f>
        <v>PERIODIC</v>
      </c>
      <c r="AE18" s="10"/>
      <c r="AF18" s="10"/>
      <c r="AG18" s="2" t="str">
        <f>IF(SetUp!$O$1=TRUE,"TRAILING12",IF(AG17="CURRENT","ROLLINGFORECAST","PERIODIC"))</f>
        <v>PERIODIC</v>
      </c>
      <c r="AH18" s="10"/>
      <c r="AI18" s="10"/>
    </row>
    <row r="19" spans="1:35" hidden="1" outlineLevel="1" x14ac:dyDescent="0.2">
      <c r="A19" s="6" t="s">
        <v>4</v>
      </c>
      <c r="B19" s="14" t="s">
        <v>1249</v>
      </c>
      <c r="G19" s="16" t="str">
        <f>$B$6</f>
        <v>D_TELCOM</v>
      </c>
      <c r="H19" s="16">
        <v>400000</v>
      </c>
      <c r="I19" s="17"/>
      <c r="J19" s="17"/>
      <c r="K19" s="16"/>
      <c r="L19" s="16"/>
      <c r="M19" s="16"/>
      <c r="N19" s="16" t="s">
        <v>1001</v>
      </c>
      <c r="O19" s="18">
        <v>0</v>
      </c>
      <c r="P19" s="18">
        <v>0</v>
      </c>
      <c r="Q19" s="18">
        <v>0</v>
      </c>
      <c r="R19" s="18">
        <v>0</v>
      </c>
      <c r="S19" s="18">
        <v>0</v>
      </c>
      <c r="T19" s="18">
        <v>0</v>
      </c>
      <c r="U19" s="18">
        <v>0</v>
      </c>
      <c r="V19" s="18">
        <v>0</v>
      </c>
      <c r="W19" s="18">
        <v>0</v>
      </c>
      <c r="X19" s="18">
        <v>0</v>
      </c>
      <c r="Y19" s="18">
        <v>0</v>
      </c>
      <c r="Z19" s="18">
        <v>0</v>
      </c>
      <c r="AA19" s="18">
        <f>SUM(O19:Z19)</f>
        <v>0</v>
      </c>
      <c r="AB19" s="16"/>
      <c r="AC19" s="16"/>
      <c r="AD19" s="18">
        <v>0</v>
      </c>
      <c r="AE19" s="16"/>
      <c r="AF19" s="16"/>
      <c r="AG19" s="18">
        <v>0</v>
      </c>
      <c r="AH19" s="16"/>
      <c r="AI19" s="16"/>
    </row>
    <row r="20" spans="1:35" hidden="1" outlineLevel="1" x14ac:dyDescent="0.2">
      <c r="A20" s="6" t="s">
        <v>5</v>
      </c>
      <c r="B20" s="7"/>
      <c r="I20" s="1"/>
      <c r="J20" s="1"/>
    </row>
    <row r="21" spans="1:35" hidden="1" outlineLevel="1" x14ac:dyDescent="0.2">
      <c r="A21" s="6" t="s">
        <v>6</v>
      </c>
      <c r="B21" s="7"/>
      <c r="I21" s="1"/>
      <c r="J21" s="1"/>
    </row>
    <row r="22" spans="1:35" hidden="1" outlineLevel="1" x14ac:dyDescent="0.2">
      <c r="A22" s="6" t="s">
        <v>7</v>
      </c>
      <c r="B22" s="14" t="s">
        <v>1250</v>
      </c>
      <c r="I22" s="1"/>
      <c r="J22" s="1"/>
    </row>
    <row r="23" spans="1:35" hidden="1" outlineLevel="1" x14ac:dyDescent="0.2">
      <c r="A23" s="6" t="s">
        <v>47</v>
      </c>
      <c r="B23" s="14" t="s">
        <v>1251</v>
      </c>
      <c r="K23" s="53"/>
      <c r="L23" s="53"/>
      <c r="M23" s="53"/>
    </row>
    <row r="24" spans="1:35" hidden="1" outlineLevel="1" x14ac:dyDescent="0.2">
      <c r="A24" s="6" t="s">
        <v>8</v>
      </c>
      <c r="B24" s="7"/>
    </row>
    <row r="25" spans="1:35" collapsed="1" x14ac:dyDescent="0.2"/>
    <row r="26" spans="1:35" ht="23" x14ac:dyDescent="0.25">
      <c r="A26" s="3" t="s">
        <v>9</v>
      </c>
      <c r="B26" s="5" t="s">
        <v>10</v>
      </c>
      <c r="N26" s="61" t="s">
        <v>982</v>
      </c>
    </row>
    <row r="27" spans="1:35" ht="18" x14ac:dyDescent="0.2">
      <c r="A27" s="6" t="s">
        <v>11</v>
      </c>
      <c r="B27" s="7" t="s">
        <v>21</v>
      </c>
      <c r="N27" s="66" t="s">
        <v>1252</v>
      </c>
    </row>
    <row r="28" spans="1:35" ht="16" x14ac:dyDescent="0.2">
      <c r="A28" s="6" t="s">
        <v>12</v>
      </c>
      <c r="B28" s="7" t="s">
        <v>22</v>
      </c>
      <c r="N28" s="67" t="s">
        <v>1002</v>
      </c>
    </row>
    <row r="29" spans="1:35" ht="15" customHeight="1" x14ac:dyDescent="0.2">
      <c r="A29" s="6" t="s">
        <v>13</v>
      </c>
      <c r="B29" s="7" t="str">
        <f>"DEP(410000) AND "&amp;$E$6&amp;"=Y,400000"</f>
        <v>DEP(410000) AND D1131=Y,400000</v>
      </c>
      <c r="N29" s="67" t="s">
        <v>986</v>
      </c>
    </row>
    <row r="30" spans="1:35"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row>
    <row r="31" spans="1:35" x14ac:dyDescent="0.2">
      <c r="A31" s="6" t="s">
        <v>15</v>
      </c>
      <c r="B31" s="7"/>
      <c r="G31" s="13"/>
      <c r="K31" s="11"/>
      <c r="L31" s="11"/>
      <c r="M31" s="11"/>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tr">
        <f>AA14</f>
        <v>TOTAL</v>
      </c>
      <c r="AB31" s="207"/>
      <c r="AD31" s="540" t="s">
        <v>987</v>
      </c>
      <c r="AE31" s="541"/>
      <c r="AF31" s="211" t="s">
        <v>631</v>
      </c>
      <c r="AG31" s="540" t="s">
        <v>1003</v>
      </c>
      <c r="AH31" s="541"/>
      <c r="AI31" s="211" t="s">
        <v>631</v>
      </c>
    </row>
    <row r="32" spans="1:35" s="232" customFormat="1" ht="30" customHeight="1" x14ac:dyDescent="0.2">
      <c r="A32" s="230" t="s">
        <v>16</v>
      </c>
      <c r="B32" s="231"/>
      <c r="G32" s="317"/>
      <c r="H32" s="233"/>
      <c r="I32" s="234"/>
      <c r="J32" s="234"/>
      <c r="K32" s="235" t="s">
        <v>117</v>
      </c>
      <c r="L32" s="235"/>
      <c r="M32" s="235"/>
      <c r="N32" s="236" t="s">
        <v>120</v>
      </c>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c r="AD32" s="237" t="s">
        <v>959</v>
      </c>
      <c r="AE32" s="238" t="s">
        <v>58</v>
      </c>
      <c r="AF32" s="237" t="s">
        <v>57</v>
      </c>
      <c r="AG32" s="237" t="s">
        <v>957</v>
      </c>
      <c r="AH32" s="238" t="s">
        <v>58</v>
      </c>
      <c r="AI32" s="237" t="s">
        <v>57</v>
      </c>
    </row>
    <row r="33" spans="1:35" x14ac:dyDescent="0.2">
      <c r="A33" s="6" t="s">
        <v>17</v>
      </c>
      <c r="B33" s="7"/>
      <c r="H33" s="1" t="s">
        <v>69</v>
      </c>
      <c r="I33" s="11" t="s">
        <v>1006</v>
      </c>
      <c r="J33" s="11" t="s">
        <v>78</v>
      </c>
      <c r="N33" s="37" t="s">
        <v>1013</v>
      </c>
      <c r="O33" s="38"/>
      <c r="P33" s="42"/>
      <c r="Q33" s="42"/>
      <c r="R33" s="42"/>
      <c r="S33" s="42"/>
      <c r="T33" s="42"/>
      <c r="U33" s="42"/>
      <c r="V33" s="42"/>
      <c r="W33" s="42"/>
      <c r="X33" s="42"/>
      <c r="Y33" s="42"/>
      <c r="Z33" s="42"/>
      <c r="AA33" s="42"/>
      <c r="AB33" s="39"/>
      <c r="AD33" s="38"/>
      <c r="AE33" s="42"/>
      <c r="AF33" s="39"/>
      <c r="AG33" s="38"/>
      <c r="AH33" s="42"/>
      <c r="AI33" s="39"/>
    </row>
    <row r="34" spans="1:35" x14ac:dyDescent="0.2">
      <c r="H34" s="10" t="s">
        <v>656</v>
      </c>
      <c r="I34" s="25" t="s">
        <v>1004</v>
      </c>
      <c r="J34" s="25" t="s">
        <v>1004</v>
      </c>
      <c r="K34" s="64" t="str">
        <f t="shared" ref="K34:K39" si="0">IF(AND(I34&gt;="T5"),"&gt;","")</f>
        <v/>
      </c>
      <c r="L34" s="24">
        <v>410100</v>
      </c>
      <c r="M34" s="24">
        <v>204010</v>
      </c>
      <c r="N34" s="24" t="s">
        <v>1253</v>
      </c>
      <c r="O34" s="282"/>
      <c r="P34" s="283"/>
      <c r="Q34" s="283"/>
      <c r="R34" s="283"/>
      <c r="S34" s="283"/>
      <c r="T34" s="283"/>
      <c r="U34" s="283"/>
      <c r="V34" s="283"/>
      <c r="W34" s="283"/>
      <c r="X34" s="283"/>
      <c r="Y34" s="283"/>
      <c r="Z34" s="283"/>
      <c r="AA34" s="283">
        <f t="shared" ref="AA34:AA39" si="1">IF($I34="B1","",SUM(O34:Z34))</f>
        <v>0</v>
      </c>
      <c r="AB34" s="284" t="str">
        <f t="shared" ref="AB34:AB39" si="2">IF(AA34=0,"",IFERROR(AA34/AA$19,""))</f>
        <v/>
      </c>
      <c r="AC34" s="300"/>
      <c r="AD34" s="283"/>
      <c r="AE34" s="284" t="str">
        <f t="shared" ref="AE34:AE39" si="3">IF(AD34=0,"",IFERROR(AD34/AD$19,""))</f>
        <v/>
      </c>
      <c r="AF34" s="285">
        <f t="shared" ref="AF34:AF39" si="4">IF(AND($AA34="",AD34=""),"",$AA34-AD34)</f>
        <v>0</v>
      </c>
      <c r="AG34" s="283"/>
      <c r="AH34" s="284" t="str">
        <f t="shared" ref="AH34:AH39" si="5">IF(AG34=0,"",IFERROR(AG34/AG$19,""))</f>
        <v/>
      </c>
      <c r="AI34" s="286">
        <f t="shared" ref="AI34:AI39" si="6">IF(AND($AA34="",AG34=""),"",$AA34-AG34)</f>
        <v>0</v>
      </c>
    </row>
    <row r="35" spans="1:35" x14ac:dyDescent="0.2">
      <c r="A35" s="20" t="s">
        <v>92</v>
      </c>
      <c r="B35" s="21" t="s">
        <v>93</v>
      </c>
      <c r="C35" s="21" t="s">
        <v>94</v>
      </c>
      <c r="D35" s="21" t="s">
        <v>95</v>
      </c>
      <c r="E35" s="21" t="s">
        <v>96</v>
      </c>
      <c r="F35" s="22" t="s">
        <v>97</v>
      </c>
      <c r="H35" s="10" t="s">
        <v>657</v>
      </c>
      <c r="I35" s="25" t="s">
        <v>1004</v>
      </c>
      <c r="J35" s="25" t="s">
        <v>1004</v>
      </c>
      <c r="K35" s="64" t="str">
        <f t="shared" si="0"/>
        <v/>
      </c>
      <c r="L35" s="24">
        <v>410200</v>
      </c>
      <c r="M35" s="24">
        <v>204012</v>
      </c>
      <c r="N35" s="24" t="s">
        <v>1254</v>
      </c>
      <c r="O35" s="282"/>
      <c r="P35" s="283"/>
      <c r="Q35" s="283"/>
      <c r="R35" s="283"/>
      <c r="S35" s="283"/>
      <c r="T35" s="283"/>
      <c r="U35" s="283"/>
      <c r="V35" s="283"/>
      <c r="W35" s="283"/>
      <c r="X35" s="283"/>
      <c r="Y35" s="283"/>
      <c r="Z35" s="283"/>
      <c r="AA35" s="283">
        <f t="shared" si="1"/>
        <v>0</v>
      </c>
      <c r="AB35" s="284" t="str">
        <f t="shared" si="2"/>
        <v/>
      </c>
      <c r="AC35" s="300"/>
      <c r="AD35" s="283"/>
      <c r="AE35" s="284" t="str">
        <f t="shared" si="3"/>
        <v/>
      </c>
      <c r="AF35" s="285">
        <f t="shared" si="4"/>
        <v>0</v>
      </c>
      <c r="AG35" s="283"/>
      <c r="AH35" s="284" t="str">
        <f t="shared" si="5"/>
        <v/>
      </c>
      <c r="AI35" s="286">
        <f t="shared" si="6"/>
        <v>0</v>
      </c>
    </row>
    <row r="36" spans="1:35" x14ac:dyDescent="0.2">
      <c r="H36" s="10" t="s">
        <v>658</v>
      </c>
      <c r="I36" s="25" t="s">
        <v>1004</v>
      </c>
      <c r="J36" s="25" t="s">
        <v>1004</v>
      </c>
      <c r="K36" s="64" t="str">
        <f t="shared" si="0"/>
        <v/>
      </c>
      <c r="L36" s="24">
        <v>410300</v>
      </c>
      <c r="M36" s="24">
        <v>204019</v>
      </c>
      <c r="N36" s="24" t="s">
        <v>1255</v>
      </c>
      <c r="O36" s="282"/>
      <c r="P36" s="283"/>
      <c r="Q36" s="283"/>
      <c r="R36" s="283"/>
      <c r="S36" s="283"/>
      <c r="T36" s="283"/>
      <c r="U36" s="283"/>
      <c r="V36" s="283"/>
      <c r="W36" s="283"/>
      <c r="X36" s="283"/>
      <c r="Y36" s="283"/>
      <c r="Z36" s="283"/>
      <c r="AA36" s="283">
        <f t="shared" si="1"/>
        <v>0</v>
      </c>
      <c r="AB36" s="284" t="str">
        <f t="shared" si="2"/>
        <v/>
      </c>
      <c r="AC36" s="300"/>
      <c r="AD36" s="283"/>
      <c r="AE36" s="284" t="str">
        <f t="shared" si="3"/>
        <v/>
      </c>
      <c r="AF36" s="285">
        <f t="shared" si="4"/>
        <v>0</v>
      </c>
      <c r="AG36" s="283"/>
      <c r="AH36" s="284" t="str">
        <f t="shared" si="5"/>
        <v/>
      </c>
      <c r="AI36" s="286">
        <f t="shared" si="6"/>
        <v>0</v>
      </c>
    </row>
    <row r="37" spans="1:35" x14ac:dyDescent="0.2">
      <c r="A37" s="1" t="s">
        <v>209</v>
      </c>
      <c r="B37" s="1" t="s">
        <v>21</v>
      </c>
      <c r="C37" s="70"/>
      <c r="D37" s="1" t="s">
        <v>590</v>
      </c>
      <c r="F37" s="1" t="s">
        <v>99</v>
      </c>
      <c r="H37" s="10" t="s">
        <v>659</v>
      </c>
      <c r="I37" s="25" t="s">
        <v>1004</v>
      </c>
      <c r="J37" s="25" t="s">
        <v>1004</v>
      </c>
      <c r="K37" s="64" t="str">
        <f t="shared" si="0"/>
        <v/>
      </c>
      <c r="L37" s="24">
        <v>410400</v>
      </c>
      <c r="M37" s="24">
        <v>204098</v>
      </c>
      <c r="N37" s="24" t="s">
        <v>1202</v>
      </c>
      <c r="O37" s="282"/>
      <c r="P37" s="283"/>
      <c r="Q37" s="283"/>
      <c r="R37" s="283"/>
      <c r="S37" s="283"/>
      <c r="T37" s="283"/>
      <c r="U37" s="283"/>
      <c r="V37" s="283"/>
      <c r="W37" s="283"/>
      <c r="X37" s="283"/>
      <c r="Y37" s="283"/>
      <c r="Z37" s="283"/>
      <c r="AA37" s="283">
        <f t="shared" si="1"/>
        <v>0</v>
      </c>
      <c r="AB37" s="284" t="str">
        <f t="shared" si="2"/>
        <v/>
      </c>
      <c r="AC37" s="300"/>
      <c r="AD37" s="283"/>
      <c r="AE37" s="284" t="str">
        <f t="shared" si="3"/>
        <v/>
      </c>
      <c r="AF37" s="285">
        <f t="shared" si="4"/>
        <v>0</v>
      </c>
      <c r="AG37" s="283"/>
      <c r="AH37" s="284" t="str">
        <f t="shared" si="5"/>
        <v/>
      </c>
      <c r="AI37" s="286">
        <f t="shared" si="6"/>
        <v>0</v>
      </c>
    </row>
    <row r="38" spans="1:35" x14ac:dyDescent="0.2">
      <c r="A38" s="1" t="s">
        <v>105</v>
      </c>
      <c r="C38" s="24" t="s">
        <v>101</v>
      </c>
      <c r="D38" s="1" t="s">
        <v>106</v>
      </c>
      <c r="F38" s="1" t="s">
        <v>98</v>
      </c>
      <c r="H38" s="10" t="s">
        <v>660</v>
      </c>
      <c r="I38" s="25" t="s">
        <v>1004</v>
      </c>
      <c r="J38" s="25" t="s">
        <v>1004</v>
      </c>
      <c r="K38" s="64" t="str">
        <f t="shared" si="0"/>
        <v/>
      </c>
      <c r="L38" s="24">
        <v>410500</v>
      </c>
      <c r="M38" s="24">
        <v>200529</v>
      </c>
      <c r="N38" s="24" t="s">
        <v>1256</v>
      </c>
      <c r="O38" s="295"/>
      <c r="P38" s="296"/>
      <c r="Q38" s="296"/>
      <c r="R38" s="296"/>
      <c r="S38" s="296"/>
      <c r="T38" s="296"/>
      <c r="U38" s="296"/>
      <c r="V38" s="296"/>
      <c r="W38" s="296"/>
      <c r="X38" s="296"/>
      <c r="Y38" s="296"/>
      <c r="Z38" s="296"/>
      <c r="AA38" s="296">
        <f t="shared" si="1"/>
        <v>0</v>
      </c>
      <c r="AB38" s="297" t="str">
        <f t="shared" si="2"/>
        <v/>
      </c>
      <c r="AC38" s="263"/>
      <c r="AD38" s="296"/>
      <c r="AE38" s="297" t="str">
        <f t="shared" si="3"/>
        <v/>
      </c>
      <c r="AF38" s="298">
        <f t="shared" si="4"/>
        <v>0</v>
      </c>
      <c r="AG38" s="296"/>
      <c r="AH38" s="297" t="str">
        <f t="shared" si="5"/>
        <v/>
      </c>
      <c r="AI38" s="299">
        <f t="shared" si="6"/>
        <v>0</v>
      </c>
    </row>
    <row r="39" spans="1:35" x14ac:dyDescent="0.2">
      <c r="A39" s="1" t="s">
        <v>108</v>
      </c>
      <c r="C39" s="23" t="s">
        <v>101</v>
      </c>
      <c r="D39" s="1" t="s">
        <v>106</v>
      </c>
      <c r="F39" s="1" t="s">
        <v>98</v>
      </c>
      <c r="H39" s="10" t="s">
        <v>280</v>
      </c>
      <c r="I39" s="447" t="s">
        <v>1007</v>
      </c>
      <c r="J39" s="447" t="s">
        <v>78</v>
      </c>
      <c r="K39" s="448" t="str">
        <f t="shared" si="0"/>
        <v/>
      </c>
      <c r="L39" s="151">
        <v>400000</v>
      </c>
      <c r="M39" s="151"/>
      <c r="N39" s="151" t="s">
        <v>1001</v>
      </c>
      <c r="O39" s="202"/>
      <c r="P39" s="120"/>
      <c r="Q39" s="120"/>
      <c r="R39" s="120"/>
      <c r="S39" s="120"/>
      <c r="T39" s="120"/>
      <c r="U39" s="120"/>
      <c r="V39" s="120"/>
      <c r="W39" s="120"/>
      <c r="X39" s="120"/>
      <c r="Y39" s="120"/>
      <c r="Z39" s="120"/>
      <c r="AA39" s="120">
        <f t="shared" si="1"/>
        <v>0</v>
      </c>
      <c r="AB39" s="121" t="str">
        <f t="shared" si="2"/>
        <v/>
      </c>
      <c r="AC39" s="123"/>
      <c r="AD39" s="120"/>
      <c r="AE39" s="121" t="str">
        <f t="shared" si="3"/>
        <v/>
      </c>
      <c r="AF39" s="122">
        <f t="shared" si="4"/>
        <v>0</v>
      </c>
      <c r="AG39" s="120"/>
      <c r="AH39" s="121" t="str">
        <f t="shared" si="5"/>
        <v/>
      </c>
      <c r="AI39" s="264">
        <f t="shared" si="6"/>
        <v>0</v>
      </c>
    </row>
    <row r="40" spans="1:35" x14ac:dyDescent="0.2">
      <c r="A40" s="1" t="s">
        <v>108</v>
      </c>
      <c r="C40" s="135" t="s">
        <v>101</v>
      </c>
      <c r="D40" s="1" t="s">
        <v>107</v>
      </c>
      <c r="F40" s="1" t="s">
        <v>99</v>
      </c>
      <c r="O40" s="50"/>
      <c r="AB40" s="51"/>
      <c r="AD40" s="50"/>
      <c r="AF40" s="51"/>
      <c r="AG40" s="50"/>
      <c r="AI40" s="51"/>
    </row>
    <row r="41" spans="1:35" x14ac:dyDescent="0.2">
      <c r="H41" s="1" t="s">
        <v>281</v>
      </c>
      <c r="I41" s="11" t="s">
        <v>1006</v>
      </c>
      <c r="J41" s="11" t="s">
        <v>78</v>
      </c>
      <c r="N41" s="37" t="s">
        <v>1210</v>
      </c>
      <c r="O41" s="50"/>
      <c r="AB41" s="51"/>
      <c r="AD41" s="50"/>
      <c r="AF41" s="51"/>
      <c r="AG41" s="50"/>
      <c r="AI41" s="51"/>
    </row>
    <row r="42" spans="1:35" x14ac:dyDescent="0.2">
      <c r="H42" s="10" t="s">
        <v>661</v>
      </c>
      <c r="I42" s="25" t="s">
        <v>1004</v>
      </c>
      <c r="J42" s="25" t="s">
        <v>1004</v>
      </c>
      <c r="K42" s="64" t="str">
        <f t="shared" ref="K42:K48" si="7">IF(AND(I42&gt;="T5"),"&gt;","")</f>
        <v/>
      </c>
      <c r="L42" s="24">
        <v>510100</v>
      </c>
      <c r="M42" s="24">
        <v>304014</v>
      </c>
      <c r="N42" s="24" t="s">
        <v>1257</v>
      </c>
      <c r="O42" s="282"/>
      <c r="P42" s="283"/>
      <c r="Q42" s="283"/>
      <c r="R42" s="283"/>
      <c r="S42" s="283"/>
      <c r="T42" s="283"/>
      <c r="U42" s="283"/>
      <c r="V42" s="283"/>
      <c r="W42" s="283"/>
      <c r="X42" s="283"/>
      <c r="Y42" s="283"/>
      <c r="Z42" s="283"/>
      <c r="AA42" s="283">
        <f>IF($I42="B1","",SUM(O42:Z42))</f>
        <v>0</v>
      </c>
      <c r="AB42" s="284"/>
      <c r="AC42" s="300"/>
      <c r="AD42" s="283"/>
      <c r="AE42" s="284"/>
      <c r="AF42" s="285">
        <f t="shared" ref="AF42:AF48" si="8">IF(AND($AA42="",AD42=""),"",$AA42-AD42)</f>
        <v>0</v>
      </c>
      <c r="AG42" s="283"/>
      <c r="AH42" s="284"/>
      <c r="AI42" s="286">
        <f t="shared" ref="AI42:AI48" si="9">IF(AND($AA42="",AG42=""),"",$AA42-AG42)</f>
        <v>0</v>
      </c>
    </row>
    <row r="43" spans="1:35" x14ac:dyDescent="0.2">
      <c r="A43" s="4" t="s">
        <v>989</v>
      </c>
      <c r="H43" s="10" t="s">
        <v>662</v>
      </c>
      <c r="I43" s="25" t="s">
        <v>1004</v>
      </c>
      <c r="J43" s="25" t="s">
        <v>1004</v>
      </c>
      <c r="K43" s="64" t="str">
        <f t="shared" si="7"/>
        <v/>
      </c>
      <c r="L43" s="24">
        <v>510200</v>
      </c>
      <c r="M43" s="24">
        <v>304010</v>
      </c>
      <c r="N43" s="24" t="s">
        <v>1258</v>
      </c>
      <c r="O43" s="282"/>
      <c r="P43" s="283"/>
      <c r="Q43" s="283"/>
      <c r="R43" s="283"/>
      <c r="S43" s="283"/>
      <c r="T43" s="283"/>
      <c r="U43" s="283"/>
      <c r="V43" s="283"/>
      <c r="W43" s="283"/>
      <c r="X43" s="283"/>
      <c r="Y43" s="283"/>
      <c r="Z43" s="283"/>
      <c r="AA43" s="283">
        <f>IF($I43="B1","",SUM(O43:Z43))</f>
        <v>0</v>
      </c>
      <c r="AB43" s="284"/>
      <c r="AC43" s="300"/>
      <c r="AD43" s="283"/>
      <c r="AE43" s="284"/>
      <c r="AF43" s="285">
        <f t="shared" si="8"/>
        <v>0</v>
      </c>
      <c r="AG43" s="283"/>
      <c r="AH43" s="284"/>
      <c r="AI43" s="286">
        <f t="shared" si="9"/>
        <v>0</v>
      </c>
    </row>
    <row r="44" spans="1:35" x14ac:dyDescent="0.2">
      <c r="H44" s="10" t="s">
        <v>663</v>
      </c>
      <c r="I44" s="25" t="s">
        <v>1004</v>
      </c>
      <c r="J44" s="25" t="s">
        <v>1004</v>
      </c>
      <c r="K44" s="64" t="str">
        <f t="shared" si="7"/>
        <v/>
      </c>
      <c r="L44" s="24">
        <v>510300</v>
      </c>
      <c r="M44" s="24">
        <v>306048</v>
      </c>
      <c r="N44" s="24" t="s">
        <v>1259</v>
      </c>
      <c r="O44" s="282"/>
      <c r="P44" s="283"/>
      <c r="Q44" s="283"/>
      <c r="R44" s="283"/>
      <c r="S44" s="283"/>
      <c r="T44" s="283"/>
      <c r="U44" s="283"/>
      <c r="V44" s="283"/>
      <c r="W44" s="283"/>
      <c r="X44" s="283"/>
      <c r="Y44" s="283"/>
      <c r="Z44" s="283"/>
      <c r="AA44" s="283">
        <f>IF($I44="B1","",SUM(O44:Z44))</f>
        <v>0</v>
      </c>
      <c r="AB44" s="284"/>
      <c r="AC44" s="300"/>
      <c r="AD44" s="283"/>
      <c r="AE44" s="284"/>
      <c r="AF44" s="285">
        <f t="shared" si="8"/>
        <v>0</v>
      </c>
      <c r="AG44" s="283"/>
      <c r="AH44" s="284"/>
      <c r="AI44" s="286">
        <f t="shared" si="9"/>
        <v>0</v>
      </c>
    </row>
    <row r="45" spans="1:35" x14ac:dyDescent="0.2">
      <c r="A45" s="3" t="s">
        <v>0</v>
      </c>
      <c r="B45" s="5" t="s">
        <v>1</v>
      </c>
      <c r="H45" s="10" t="s">
        <v>664</v>
      </c>
      <c r="I45" s="25" t="s">
        <v>1004</v>
      </c>
      <c r="J45" s="25" t="s">
        <v>1004</v>
      </c>
      <c r="K45" s="64" t="str">
        <f t="shared" si="7"/>
        <v/>
      </c>
      <c r="L45" s="24">
        <v>510400</v>
      </c>
      <c r="M45" s="24">
        <v>306001</v>
      </c>
      <c r="N45" s="24" t="s">
        <v>1260</v>
      </c>
      <c r="O45" s="295"/>
      <c r="P45" s="296"/>
      <c r="Q45" s="296"/>
      <c r="R45" s="296"/>
      <c r="S45" s="296"/>
      <c r="T45" s="296"/>
      <c r="U45" s="296"/>
      <c r="V45" s="296"/>
      <c r="W45" s="296"/>
      <c r="X45" s="296"/>
      <c r="Y45" s="296"/>
      <c r="Z45" s="296"/>
      <c r="AA45" s="296">
        <f>IF($I45="B1","",SUM(O45:Z45))</f>
        <v>0</v>
      </c>
      <c r="AB45" s="297"/>
      <c r="AC45" s="263"/>
      <c r="AD45" s="296"/>
      <c r="AE45" s="297"/>
      <c r="AF45" s="298">
        <f t="shared" si="8"/>
        <v>0</v>
      </c>
      <c r="AG45" s="296"/>
      <c r="AH45" s="297"/>
      <c r="AI45" s="299">
        <f t="shared" si="9"/>
        <v>0</v>
      </c>
    </row>
    <row r="46" spans="1:35" x14ac:dyDescent="0.2">
      <c r="A46" s="6" t="s">
        <v>2</v>
      </c>
      <c r="B46" s="14" t="s">
        <v>1247</v>
      </c>
      <c r="H46" s="10" t="s">
        <v>289</v>
      </c>
      <c r="I46" s="447" t="s">
        <v>1007</v>
      </c>
      <c r="J46" s="447" t="s">
        <v>78</v>
      </c>
      <c r="K46" s="448" t="str">
        <f t="shared" si="7"/>
        <v/>
      </c>
      <c r="L46" s="151">
        <v>500001</v>
      </c>
      <c r="M46" s="151"/>
      <c r="N46" s="151" t="s">
        <v>1219</v>
      </c>
      <c r="O46" s="202"/>
      <c r="P46" s="120"/>
      <c r="Q46" s="120"/>
      <c r="R46" s="120"/>
      <c r="S46" s="120"/>
      <c r="T46" s="120"/>
      <c r="U46" s="120"/>
      <c r="V46" s="120"/>
      <c r="W46" s="120"/>
      <c r="X46" s="120"/>
      <c r="Y46" s="120"/>
      <c r="Z46" s="120"/>
      <c r="AA46" s="120">
        <f>IF($I46="B1","",SUM(O46:Z46))</f>
        <v>0</v>
      </c>
      <c r="AB46" s="121"/>
      <c r="AC46" s="123"/>
      <c r="AD46" s="120"/>
      <c r="AE46" s="121"/>
      <c r="AF46" s="122">
        <f t="shared" si="8"/>
        <v>0</v>
      </c>
      <c r="AG46" s="120"/>
      <c r="AH46" s="121"/>
      <c r="AI46" s="264">
        <f t="shared" si="9"/>
        <v>0</v>
      </c>
    </row>
    <row r="47" spans="1:35" x14ac:dyDescent="0.2">
      <c r="A47" s="6" t="s">
        <v>3</v>
      </c>
      <c r="B47" s="14" t="s">
        <v>1248</v>
      </c>
      <c r="H47" s="133" t="s">
        <v>175</v>
      </c>
      <c r="I47" s="26" t="s">
        <v>1006</v>
      </c>
      <c r="J47" s="26" t="s">
        <v>78</v>
      </c>
      <c r="K47" s="65" t="str">
        <f t="shared" si="7"/>
        <v/>
      </c>
      <c r="L47" s="65"/>
      <c r="M47" s="65"/>
      <c r="N47" s="23" t="s">
        <v>175</v>
      </c>
      <c r="O47" s="44"/>
      <c r="P47" s="44"/>
      <c r="Q47" s="44"/>
      <c r="R47" s="44"/>
      <c r="S47" s="44"/>
      <c r="T47" s="44"/>
      <c r="U47" s="44"/>
      <c r="V47" s="44"/>
      <c r="W47" s="44"/>
      <c r="X47" s="44"/>
      <c r="Y47" s="44"/>
      <c r="Z47" s="44"/>
      <c r="AA47" s="44"/>
      <c r="AB47" s="45"/>
      <c r="AD47" s="44"/>
      <c r="AE47" s="45"/>
      <c r="AF47" s="134" t="str">
        <f t="shared" si="8"/>
        <v/>
      </c>
      <c r="AG47" s="44"/>
      <c r="AH47" s="45"/>
      <c r="AI47" s="134" t="str">
        <f t="shared" si="9"/>
        <v/>
      </c>
    </row>
    <row r="48" spans="1:35" x14ac:dyDescent="0.2">
      <c r="A48" s="6" t="s">
        <v>4</v>
      </c>
      <c r="B48" s="14" t="s">
        <v>1261</v>
      </c>
      <c r="H48" s="133" t="s">
        <v>292</v>
      </c>
      <c r="I48" s="26" t="s">
        <v>1007</v>
      </c>
      <c r="J48" s="26" t="s">
        <v>78</v>
      </c>
      <c r="K48" s="65" t="str">
        <f t="shared" si="7"/>
        <v/>
      </c>
      <c r="L48" s="65"/>
      <c r="M48" s="65"/>
      <c r="N48" s="23" t="s">
        <v>1220</v>
      </c>
      <c r="O48" s="145">
        <f t="shared" ref="O48:Z48" si="10">SUMIF($H$34:$H$46,"400000",O34:O46)-SUMIF($H$34:$H$46,"500001",O34:O46)</f>
        <v>0</v>
      </c>
      <c r="P48" s="145">
        <f t="shared" si="10"/>
        <v>0</v>
      </c>
      <c r="Q48" s="145">
        <f t="shared" si="10"/>
        <v>0</v>
      </c>
      <c r="R48" s="145">
        <f t="shared" si="10"/>
        <v>0</v>
      </c>
      <c r="S48" s="145">
        <f t="shared" si="10"/>
        <v>0</v>
      </c>
      <c r="T48" s="145">
        <f t="shared" si="10"/>
        <v>0</v>
      </c>
      <c r="U48" s="145">
        <f t="shared" si="10"/>
        <v>0</v>
      </c>
      <c r="V48" s="145">
        <f t="shared" si="10"/>
        <v>0</v>
      </c>
      <c r="W48" s="145">
        <f t="shared" si="10"/>
        <v>0</v>
      </c>
      <c r="X48" s="145">
        <f t="shared" si="10"/>
        <v>0</v>
      </c>
      <c r="Y48" s="145">
        <f t="shared" si="10"/>
        <v>0</v>
      </c>
      <c r="Z48" s="145">
        <f t="shared" si="10"/>
        <v>0</v>
      </c>
      <c r="AA48" s="120">
        <f>IF($I48="B1","",SUM(O48:Z48))</f>
        <v>0</v>
      </c>
      <c r="AB48" s="121" t="str">
        <f>IF(AA48=0,"",IFERROR(AA48/AA$19,""))</f>
        <v/>
      </c>
      <c r="AD48" s="145">
        <f>SUMIF($H$34:$H$46,"400000",AD34:AD46)-SUMIF($H$34:$H$46,"500001",AD34:AD46)</f>
        <v>0</v>
      </c>
      <c r="AE48" s="121" t="str">
        <f>IF(AD48=0,"",IFERROR(AD48/AD$19,""))</f>
        <v/>
      </c>
      <c r="AF48" s="146">
        <f t="shared" si="8"/>
        <v>0</v>
      </c>
      <c r="AG48" s="145">
        <f>SUMIF($H$34:$H$46,"400000",AG34:AG46)-SUMIF($H$34:$H$46,"500001",AG34:AG46)</f>
        <v>0</v>
      </c>
      <c r="AH48" s="121" t="str">
        <f>IF(AG48=0,"",IFERROR(AG48/AG$19,""))</f>
        <v/>
      </c>
      <c r="AI48" s="146">
        <f t="shared" si="9"/>
        <v>0</v>
      </c>
    </row>
    <row r="49" spans="1:35" x14ac:dyDescent="0.2">
      <c r="A49" s="6" t="s">
        <v>5</v>
      </c>
      <c r="B49" s="7"/>
      <c r="F49" s="136"/>
      <c r="O49" s="144"/>
      <c r="P49" s="147"/>
      <c r="Q49" s="147"/>
      <c r="R49" s="147"/>
      <c r="S49" s="147"/>
      <c r="T49" s="147"/>
      <c r="U49" s="147"/>
      <c r="V49" s="147"/>
      <c r="W49" s="147"/>
      <c r="X49" s="147"/>
      <c r="Y49" s="147"/>
      <c r="Z49" s="147"/>
      <c r="AA49" s="147"/>
      <c r="AB49" s="51"/>
      <c r="AD49" s="50"/>
      <c r="AF49" s="51"/>
      <c r="AI49" s="51"/>
    </row>
    <row r="50" spans="1:35" x14ac:dyDescent="0.2">
      <c r="A50" s="6" t="s">
        <v>6</v>
      </c>
      <c r="B50" s="7"/>
      <c r="F50" s="136"/>
      <c r="H50" s="1" t="s">
        <v>73</v>
      </c>
      <c r="I50" s="11" t="s">
        <v>1006</v>
      </c>
      <c r="J50" s="11" t="s">
        <v>78</v>
      </c>
      <c r="N50" s="37" t="s">
        <v>1073</v>
      </c>
      <c r="O50" s="50"/>
      <c r="AB50" s="149"/>
      <c r="AD50" s="148"/>
      <c r="AE50" s="150"/>
      <c r="AF50" s="51"/>
      <c r="AH50" s="150"/>
      <c r="AI50" s="51"/>
    </row>
    <row r="51" spans="1:35" x14ac:dyDescent="0.2">
      <c r="A51" s="6" t="s">
        <v>7</v>
      </c>
      <c r="B51" s="14" t="s">
        <v>1262</v>
      </c>
      <c r="F51" s="136"/>
      <c r="H51" s="1" t="s">
        <v>74</v>
      </c>
      <c r="I51" s="11" t="s">
        <v>1006</v>
      </c>
      <c r="J51" s="11" t="s">
        <v>78</v>
      </c>
      <c r="N51" s="8" t="s">
        <v>1074</v>
      </c>
      <c r="O51" s="40"/>
      <c r="P51" s="43"/>
      <c r="Q51" s="43"/>
      <c r="R51" s="43"/>
      <c r="S51" s="43"/>
      <c r="T51" s="43"/>
      <c r="U51" s="43"/>
      <c r="V51" s="43"/>
      <c r="W51" s="43"/>
      <c r="X51" s="43"/>
      <c r="Y51" s="43"/>
      <c r="Z51" s="43"/>
      <c r="AA51" s="43"/>
      <c r="AB51" s="41"/>
      <c r="AD51" s="40"/>
      <c r="AE51" s="43"/>
      <c r="AF51" s="41"/>
      <c r="AG51" s="43"/>
      <c r="AH51" s="43"/>
      <c r="AI51" s="41"/>
    </row>
    <row r="52" spans="1:35" hidden="1" x14ac:dyDescent="0.2">
      <c r="A52" s="6" t="s">
        <v>47</v>
      </c>
      <c r="B52" s="14" t="s">
        <v>1251</v>
      </c>
      <c r="H52" s="10" t="s">
        <v>667</v>
      </c>
      <c r="I52" s="25"/>
      <c r="J52" s="25"/>
      <c r="K52" s="64" t="str">
        <f>IF(AND(I52&gt;="T3"),"&gt;","")</f>
        <v/>
      </c>
      <c r="L52" s="24"/>
      <c r="M52" s="24"/>
      <c r="N52" s="24"/>
      <c r="O52" s="44"/>
      <c r="P52" s="44"/>
      <c r="Q52" s="44"/>
      <c r="R52" s="44"/>
      <c r="S52" s="44"/>
      <c r="T52" s="44"/>
      <c r="U52" s="44"/>
      <c r="V52" s="44"/>
      <c r="W52" s="44"/>
      <c r="X52" s="44"/>
      <c r="Y52" s="44"/>
      <c r="Z52" s="44"/>
      <c r="AA52" s="296">
        <f>IF($I52="B1","",SUM(O52:Z52))</f>
        <v>0</v>
      </c>
      <c r="AB52" s="45" t="str">
        <f>IF(O52=0,"",IFERROR(O52/O$19,""))</f>
        <v/>
      </c>
      <c r="AD52" s="44"/>
      <c r="AE52" s="45" t="str">
        <f>IF(AD52=0,"",IFERROR(AD52/AD$19,""))</f>
        <v/>
      </c>
      <c r="AF52" s="134">
        <f>IF(AND($AA52="",AD52=""),"",$AA52-AD52)</f>
        <v>0</v>
      </c>
      <c r="AG52" s="44"/>
      <c r="AH52" s="45" t="str">
        <f>IF(AG52=0,"",IFERROR(AG52/AG$19,""))</f>
        <v/>
      </c>
      <c r="AI52" s="134">
        <f>IF(AND($AA52="",AG52=""),"",$AA52-AG52)</f>
        <v>0</v>
      </c>
    </row>
    <row r="53" spans="1:35" hidden="1" x14ac:dyDescent="0.2">
      <c r="A53" s="6" t="s">
        <v>8</v>
      </c>
      <c r="B53" s="7"/>
      <c r="H53" s="10"/>
      <c r="I53" s="25"/>
      <c r="J53" s="25"/>
      <c r="K53" s="64" t="str">
        <f>IF(AND(I53&gt;="T3"),"&gt;","")</f>
        <v/>
      </c>
      <c r="L53" s="24"/>
      <c r="M53" s="24"/>
      <c r="N53" s="24"/>
      <c r="O53" s="44"/>
      <c r="P53" s="44"/>
      <c r="Q53" s="44"/>
      <c r="R53" s="44"/>
      <c r="S53" s="44"/>
      <c r="T53" s="44"/>
      <c r="U53" s="44"/>
      <c r="V53" s="44"/>
      <c r="W53" s="44"/>
      <c r="X53" s="44"/>
      <c r="Y53" s="44"/>
      <c r="Z53" s="44"/>
      <c r="AA53" s="296">
        <f>IF($I53="B1","",SUM(O53:Z53))</f>
        <v>0</v>
      </c>
      <c r="AB53" s="45" t="str">
        <f>IF(O53=0,"",IFERROR(O53/O$19,""))</f>
        <v/>
      </c>
      <c r="AD53" s="44"/>
      <c r="AE53" s="45" t="str">
        <f>IF(AD53=0,"",IFERROR(AD53/AD$19,""))</f>
        <v/>
      </c>
      <c r="AF53" s="134">
        <f>IF(AND($AA53="",AD53=""),"",$AA53-AD53)</f>
        <v>0</v>
      </c>
      <c r="AG53" s="44"/>
      <c r="AH53" s="45" t="str">
        <f>IF(AG53=0,"",IFERROR(AG53/AG$19,""))</f>
        <v/>
      </c>
      <c r="AI53" s="134">
        <f>IF(AND($AA53="",AG53=""),"",$AA53-AG53)</f>
        <v>0</v>
      </c>
    </row>
    <row r="54" spans="1:35" x14ac:dyDescent="0.2">
      <c r="H54" s="10" t="s">
        <v>75</v>
      </c>
      <c r="I54" s="26" t="s">
        <v>1006</v>
      </c>
      <c r="J54" s="26" t="s">
        <v>78</v>
      </c>
      <c r="K54" s="65" t="str">
        <f>IF(AND(I54&gt;="T3"),"&gt;","")</f>
        <v/>
      </c>
      <c r="L54" s="23"/>
      <c r="M54" s="24"/>
      <c r="N54" s="23" t="s">
        <v>1076</v>
      </c>
      <c r="O54" s="35"/>
      <c r="P54" s="35"/>
      <c r="Q54" s="35"/>
      <c r="R54" s="35"/>
      <c r="S54" s="35"/>
      <c r="T54" s="35"/>
      <c r="U54" s="35"/>
      <c r="V54" s="35"/>
      <c r="W54" s="35"/>
      <c r="X54" s="35"/>
      <c r="Y54" s="35"/>
      <c r="Z54" s="35"/>
      <c r="AA54" s="283" t="str">
        <f>IF($I54="B1","",SUM(O54:Z54))</f>
        <v/>
      </c>
      <c r="AB54" s="36" t="str">
        <f>IF(O54=0,"",IFERROR(O54/O$19,""))</f>
        <v/>
      </c>
      <c r="AD54" s="35"/>
      <c r="AE54" s="36" t="str">
        <f>IF(AD54=0,"",IFERROR(AD54/AD$19,""))</f>
        <v/>
      </c>
      <c r="AF54" s="118" t="str">
        <f>IF(AND($AA54="",AD54=""),"",$AA54-AD54)</f>
        <v/>
      </c>
      <c r="AG54" s="35"/>
      <c r="AH54" s="36" t="str">
        <f>IF(AG54=0,"",IFERROR(AG54/AG$19,""))</f>
        <v/>
      </c>
      <c r="AI54" s="118" t="str">
        <f>IF(AND($AA54="",AG54=""),"",$AA54-AG54)</f>
        <v/>
      </c>
    </row>
    <row r="55" spans="1:35" hidden="1" x14ac:dyDescent="0.2">
      <c r="A55" s="3" t="s">
        <v>9</v>
      </c>
      <c r="B55" s="5" t="s">
        <v>10</v>
      </c>
      <c r="H55" s="10" t="s">
        <v>667</v>
      </c>
      <c r="I55" s="25"/>
      <c r="J55" s="25"/>
      <c r="K55" s="64" t="str">
        <f>IF(AND(I55&gt;="T3"),"&gt;","")</f>
        <v/>
      </c>
      <c r="L55" s="24"/>
      <c r="M55" s="24"/>
      <c r="N55" s="24"/>
      <c r="O55" s="44"/>
      <c r="P55" s="44"/>
      <c r="Q55" s="44"/>
      <c r="R55" s="44"/>
      <c r="S55" s="44"/>
      <c r="T55" s="44"/>
      <c r="U55" s="44"/>
      <c r="V55" s="44"/>
      <c r="W55" s="44"/>
      <c r="X55" s="44"/>
      <c r="Y55" s="44"/>
      <c r="Z55" s="44"/>
      <c r="AA55" s="296">
        <f>IF($I55="B1","",SUM(O55:Z55))</f>
        <v>0</v>
      </c>
      <c r="AB55" s="45" t="str">
        <f>IF(O55=0,"",IFERROR(O55/O$19,""))</f>
        <v/>
      </c>
      <c r="AD55" s="44"/>
      <c r="AE55" s="45" t="str">
        <f>IF(AD55=0,"",IFERROR(AD55/AD$19,""))</f>
        <v/>
      </c>
      <c r="AF55" s="134">
        <f>IF(AND($AA55="",AD55=""),"",$AA55-AD55)</f>
        <v>0</v>
      </c>
      <c r="AG55" s="44"/>
      <c r="AH55" s="45" t="str">
        <f>IF(AG55=0,"",IFERROR(AG55/AG$19,""))</f>
        <v/>
      </c>
      <c r="AI55" s="134">
        <f>IF(AND($AA55="",AG55=""),"",$AA55-AG55)</f>
        <v>0</v>
      </c>
    </row>
    <row r="56" spans="1:35" hidden="1" x14ac:dyDescent="0.2">
      <c r="A56" s="6" t="s">
        <v>11</v>
      </c>
      <c r="B56" s="7" t="s">
        <v>21</v>
      </c>
      <c r="G56" s="13"/>
      <c r="H56" s="10"/>
      <c r="I56" s="25"/>
      <c r="J56" s="25"/>
      <c r="K56" s="64" t="str">
        <f>IF(AND(I56&gt;="T3"),"&gt;","")</f>
        <v/>
      </c>
      <c r="L56" s="24"/>
      <c r="M56" s="24"/>
      <c r="N56" s="24"/>
      <c r="O56" s="44"/>
      <c r="P56" s="44"/>
      <c r="Q56" s="44"/>
      <c r="R56" s="44"/>
      <c r="S56" s="44"/>
      <c r="T56" s="44"/>
      <c r="U56" s="44"/>
      <c r="V56" s="44"/>
      <c r="W56" s="44"/>
      <c r="X56" s="44"/>
      <c r="Y56" s="44"/>
      <c r="Z56" s="44"/>
      <c r="AA56" s="296">
        <f>IF($I56="B1","",SUM(O56:Z56))</f>
        <v>0</v>
      </c>
      <c r="AB56" s="45" t="str">
        <f>IF(O56=0,"",IFERROR(O56/O$19,""))</f>
        <v/>
      </c>
      <c r="AD56" s="44"/>
      <c r="AE56" s="45" t="str">
        <f>IF(AD56=0,"",IFERROR(AD56/AD$19,""))</f>
        <v/>
      </c>
      <c r="AF56" s="134">
        <f>IF(AND($AA56="",AD56=""),"",$AA56-AD56)</f>
        <v>0</v>
      </c>
      <c r="AG56" s="44"/>
      <c r="AH56" s="45" t="str">
        <f>IF(AG56=0,"",IFERROR(AG56/AG$19,""))</f>
        <v/>
      </c>
      <c r="AI56" s="134">
        <f>IF(AND($AA56="",AG56=""),"",$AA56-AG56)</f>
        <v>0</v>
      </c>
    </row>
    <row r="57" spans="1:35" x14ac:dyDescent="0.2">
      <c r="A57" s="6" t="s">
        <v>12</v>
      </c>
      <c r="B57" s="7" t="s">
        <v>22</v>
      </c>
      <c r="O57" s="38"/>
      <c r="P57" s="42"/>
      <c r="Q57" s="42"/>
      <c r="R57" s="42"/>
      <c r="S57" s="42"/>
      <c r="T57" s="42"/>
      <c r="U57" s="42"/>
      <c r="V57" s="42"/>
      <c r="W57" s="42"/>
      <c r="X57" s="42"/>
      <c r="Y57" s="42"/>
      <c r="Z57" s="42"/>
      <c r="AA57" s="42"/>
      <c r="AB57" s="39"/>
      <c r="AD57" s="38"/>
      <c r="AE57" s="42"/>
      <c r="AF57" s="39"/>
      <c r="AG57" s="38"/>
      <c r="AH57" s="42"/>
      <c r="AI57" s="39"/>
    </row>
    <row r="58" spans="1:35" x14ac:dyDescent="0.2">
      <c r="A58" s="6" t="s">
        <v>13</v>
      </c>
      <c r="B58" s="7" t="str">
        <f>"DEP(510000) AND "&amp;$E$6&amp;"=Y,500001"</f>
        <v>DEP(510000) AND D1131=Y,500001</v>
      </c>
      <c r="H58" s="1" t="s">
        <v>82</v>
      </c>
      <c r="I58" s="11" t="s">
        <v>1006</v>
      </c>
      <c r="J58" s="11" t="s">
        <v>78</v>
      </c>
      <c r="N58" s="37" t="s">
        <v>1087</v>
      </c>
      <c r="O58" s="40"/>
      <c r="P58" s="43"/>
      <c r="Q58" s="43"/>
      <c r="R58" s="43"/>
      <c r="S58" s="43"/>
      <c r="T58" s="43"/>
      <c r="U58" s="43"/>
      <c r="V58" s="43"/>
      <c r="W58" s="43"/>
      <c r="X58" s="43"/>
      <c r="Y58" s="43"/>
      <c r="Z58" s="43"/>
      <c r="AA58" s="43"/>
      <c r="AB58" s="41"/>
      <c r="AD58" s="40"/>
      <c r="AE58" s="43"/>
      <c r="AF58" s="41"/>
      <c r="AG58" s="40"/>
      <c r="AH58" s="43"/>
      <c r="AI58" s="41"/>
    </row>
    <row r="59" spans="1:35" hidden="1" x14ac:dyDescent="0.2">
      <c r="A59" s="6" t="s">
        <v>14</v>
      </c>
      <c r="B59" s="7"/>
      <c r="H59" s="10" t="s">
        <v>667</v>
      </c>
      <c r="I59" s="25"/>
      <c r="J59" s="25"/>
      <c r="K59" s="64" t="str">
        <f>IF(AND(I59&lt;&gt;"B1",J59="Y"),"&gt;","")</f>
        <v/>
      </c>
      <c r="L59" s="24"/>
      <c r="M59" s="24"/>
      <c r="N59" s="24"/>
      <c r="O59" s="19"/>
      <c r="P59" s="19"/>
      <c r="Q59" s="19"/>
      <c r="R59" s="19"/>
      <c r="S59" s="19"/>
      <c r="T59" s="19"/>
      <c r="U59" s="19"/>
      <c r="V59" s="19"/>
      <c r="W59" s="19"/>
      <c r="X59" s="19"/>
      <c r="Y59" s="19"/>
      <c r="Z59" s="19"/>
      <c r="AA59" s="283">
        <f>IF($I59="B1","",SUM(O59:Z59))</f>
        <v>0</v>
      </c>
      <c r="AB59" s="15" t="str">
        <f>IF(AA59=0,"",IFERROR(AA59/AA$19,""))</f>
        <v/>
      </c>
      <c r="AD59" s="19"/>
      <c r="AE59" s="15" t="str">
        <f>IF(AD59=0,"",IFERROR(AD59/AD$19,""))</f>
        <v/>
      </c>
      <c r="AF59" s="47">
        <f>IF(AND($AA59="",AD59=""),"",$AA59-AD59)</f>
        <v>0</v>
      </c>
      <c r="AG59" s="19"/>
      <c r="AH59" s="15" t="str">
        <f>IF(AG59=0,"",IFERROR(AG59/AG$19,""))</f>
        <v/>
      </c>
      <c r="AI59" s="47">
        <f>IF(AND($AA59="",AG59=""),"",$AA59-AG59)</f>
        <v>0</v>
      </c>
    </row>
    <row r="60" spans="1:35" hidden="1" x14ac:dyDescent="0.2">
      <c r="A60" s="6" t="s">
        <v>15</v>
      </c>
      <c r="B60" s="7"/>
      <c r="H60" s="10"/>
      <c r="I60" s="25"/>
      <c r="J60" s="25"/>
      <c r="K60" s="64" t="str">
        <f>IF(AND(I60&lt;&gt;"B1",J60="Y"),"&gt;","")</f>
        <v/>
      </c>
      <c r="L60" s="24"/>
      <c r="M60" s="24"/>
      <c r="N60" s="24"/>
      <c r="O60" s="19"/>
      <c r="P60" s="19"/>
      <c r="Q60" s="19"/>
      <c r="R60" s="19"/>
      <c r="S60" s="19"/>
      <c r="T60" s="19"/>
      <c r="U60" s="19"/>
      <c r="V60" s="19"/>
      <c r="W60" s="19"/>
      <c r="X60" s="19"/>
      <c r="Y60" s="19"/>
      <c r="Z60" s="19"/>
      <c r="AA60" s="283">
        <f>IF($I60="B1","",SUM(O60:Z60))</f>
        <v>0</v>
      </c>
      <c r="AB60" s="15" t="str">
        <f>IF(AA60=0,"",IFERROR(AA60/AA$19,""))</f>
        <v/>
      </c>
      <c r="AD60" s="19"/>
      <c r="AE60" s="15" t="str">
        <f>IF(AD60=0,"",IFERROR(AD60/AD$19,""))</f>
        <v/>
      </c>
      <c r="AF60" s="47">
        <f>IF(AND($AA60="",AD60=""),"",$AA60-AD60)</f>
        <v>0</v>
      </c>
      <c r="AG60" s="19"/>
      <c r="AH60" s="15" t="str">
        <f>IF(AG60=0,"",IFERROR(AG60/AG$19,""))</f>
        <v/>
      </c>
      <c r="AI60" s="47">
        <f>IF(AND($AA60="",AG60=""),"",$AA60-AG60)</f>
        <v>0</v>
      </c>
    </row>
    <row r="61" spans="1:35" x14ac:dyDescent="0.2">
      <c r="A61" s="6" t="s">
        <v>16</v>
      </c>
      <c r="B61" s="7"/>
      <c r="H61" s="10" t="s">
        <v>79</v>
      </c>
      <c r="I61" s="25" t="s">
        <v>1007</v>
      </c>
      <c r="J61" s="25" t="s">
        <v>78</v>
      </c>
      <c r="K61" s="24"/>
      <c r="L61" s="24"/>
      <c r="M61" s="24"/>
      <c r="N61" s="23" t="s">
        <v>1111</v>
      </c>
      <c r="O61" s="30"/>
      <c r="P61" s="30"/>
      <c r="Q61" s="30"/>
      <c r="R61" s="30"/>
      <c r="S61" s="30"/>
      <c r="T61" s="30"/>
      <c r="U61" s="30"/>
      <c r="V61" s="30"/>
      <c r="W61" s="30"/>
      <c r="X61" s="30"/>
      <c r="Y61" s="30"/>
      <c r="Z61" s="30"/>
      <c r="AA61" s="30">
        <f>IF($I61="B1","",SUM(O61:Z61))</f>
        <v>0</v>
      </c>
      <c r="AB61" s="31" t="str">
        <f>IF(AA61=0,"",IFERROR(AA61/AA$19,""))</f>
        <v/>
      </c>
      <c r="AD61" s="30"/>
      <c r="AE61" s="31" t="str">
        <f>IF(AD61=0,"",IFERROR(AD61/AD$19,""))</f>
        <v/>
      </c>
      <c r="AF61" s="49">
        <f>IF(AND($AA61="",AD61=""),"",$AA61-AD61)</f>
        <v>0</v>
      </c>
      <c r="AG61" s="30"/>
      <c r="AH61" s="31" t="str">
        <f>IF(AG61=0,"",IFERROR(AG61/AG$19,""))</f>
        <v/>
      </c>
      <c r="AI61" s="49">
        <f>IF(AND($AA61="",AG61=""),"",$AA61-AG61)</f>
        <v>0</v>
      </c>
    </row>
    <row r="62" spans="1:35" x14ac:dyDescent="0.2">
      <c r="A62" s="6" t="s">
        <v>17</v>
      </c>
      <c r="B62" s="7"/>
    </row>
    <row r="63" spans="1:35" x14ac:dyDescent="0.2">
      <c r="H63" s="10" t="s">
        <v>80</v>
      </c>
      <c r="I63" s="25" t="s">
        <v>1007</v>
      </c>
      <c r="J63" s="25" t="s">
        <v>78</v>
      </c>
      <c r="K63" s="23"/>
      <c r="L63" s="23"/>
      <c r="M63" s="23"/>
      <c r="N63" s="23" t="s">
        <v>1112</v>
      </c>
      <c r="O63" s="33"/>
      <c r="P63" s="33"/>
      <c r="Q63" s="33"/>
      <c r="R63" s="33"/>
      <c r="S63" s="33"/>
      <c r="T63" s="33"/>
      <c r="U63" s="33"/>
      <c r="V63" s="33"/>
      <c r="W63" s="33"/>
      <c r="X63" s="33"/>
      <c r="Y63" s="33"/>
      <c r="Z63" s="33"/>
      <c r="AA63" s="33">
        <f>IF($I63="B1","",SUM(O63:Z63))</f>
        <v>0</v>
      </c>
      <c r="AB63" s="34" t="str">
        <f>IF(AA63=0,"",IFERROR(AA63/AA$19,""))</f>
        <v/>
      </c>
      <c r="AD63" s="33"/>
      <c r="AE63" s="34" t="str">
        <f>IF(AD63=0,"",IFERROR(AD63/AD$19,""))</f>
        <v/>
      </c>
      <c r="AF63" s="55">
        <f>IF(AND($AA63="",AD63=""),"",$AA63-AD63)</f>
        <v>0</v>
      </c>
      <c r="AG63" s="56"/>
      <c r="AH63" s="57" t="str">
        <f>IF(AG63=0,"",IFERROR(AG63/AG$19,""))</f>
        <v/>
      </c>
      <c r="AI63" s="55">
        <f>IF(AND($AA63="",AG63=""),"",$AA63-AG63)</f>
        <v>0</v>
      </c>
    </row>
    <row r="64" spans="1:35" ht="16" thickBot="1" x14ac:dyDescent="0.25">
      <c r="A64" s="20" t="s">
        <v>92</v>
      </c>
      <c r="B64" s="21" t="s">
        <v>93</v>
      </c>
      <c r="C64" s="21" t="s">
        <v>94</v>
      </c>
      <c r="D64" s="21" t="s">
        <v>95</v>
      </c>
      <c r="E64" s="21" t="s">
        <v>96</v>
      </c>
      <c r="F64" s="22" t="s">
        <v>97</v>
      </c>
      <c r="H64" s="10" t="s">
        <v>81</v>
      </c>
      <c r="I64" s="25" t="s">
        <v>1007</v>
      </c>
      <c r="J64" s="25" t="s">
        <v>78</v>
      </c>
      <c r="K64" s="23"/>
      <c r="L64" s="23"/>
      <c r="M64" s="23"/>
      <c r="N64" s="23" t="s">
        <v>1113</v>
      </c>
      <c r="O64" s="58"/>
      <c r="P64" s="58"/>
      <c r="Q64" s="58"/>
      <c r="R64" s="58"/>
      <c r="S64" s="58"/>
      <c r="T64" s="58"/>
      <c r="U64" s="58"/>
      <c r="V64" s="58"/>
      <c r="W64" s="58"/>
      <c r="X64" s="58"/>
      <c r="Y64" s="58"/>
      <c r="Z64" s="58"/>
      <c r="AA64" s="58">
        <f>IF($I64="B1","",SUM(O64:Z64))</f>
        <v>0</v>
      </c>
      <c r="AB64" s="59" t="str">
        <f>IF(AA64=0,"",IFERROR(AA64/AA$19,""))</f>
        <v/>
      </c>
      <c r="AD64" s="58"/>
      <c r="AE64" s="59" t="str">
        <f>IF(AD64=0,"",IFERROR(AD64/AD$19,""))</f>
        <v/>
      </c>
      <c r="AF64" s="60">
        <f>IF(AND($AA64="",AD64=""),"",$AA64-AD64)</f>
        <v>0</v>
      </c>
      <c r="AG64" s="58"/>
      <c r="AH64" s="59" t="str">
        <f>IF(AG64=0,"",IFERROR(AG64/AG$19,""))</f>
        <v/>
      </c>
      <c r="AI64" s="60">
        <f>IF(AND($AA64="",AG64=""),"",$AA64-AG64)</f>
        <v>0</v>
      </c>
    </row>
    <row r="65" spans="1:35" ht="16" thickTop="1" x14ac:dyDescent="0.2"/>
    <row r="66" spans="1:35" x14ac:dyDescent="0.2">
      <c r="A66" s="1" t="s">
        <v>209</v>
      </c>
      <c r="B66" s="1" t="s">
        <v>21</v>
      </c>
      <c r="C66" s="70"/>
      <c r="D66" s="1" t="s">
        <v>590</v>
      </c>
      <c r="F66" s="1" t="s">
        <v>99</v>
      </c>
      <c r="N66" s="24" t="str">
        <f>N63&amp;" - Check"</f>
        <v>Total Expenses - Check</v>
      </c>
      <c r="O66" s="124">
        <f t="shared" ref="O66:AA66" si="11">SUMIF($H$34:$H$64,"600000",O$34:O$64)+SUMIF($H$34:$H$64,"700000",O$34:O$64)-SUMIF($H$34:$H$64,"TOTDEPTEXP",O$34:O$64)</f>
        <v>0</v>
      </c>
      <c r="P66" s="124">
        <f t="shared" si="11"/>
        <v>0</v>
      </c>
      <c r="Q66" s="124">
        <f t="shared" si="11"/>
        <v>0</v>
      </c>
      <c r="R66" s="124">
        <f t="shared" si="11"/>
        <v>0</v>
      </c>
      <c r="S66" s="124">
        <f t="shared" si="11"/>
        <v>0</v>
      </c>
      <c r="T66" s="124">
        <f t="shared" si="11"/>
        <v>0</v>
      </c>
      <c r="U66" s="124">
        <f t="shared" si="11"/>
        <v>0</v>
      </c>
      <c r="V66" s="124">
        <f t="shared" si="11"/>
        <v>0</v>
      </c>
      <c r="W66" s="124">
        <f t="shared" si="11"/>
        <v>0</v>
      </c>
      <c r="X66" s="124">
        <f t="shared" si="11"/>
        <v>0</v>
      </c>
      <c r="Y66" s="124">
        <f t="shared" si="11"/>
        <v>0</v>
      </c>
      <c r="Z66" s="124">
        <f t="shared" si="11"/>
        <v>0</v>
      </c>
      <c r="AA66" s="124">
        <f t="shared" si="11"/>
        <v>0</v>
      </c>
      <c r="AB66" s="15"/>
      <c r="AD66" s="124">
        <f>SUMIF($H$34:$H$64,"600000",AD$34:AD$64)+SUMIF($H$34:$H$64,"700000",AD$34:AD$64)-SUMIF($H$34:$H$64,"TOTDEPTEXP",AD$34:AD$64)</f>
        <v>0</v>
      </c>
      <c r="AE66" s="15"/>
      <c r="AF66" s="19"/>
      <c r="AG66" s="124">
        <f>SUMIF($H$34:$H$64,"600000",AG$34:AG$64)+SUMIF($H$34:$H$64,"700000",AG$34:AG$64)-SUMIF($H$34:$H$64,"TOTDEPTEXP",AG$34:AG$64)</f>
        <v>0</v>
      </c>
      <c r="AH66" s="15"/>
      <c r="AI66" s="19"/>
    </row>
    <row r="67" spans="1:35" x14ac:dyDescent="0.2">
      <c r="A67" s="1" t="s">
        <v>105</v>
      </c>
      <c r="C67" s="24" t="s">
        <v>101</v>
      </c>
      <c r="D67" s="1" t="s">
        <v>106</v>
      </c>
      <c r="F67" s="1" t="s">
        <v>98</v>
      </c>
      <c r="N67" s="24" t="str">
        <f>N64&amp;" - Check"</f>
        <v>Department Profit (Loss) - Check</v>
      </c>
      <c r="O67" s="124">
        <f t="shared" ref="O67:AA67" si="12">SUMIF($H$34:$H$64,"KPI_GP",O$34:O$64)-SUMIF($H$34:$H$64,"TOTDEPTEXP",O$34:O$64)-SUMIF($H$34:$H$64,"TOTDEPTPL",O$34:O$64)</f>
        <v>0</v>
      </c>
      <c r="P67" s="124">
        <f t="shared" si="12"/>
        <v>0</v>
      </c>
      <c r="Q67" s="124">
        <f t="shared" si="12"/>
        <v>0</v>
      </c>
      <c r="R67" s="124">
        <f t="shared" si="12"/>
        <v>0</v>
      </c>
      <c r="S67" s="124">
        <f t="shared" si="12"/>
        <v>0</v>
      </c>
      <c r="T67" s="124">
        <f t="shared" si="12"/>
        <v>0</v>
      </c>
      <c r="U67" s="124">
        <f t="shared" si="12"/>
        <v>0</v>
      </c>
      <c r="V67" s="124">
        <f t="shared" si="12"/>
        <v>0</v>
      </c>
      <c r="W67" s="124">
        <f t="shared" si="12"/>
        <v>0</v>
      </c>
      <c r="X67" s="124">
        <f t="shared" si="12"/>
        <v>0</v>
      </c>
      <c r="Y67" s="124">
        <f t="shared" si="12"/>
        <v>0</v>
      </c>
      <c r="Z67" s="124">
        <f t="shared" si="12"/>
        <v>0</v>
      </c>
      <c r="AA67" s="124">
        <f t="shared" si="12"/>
        <v>0</v>
      </c>
      <c r="AB67" s="15"/>
      <c r="AD67" s="124">
        <f>SUMIF($H$34:$H$64,"KPI_GP",AD$34:AD$64)-SUMIF($H$34:$H$64,"TOTDEPTEXP",AD$34:AD$64)-SUMIF($H$34:$H$64,"TOTDEPTPL",AD$34:AD$64)</f>
        <v>0</v>
      </c>
      <c r="AE67" s="15"/>
      <c r="AF67" s="19"/>
      <c r="AG67" s="124">
        <f>SUMIF($H$34:$H$64,"KPI_GP",AG$34:AG$64)-SUMIF($H$34:$H$64,"TOTDEPTEXP",AG$34:AG$64)-SUMIF($H$34:$H$64,"TOTDEPTPL",AG$34:AG$64)</f>
        <v>0</v>
      </c>
      <c r="AH67" s="15"/>
      <c r="AI67" s="19"/>
    </row>
    <row r="68" spans="1:35" x14ac:dyDescent="0.2">
      <c r="A68" s="1" t="s">
        <v>108</v>
      </c>
      <c r="C68" s="23" t="s">
        <v>101</v>
      </c>
      <c r="D68" s="1" t="s">
        <v>106</v>
      </c>
      <c r="F68" s="1" t="s">
        <v>98</v>
      </c>
    </row>
    <row r="69" spans="1:35" x14ac:dyDescent="0.2">
      <c r="A69" s="1" t="s">
        <v>108</v>
      </c>
      <c r="C69" s="135" t="s">
        <v>101</v>
      </c>
      <c r="D69" s="1" t="s">
        <v>107</v>
      </c>
      <c r="F69" s="1" t="s">
        <v>99</v>
      </c>
      <c r="O69" s="147"/>
      <c r="P69" s="147"/>
      <c r="Q69" s="147"/>
      <c r="R69" s="147"/>
      <c r="S69" s="147"/>
      <c r="T69" s="147"/>
      <c r="U69" s="147"/>
      <c r="V69" s="147"/>
      <c r="W69" s="147"/>
      <c r="X69" s="147"/>
      <c r="Y69" s="147"/>
      <c r="Z69" s="147"/>
      <c r="AA69" s="147"/>
      <c r="AD69" s="147"/>
      <c r="AG69" s="147"/>
    </row>
    <row r="71" spans="1:35" x14ac:dyDescent="0.2">
      <c r="C71" s="23"/>
      <c r="O71" s="147"/>
      <c r="P71" s="147"/>
      <c r="Q71" s="147"/>
      <c r="R71" s="147"/>
      <c r="S71" s="147"/>
      <c r="T71" s="147"/>
      <c r="U71" s="147"/>
      <c r="V71" s="147"/>
      <c r="W71" s="147"/>
      <c r="X71" s="147"/>
      <c r="Y71" s="147"/>
      <c r="Z71" s="147"/>
      <c r="AA71" s="147"/>
      <c r="AD71" s="147"/>
      <c r="AG71" s="147"/>
    </row>
    <row r="72" spans="1:35" x14ac:dyDescent="0.2">
      <c r="A72" s="4" t="s">
        <v>989</v>
      </c>
    </row>
    <row r="74" spans="1:35" x14ac:dyDescent="0.2">
      <c r="A74" s="3" t="s">
        <v>0</v>
      </c>
      <c r="B74" s="5" t="s">
        <v>1</v>
      </c>
      <c r="H74" s="11"/>
      <c r="J74" s="1"/>
    </row>
    <row r="75" spans="1:35" x14ac:dyDescent="0.2">
      <c r="A75" s="6" t="s">
        <v>2</v>
      </c>
      <c r="B75" s="14" t="s">
        <v>1247</v>
      </c>
      <c r="H75" s="11"/>
      <c r="J75" s="1"/>
    </row>
    <row r="76" spans="1:35" x14ac:dyDescent="0.2">
      <c r="A76" s="6" t="s">
        <v>3</v>
      </c>
      <c r="B76" s="14" t="s">
        <v>1248</v>
      </c>
      <c r="H76" s="11"/>
      <c r="J76" s="1"/>
    </row>
    <row r="77" spans="1:35" x14ac:dyDescent="0.2">
      <c r="A77" s="6" t="s">
        <v>4</v>
      </c>
      <c r="B77" s="14" t="s">
        <v>1263</v>
      </c>
      <c r="H77" s="11"/>
      <c r="J77" s="1"/>
    </row>
    <row r="78" spans="1:35" x14ac:dyDescent="0.2">
      <c r="A78" s="6" t="s">
        <v>5</v>
      </c>
      <c r="B78" s="7"/>
      <c r="H78" s="11"/>
      <c r="J78" s="1"/>
    </row>
    <row r="79" spans="1:35" x14ac:dyDescent="0.2">
      <c r="A79" s="6" t="s">
        <v>6</v>
      </c>
      <c r="B79" s="7"/>
      <c r="H79" s="11"/>
      <c r="J79" s="1"/>
    </row>
    <row r="80" spans="1:35" x14ac:dyDescent="0.2">
      <c r="A80" s="6" t="s">
        <v>7</v>
      </c>
      <c r="B80" s="14" t="s">
        <v>1264</v>
      </c>
      <c r="H80" s="11"/>
      <c r="J80" s="1"/>
    </row>
    <row r="81" spans="1:10" x14ac:dyDescent="0.2">
      <c r="A81" s="6" t="s">
        <v>47</v>
      </c>
      <c r="B81" s="14" t="s">
        <v>1251</v>
      </c>
      <c r="H81" s="11"/>
      <c r="J81" s="1"/>
    </row>
    <row r="82" spans="1:10" x14ac:dyDescent="0.2">
      <c r="A82" s="6" t="s">
        <v>8</v>
      </c>
      <c r="B82" s="7"/>
      <c r="H82" s="11"/>
      <c r="J82" s="1"/>
    </row>
    <row r="83" spans="1:10" x14ac:dyDescent="0.2">
      <c r="H83" s="11"/>
      <c r="J83" s="1"/>
    </row>
    <row r="84" spans="1:10" x14ac:dyDescent="0.2">
      <c r="A84" s="3" t="s">
        <v>9</v>
      </c>
      <c r="B84" s="5" t="s">
        <v>10</v>
      </c>
      <c r="H84" s="11"/>
      <c r="J84" s="1"/>
    </row>
    <row r="85" spans="1:10" x14ac:dyDescent="0.2">
      <c r="A85" s="6" t="s">
        <v>11</v>
      </c>
      <c r="B85" s="7" t="s">
        <v>21</v>
      </c>
      <c r="H85" s="11"/>
      <c r="J85" s="1"/>
    </row>
    <row r="86" spans="1:10" x14ac:dyDescent="0.2">
      <c r="A86" s="6" t="s">
        <v>12</v>
      </c>
      <c r="B86" s="7" t="s">
        <v>22</v>
      </c>
      <c r="H86" s="11"/>
      <c r="J86" s="1"/>
    </row>
    <row r="87" spans="1:10" x14ac:dyDescent="0.2">
      <c r="A87" s="6" t="s">
        <v>13</v>
      </c>
      <c r="B87" s="7" t="s">
        <v>737</v>
      </c>
      <c r="H87" s="11"/>
      <c r="J87" s="1"/>
    </row>
    <row r="88" spans="1:10" x14ac:dyDescent="0.2">
      <c r="A88" s="6" t="s">
        <v>14</v>
      </c>
      <c r="B88" s="7"/>
      <c r="H88" s="11"/>
      <c r="J88" s="1"/>
    </row>
    <row r="89" spans="1:10" x14ac:dyDescent="0.2">
      <c r="A89" s="6" t="s">
        <v>15</v>
      </c>
      <c r="B89" s="7"/>
      <c r="G89" s="13"/>
      <c r="H89" s="11"/>
      <c r="J89" s="1"/>
    </row>
    <row r="90" spans="1:10" x14ac:dyDescent="0.2">
      <c r="A90" s="6" t="s">
        <v>16</v>
      </c>
      <c r="B90" s="7" t="s">
        <v>78</v>
      </c>
      <c r="H90" s="11"/>
      <c r="J90" s="1"/>
    </row>
    <row r="91" spans="1:10" x14ac:dyDescent="0.2">
      <c r="A91" s="6" t="s">
        <v>17</v>
      </c>
      <c r="B91" s="7"/>
      <c r="H91" s="11"/>
      <c r="J91" s="1"/>
    </row>
    <row r="92" spans="1:10" x14ac:dyDescent="0.2">
      <c r="H92" s="11"/>
      <c r="J92" s="1"/>
    </row>
    <row r="93" spans="1:10" x14ac:dyDescent="0.2">
      <c r="A93" s="20" t="s">
        <v>92</v>
      </c>
      <c r="B93" s="21" t="s">
        <v>93</v>
      </c>
      <c r="C93" s="21" t="s">
        <v>94</v>
      </c>
      <c r="D93" s="21" t="s">
        <v>95</v>
      </c>
      <c r="E93" s="21" t="s">
        <v>96</v>
      </c>
      <c r="F93" s="22" t="s">
        <v>97</v>
      </c>
      <c r="H93" s="11"/>
      <c r="J93" s="1"/>
    </row>
    <row r="94" spans="1:10" x14ac:dyDescent="0.2">
      <c r="H94" s="11"/>
      <c r="J94" s="1"/>
    </row>
    <row r="95" spans="1:10" x14ac:dyDescent="0.2">
      <c r="A95" s="1" t="s">
        <v>108</v>
      </c>
      <c r="C95" s="24" t="s">
        <v>101</v>
      </c>
      <c r="D95" s="1" t="s">
        <v>106</v>
      </c>
      <c r="F95" s="1" t="s">
        <v>98</v>
      </c>
      <c r="H95" s="11"/>
      <c r="J95" s="1"/>
    </row>
    <row r="96" spans="1:10" x14ac:dyDescent="0.2">
      <c r="A96" s="1" t="s">
        <v>100</v>
      </c>
      <c r="C96" s="8" t="s">
        <v>101</v>
      </c>
      <c r="D96" s="1" t="s">
        <v>106</v>
      </c>
      <c r="F96" s="1" t="s">
        <v>98</v>
      </c>
      <c r="H96" s="11"/>
      <c r="J96" s="1"/>
    </row>
    <row r="97" spans="1:7" x14ac:dyDescent="0.2">
      <c r="A97" s="1" t="s">
        <v>109</v>
      </c>
      <c r="C97" s="23" t="s">
        <v>101</v>
      </c>
      <c r="D97" s="1" t="s">
        <v>106</v>
      </c>
      <c r="F97" s="1" t="s">
        <v>98</v>
      </c>
    </row>
    <row r="98" spans="1:7" x14ac:dyDescent="0.2">
      <c r="A98" s="1" t="s">
        <v>109</v>
      </c>
      <c r="C98" s="135" t="s">
        <v>101</v>
      </c>
      <c r="D98" s="1" t="s">
        <v>107</v>
      </c>
      <c r="F98" s="1" t="s">
        <v>99</v>
      </c>
    </row>
    <row r="99" spans="1:7" x14ac:dyDescent="0.2">
      <c r="A99" s="1" t="s">
        <v>110</v>
      </c>
      <c r="C99" s="23" t="s">
        <v>101</v>
      </c>
      <c r="D99" s="1" t="s">
        <v>106</v>
      </c>
      <c r="F99" s="1" t="s">
        <v>98</v>
      </c>
    </row>
    <row r="100" spans="1:7" x14ac:dyDescent="0.2">
      <c r="A100" s="1" t="s">
        <v>110</v>
      </c>
      <c r="C100" s="27" t="s">
        <v>101</v>
      </c>
      <c r="D100" s="1" t="s">
        <v>107</v>
      </c>
      <c r="F100" s="1" t="s">
        <v>99</v>
      </c>
    </row>
    <row r="101" spans="1:7" x14ac:dyDescent="0.2">
      <c r="C101" s="23"/>
    </row>
    <row r="103" spans="1:7" x14ac:dyDescent="0.2">
      <c r="A103" s="4" t="s">
        <v>989</v>
      </c>
      <c r="B103" s="1" t="s">
        <v>736</v>
      </c>
      <c r="G103" s="13"/>
    </row>
    <row r="105" spans="1:7" x14ac:dyDescent="0.2">
      <c r="A105" s="3" t="s">
        <v>0</v>
      </c>
      <c r="B105" s="5" t="s">
        <v>1</v>
      </c>
    </row>
    <row r="106" spans="1:7" x14ac:dyDescent="0.2">
      <c r="A106" s="6" t="s">
        <v>2</v>
      </c>
      <c r="B106" s="14" t="s">
        <v>1247</v>
      </c>
    </row>
    <row r="107" spans="1:7" x14ac:dyDescent="0.2">
      <c r="A107" s="6" t="s">
        <v>3</v>
      </c>
      <c r="B107" s="14" t="s">
        <v>1248</v>
      </c>
    </row>
    <row r="108" spans="1:7" x14ac:dyDescent="0.2">
      <c r="A108" s="6" t="s">
        <v>4</v>
      </c>
      <c r="B108" s="14" t="s">
        <v>1265</v>
      </c>
    </row>
    <row r="109" spans="1:7" x14ac:dyDescent="0.2">
      <c r="A109" s="6" t="s">
        <v>5</v>
      </c>
      <c r="B109" s="7"/>
      <c r="G109" s="13"/>
    </row>
    <row r="110" spans="1:7" x14ac:dyDescent="0.2">
      <c r="A110" s="6" t="s">
        <v>6</v>
      </c>
      <c r="B110" s="7"/>
    </row>
    <row r="111" spans="1:7" x14ac:dyDescent="0.2">
      <c r="A111" s="6" t="s">
        <v>7</v>
      </c>
      <c r="B111" s="7"/>
    </row>
    <row r="112" spans="1:7" x14ac:dyDescent="0.2">
      <c r="A112" s="6" t="s">
        <v>47</v>
      </c>
      <c r="B112" s="14" t="s">
        <v>1251</v>
      </c>
    </row>
    <row r="113" spans="1:2" x14ac:dyDescent="0.2">
      <c r="A113" s="6" t="s">
        <v>8</v>
      </c>
      <c r="B113" s="7"/>
    </row>
    <row r="116" spans="1:2" x14ac:dyDescent="0.2">
      <c r="A116" s="3" t="s">
        <v>23</v>
      </c>
      <c r="B116" s="5" t="s">
        <v>24</v>
      </c>
    </row>
    <row r="117" spans="1:2" x14ac:dyDescent="0.2">
      <c r="A117" s="6" t="s">
        <v>25</v>
      </c>
      <c r="B117" s="7"/>
    </row>
    <row r="118" spans="1:2" x14ac:dyDescent="0.2">
      <c r="A118" s="6" t="s">
        <v>26</v>
      </c>
      <c r="B118" s="7"/>
    </row>
    <row r="119" spans="1:2" x14ac:dyDescent="0.2">
      <c r="A119" s="6" t="s">
        <v>27</v>
      </c>
      <c r="B119" s="7"/>
    </row>
    <row r="120" spans="1:2" x14ac:dyDescent="0.2">
      <c r="A120" s="6" t="s">
        <v>28</v>
      </c>
      <c r="B120" s="7"/>
    </row>
    <row r="121" spans="1:2" x14ac:dyDescent="0.2">
      <c r="A121" s="6" t="s">
        <v>29</v>
      </c>
      <c r="B121" s="7"/>
    </row>
    <row r="122" spans="1:2" x14ac:dyDescent="0.2">
      <c r="A122" s="6" t="s">
        <v>30</v>
      </c>
      <c r="B122" s="7" t="s">
        <v>78</v>
      </c>
    </row>
    <row r="123" spans="1:2" x14ac:dyDescent="0.2">
      <c r="A123" s="6" t="s">
        <v>31</v>
      </c>
      <c r="B123" s="7" t="s">
        <v>78</v>
      </c>
    </row>
    <row r="124" spans="1:2" x14ac:dyDescent="0.2">
      <c r="A124" s="6" t="s">
        <v>32</v>
      </c>
      <c r="B124" s="7"/>
    </row>
    <row r="125" spans="1:2" x14ac:dyDescent="0.2">
      <c r="A125" s="6" t="s">
        <v>33</v>
      </c>
      <c r="B125" s="7"/>
    </row>
    <row r="126" spans="1:2" x14ac:dyDescent="0.2">
      <c r="A126" s="6" t="s">
        <v>34</v>
      </c>
      <c r="B126" s="7"/>
    </row>
    <row r="127" spans="1:2" x14ac:dyDescent="0.2">
      <c r="A127" s="6" t="s">
        <v>35</v>
      </c>
      <c r="B127" s="7"/>
    </row>
    <row r="128" spans="1:2" x14ac:dyDescent="0.2">
      <c r="A128" s="6" t="s">
        <v>36</v>
      </c>
      <c r="B128" s="7"/>
    </row>
    <row r="129" spans="1:34" x14ac:dyDescent="0.2">
      <c r="A129" s="6" t="s">
        <v>37</v>
      </c>
      <c r="B129" s="7"/>
    </row>
    <row r="130" spans="1:34" x14ac:dyDescent="0.2">
      <c r="A130" s="6" t="s">
        <v>38</v>
      </c>
      <c r="B130" s="7"/>
    </row>
    <row r="131" spans="1:34" x14ac:dyDescent="0.2">
      <c r="A131" s="6" t="s">
        <v>39</v>
      </c>
      <c r="B131" s="7"/>
    </row>
    <row r="132" spans="1:34" x14ac:dyDescent="0.2">
      <c r="A132" s="6" t="s">
        <v>40</v>
      </c>
      <c r="B132" s="7"/>
    </row>
    <row r="133" spans="1:34" x14ac:dyDescent="0.2">
      <c r="A133" s="6" t="s">
        <v>41</v>
      </c>
      <c r="B133" s="7"/>
    </row>
    <row r="134" spans="1:34" x14ac:dyDescent="0.2">
      <c r="A134" s="6" t="s">
        <v>42</v>
      </c>
      <c r="B134" s="7"/>
    </row>
    <row r="135" spans="1:34" x14ac:dyDescent="0.2">
      <c r="A135" s="6" t="s">
        <v>43</v>
      </c>
      <c r="B135" s="7"/>
    </row>
    <row r="136" spans="1:34" x14ac:dyDescent="0.2">
      <c r="A136" s="6" t="s">
        <v>44</v>
      </c>
      <c r="B136" s="7"/>
    </row>
    <row r="137" spans="1:34" x14ac:dyDescent="0.2">
      <c r="A137" s="6" t="s">
        <v>45</v>
      </c>
      <c r="B137" s="7"/>
      <c r="I137" s="72"/>
      <c r="J137" s="1"/>
      <c r="K137" s="72"/>
      <c r="L137" s="72"/>
      <c r="M137" s="72"/>
      <c r="O137" s="72"/>
      <c r="P137" s="72"/>
      <c r="Q137" s="72"/>
      <c r="R137" s="72"/>
      <c r="S137" s="72"/>
      <c r="T137" s="72"/>
      <c r="U137" s="72"/>
      <c r="V137" s="72"/>
      <c r="W137" s="72"/>
      <c r="X137" s="72"/>
      <c r="Y137" s="72"/>
      <c r="Z137" s="72"/>
      <c r="AA137" s="72"/>
      <c r="AD137" s="72"/>
      <c r="AF137" s="72"/>
      <c r="AH137" s="72"/>
    </row>
    <row r="138" spans="1:34" x14ac:dyDescent="0.2">
      <c r="A138" s="6" t="s">
        <v>46</v>
      </c>
      <c r="B138" s="7"/>
    </row>
    <row r="141" spans="1:34" x14ac:dyDescent="0.2">
      <c r="I141" s="72"/>
      <c r="J141" s="1"/>
      <c r="K141" s="72"/>
      <c r="L141" s="72"/>
      <c r="M141" s="72"/>
      <c r="O141" s="72"/>
      <c r="P141" s="72"/>
      <c r="Q141" s="72"/>
      <c r="R141" s="72"/>
      <c r="S141" s="72"/>
      <c r="T141" s="72"/>
      <c r="U141" s="72"/>
      <c r="V141" s="72"/>
      <c r="W141" s="72"/>
      <c r="X141" s="72"/>
      <c r="Y141" s="72"/>
      <c r="Z141" s="72"/>
      <c r="AA141" s="72"/>
      <c r="AD141" s="72"/>
      <c r="AF141" s="72"/>
      <c r="AH141" s="72"/>
    </row>
    <row r="155" spans="5:5" x14ac:dyDescent="0.2">
      <c r="E155" s="72"/>
    </row>
    <row r="159" spans="5:5" x14ac:dyDescent="0.2">
      <c r="E159" s="72"/>
    </row>
    <row r="188" spans="7:7" x14ac:dyDescent="0.2">
      <c r="G188" s="72"/>
    </row>
    <row r="192" spans="7:7" x14ac:dyDescent="0.2">
      <c r="G192" s="72"/>
    </row>
  </sheetData>
  <mergeCells count="2">
    <mergeCell ref="AD31:AE31"/>
    <mergeCell ref="AG31:AH31"/>
  </mergeCells>
  <dataValidations count="2">
    <dataValidation type="list" allowBlank="1" sqref="B57 B86 B28" xr:uid="{00000000-0002-0000-3F00-000000000000}">
      <formula1>"ACCOUNT,BUSINESSUNIT,CATEGORY,DATASRC,DEPARTMENT,INTCO,MEASURES,RPTCURRENCY,TIME"</formula1>
    </dataValidation>
    <dataValidation type="list" allowBlank="1" sqref="B87 B58 B29" xr:uid="{00000000-0002-0000-3F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16">
    <tabColor theme="9" tint="0.39997558519241921"/>
    <pageSetUpPr fitToPage="1"/>
  </sheetPr>
  <dimension ref="A1:AO192"/>
  <sheetViews>
    <sheetView topLeftCell="K25" zoomScale="85" zoomScaleNormal="85" workbookViewId="0">
      <pane xSplit="4" ySplit="8" topLeftCell="O39"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366</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_xll.EVRNG(H34:H44)</f>
        <v>#NAME?</v>
      </c>
      <c r="G19" s="16" t="str">
        <f>$B$6</f>
        <v>D1132</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
        <v>749</v>
      </c>
      <c r="H20" s="16">
        <v>900200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I21" s="1"/>
      <c r="J21" s="1"/>
    </row>
    <row r="22" spans="1:40" hidden="1" outlineLevel="1" x14ac:dyDescent="0.2">
      <c r="A22" s="6" t="s">
        <v>7</v>
      </c>
      <c r="B22" s="7" t="e">
        <f ca="1">_xll.EVRNG(A36:F40)</f>
        <v>#NAME?</v>
      </c>
      <c r="I22" s="1"/>
      <c r="J22" s="1"/>
    </row>
    <row r="23" spans="1:40" hidden="1" outlineLevel="1" x14ac:dyDescent="0.2">
      <c r="A23" s="6" t="s">
        <v>47</v>
      </c>
      <c r="B23" s="7" t="e">
        <f ca="1">_xll.EVRNG($A$116:$B$137)</f>
        <v>#NAME?</v>
      </c>
      <c r="K23" s="53"/>
      <c r="L23" s="53"/>
      <c r="M23" s="53"/>
      <c r="AD23" s="136"/>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IF(_xll.EVDES(B6,$B$1)="#NODATA","",_xll.EVDES(B6,$B$1)&amp;" Department")</f>
        <v>#NAME?</v>
      </c>
    </row>
    <row r="28" spans="1:40" ht="16" x14ac:dyDescent="0.2">
      <c r="A28" s="6" t="s">
        <v>12</v>
      </c>
      <c r="B28" s="7" t="s">
        <v>22</v>
      </c>
      <c r="N28" s="67" t="e">
        <f ca="1">"For the Period ended"&amp;" "&amp;IF(_xll.EVDES($B$10,$B$1)="#NODATA","",_xll.EVDES($B$10,$B$1))</f>
        <v>#NAME?</v>
      </c>
    </row>
    <row r="29" spans="1:40" ht="15" customHeight="1" x14ac:dyDescent="0.2">
      <c r="A29" s="6" t="s">
        <v>13</v>
      </c>
      <c r="B29" s="7" t="e">
        <f ca="1">"DEP(420100) AND "&amp;$E$6&amp;"=Y,400000"</f>
        <v>#NAME?</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748</v>
      </c>
      <c r="AK30" s="209"/>
      <c r="AL30" s="210"/>
      <c r="AM30" s="209" t="s">
        <v>750</v>
      </c>
      <c r="AN30" s="209"/>
    </row>
    <row r="31" spans="1:40" x14ac:dyDescent="0.2">
      <c r="A31" s="6" t="s">
        <v>15</v>
      </c>
      <c r="B31" s="7"/>
      <c r="G31" s="13"/>
      <c r="K31" s="11"/>
      <c r="L31" s="11"/>
      <c r="M31" s="1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69</v>
      </c>
      <c r="I33" s="11" t="e">
        <f ca="1">_xll.EVPRO($B$1,$H33,"STYLE")</f>
        <v>#NAME?</v>
      </c>
      <c r="J33" s="11" t="e">
        <f ca="1">_xll.EVPRO($B$1,$H33,"CALC")</f>
        <v>#NAME?</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0" x14ac:dyDescent="0.2">
      <c r="H34" s="10" t="s">
        <v>367</v>
      </c>
      <c r="I34" s="25" t="e">
        <f ca="1">_xll.EVPRO($B$1,$H34,"STYLE")</f>
        <v>#NAME?</v>
      </c>
      <c r="J34" s="25" t="e">
        <f ca="1">_xll.EVPRO($B$1,$H34,"CALC")</f>
        <v>#NAME?</v>
      </c>
      <c r="K34" s="64" t="e">
        <f ca="1">IF(AND(I34&gt;="T5"),"&gt;","")</f>
        <v>#NAME?</v>
      </c>
      <c r="L34" s="24" t="e">
        <f ca="1">_xll.EVPRO($B$1,H34,"JDEID")</f>
        <v>#NAME?</v>
      </c>
      <c r="M34" s="24" t="e">
        <f ca="1">IF(AND(I34="N",J34="N"),_xll.EVPRO($B$1,H34,"PSFTID"),"")</f>
        <v>#NAME?</v>
      </c>
      <c r="N34" s="24" t="e">
        <f ca="1">IF(_xll.EVDES(H34,$B$1)="#NODATA","",_xll.EVDES(H34,$B$1))</f>
        <v>#NAME?</v>
      </c>
      <c r="O34" s="19"/>
      <c r="P34" s="19"/>
      <c r="Q34" s="19"/>
      <c r="R34" s="19"/>
      <c r="S34" s="19"/>
      <c r="T34" s="19"/>
      <c r="U34" s="19"/>
      <c r="V34" s="19"/>
      <c r="W34" s="19"/>
      <c r="X34" s="19"/>
      <c r="Y34" s="19"/>
      <c r="Z34" s="19"/>
      <c r="AA34" s="283" t="e">
        <f t="shared" ref="AA34:AA44" ca="1" si="0">IF($I34="B1","",SUM(O34:Z34))</f>
        <v>#NAME?</v>
      </c>
      <c r="AB34" s="15" t="e">
        <f t="shared" ref="AB34:AB44" ca="1" si="1">IF(AA34=0,"",IFERROR(AA34/AA$19,""))</f>
        <v>#NAME?</v>
      </c>
      <c r="AD34" s="19"/>
      <c r="AE34" s="15" t="str">
        <f t="shared" ref="AE34:AE44" si="2">IF(AD34=0,"",IFERROR(AD34/AD$19,""))</f>
        <v/>
      </c>
      <c r="AF34" s="47" t="e">
        <f t="shared" ref="AF34:AF44" ca="1" si="3">IF(AND($AA34="",AD34=""),"",$AA34-AD34)</f>
        <v>#NAME?</v>
      </c>
      <c r="AG34" s="19"/>
      <c r="AH34" s="15" t="str">
        <f>IF(AG34=0,"",IFERROR(AG34/AG$19,""))</f>
        <v/>
      </c>
      <c r="AI34" s="47" t="e">
        <f ca="1">IF(AND($AA34="",AG34=""),"",$AA34-AG34)</f>
        <v>#NAME?</v>
      </c>
      <c r="AJ34" s="371">
        <f ca="1">IFERROR(AA34/AA$20,0)</f>
        <v>0</v>
      </c>
      <c r="AK34" s="372">
        <f ca="1">IFERROR(AD34/AD$20,0)</f>
        <v>0</v>
      </c>
      <c r="AL34" s="373">
        <f ca="1">IFERROR(AG34/AG$20,0)</f>
        <v>0</v>
      </c>
      <c r="AM34" s="374">
        <f ca="1">+IFERROR(ROUND(($AB34-AE34)*100,2)&amp;" pts.",0)</f>
        <v>0</v>
      </c>
      <c r="AN34" s="375">
        <f ca="1">+IFERROR(ROUND(($AB34-AH34)*100,2)&amp;" pts.",0)</f>
        <v>0</v>
      </c>
    </row>
    <row r="35" spans="1:40" x14ac:dyDescent="0.2">
      <c r="A35" s="20" t="s">
        <v>92</v>
      </c>
      <c r="B35" s="21" t="s">
        <v>93</v>
      </c>
      <c r="C35" s="21" t="s">
        <v>94</v>
      </c>
      <c r="D35" s="21" t="s">
        <v>95</v>
      </c>
      <c r="E35" s="21" t="s">
        <v>96</v>
      </c>
      <c r="F35" s="22" t="s">
        <v>97</v>
      </c>
      <c r="H35" s="10" t="s">
        <v>368</v>
      </c>
      <c r="I35" s="25" t="e">
        <f ca="1">_xll.EVPRO($B$1,$H35,"STYLE")</f>
        <v>#NAME?</v>
      </c>
      <c r="J35" s="25" t="e">
        <f ca="1">_xll.EVPRO($B$1,$H35,"CALC")</f>
        <v>#NAME?</v>
      </c>
      <c r="K35" s="64" t="e">
        <f t="shared" ref="K35:K44" ca="1" si="4">IF(AND(I35&gt;="T5"),"&gt;","")</f>
        <v>#NAME?</v>
      </c>
      <c r="L35" s="24" t="e">
        <f ca="1">_xll.EVPRO($B$1,H35,"JDEID")</f>
        <v>#NAME?</v>
      </c>
      <c r="M35" s="24" t="e">
        <f ca="1">IF(AND(I35="N",J35="N"),_xll.EVPRO($B$1,H35,"PSFTID"),"")</f>
        <v>#NAME?</v>
      </c>
      <c r="N35" s="24" t="e">
        <f ca="1">IF(_xll.EVDES(H35,$B$1)="#NODATA","",_xll.EVDES(H35,$B$1))</f>
        <v>#NAME?</v>
      </c>
      <c r="O35" s="19"/>
      <c r="P35" s="19"/>
      <c r="Q35" s="19"/>
      <c r="R35" s="19"/>
      <c r="S35" s="19"/>
      <c r="T35" s="19"/>
      <c r="U35" s="19"/>
      <c r="V35" s="19"/>
      <c r="W35" s="19"/>
      <c r="X35" s="19"/>
      <c r="Y35" s="19"/>
      <c r="Z35" s="19"/>
      <c r="AA35" s="283" t="e">
        <f t="shared" ca="1" si="0"/>
        <v>#NAME?</v>
      </c>
      <c r="AB35" s="15" t="e">
        <f t="shared" ca="1" si="1"/>
        <v>#NAME?</v>
      </c>
      <c r="AD35" s="19"/>
      <c r="AE35" s="15" t="str">
        <f t="shared" si="2"/>
        <v/>
      </c>
      <c r="AF35" s="47" t="e">
        <f t="shared" ca="1" si="3"/>
        <v>#NAME?</v>
      </c>
      <c r="AG35" s="19"/>
      <c r="AH35" s="15" t="str">
        <f t="shared" ref="AH35:AH44" si="5">IF(AG35=0,"",IFERROR(AG35/AG$19,""))</f>
        <v/>
      </c>
      <c r="AI35" s="47" t="e">
        <f t="shared" ref="AI35:AI44" ca="1" si="6">IF(AND($AA35="",AG35=""),"",$AA35-AG35)</f>
        <v>#NAME?</v>
      </c>
      <c r="AJ35" s="371">
        <f t="shared" ref="AJ35:AJ44" ca="1" si="7">IFERROR(AA35/AA$20,0)</f>
        <v>0</v>
      </c>
      <c r="AK35" s="372">
        <f t="shared" ref="AK35:AK44" ca="1" si="8">IFERROR(AD35/AD$20,0)</f>
        <v>0</v>
      </c>
      <c r="AL35" s="373">
        <f t="shared" ref="AL35:AL44" ca="1" si="9">IFERROR(AG35/AG$20,0)</f>
        <v>0</v>
      </c>
      <c r="AM35" s="374">
        <f t="shared" ref="AM35:AM44" ca="1" si="10">+IFERROR(ROUND(($AB35-AE35)*100,2)&amp;" pts.",0)</f>
        <v>0</v>
      </c>
      <c r="AN35" s="375">
        <f t="shared" ref="AN35:AN44" ca="1" si="11">+IFERROR(ROUND(($AB35-AH35)*100,2)&amp;" pts.",0)</f>
        <v>0</v>
      </c>
    </row>
    <row r="36" spans="1:40" x14ac:dyDescent="0.2">
      <c r="H36" s="10" t="s">
        <v>369</v>
      </c>
      <c r="I36" s="25" t="e">
        <f ca="1">_xll.EVPRO($B$1,$H36,"STYLE")</f>
        <v>#NAME?</v>
      </c>
      <c r="J36" s="25" t="e">
        <f ca="1">_xll.EVPRO($B$1,$H36,"CALC")</f>
        <v>#NAME?</v>
      </c>
      <c r="K36" s="64" t="e">
        <f t="shared" ca="1" si="4"/>
        <v>#NAME?</v>
      </c>
      <c r="L36" s="24" t="e">
        <f ca="1">_xll.EVPRO($B$1,H36,"JDEID")</f>
        <v>#NAME?</v>
      </c>
      <c r="M36" s="24" t="e">
        <f ca="1">IF(AND(I36="N",J36="N"),_xll.EVPRO($B$1,H36,"PSFTID"),"")</f>
        <v>#NAME?</v>
      </c>
      <c r="N36" s="24" t="e">
        <f ca="1">IF(_xll.EVDES(H36,$B$1)="#NODATA","",_xll.EVDES(H36,$B$1))</f>
        <v>#NAME?</v>
      </c>
      <c r="O36" s="19"/>
      <c r="P36" s="19"/>
      <c r="Q36" s="19"/>
      <c r="R36" s="19"/>
      <c r="S36" s="19"/>
      <c r="T36" s="19"/>
      <c r="U36" s="19"/>
      <c r="V36" s="19"/>
      <c r="W36" s="19"/>
      <c r="X36" s="19"/>
      <c r="Y36" s="19"/>
      <c r="Z36" s="19"/>
      <c r="AA36" s="283" t="e">
        <f t="shared" ca="1" si="0"/>
        <v>#NAME?</v>
      </c>
      <c r="AB36" s="15" t="e">
        <f t="shared" ca="1" si="1"/>
        <v>#NAME?</v>
      </c>
      <c r="AD36" s="19"/>
      <c r="AE36" s="15" t="str">
        <f t="shared" si="2"/>
        <v/>
      </c>
      <c r="AF36" s="47" t="e">
        <f t="shared" ca="1" si="3"/>
        <v>#NAME?</v>
      </c>
      <c r="AG36" s="19"/>
      <c r="AH36" s="15" t="str">
        <f t="shared" si="5"/>
        <v/>
      </c>
      <c r="AI36" s="47" t="e">
        <f t="shared" ca="1" si="6"/>
        <v>#NAME?</v>
      </c>
      <c r="AJ36" s="371">
        <f t="shared" ca="1" si="7"/>
        <v>0</v>
      </c>
      <c r="AK36" s="372">
        <f t="shared" ca="1" si="8"/>
        <v>0</v>
      </c>
      <c r="AL36" s="373">
        <f t="shared" ca="1" si="9"/>
        <v>0</v>
      </c>
      <c r="AM36" s="374">
        <f t="shared" ca="1" si="10"/>
        <v>0</v>
      </c>
      <c r="AN36" s="375">
        <f t="shared" ca="1" si="11"/>
        <v>0</v>
      </c>
    </row>
    <row r="37" spans="1:40" x14ac:dyDescent="0.2">
      <c r="A37" s="1" t="s">
        <v>105</v>
      </c>
      <c r="C37" s="24" t="s">
        <v>101</v>
      </c>
      <c r="D37" s="1" t="s">
        <v>106</v>
      </c>
      <c r="F37" s="1" t="s">
        <v>98</v>
      </c>
      <c r="H37" s="10" t="s">
        <v>370</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19"/>
      <c r="P37" s="19"/>
      <c r="Q37" s="19"/>
      <c r="R37" s="19"/>
      <c r="S37" s="19"/>
      <c r="T37" s="19"/>
      <c r="U37" s="19"/>
      <c r="V37" s="19"/>
      <c r="W37" s="19"/>
      <c r="X37" s="19"/>
      <c r="Y37" s="19"/>
      <c r="Z37" s="19"/>
      <c r="AA37" s="283" t="e">
        <f t="shared" ca="1" si="0"/>
        <v>#NAME?</v>
      </c>
      <c r="AB37" s="15" t="e">
        <f t="shared" ca="1" si="1"/>
        <v>#NAME?</v>
      </c>
      <c r="AD37" s="19"/>
      <c r="AE37" s="15" t="str">
        <f t="shared" si="2"/>
        <v/>
      </c>
      <c r="AF37" s="47" t="e">
        <f t="shared" ca="1" si="3"/>
        <v>#NAME?</v>
      </c>
      <c r="AG37" s="19"/>
      <c r="AH37" s="15" t="str">
        <f t="shared" si="5"/>
        <v/>
      </c>
      <c r="AI37" s="47" t="e">
        <f t="shared" ca="1" si="6"/>
        <v>#NAME?</v>
      </c>
      <c r="AJ37" s="371">
        <f t="shared" ca="1" si="7"/>
        <v>0</v>
      </c>
      <c r="AK37" s="372">
        <f t="shared" ca="1" si="8"/>
        <v>0</v>
      </c>
      <c r="AL37" s="373">
        <f t="shared" ca="1" si="9"/>
        <v>0</v>
      </c>
      <c r="AM37" s="374">
        <f t="shared" ca="1" si="10"/>
        <v>0</v>
      </c>
      <c r="AN37" s="375">
        <f t="shared" ca="1" si="11"/>
        <v>0</v>
      </c>
    </row>
    <row r="38" spans="1:40" x14ac:dyDescent="0.2">
      <c r="A38" s="1" t="s">
        <v>104</v>
      </c>
      <c r="C38" s="24" t="s">
        <v>101</v>
      </c>
      <c r="D38" s="1" t="s">
        <v>106</v>
      </c>
      <c r="F38" s="1" t="s">
        <v>98</v>
      </c>
      <c r="H38" s="10" t="s">
        <v>371</v>
      </c>
      <c r="I38" s="25" t="e">
        <f ca="1">_xll.EVPRO($B$1,$H38,"STYLE")</f>
        <v>#NAME?</v>
      </c>
      <c r="J38" s="25" t="e">
        <f ca="1">_xll.EVPRO($B$1,$H38,"CALC")</f>
        <v>#NAME?</v>
      </c>
      <c r="K38" s="64" t="e">
        <f t="shared" ca="1" si="4"/>
        <v>#NAME?</v>
      </c>
      <c r="L38" s="24" t="e">
        <f ca="1">_xll.EVPRO($B$1,H38,"JDEID")</f>
        <v>#NAME?</v>
      </c>
      <c r="M38" s="24" t="e">
        <f ca="1">IF(AND(I38="N",J38="N"),_xll.EVPRO($B$1,H38,"PSFTID"),"")</f>
        <v>#NAME?</v>
      </c>
      <c r="N38" s="24" t="e">
        <f ca="1">IF(_xll.EVDES(H38,$B$1)="#NODATA","",_xll.EVDES(H38,$B$1))</f>
        <v>#NAME?</v>
      </c>
      <c r="O38" s="19"/>
      <c r="P38" s="19"/>
      <c r="Q38" s="19"/>
      <c r="R38" s="19"/>
      <c r="S38" s="19"/>
      <c r="T38" s="19"/>
      <c r="U38" s="19"/>
      <c r="V38" s="19"/>
      <c r="W38" s="19"/>
      <c r="X38" s="19"/>
      <c r="Y38" s="19"/>
      <c r="Z38" s="19"/>
      <c r="AA38" s="283" t="e">
        <f t="shared" ca="1" si="0"/>
        <v>#NAME?</v>
      </c>
      <c r="AB38" s="15" t="e">
        <f t="shared" ca="1" si="1"/>
        <v>#NAME?</v>
      </c>
      <c r="AD38" s="19"/>
      <c r="AE38" s="15" t="str">
        <f t="shared" si="2"/>
        <v/>
      </c>
      <c r="AF38" s="47" t="e">
        <f t="shared" ca="1" si="3"/>
        <v>#NAME?</v>
      </c>
      <c r="AG38" s="19"/>
      <c r="AH38" s="15" t="str">
        <f t="shared" si="5"/>
        <v/>
      </c>
      <c r="AI38" s="47" t="e">
        <f t="shared" ca="1" si="6"/>
        <v>#NAME?</v>
      </c>
      <c r="AJ38" s="371">
        <f t="shared" ca="1" si="7"/>
        <v>0</v>
      </c>
      <c r="AK38" s="372">
        <f t="shared" ca="1" si="8"/>
        <v>0</v>
      </c>
      <c r="AL38" s="373">
        <f t="shared" ca="1" si="9"/>
        <v>0</v>
      </c>
      <c r="AM38" s="374">
        <f t="shared" ca="1" si="10"/>
        <v>0</v>
      </c>
      <c r="AN38" s="375">
        <f t="shared" ca="1" si="11"/>
        <v>0</v>
      </c>
    </row>
    <row r="39" spans="1:40" x14ac:dyDescent="0.2">
      <c r="A39" s="1" t="s">
        <v>108</v>
      </c>
      <c r="C39" s="23" t="s">
        <v>101</v>
      </c>
      <c r="D39" s="1" t="s">
        <v>106</v>
      </c>
      <c r="F39" s="1" t="s">
        <v>98</v>
      </c>
      <c r="H39" s="10" t="s">
        <v>372</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19"/>
      <c r="P39" s="19"/>
      <c r="Q39" s="19"/>
      <c r="R39" s="19"/>
      <c r="S39" s="19"/>
      <c r="T39" s="19"/>
      <c r="U39" s="19"/>
      <c r="V39" s="19"/>
      <c r="W39" s="19"/>
      <c r="X39" s="19"/>
      <c r="Y39" s="19"/>
      <c r="Z39" s="19"/>
      <c r="AA39" s="283" t="e">
        <f t="shared" ca="1" si="0"/>
        <v>#NAME?</v>
      </c>
      <c r="AB39" s="15" t="e">
        <f t="shared" ca="1" si="1"/>
        <v>#NAME?</v>
      </c>
      <c r="AD39" s="19"/>
      <c r="AE39" s="15" t="str">
        <f t="shared" si="2"/>
        <v/>
      </c>
      <c r="AF39" s="47" t="e">
        <f t="shared" ca="1" si="3"/>
        <v>#NAME?</v>
      </c>
      <c r="AG39" s="19"/>
      <c r="AH39" s="15" t="str">
        <f t="shared" si="5"/>
        <v/>
      </c>
      <c r="AI39" s="47" t="e">
        <f t="shared" ca="1" si="6"/>
        <v>#NAME?</v>
      </c>
      <c r="AJ39" s="371">
        <f t="shared" ca="1" si="7"/>
        <v>0</v>
      </c>
      <c r="AK39" s="372">
        <f t="shared" ca="1" si="8"/>
        <v>0</v>
      </c>
      <c r="AL39" s="373">
        <f t="shared" ca="1" si="9"/>
        <v>0</v>
      </c>
      <c r="AM39" s="374">
        <f t="shared" ca="1" si="10"/>
        <v>0</v>
      </c>
      <c r="AN39" s="375">
        <f t="shared" ca="1" si="11"/>
        <v>0</v>
      </c>
    </row>
    <row r="40" spans="1:40" x14ac:dyDescent="0.2">
      <c r="A40" s="1" t="s">
        <v>108</v>
      </c>
      <c r="C40" s="135" t="s">
        <v>101</v>
      </c>
      <c r="D40" s="1" t="s">
        <v>107</v>
      </c>
      <c r="F40" s="1" t="s">
        <v>99</v>
      </c>
      <c r="H40" s="10" t="s">
        <v>373</v>
      </c>
      <c r="I40" s="25" t="e">
        <f ca="1">_xll.EVPRO($B$1,$H40,"STYLE")</f>
        <v>#NAME?</v>
      </c>
      <c r="J40" s="25" t="e">
        <f ca="1">_xll.EVPRO($B$1,$H40,"CALC")</f>
        <v>#NAME?</v>
      </c>
      <c r="K40" s="64" t="e">
        <f t="shared" ca="1" si="4"/>
        <v>#NAME?</v>
      </c>
      <c r="L40" s="24" t="e">
        <f ca="1">_xll.EVPRO($B$1,H40,"JDEID")</f>
        <v>#NAME?</v>
      </c>
      <c r="M40" s="24" t="e">
        <f ca="1">IF(AND(I40="N",J40="N"),_xll.EVPRO($B$1,H40,"PSFTID"),"")</f>
        <v>#NAME?</v>
      </c>
      <c r="N40" s="24" t="e">
        <f ca="1">IF(_xll.EVDES(H40,$B$1)="#NODATA","",_xll.EVDES(H40,$B$1))</f>
        <v>#NAME?</v>
      </c>
      <c r="O40" s="19"/>
      <c r="P40" s="19"/>
      <c r="Q40" s="19"/>
      <c r="R40" s="19"/>
      <c r="S40" s="19"/>
      <c r="T40" s="19"/>
      <c r="U40" s="19"/>
      <c r="V40" s="19"/>
      <c r="W40" s="19"/>
      <c r="X40" s="19"/>
      <c r="Y40" s="19"/>
      <c r="Z40" s="19"/>
      <c r="AA40" s="283" t="e">
        <f t="shared" ca="1" si="0"/>
        <v>#NAME?</v>
      </c>
      <c r="AB40" s="15" t="e">
        <f t="shared" ca="1" si="1"/>
        <v>#NAME?</v>
      </c>
      <c r="AD40" s="19"/>
      <c r="AE40" s="15" t="str">
        <f t="shared" si="2"/>
        <v/>
      </c>
      <c r="AF40" s="47" t="e">
        <f t="shared" ca="1" si="3"/>
        <v>#NAME?</v>
      </c>
      <c r="AG40" s="19"/>
      <c r="AH40" s="15" t="str">
        <f t="shared" si="5"/>
        <v/>
      </c>
      <c r="AI40" s="47" t="e">
        <f t="shared" ca="1" si="6"/>
        <v>#NAME?</v>
      </c>
      <c r="AJ40" s="371">
        <f t="shared" ca="1" si="7"/>
        <v>0</v>
      </c>
      <c r="AK40" s="372">
        <f t="shared" ca="1" si="8"/>
        <v>0</v>
      </c>
      <c r="AL40" s="373">
        <f t="shared" ca="1" si="9"/>
        <v>0</v>
      </c>
      <c r="AM40" s="374">
        <f t="shared" ca="1" si="10"/>
        <v>0</v>
      </c>
      <c r="AN40" s="375">
        <f t="shared" ca="1" si="11"/>
        <v>0</v>
      </c>
    </row>
    <row r="41" spans="1:40" x14ac:dyDescent="0.2">
      <c r="H41" s="10" t="s">
        <v>374</v>
      </c>
      <c r="I41" s="25" t="e">
        <f ca="1">_xll.EVPRO($B$1,$H41,"STYLE")</f>
        <v>#NAME?</v>
      </c>
      <c r="J41" s="25" t="e">
        <f ca="1">_xll.EVPRO($B$1,$H41,"CALC")</f>
        <v>#NAME?</v>
      </c>
      <c r="K41" s="64" t="e">
        <f t="shared" ca="1" si="4"/>
        <v>#NAME?</v>
      </c>
      <c r="L41" s="24" t="e">
        <f ca="1">_xll.EVPRO($B$1,H41,"JDEID")</f>
        <v>#NAME?</v>
      </c>
      <c r="M41" s="24" t="e">
        <f ca="1">IF(AND(I41="N",J41="N"),_xll.EVPRO($B$1,H41,"PSFTID"),"")</f>
        <v>#NAME?</v>
      </c>
      <c r="N41" s="24" t="e">
        <f ca="1">IF(_xll.EVDES(H41,$B$1)="#NODATA","",_xll.EVDES(H41,$B$1))</f>
        <v>#NAME?</v>
      </c>
      <c r="O41" s="19"/>
      <c r="P41" s="19"/>
      <c r="Q41" s="19"/>
      <c r="R41" s="19"/>
      <c r="S41" s="19"/>
      <c r="T41" s="19"/>
      <c r="U41" s="19"/>
      <c r="V41" s="19"/>
      <c r="W41" s="19"/>
      <c r="X41" s="19"/>
      <c r="Y41" s="19"/>
      <c r="Z41" s="19"/>
      <c r="AA41" s="283" t="e">
        <f t="shared" ca="1" si="0"/>
        <v>#NAME?</v>
      </c>
      <c r="AB41" s="15" t="e">
        <f t="shared" ca="1" si="1"/>
        <v>#NAME?</v>
      </c>
      <c r="AD41" s="19"/>
      <c r="AE41" s="15" t="str">
        <f t="shared" si="2"/>
        <v/>
      </c>
      <c r="AF41" s="47" t="e">
        <f t="shared" ca="1" si="3"/>
        <v>#NAME?</v>
      </c>
      <c r="AG41" s="19"/>
      <c r="AH41" s="15" t="str">
        <f t="shared" si="5"/>
        <v/>
      </c>
      <c r="AI41" s="47" t="e">
        <f t="shared" ca="1" si="6"/>
        <v>#NAME?</v>
      </c>
      <c r="AJ41" s="371">
        <f t="shared" ca="1" si="7"/>
        <v>0</v>
      </c>
      <c r="AK41" s="372">
        <f t="shared" ca="1" si="8"/>
        <v>0</v>
      </c>
      <c r="AL41" s="373">
        <f t="shared" ca="1" si="9"/>
        <v>0</v>
      </c>
      <c r="AM41" s="374">
        <f t="shared" ca="1" si="10"/>
        <v>0</v>
      </c>
      <c r="AN41" s="375">
        <f t="shared" ca="1" si="11"/>
        <v>0</v>
      </c>
    </row>
    <row r="42" spans="1:40" x14ac:dyDescent="0.2">
      <c r="H42" s="133" t="s">
        <v>375</v>
      </c>
      <c r="I42" s="25" t="e">
        <f ca="1">_xll.EVPRO($B$1,$H42,"STYLE")</f>
        <v>#NAME?</v>
      </c>
      <c r="J42" s="25" t="e">
        <f ca="1">_xll.EVPRO($B$1,$H42,"CALC")</f>
        <v>#NAME?</v>
      </c>
      <c r="K42" s="64" t="e">
        <f t="shared" ca="1" si="4"/>
        <v>#NAME?</v>
      </c>
      <c r="L42" s="24" t="e">
        <f ca="1">_xll.EVPRO($B$1,H42,"JDEID")</f>
        <v>#NAME?</v>
      </c>
      <c r="M42" s="24" t="e">
        <f ca="1">IF(AND(I42="N",J42="N"),_xll.EVPRO($B$1,H42,"PSFTID"),"")</f>
        <v>#NAME?</v>
      </c>
      <c r="N42" s="24" t="e">
        <f ca="1">IF(_xll.EVDES(H42,$B$1)="#NODATA","",_xll.EVDES(H42,$B$1))</f>
        <v>#NAME?</v>
      </c>
      <c r="O42" s="19"/>
      <c r="P42" s="19"/>
      <c r="Q42" s="19"/>
      <c r="R42" s="19"/>
      <c r="S42" s="19"/>
      <c r="T42" s="19"/>
      <c r="U42" s="19"/>
      <c r="V42" s="19"/>
      <c r="W42" s="19"/>
      <c r="X42" s="19"/>
      <c r="Y42" s="19"/>
      <c r="Z42" s="19"/>
      <c r="AA42" s="283" t="e">
        <f t="shared" ca="1" si="0"/>
        <v>#NAME?</v>
      </c>
      <c r="AB42" s="15" t="e">
        <f t="shared" ca="1" si="1"/>
        <v>#NAME?</v>
      </c>
      <c r="AD42" s="19"/>
      <c r="AE42" s="15" t="str">
        <f t="shared" si="2"/>
        <v/>
      </c>
      <c r="AF42" s="47" t="e">
        <f t="shared" ca="1" si="3"/>
        <v>#NAME?</v>
      </c>
      <c r="AG42" s="19"/>
      <c r="AH42" s="15" t="str">
        <f t="shared" si="5"/>
        <v/>
      </c>
      <c r="AI42" s="47" t="e">
        <f t="shared" ca="1" si="6"/>
        <v>#NAME?</v>
      </c>
      <c r="AJ42" s="371">
        <f t="shared" ca="1" si="7"/>
        <v>0</v>
      </c>
      <c r="AK42" s="372">
        <f t="shared" ca="1" si="8"/>
        <v>0</v>
      </c>
      <c r="AL42" s="373">
        <f t="shared" ca="1" si="9"/>
        <v>0</v>
      </c>
      <c r="AM42" s="374">
        <f t="shared" ca="1" si="10"/>
        <v>0</v>
      </c>
      <c r="AN42" s="375">
        <f t="shared" ca="1" si="11"/>
        <v>0</v>
      </c>
    </row>
    <row r="43" spans="1:40" x14ac:dyDescent="0.2">
      <c r="A43" s="4" t="e">
        <f ca="1">_xll.EVDRE($B$1,A46:B53,A56:B62)</f>
        <v>#NAME?</v>
      </c>
      <c r="H43" s="133" t="s">
        <v>376</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28"/>
      <c r="P43" s="28"/>
      <c r="Q43" s="28"/>
      <c r="R43" s="28"/>
      <c r="S43" s="28"/>
      <c r="T43" s="28"/>
      <c r="U43" s="28"/>
      <c r="V43" s="28"/>
      <c r="W43" s="28"/>
      <c r="X43" s="28"/>
      <c r="Y43" s="28"/>
      <c r="Z43" s="28"/>
      <c r="AA43" s="296" t="e">
        <f t="shared" ca="1" si="0"/>
        <v>#NAME?</v>
      </c>
      <c r="AB43" s="29" t="e">
        <f t="shared" ca="1" si="1"/>
        <v>#NAME?</v>
      </c>
      <c r="AD43" s="28"/>
      <c r="AE43" s="29" t="str">
        <f t="shared" si="2"/>
        <v/>
      </c>
      <c r="AF43" s="48" t="e">
        <f t="shared" ca="1" si="3"/>
        <v>#NAME?</v>
      </c>
      <c r="AG43" s="28"/>
      <c r="AH43" s="29" t="str">
        <f t="shared" si="5"/>
        <v/>
      </c>
      <c r="AI43" s="48" t="e">
        <f t="shared" ca="1" si="6"/>
        <v>#NAME?</v>
      </c>
      <c r="AJ43" s="381">
        <f t="shared" ca="1" si="7"/>
        <v>0</v>
      </c>
      <c r="AK43" s="382">
        <f t="shared" ca="1" si="8"/>
        <v>0</v>
      </c>
      <c r="AL43" s="383">
        <f t="shared" ca="1" si="9"/>
        <v>0</v>
      </c>
      <c r="AM43" s="384">
        <f t="shared" ca="1" si="10"/>
        <v>0</v>
      </c>
      <c r="AN43" s="385">
        <f t="shared" ca="1" si="11"/>
        <v>0</v>
      </c>
    </row>
    <row r="44" spans="1:40" x14ac:dyDescent="0.2">
      <c r="H44" s="10" t="s">
        <v>280</v>
      </c>
      <c r="I44" s="447" t="e">
        <f ca="1">_xll.EVPRO($B$1,$H44,"STYLE")</f>
        <v>#NAME?</v>
      </c>
      <c r="J44" s="447" t="e">
        <f ca="1">_xll.EVPRO($B$1,$H44,"CALC")</f>
        <v>#NAME?</v>
      </c>
      <c r="K44" s="448" t="e">
        <f t="shared" ca="1" si="4"/>
        <v>#NAME?</v>
      </c>
      <c r="L44" s="151" t="e">
        <f ca="1">_xll.EVPRO($B$1,H44,"JDEID")</f>
        <v>#NAME?</v>
      </c>
      <c r="M44" s="151" t="e">
        <f ca="1">IF(AND(I44="N",J44="N"),_xll.EVPRO($B$1,H44,"PSFTID"),"")</f>
        <v>#NAME?</v>
      </c>
      <c r="N44" s="151" t="e">
        <f ca="1">IF(_xll.EVDES(H44,$B$1)="#NODATA","",_xll.EVDES(H44,$B$1))</f>
        <v>#NAME?</v>
      </c>
      <c r="O44" s="120"/>
      <c r="P44" s="120"/>
      <c r="Q44" s="120"/>
      <c r="R44" s="120"/>
      <c r="S44" s="120"/>
      <c r="T44" s="120"/>
      <c r="U44" s="120"/>
      <c r="V44" s="120"/>
      <c r="W44" s="120"/>
      <c r="X44" s="120"/>
      <c r="Y44" s="120"/>
      <c r="Z44" s="120"/>
      <c r="AA44" s="120" t="e">
        <f t="shared" ca="1" si="0"/>
        <v>#NAME?</v>
      </c>
      <c r="AB44" s="121" t="e">
        <f t="shared" ca="1" si="1"/>
        <v>#NAME?</v>
      </c>
      <c r="AC44" s="123"/>
      <c r="AD44" s="120"/>
      <c r="AE44" s="121" t="str">
        <f t="shared" si="2"/>
        <v/>
      </c>
      <c r="AF44" s="122" t="e">
        <f t="shared" ca="1" si="3"/>
        <v>#NAME?</v>
      </c>
      <c r="AG44" s="120"/>
      <c r="AH44" s="121" t="str">
        <f t="shared" si="5"/>
        <v/>
      </c>
      <c r="AI44" s="122" t="e">
        <f t="shared" ca="1" si="6"/>
        <v>#NAME?</v>
      </c>
      <c r="AJ44" s="332">
        <f t="shared" ca="1" si="7"/>
        <v>0</v>
      </c>
      <c r="AK44" s="333">
        <f t="shared" ca="1" si="8"/>
        <v>0</v>
      </c>
      <c r="AL44" s="335">
        <f t="shared" ca="1" si="9"/>
        <v>0</v>
      </c>
      <c r="AM44" s="377">
        <f t="shared" ca="1" si="10"/>
        <v>0</v>
      </c>
      <c r="AN44" s="378">
        <f t="shared" ca="1" si="11"/>
        <v>0</v>
      </c>
    </row>
    <row r="45" spans="1:40" x14ac:dyDescent="0.2">
      <c r="A45" s="3" t="s">
        <v>0</v>
      </c>
      <c r="B45" s="5" t="s">
        <v>1</v>
      </c>
      <c r="O45" s="50"/>
      <c r="AB45" s="51"/>
      <c r="AD45" s="50"/>
      <c r="AF45" s="51"/>
      <c r="AG45" s="50"/>
      <c r="AI45" s="51"/>
    </row>
    <row r="46" spans="1:40" x14ac:dyDescent="0.2">
      <c r="A46" s="6" t="s">
        <v>2</v>
      </c>
      <c r="B46" s="7" t="e">
        <f ca="1">_xll.EVRNG($B$2:$B$10)</f>
        <v>#NAME?</v>
      </c>
      <c r="H46" s="1" t="s">
        <v>281</v>
      </c>
      <c r="I46" s="11" t="e">
        <f ca="1">_xll.EVPRO($B$1,$H46,"STYLE")</f>
        <v>#NAME?</v>
      </c>
      <c r="J46" s="11" t="e">
        <f ca="1">_xll.EVPRO($B$1,$H46,"CALC")</f>
        <v>#NAME?</v>
      </c>
      <c r="N46" s="37" t="e">
        <f ca="1">IF(_xll.EVDES(H46,$B$1)="#NODATA","",_xll.EVDES(H46,$B$1))</f>
        <v>#NAME?</v>
      </c>
      <c r="O46" s="50"/>
      <c r="AB46" s="51"/>
      <c r="AD46" s="50"/>
      <c r="AF46" s="51"/>
      <c r="AG46" s="50"/>
      <c r="AI46" s="51"/>
    </row>
    <row r="47" spans="1:40" x14ac:dyDescent="0.2">
      <c r="A47" s="6" t="s">
        <v>3</v>
      </c>
      <c r="B47" s="7" t="e">
        <f ca="1">_xll.EVRNG($O$16:$AN$18)</f>
        <v>#NAME?</v>
      </c>
      <c r="H47" s="10" t="s">
        <v>377</v>
      </c>
      <c r="I47" s="25" t="e">
        <f ca="1">_xll.EVPRO($B$1,$H47,"STYLE")</f>
        <v>#NAME?</v>
      </c>
      <c r="J47" s="25" t="e">
        <f ca="1">_xll.EVPRO($B$1,$H47,"CALC")</f>
        <v>#NAME?</v>
      </c>
      <c r="K47" s="64" t="e">
        <f ca="1">IF(AND(I47&gt;="T5"),"&gt;","")</f>
        <v>#NAME?</v>
      </c>
      <c r="L47" s="24" t="e">
        <f ca="1">_xll.EVPRO($B$1,H47,"JDEID")</f>
        <v>#NAME?</v>
      </c>
      <c r="M47" s="24" t="e">
        <f ca="1">IF(AND(I47="N",J47="N"),_xll.EVPRO($B$1,H47,"PSFTID"),"")</f>
        <v>#NAME?</v>
      </c>
      <c r="N47" s="24" t="e">
        <f ca="1">IF(_xll.EVDES(H47,$B$1)="#NODATA","",_xll.EVDES(H47,$B$1))</f>
        <v>#NAME?</v>
      </c>
      <c r="O47" s="19"/>
      <c r="P47" s="19"/>
      <c r="Q47" s="19"/>
      <c r="R47" s="19"/>
      <c r="S47" s="19"/>
      <c r="T47" s="19"/>
      <c r="U47" s="19"/>
      <c r="V47" s="19"/>
      <c r="W47" s="19"/>
      <c r="X47" s="19"/>
      <c r="Y47" s="19"/>
      <c r="Z47" s="19"/>
      <c r="AA47" s="19" t="e">
        <f ca="1">IF($I47="B1","",SUM(O47:Z47))</f>
        <v>#NAME?</v>
      </c>
      <c r="AB47" s="15" t="e">
        <f ca="1">IF(AA47=0,"",IFERROR(AA47/_xll.EVGTS($B$1,1,_xll.EVPRO($B$1,$H47,"COSBASIS"),$B$3,$B$5,$B$6,$B$7,$B$9,AA$16,AA$17,AA$11),""))</f>
        <v>#NAME?</v>
      </c>
      <c r="AD47" s="19"/>
      <c r="AE47" s="15" t="str">
        <f>IF(AD47=0,"",IFERROR(AD47/_xll.EVGTS($B$1,1,_xll.EVPRO($B$1,$H47,"COSBASIS"),$B$3,$B$5,$B$6,$B$7,$B$9,AD$16,AD$17,AD$18),""))</f>
        <v/>
      </c>
      <c r="AF47" s="47" t="e">
        <f ca="1">IF(AND($AA47="",AD47=""),"",$AA47-AD47)</f>
        <v>#NAME?</v>
      </c>
      <c r="AG47" s="19"/>
      <c r="AH47" s="15" t="str">
        <f>IF(AG47=0,"",IFERROR(AG47/_xll.EVGTS($B$1,1,_xll.EVPRO($B$1,$H47,"COSBASIS"),$B$3,$B$5,$B$6,$B$7,$B$9,AG$16,AG$17,AG$18),""))</f>
        <v/>
      </c>
      <c r="AI47" s="47" t="e">
        <f ca="1">IF(AND($AA47="",AG47=""),"",$AA47-AG47)</f>
        <v>#NAME?</v>
      </c>
      <c r="AJ47" s="371">
        <f ca="1">IFERROR(AA47/AA$20,0)</f>
        <v>0</v>
      </c>
      <c r="AK47" s="372">
        <f ca="1">IFERROR(AD47/AD$20,0)</f>
        <v>0</v>
      </c>
      <c r="AL47" s="373">
        <f ca="1">IFERROR(AG47/AG$20,0)</f>
        <v>0</v>
      </c>
      <c r="AM47" s="374">
        <f ca="1">+IFERROR(ROUND(($AB47-AE47)*100,2)&amp;" pts.",0)</f>
        <v>0</v>
      </c>
      <c r="AN47" s="375">
        <f ca="1">+IFERROR(ROUND(($AB47-AH47)*100,2)&amp;" pts.",0)</f>
        <v>0</v>
      </c>
    </row>
    <row r="48" spans="1:40" x14ac:dyDescent="0.2">
      <c r="A48" s="6" t="s">
        <v>4</v>
      </c>
      <c r="B48" s="7" t="e">
        <f ca="1">_xll.EVRNG(H47:H49)</f>
        <v>#NAME?</v>
      </c>
      <c r="H48" s="133" t="s">
        <v>378</v>
      </c>
      <c r="I48" s="25" t="e">
        <f ca="1">_xll.EVPRO($B$1,$H48,"STYLE")</f>
        <v>#NAME?</v>
      </c>
      <c r="J48" s="25" t="e">
        <f ca="1">_xll.EVPRO($B$1,$H48,"CALC")</f>
        <v>#NAME?</v>
      </c>
      <c r="K48" s="64" t="e">
        <f t="shared" ref="K48:K49" ca="1" si="12">IF(AND(I48&gt;="T5"),"&gt;","")</f>
        <v>#NAME?</v>
      </c>
      <c r="L48" s="24" t="e">
        <f ca="1">_xll.EVPRO($B$1,H48,"JDEID")</f>
        <v>#NAME?</v>
      </c>
      <c r="M48" s="24" t="e">
        <f ca="1">IF(AND(I48="N",J48="N"),_xll.EVPRO($B$1,H48,"PSFTID"),"")</f>
        <v>#NAME?</v>
      </c>
      <c r="N48" s="24" t="e">
        <f ca="1">IF(_xll.EVDES(H48,$B$1)="#NODATA","",_xll.EVDES(H48,$B$1))</f>
        <v>#NAME?</v>
      </c>
      <c r="O48" s="28"/>
      <c r="P48" s="28"/>
      <c r="Q48" s="28"/>
      <c r="R48" s="28"/>
      <c r="S48" s="28"/>
      <c r="T48" s="28"/>
      <c r="U48" s="28"/>
      <c r="V48" s="28"/>
      <c r="W48" s="28"/>
      <c r="X48" s="28"/>
      <c r="Y48" s="28"/>
      <c r="Z48" s="28"/>
      <c r="AA48" s="28" t="e">
        <f ca="1">IF($I48="B1","",SUM(O48:Z48))</f>
        <v>#NAME?</v>
      </c>
      <c r="AB48" s="29" t="e">
        <f ca="1">IF(AA48=0,"",IFERROR(AA48/_xll.EVGTS($B$1,1,_xll.EVPRO($B$1,$H48,"COSBASIS"),$B$3,$B$5,$B$6,$B$7,$B$9,AA$16,AA$17,AA$11),""))</f>
        <v>#NAME?</v>
      </c>
      <c r="AD48" s="28"/>
      <c r="AE48" s="29" t="str">
        <f>IF(AD48=0,"",IFERROR(AD48/_xll.EVGTS($B$1,1,_xll.EVPRO($B$1,$H48,"COSBASIS"),$B$3,$B$5,$B$6,$B$7,$B$9,AD$16,AD$17,AD$18),""))</f>
        <v/>
      </c>
      <c r="AF48" s="48" t="e">
        <f ca="1">IF(AND($AA48="",AD48=""),"",$AA48-AD48)</f>
        <v>#NAME?</v>
      </c>
      <c r="AG48" s="28"/>
      <c r="AH48" s="29" t="str">
        <f>IF(AG48=0,"",IFERROR(AG48/_xll.EVGTS($B$1,1,_xll.EVPRO($B$1,$H48,"COSBASIS"),$B$3,$B$5,$B$6,$B$7,$B$9,AG$16,AG$17,AG$18),""))</f>
        <v/>
      </c>
      <c r="AI48" s="48" t="e">
        <f t="shared" ref="AI48:AI49" ca="1" si="13">IF(AND($AA48="",AG48=""),"",$AA48-AG48)</f>
        <v>#NAME?</v>
      </c>
      <c r="AJ48" s="381">
        <f t="shared" ref="AJ48:AJ49" ca="1" si="14">IFERROR(AA48/AA$20,0)</f>
        <v>0</v>
      </c>
      <c r="AK48" s="382">
        <f t="shared" ref="AK48:AK49" ca="1" si="15">IFERROR(AD48/AD$20,0)</f>
        <v>0</v>
      </c>
      <c r="AL48" s="383">
        <f t="shared" ref="AL48:AL49" ca="1" si="16">IFERROR(AG48/AG$20,0)</f>
        <v>0</v>
      </c>
      <c r="AM48" s="384">
        <f t="shared" ref="AM48:AM49" ca="1" si="17">+IFERROR(ROUND(($AB48-AE48)*100,2)&amp;" pts.",0)</f>
        <v>0</v>
      </c>
      <c r="AN48" s="385">
        <f t="shared" ref="AN48:AN49" ca="1" si="18">+IFERROR(ROUND(($AB48-AH48)*100,2)&amp;" pts.",0)</f>
        <v>0</v>
      </c>
    </row>
    <row r="49" spans="1:40" x14ac:dyDescent="0.2">
      <c r="A49" s="6" t="s">
        <v>5</v>
      </c>
      <c r="B49" s="7"/>
      <c r="F49" s="136"/>
      <c r="H49" s="133" t="s">
        <v>379</v>
      </c>
      <c r="I49" s="447" t="e">
        <f ca="1">_xll.EVPRO($B$1,$H49,"STYLE")</f>
        <v>#NAME?</v>
      </c>
      <c r="J49" s="447" t="e">
        <f ca="1">_xll.EVPRO($B$1,$H49,"CALC")</f>
        <v>#NAME?</v>
      </c>
      <c r="K49" s="448" t="e">
        <f t="shared" ca="1" si="12"/>
        <v>#NAME?</v>
      </c>
      <c r="L49" s="151" t="e">
        <f ca="1">_xll.EVPRO($B$1,H49,"JDEID")</f>
        <v>#NAME?</v>
      </c>
      <c r="M49" s="151" t="e">
        <f ca="1">IF(AND(I49="N",J49="N"),_xll.EVPRO($B$1,H49,"PSFTID"),"")</f>
        <v>#NAME?</v>
      </c>
      <c r="N49" s="151" t="e">
        <f ca="1">IF(_xll.EVDES(H49,$B$1)="#NODATA","",_xll.EVDES(H49,$B$1))</f>
        <v>#NAME?</v>
      </c>
      <c r="O49" s="120"/>
      <c r="P49" s="120"/>
      <c r="Q49" s="120"/>
      <c r="R49" s="120"/>
      <c r="S49" s="120"/>
      <c r="T49" s="120"/>
      <c r="U49" s="120"/>
      <c r="V49" s="120"/>
      <c r="W49" s="120"/>
      <c r="X49" s="120"/>
      <c r="Y49" s="120"/>
      <c r="Z49" s="120"/>
      <c r="AA49" s="120" t="e">
        <f ca="1">IF($I49="B1","",SUM(O49:Z49))</f>
        <v>#NAME?</v>
      </c>
      <c r="AB49" s="121" t="e">
        <f ca="1">IF(AA49=0,"",IFERROR(AA49/_xll.EVGTS($B$1,1,_xll.EVPRO($B$1,$H49,"COSBASIS"),$B$3,$B$5,$B$6,$B$7,$B$9,AA$16,AA$17,AA$11),""))</f>
        <v>#NAME?</v>
      </c>
      <c r="AC49" s="123"/>
      <c r="AD49" s="120"/>
      <c r="AE49" s="121" t="str">
        <f>IF(AD49=0,"",IFERROR(AD49/_xll.EVGTS($B$1,1,_xll.EVPRO($B$1,$H49,"COSBASIS"),$B$3,$B$5,$B$6,$B$7,$B$9,AD$16,AD$17,AD$18),""))</f>
        <v/>
      </c>
      <c r="AF49" s="122" t="e">
        <f ca="1">IF(AND($AA49="",AD49=""),"",$AA49-AD49)</f>
        <v>#NAME?</v>
      </c>
      <c r="AG49" s="120"/>
      <c r="AH49" s="121" t="str">
        <f>IF(AG49=0,"",IFERROR(AG49/_xll.EVGTS($B$1,1,_xll.EVPRO($B$1,$H49,"COSBASIS"),$B$3,$B$5,$B$6,$B$7,$B$9,AG$16,AG$17,AG$18),""))</f>
        <v/>
      </c>
      <c r="AI49" s="122" t="e">
        <f t="shared" ca="1" si="13"/>
        <v>#NAME?</v>
      </c>
      <c r="AJ49" s="332">
        <f t="shared" ca="1" si="14"/>
        <v>0</v>
      </c>
      <c r="AK49" s="333">
        <f t="shared" ca="1" si="15"/>
        <v>0</v>
      </c>
      <c r="AL49" s="335">
        <f t="shared" ca="1" si="16"/>
        <v>0</v>
      </c>
      <c r="AM49" s="377">
        <f t="shared" ca="1" si="17"/>
        <v>0</v>
      </c>
      <c r="AN49" s="378">
        <f t="shared" ca="1" si="18"/>
        <v>0</v>
      </c>
    </row>
    <row r="50" spans="1:40" x14ac:dyDescent="0.2">
      <c r="A50" s="6" t="s">
        <v>6</v>
      </c>
      <c r="B50" s="7"/>
      <c r="F50" s="136"/>
      <c r="H50" s="133" t="s">
        <v>175</v>
      </c>
      <c r="I50" s="26" t="e">
        <f ca="1">_xll.EVPRO($B$1,$H50,"STYLE")</f>
        <v>#NAME?</v>
      </c>
      <c r="J50" s="26" t="e">
        <f ca="1">_xll.EVPRO($B$1,$H50,"CALC")</f>
        <v>#NAME?</v>
      </c>
      <c r="K50" s="65" t="e">
        <f ca="1">IF(AND(I50&gt;="T5"),"&gt;","")</f>
        <v>#NAME?</v>
      </c>
      <c r="L50" s="65"/>
      <c r="M50" s="65"/>
      <c r="N50" s="23" t="e">
        <f ca="1">IF(_xll.EVDES(H50,$B$1)="#NODATA","",_xll.EVDES(H50,$B$1))</f>
        <v>#NAME?</v>
      </c>
      <c r="O50" s="44"/>
      <c r="P50" s="44"/>
      <c r="Q50" s="44"/>
      <c r="R50" s="44"/>
      <c r="S50" s="44"/>
      <c r="T50" s="44"/>
      <c r="U50" s="44"/>
      <c r="V50" s="44"/>
      <c r="W50" s="44"/>
      <c r="X50" s="44"/>
      <c r="Y50" s="44"/>
      <c r="Z50" s="44"/>
      <c r="AA50" s="44" t="e">
        <f ca="1">IF($I50="B1","",SUM(O50:Z50))</f>
        <v>#NAME?</v>
      </c>
      <c r="AB50" s="45" t="str">
        <f>IF(O50=0,"",IFERROR(O50/_xll.EVGTS($B$1,1,INDEX($C$143:$C$166,MATCH($H50,$A$143:$A$166,0)),$B$3,$B$5,$B$6,$B$7,$B$9,O$16,O$17,O$18),""))</f>
        <v/>
      </c>
      <c r="AD50" s="44"/>
      <c r="AE50" s="45" t="str">
        <f>IF(AD50=0,"",IFERROR(AD50/_xll.EVGTS($B$1,1,INDEX($C$143:$C$166,MATCH($H50,$A$143:$A$166,0)),$B$3,$B$5,$B$6,$B$7,$B$9,AD$16,AD$17,AD$18),""))</f>
        <v/>
      </c>
      <c r="AF50" s="134" t="e">
        <f ca="1">IF(AND($AA50="",AD50=""),"",$AA50-AD50)</f>
        <v>#NAME?</v>
      </c>
      <c r="AG50" s="44"/>
      <c r="AH50" s="45" t="str">
        <f>IF(AG50=0,"",IFERROR(AG50/_xll.EVGTS($B$1,1,INDEX($C$143:$C$166,MATCH($H50,$A$143:$A$166,0)),$B$3,$B$5,$B$6,$B$7,$B$9,AG$16,AG$17,AG$18),""))</f>
        <v/>
      </c>
      <c r="AI50" s="134" t="e">
        <f ca="1">IF(AND($AA50="",AG50=""),"",$AA50-AG50)</f>
        <v>#NAME?</v>
      </c>
      <c r="AJ50" s="325">
        <f ca="1">IFERROR(AA50/AA$20,0)</f>
        <v>0</v>
      </c>
      <c r="AK50" s="326">
        <f ca="1">IFERROR(AD50/AD$20,0)</f>
        <v>0</v>
      </c>
      <c r="AL50" s="328">
        <f ca="1">IFERROR(AG50/AG$20,0)</f>
        <v>0</v>
      </c>
      <c r="AM50" s="362">
        <f>+IFERROR(ROUND(($AB50-AE50)*100,2)&amp;" pts.",0)</f>
        <v>0</v>
      </c>
      <c r="AN50" s="376">
        <f>+IFERROR(ROUND(($AB50-AH50)*100,2)&amp;" pts.",0)</f>
        <v>0</v>
      </c>
    </row>
    <row r="51" spans="1:40" x14ac:dyDescent="0.2">
      <c r="A51" s="6" t="s">
        <v>7</v>
      </c>
      <c r="B51" s="7" t="e">
        <f ca="1">_xll.EVRNG(A65:F68)</f>
        <v>#NAME?</v>
      </c>
      <c r="F51" s="136"/>
      <c r="H51" s="133" t="s">
        <v>292</v>
      </c>
      <c r="I51" s="26" t="e">
        <f ca="1">_xll.EVPRO($B$1,$H51,"STYLE")</f>
        <v>#NAME?</v>
      </c>
      <c r="J51" s="26" t="e">
        <f ca="1">_xll.EVPRO($B$1,$H51,"CALC")</f>
        <v>#NAME?</v>
      </c>
      <c r="K51" s="65" t="e">
        <f ca="1">IF(AND(I51&gt;="T5"),"&gt;","")</f>
        <v>#NAME?</v>
      </c>
      <c r="L51" s="65"/>
      <c r="M51" s="65"/>
      <c r="N51" s="23" t="e">
        <f ca="1">IF(_xll.EVDES(H51,$B$1)="#NODATA","",_xll.EVDES(H51,$B$1))</f>
        <v>#NAME?</v>
      </c>
      <c r="O51" s="145">
        <f>SUMIF($H$34:$H$49,"400000",O34:O49)-SUMIF($H$34:$H$49,"COS_SPARET",O34:O49)</f>
        <v>0</v>
      </c>
      <c r="P51" s="145">
        <f t="shared" ref="P51:Z51" si="19">SUMIF($H$34:$H$49,"400000",P34:P49)-SUMIF($H$34:$H$49,"COS_SPARET",P34:P49)</f>
        <v>0</v>
      </c>
      <c r="Q51" s="145">
        <f t="shared" si="19"/>
        <v>0</v>
      </c>
      <c r="R51" s="145">
        <f t="shared" si="19"/>
        <v>0</v>
      </c>
      <c r="S51" s="145">
        <f t="shared" si="19"/>
        <v>0</v>
      </c>
      <c r="T51" s="145">
        <f t="shared" si="19"/>
        <v>0</v>
      </c>
      <c r="U51" s="145">
        <f t="shared" si="19"/>
        <v>0</v>
      </c>
      <c r="V51" s="145">
        <f t="shared" si="19"/>
        <v>0</v>
      </c>
      <c r="W51" s="145">
        <f t="shared" si="19"/>
        <v>0</v>
      </c>
      <c r="X51" s="145">
        <f t="shared" si="19"/>
        <v>0</v>
      </c>
      <c r="Y51" s="145">
        <f t="shared" si="19"/>
        <v>0</v>
      </c>
      <c r="Z51" s="145">
        <f t="shared" si="19"/>
        <v>0</v>
      </c>
      <c r="AA51" s="120" t="e">
        <f ca="1">IF($I51="B1","",SUM(O51:Z51))</f>
        <v>#NAME?</v>
      </c>
      <c r="AB51" s="121" t="e">
        <f ca="1">IF(AA51=0,"",IFERROR(AA51/AA$19,""))</f>
        <v>#NAME?</v>
      </c>
      <c r="AD51" s="145">
        <f>SUMIF($H$34:$H$49,"400000",AD34:AD49)-SUMIF($H$34:$H$49,"COS_SPARET",AD34:AD49)</f>
        <v>0</v>
      </c>
      <c r="AE51" s="121" t="str">
        <f>IF(AD51=0,"",IFERROR(AD51/AD$19,""))</f>
        <v/>
      </c>
      <c r="AF51" s="146" t="e">
        <f ca="1">IF(AND($AA51="",AD51=""),"",$AA51-AD51)</f>
        <v>#NAME?</v>
      </c>
      <c r="AG51" s="145">
        <f>SUMIF($H$34:$H$49,"400000",AG34:AG49)-SUMIF($H$34:$H$49,"COS_SPARET",AG34:AG49)</f>
        <v>0</v>
      </c>
      <c r="AH51" s="121" t="str">
        <f>IF(AG51=0,"",IFERROR(AG51/AG$19,""))</f>
        <v/>
      </c>
      <c r="AI51" s="146" t="e">
        <f ca="1">IF(AND($AA51="",AG51=""),"",$AA51-AG51)</f>
        <v>#NAME?</v>
      </c>
      <c r="AJ51" s="332">
        <f ca="1">IFERROR(AA51/AA$20,0)</f>
        <v>0</v>
      </c>
      <c r="AK51" s="333">
        <f ca="1">IFERROR(AD51/AD$20,0)</f>
        <v>0</v>
      </c>
      <c r="AL51" s="335">
        <f ca="1">IFERROR(AG51/AG$20,0)</f>
        <v>0</v>
      </c>
      <c r="AM51" s="377">
        <f ca="1">+IFERROR(ROUND(($AB51-AE51)*100,2)&amp;" pts.",0)</f>
        <v>0</v>
      </c>
      <c r="AN51" s="378">
        <f ca="1">+IFERROR(ROUND(($AB51-AH51)*100,2)&amp;" pts.",0)</f>
        <v>0</v>
      </c>
    </row>
    <row r="52" spans="1:40" x14ac:dyDescent="0.2">
      <c r="A52" s="6" t="s">
        <v>47</v>
      </c>
      <c r="B52" s="7" t="e">
        <f ca="1">_xll.EVRNG($A$116:$B$137)</f>
        <v>#NAME?</v>
      </c>
      <c r="O52" s="144"/>
      <c r="P52" s="147"/>
      <c r="Q52" s="147"/>
      <c r="R52" s="147"/>
      <c r="S52" s="147"/>
      <c r="T52" s="147"/>
      <c r="U52" s="147"/>
      <c r="V52" s="147"/>
      <c r="W52" s="147"/>
      <c r="X52" s="147"/>
      <c r="Y52" s="147"/>
      <c r="Z52" s="147"/>
      <c r="AA52" s="147"/>
      <c r="AB52" s="51"/>
      <c r="AD52" s="50"/>
      <c r="AF52" s="51"/>
      <c r="AI52" s="51"/>
    </row>
    <row r="53" spans="1:40" x14ac:dyDescent="0.2">
      <c r="A53" s="6" t="s">
        <v>8</v>
      </c>
      <c r="B53" s="7"/>
      <c r="H53" s="1" t="s">
        <v>73</v>
      </c>
      <c r="I53" s="11" t="e">
        <f ca="1">_xll.EVPRO($B$1,$H53,"STYLE")</f>
        <v>#NAME?</v>
      </c>
      <c r="J53" s="11" t="e">
        <f ca="1">_xll.EVPRO($B$1,$H53,"CALC")</f>
        <v>#NAME?</v>
      </c>
      <c r="N53" s="37" t="e">
        <f ca="1">IF(_xll.EVDES(H53,$B$1)="#NODATA","",_xll.EVDES(H53,$B$1))</f>
        <v>#NAME?</v>
      </c>
      <c r="O53" s="50"/>
      <c r="AB53" s="149"/>
      <c r="AD53" s="148"/>
      <c r="AE53" s="150"/>
      <c r="AF53" s="51"/>
      <c r="AH53" s="150"/>
      <c r="AI53" s="51"/>
    </row>
    <row r="54" spans="1:40" x14ac:dyDescent="0.2">
      <c r="H54" s="1" t="s">
        <v>74</v>
      </c>
      <c r="I54" s="11" t="e">
        <f ca="1">_xll.EVPRO($B$1,$H54,"STYLE")</f>
        <v>#NAME?</v>
      </c>
      <c r="J54" s="11" t="e">
        <f ca="1">_xll.EVPRO($B$1,$H54,"CALC")</f>
        <v>#NAME?</v>
      </c>
      <c r="N54" s="8" t="e">
        <f ca="1">IF(_xll.EVDES(H54,$B$1)="#NODATA","",_xll.EVDES(H54,$B$1))</f>
        <v>#NAME?</v>
      </c>
      <c r="O54" s="40"/>
      <c r="P54" s="43"/>
      <c r="Q54" s="43"/>
      <c r="R54" s="43"/>
      <c r="S54" s="43"/>
      <c r="T54" s="43"/>
      <c r="U54" s="43"/>
      <c r="V54" s="43"/>
      <c r="W54" s="43"/>
      <c r="X54" s="43"/>
      <c r="Y54" s="43"/>
      <c r="Z54" s="43"/>
      <c r="AA54" s="43"/>
      <c r="AB54" s="41"/>
      <c r="AD54" s="40"/>
      <c r="AE54" s="43"/>
      <c r="AF54" s="41"/>
      <c r="AG54" s="43"/>
      <c r="AH54" s="43"/>
      <c r="AI54" s="41"/>
    </row>
    <row r="55" spans="1:40" hidden="1" x14ac:dyDescent="0.2">
      <c r="A55" s="3" t="s">
        <v>9</v>
      </c>
      <c r="B55" s="5" t="s">
        <v>10</v>
      </c>
      <c r="H55" s="10" t="s">
        <v>667</v>
      </c>
      <c r="I55" s="25" t="e">
        <f ca="1">_xll.EVPRO($B$1,$H55,"STYLE")</f>
        <v>#NAME?</v>
      </c>
      <c r="J55" s="25" t="e">
        <f ca="1">_xll.EVPRO($B$1,$H55,"CALC")</f>
        <v>#NAME?</v>
      </c>
      <c r="K55" s="64" t="e">
        <f ca="1">IF(AND(I55&gt;="T3"),"&gt;","")</f>
        <v>#NAME?</v>
      </c>
      <c r="L55" s="24" t="e">
        <f ca="1">_xll.EVPRO($B$1,H55,"JDEID")</f>
        <v>#NAME?</v>
      </c>
      <c r="M55" s="24" t="e">
        <f ca="1">IF(AND(I55="N",J55="N"),_xll.EVPRO($B$1,H55,"PSFTID"),"")</f>
        <v>#NAME?</v>
      </c>
      <c r="N55" s="24" t="e">
        <f ca="1">IF(_xll.EVDES(H55,$B$1)="#NODATA","",_xll.EVDES(H55,$B$1))</f>
        <v>#NAME?</v>
      </c>
      <c r="O55" s="35"/>
      <c r="P55" s="35"/>
      <c r="Q55" s="35"/>
      <c r="R55" s="35"/>
      <c r="S55" s="35"/>
      <c r="T55" s="35"/>
      <c r="U55" s="35"/>
      <c r="V55" s="35"/>
      <c r="W55" s="35"/>
      <c r="X55" s="35"/>
      <c r="Y55" s="35"/>
      <c r="Z55" s="35"/>
      <c r="AA55" s="35" t="e">
        <f ca="1">IF($I55="B1","",SUM(O55:Z55))</f>
        <v>#NAME?</v>
      </c>
      <c r="AB55" s="36" t="e">
        <f ca="1">IF(AA55=0,"",IFERROR(AA55/AA$19,""))</f>
        <v>#NAME?</v>
      </c>
      <c r="AD55" s="35"/>
      <c r="AE55" s="36" t="str">
        <f>IF(AD55=0,"",IFERROR(AD55/AD$19,""))</f>
        <v/>
      </c>
      <c r="AF55" s="118" t="e">
        <f ca="1">IF(AND($AA55="",AD55=""),"",$AA55-AD55)</f>
        <v>#NAME?</v>
      </c>
      <c r="AG55" s="35"/>
      <c r="AH55" s="36" t="str">
        <f>IF(AG55=0,"",IFERROR(AG55/AG$19,""))</f>
        <v/>
      </c>
      <c r="AI55" s="118" t="e">
        <f ca="1">IF(AND($AA55="",AG55=""),"",$AA55-AG55)</f>
        <v>#NAME?</v>
      </c>
      <c r="AJ55" s="371">
        <f ca="1">IFERROR(AA55/AA$20,0)</f>
        <v>0</v>
      </c>
      <c r="AK55" s="372">
        <f ca="1">IFERROR(AD55/AD$20,0)</f>
        <v>0</v>
      </c>
      <c r="AL55" s="373">
        <f ca="1">IFERROR(AG55/AG$20,0)</f>
        <v>0</v>
      </c>
      <c r="AM55" s="374">
        <f ca="1">+IFERROR(ROUND(($AB55-AE55)*100,2)&amp;" pts.",0)</f>
        <v>0</v>
      </c>
      <c r="AN55" s="375">
        <f ca="1">+IFERROR(ROUND(($AB55-AH55)*100,2)&amp;" pts.",0)</f>
        <v>0</v>
      </c>
    </row>
    <row r="56" spans="1:40" hidden="1" x14ac:dyDescent="0.2">
      <c r="A56" s="6" t="s">
        <v>11</v>
      </c>
      <c r="B56" s="7" t="s">
        <v>21</v>
      </c>
      <c r="G56" s="13"/>
      <c r="H56" s="10"/>
      <c r="I56" s="25" t="e">
        <f ca="1">_xll.EVPRO($B$1,$H56,"STYLE")</f>
        <v>#NAME?</v>
      </c>
      <c r="J56" s="25" t="e">
        <f ca="1">_xll.EVPRO($B$1,$H56,"CALC")</f>
        <v>#NAME?</v>
      </c>
      <c r="K56" s="64" t="e">
        <f ca="1">IF(AND(I56&gt;="T3"),"&gt;","")</f>
        <v>#NAME?</v>
      </c>
      <c r="L56" s="24" t="e">
        <f ca="1">_xll.EVPRO($B$1,H56,"JDEID")</f>
        <v>#NAME?</v>
      </c>
      <c r="M56" s="24" t="e">
        <f ca="1">IF(AND(I56="N",J56="N"),_xll.EVPRO($B$1,H56,"PSFTID"),"")</f>
        <v>#NAME?</v>
      </c>
      <c r="N56" s="24" t="e">
        <f ca="1">IF(_xll.EVDES(H56,$B$1)="#NODATA","",_xll.EVDES(H56,$B$1))</f>
        <v>#NAME?</v>
      </c>
      <c r="O56" s="35"/>
      <c r="P56" s="35"/>
      <c r="Q56" s="35"/>
      <c r="R56" s="35"/>
      <c r="S56" s="35"/>
      <c r="T56" s="35"/>
      <c r="U56" s="35"/>
      <c r="V56" s="35"/>
      <c r="W56" s="35"/>
      <c r="X56" s="35"/>
      <c r="Y56" s="35"/>
      <c r="Z56" s="35"/>
      <c r="AA56" s="35" t="e">
        <f ca="1">IF($I56="B1","",SUM(O56:Z56))</f>
        <v>#NAME?</v>
      </c>
      <c r="AB56" s="36" t="e">
        <f ca="1">IF(AA56=0,"",IFERROR(AA56/AA$19,""))</f>
        <v>#NAME?</v>
      </c>
      <c r="AD56" s="35"/>
      <c r="AE56" s="36" t="str">
        <f>IF(AD56=0,"",IFERROR(AD56/AD$19,""))</f>
        <v/>
      </c>
      <c r="AF56" s="118" t="e">
        <f ca="1">IF(AND($AA56="",AD56=""),"",$AA56-AD56)</f>
        <v>#NAME?</v>
      </c>
      <c r="AG56" s="35"/>
      <c r="AH56" s="36" t="str">
        <f>IF(AG56=0,"",IFERROR(AG56/AG$19,""))</f>
        <v/>
      </c>
      <c r="AI56" s="118" t="e">
        <f ca="1">IF(AND($AA56="",AG56=""),"",$AA56-AG56)</f>
        <v>#NAME?</v>
      </c>
      <c r="AJ56" s="371">
        <f ca="1">IFERROR(AA56/AA$20,0)</f>
        <v>0</v>
      </c>
      <c r="AK56" s="372">
        <f ca="1">IFERROR(AD56/AD$20,0)</f>
        <v>0</v>
      </c>
      <c r="AL56" s="373">
        <f ca="1">IFERROR(AG56/AG$20,0)</f>
        <v>0</v>
      </c>
      <c r="AM56" s="374">
        <f ca="1">+IFERROR(ROUND(($AB56-AE56)*100,2)&amp;" pts.",0)</f>
        <v>0</v>
      </c>
      <c r="AN56" s="375">
        <f ca="1">+IFERROR(ROUND(($AB56-AH56)*100,2)&amp;" pts.",0)</f>
        <v>0</v>
      </c>
    </row>
    <row r="57" spans="1:40" x14ac:dyDescent="0.2">
      <c r="A57" s="6" t="s">
        <v>12</v>
      </c>
      <c r="B57" s="7" t="s">
        <v>22</v>
      </c>
      <c r="H57" s="10" t="s">
        <v>75</v>
      </c>
      <c r="I57" s="26" t="e">
        <f ca="1">_xll.EVPRO($B$1,$H57,"STYLE")</f>
        <v>#NAME?</v>
      </c>
      <c r="J57" s="26" t="e">
        <f ca="1">_xll.EVPRO($B$1,$H57,"CALC")</f>
        <v>#NAME?</v>
      </c>
      <c r="K57" s="65" t="e">
        <f ca="1">IF(AND(I57&gt;="T3"),"&gt;","")</f>
        <v>#NAME?</v>
      </c>
      <c r="L57" s="23" t="e">
        <f ca="1">_xll.EVPRO($B$1,H57,"JDEID")</f>
        <v>#NAME?</v>
      </c>
      <c r="M57" s="24" t="e">
        <f ca="1">IF(AND(I57="N",J57="N"),_xll.EVPRO($B$1,H57,"PSFTID"),"")</f>
        <v>#NAME?</v>
      </c>
      <c r="N57" s="23" t="e">
        <f ca="1">IF(_xll.EVDES(H57,$B$1)="#NODATA","",_xll.EVDES(H57,$B$1))</f>
        <v>#NAME?</v>
      </c>
      <c r="O57" s="35"/>
      <c r="P57" s="35"/>
      <c r="Q57" s="35"/>
      <c r="R57" s="35"/>
      <c r="S57" s="35"/>
      <c r="T57" s="35"/>
      <c r="U57" s="35"/>
      <c r="V57" s="35"/>
      <c r="W57" s="35"/>
      <c r="X57" s="35"/>
      <c r="Y57" s="35"/>
      <c r="Z57" s="35"/>
      <c r="AA57" s="35" t="e">
        <f ca="1">IF($I57="B1","",SUM(O57:Z57))</f>
        <v>#NAME?</v>
      </c>
      <c r="AB57" s="36" t="e">
        <f ca="1">IF(AA57=0,"",IFERROR(AA57/AA$19,""))</f>
        <v>#NAME?</v>
      </c>
      <c r="AD57" s="35"/>
      <c r="AE57" s="36" t="str">
        <f>IF(AD57=0,"",IFERROR(AD57/AD$19,""))</f>
        <v/>
      </c>
      <c r="AF57" s="118" t="e">
        <f ca="1">IF(AND($AA57="",AD57=""),"",$AA57-AD57)</f>
        <v>#NAME?</v>
      </c>
      <c r="AG57" s="35"/>
      <c r="AH57" s="36" t="str">
        <f>IF(AG57=0,"",IFERROR(AG57/AG$19,""))</f>
        <v/>
      </c>
      <c r="AI57" s="118" t="e">
        <f ca="1">IF(AND($AA57="",AG57=""),"",$AA57-AG57)</f>
        <v>#NAME?</v>
      </c>
      <c r="AJ57" s="371">
        <f ca="1">IFERROR(AA57/AA$20,0)</f>
        <v>0</v>
      </c>
      <c r="AK57" s="372">
        <f ca="1">IFERROR(AD57/AD$20,0)</f>
        <v>0</v>
      </c>
      <c r="AL57" s="373">
        <f ca="1">IFERROR(AG57/AG$20,0)</f>
        <v>0</v>
      </c>
      <c r="AM57" s="374">
        <f ca="1">+IFERROR(ROUND(($AB57-AE57)*100,2)&amp;" pts.",0)</f>
        <v>0</v>
      </c>
      <c r="AN57" s="375">
        <f ca="1">+IFERROR(ROUND(($AB57-AH57)*100,2)&amp;" pts.",0)</f>
        <v>0</v>
      </c>
    </row>
    <row r="58" spans="1:40" hidden="1" x14ac:dyDescent="0.2">
      <c r="A58" s="6" t="s">
        <v>13</v>
      </c>
      <c r="B58" s="7" t="e">
        <f ca="1">"DEP(COS_SPARET) AND "&amp;$E$6&amp;"=Y,COS_SPARET"</f>
        <v>#NAME?</v>
      </c>
      <c r="H58" s="10" t="s">
        <v>667</v>
      </c>
      <c r="I58" s="25" t="e">
        <f ca="1">_xll.EVPRO($B$1,$H58,"STYLE")</f>
        <v>#NAME?</v>
      </c>
      <c r="J58" s="25" t="e">
        <f ca="1">_xll.EVPRO($B$1,$H58,"CALC")</f>
        <v>#NAME?</v>
      </c>
      <c r="K58" s="64" t="e">
        <f ca="1">IF(AND(I58&gt;="T3"),"&gt;","")</f>
        <v>#NAME?</v>
      </c>
      <c r="L58" s="24" t="e">
        <f ca="1">_xll.EVPRO($B$1,H58,"JDEID")</f>
        <v>#NAME?</v>
      </c>
      <c r="M58" s="24" t="e">
        <f ca="1">IF(AND(I58="N",J58="N"),_xll.EVPRO($B$1,H58,"PSFTID"),"")</f>
        <v>#NAME?</v>
      </c>
      <c r="N58" s="24" t="e">
        <f ca="1">IF(_xll.EVDES(H58,$B$1)="#NODATA","",_xll.EVDES(H58,$B$1))</f>
        <v>#NAME?</v>
      </c>
      <c r="O58" s="44"/>
      <c r="P58" s="44"/>
      <c r="Q58" s="44"/>
      <c r="R58" s="44"/>
      <c r="S58" s="44"/>
      <c r="T58" s="44"/>
      <c r="U58" s="44"/>
      <c r="V58" s="44"/>
      <c r="W58" s="44"/>
      <c r="X58" s="44"/>
      <c r="Y58" s="44"/>
      <c r="Z58" s="44"/>
      <c r="AA58" s="44" t="e">
        <f ca="1">IF($I58="B1","",SUM(O58:Z58))</f>
        <v>#NAME?</v>
      </c>
      <c r="AB58" s="45" t="e">
        <f ca="1">IF(AA58=0,"",IFERROR(AA58/AA$19,""))</f>
        <v>#NAME?</v>
      </c>
      <c r="AD58" s="44"/>
      <c r="AE58" s="45" t="str">
        <f>IF(AD58=0,"",IFERROR(AD58/AD$19,""))</f>
        <v/>
      </c>
      <c r="AF58" s="134" t="e">
        <f ca="1">IF(AND($AA58="",AD58=""),"",$AA58-AD58)</f>
        <v>#NAME?</v>
      </c>
      <c r="AG58" s="44"/>
      <c r="AH58" s="45" t="str">
        <f>IF(AG58=0,"",IFERROR(AG58/AG$19,""))</f>
        <v/>
      </c>
      <c r="AI58" s="134" t="e">
        <f ca="1">IF(AND($AA58="",AG58=""),"",$AA58-AG58)</f>
        <v>#NAME?</v>
      </c>
      <c r="AJ58" s="371">
        <f ca="1">IFERROR(AA58/AA$20,0)</f>
        <v>0</v>
      </c>
      <c r="AK58" s="372">
        <f ca="1">IFERROR(AD58/AD$20,0)</f>
        <v>0</v>
      </c>
      <c r="AL58" s="373">
        <f ca="1">IFERROR(AG58/AG$20,0)</f>
        <v>0</v>
      </c>
      <c r="AM58" s="374">
        <f ca="1">+IFERROR(ROUND(($AB58-AE58)*100,2)&amp;" pts.",0)</f>
        <v>0</v>
      </c>
      <c r="AN58" s="375">
        <f ca="1">+IFERROR(ROUND(($AB58-AH58)*100,2)&amp;" pts.",0)</f>
        <v>0</v>
      </c>
    </row>
    <row r="59" spans="1:40" hidden="1" x14ac:dyDescent="0.2">
      <c r="A59" s="6" t="s">
        <v>14</v>
      </c>
      <c r="B59" s="7"/>
      <c r="H59" s="10"/>
      <c r="I59" s="25" t="e">
        <f ca="1">_xll.EVPRO($B$1,$H59,"STYLE")</f>
        <v>#NAME?</v>
      </c>
      <c r="J59" s="25" t="e">
        <f ca="1">_xll.EVPRO($B$1,$H59,"CALC")</f>
        <v>#NAME?</v>
      </c>
      <c r="K59" s="64" t="e">
        <f ca="1">IF(AND(I59&gt;="T3"),"&gt;","")</f>
        <v>#NAME?</v>
      </c>
      <c r="L59" s="24" t="e">
        <f ca="1">_xll.EVPRO($B$1,H59,"JDEID")</f>
        <v>#NAME?</v>
      </c>
      <c r="M59" s="24" t="e">
        <f ca="1">IF(AND(I59="N",J59="N"),_xll.EVPRO($B$1,H59,"PSFTID"),"")</f>
        <v>#NAME?</v>
      </c>
      <c r="N59" s="24" t="e">
        <f ca="1">IF(_xll.EVDES(H59,$B$1)="#NODATA","",_xll.EVDES(H59,$B$1))</f>
        <v>#NAME?</v>
      </c>
      <c r="O59" s="44"/>
      <c r="P59" s="44"/>
      <c r="Q59" s="44"/>
      <c r="R59" s="44"/>
      <c r="S59" s="44"/>
      <c r="T59" s="44"/>
      <c r="U59" s="44"/>
      <c r="V59" s="44"/>
      <c r="W59" s="44"/>
      <c r="X59" s="44"/>
      <c r="Y59" s="44"/>
      <c r="Z59" s="44"/>
      <c r="AA59" s="44" t="e">
        <f ca="1">IF($I59="B1","",SUM(O59:Z59))</f>
        <v>#NAME?</v>
      </c>
      <c r="AB59" s="45" t="e">
        <f ca="1">IF(AA59=0,"",IFERROR(AA59/AA$19,""))</f>
        <v>#NAME?</v>
      </c>
      <c r="AD59" s="44"/>
      <c r="AE59" s="45" t="str">
        <f>IF(AD59=0,"",IFERROR(AD59/AD$19,""))</f>
        <v/>
      </c>
      <c r="AF59" s="134" t="e">
        <f ca="1">IF(AND($AA59="",AD59=""),"",$AA59-AD59)</f>
        <v>#NAME?</v>
      </c>
      <c r="AG59" s="44"/>
      <c r="AH59" s="45" t="str">
        <f>IF(AG59=0,"",IFERROR(AG59/AG$19,""))</f>
        <v/>
      </c>
      <c r="AI59" s="134" t="e">
        <f ca="1">IF(AND($AA59="",AG59=""),"",$AA59-AG59)</f>
        <v>#NAME?</v>
      </c>
      <c r="AJ59" s="371">
        <f ca="1">IFERROR(AA59/AA$20,0)</f>
        <v>0</v>
      </c>
      <c r="AK59" s="372">
        <f ca="1">IFERROR(AD59/AD$20,0)</f>
        <v>0</v>
      </c>
      <c r="AL59" s="373">
        <f ca="1">IFERROR(AG59/AG$20,0)</f>
        <v>0</v>
      </c>
      <c r="AM59" s="374">
        <f ca="1">+IFERROR(ROUND(($AB59-AE59)*100,2)&amp;" pts.",0)</f>
        <v>0</v>
      </c>
      <c r="AN59" s="375">
        <f ca="1">+IFERROR(ROUND(($AB59-AH59)*100,2)&amp;" pts.",0)</f>
        <v>0</v>
      </c>
    </row>
    <row r="60" spans="1:40" x14ac:dyDescent="0.2">
      <c r="A60" s="6" t="s">
        <v>15</v>
      </c>
      <c r="B60" s="7"/>
      <c r="O60" s="38"/>
      <c r="P60" s="42"/>
      <c r="Q60" s="42"/>
      <c r="R60" s="42"/>
      <c r="S60" s="42"/>
      <c r="T60" s="42"/>
      <c r="U60" s="42"/>
      <c r="V60" s="42"/>
      <c r="W60" s="42"/>
      <c r="X60" s="42"/>
      <c r="Y60" s="42"/>
      <c r="Z60" s="42"/>
      <c r="AA60" s="42"/>
      <c r="AB60" s="39"/>
      <c r="AD60" s="38"/>
      <c r="AE60" s="42"/>
      <c r="AF60" s="39"/>
      <c r="AG60" s="38"/>
      <c r="AH60" s="42"/>
      <c r="AI60" s="39"/>
    </row>
    <row r="61" spans="1:40" x14ac:dyDescent="0.2">
      <c r="A61" s="6" t="s">
        <v>16</v>
      </c>
      <c r="B61" s="7"/>
      <c r="H61" s="1" t="s">
        <v>82</v>
      </c>
      <c r="I61" s="11" t="e">
        <f ca="1">_xll.EVPRO($B$1,$H61,"STYLE")</f>
        <v>#NAME?</v>
      </c>
      <c r="J61" s="11" t="e">
        <f ca="1">_xll.EVPRO($B$1,$H61,"CALC")</f>
        <v>#NAME?</v>
      </c>
      <c r="N61" s="37" t="e">
        <f ca="1">IF(_xll.EVDES(H61,$B$1)="#NODATA","",_xll.EVDES(H61,$B$1))</f>
        <v>#NAME?</v>
      </c>
      <c r="O61" s="40"/>
      <c r="P61" s="43"/>
      <c r="Q61" s="43"/>
      <c r="R61" s="43"/>
      <c r="S61" s="43"/>
      <c r="T61" s="43"/>
      <c r="U61" s="43"/>
      <c r="V61" s="43"/>
      <c r="W61" s="43"/>
      <c r="X61" s="43"/>
      <c r="Y61" s="43"/>
      <c r="Z61" s="43"/>
      <c r="AA61" s="43"/>
      <c r="AB61" s="41"/>
      <c r="AD61" s="40"/>
      <c r="AE61" s="43"/>
      <c r="AF61" s="41"/>
      <c r="AG61" s="40"/>
      <c r="AH61" s="43"/>
      <c r="AI61" s="41"/>
    </row>
    <row r="62" spans="1:40" hidden="1" x14ac:dyDescent="0.2">
      <c r="A62" s="6" t="s">
        <v>17</v>
      </c>
      <c r="B62" s="7"/>
      <c r="H62" s="10" t="s">
        <v>667</v>
      </c>
      <c r="I62" s="25" t="e">
        <f ca="1">_xll.EVPRO($B$1,$H62,"STYLE")</f>
        <v>#NAME?</v>
      </c>
      <c r="J62" s="25" t="e">
        <f ca="1">_xll.EVPRO($B$1,$H62,"CALC")</f>
        <v>#NAME?</v>
      </c>
      <c r="K62" s="64" t="e">
        <f ca="1">IF(AND(I62&lt;&gt;"B1",J62="Y"),"&gt;","")</f>
        <v>#NAME?</v>
      </c>
      <c r="L62" s="24" t="e">
        <f ca="1">_xll.EVPRO($B$1,H62,"JDEID")</f>
        <v>#NAME?</v>
      </c>
      <c r="M62" s="24" t="e">
        <f ca="1">IF(AND(I62="N",J62="N"),_xll.EVPRO($B$1,H62,"PSFTID"),"")</f>
        <v>#NAME?</v>
      </c>
      <c r="N62" s="24" t="e">
        <f ca="1">IF(_xll.EVDES(H62,$B$1)="#NODATA","",_xll.EVDES(H62,$B$1))</f>
        <v>#NAME?</v>
      </c>
      <c r="O62" s="19"/>
      <c r="P62" s="19"/>
      <c r="Q62" s="19"/>
      <c r="R62" s="19"/>
      <c r="S62" s="19"/>
      <c r="T62" s="19"/>
      <c r="U62" s="19"/>
      <c r="V62" s="19"/>
      <c r="W62" s="19"/>
      <c r="X62" s="19"/>
      <c r="Y62" s="19"/>
      <c r="Z62" s="19"/>
      <c r="AA62" s="19" t="e">
        <f ca="1">IF($I62="B1","",SUM(O62:Z62))</f>
        <v>#NAME?</v>
      </c>
      <c r="AB62" s="15" t="e">
        <f ca="1">IF(AA62=0,"",IFERROR(AA62/AA$19,""))</f>
        <v>#NAME?</v>
      </c>
      <c r="AD62" s="19"/>
      <c r="AE62" s="15" t="str">
        <f>IF(AD62=0,"",IFERROR(AD62/AD$19,""))</f>
        <v/>
      </c>
      <c r="AF62" s="47" t="e">
        <f ca="1">IF(AND($AA62="",AD62=""),"",$AA62-AD62)</f>
        <v>#NAME?</v>
      </c>
      <c r="AG62" s="19"/>
      <c r="AH62" s="15" t="str">
        <f>IF(AG62=0,"",IFERROR(AG62/AG$19,""))</f>
        <v/>
      </c>
      <c r="AI62" s="47" t="e">
        <f ca="1">IF(AND($AA62="",AG62=""),"",$AA62-AG62)</f>
        <v>#NAME?</v>
      </c>
      <c r="AJ62" s="371">
        <f ca="1">IFERROR(AA62/AA$20,0)</f>
        <v>0</v>
      </c>
      <c r="AK62" s="372">
        <f ca="1">IFERROR(AD62/AD$20,0)</f>
        <v>0</v>
      </c>
      <c r="AL62" s="373">
        <f ca="1">IFERROR(AG62/AG$20,0)</f>
        <v>0</v>
      </c>
      <c r="AM62" s="374">
        <f ca="1">+IFERROR(ROUND(($AB62-AE62)*100,2)&amp;" pts.",0)</f>
        <v>0</v>
      </c>
      <c r="AN62" s="375">
        <f ca="1">+IFERROR(ROUND(($AB62-AH62)*100,2)&amp;" pts.",0)</f>
        <v>0</v>
      </c>
    </row>
    <row r="63" spans="1:40" hidden="1" x14ac:dyDescent="0.2">
      <c r="H63" s="10"/>
      <c r="I63" s="25" t="e">
        <f ca="1">_xll.EVPRO($B$1,$H63,"STYLE")</f>
        <v>#NAME?</v>
      </c>
      <c r="J63" s="25" t="e">
        <f ca="1">_xll.EVPRO($B$1,$H63,"CALC")</f>
        <v>#NAME?</v>
      </c>
      <c r="K63" s="64" t="e">
        <f ca="1">IF(AND(I63&lt;&gt;"B1",J63="Y"),"&gt;","")</f>
        <v>#NAME?</v>
      </c>
      <c r="L63" s="24" t="e">
        <f ca="1">_xll.EVPRO($B$1,H63,"JDEID")</f>
        <v>#NAME?</v>
      </c>
      <c r="M63" s="24" t="e">
        <f ca="1">IF(AND(I63="N",J63="N"),_xll.EVPRO($B$1,H63,"PSFTID"),"")</f>
        <v>#NAME?</v>
      </c>
      <c r="N63" s="24" t="e">
        <f ca="1">IF(_xll.EVDES(H63,$B$1)="#NODATA","",_xll.EVDES(H63,$B$1))</f>
        <v>#NAME?</v>
      </c>
      <c r="O63" s="19"/>
      <c r="P63" s="19"/>
      <c r="Q63" s="19"/>
      <c r="R63" s="19"/>
      <c r="S63" s="19"/>
      <c r="T63" s="19"/>
      <c r="U63" s="19"/>
      <c r="V63" s="19"/>
      <c r="W63" s="19"/>
      <c r="X63" s="19"/>
      <c r="Y63" s="19"/>
      <c r="Z63" s="19"/>
      <c r="AA63" s="19" t="e">
        <f ca="1">IF($I63="B1","",SUM(O63:Z63))</f>
        <v>#NAME?</v>
      </c>
      <c r="AB63" s="15" t="e">
        <f ca="1">IF(AA63=0,"",IFERROR(AA63/AA$19,""))</f>
        <v>#NAME?</v>
      </c>
      <c r="AD63" s="19"/>
      <c r="AE63" s="15" t="str">
        <f>IF(AD63=0,"",IFERROR(AD63/AD$19,""))</f>
        <v/>
      </c>
      <c r="AF63" s="47" t="e">
        <f ca="1">IF(AND($AA63="",AD63=""),"",$AA63-AD63)</f>
        <v>#NAME?</v>
      </c>
      <c r="AG63" s="19"/>
      <c r="AH63" s="15" t="str">
        <f>IF(AG63=0,"",IFERROR(AG63/AG$19,""))</f>
        <v/>
      </c>
      <c r="AI63" s="47" t="e">
        <f ca="1">IF(AND($AA63="",AG63=""),"",$AA63-AG63)</f>
        <v>#NAME?</v>
      </c>
      <c r="AJ63" s="371">
        <f ca="1">IFERROR(AA63/AA$20,0)</f>
        <v>0</v>
      </c>
      <c r="AK63" s="372">
        <f ca="1">IFERROR(AD63/AD$20,0)</f>
        <v>0</v>
      </c>
      <c r="AL63" s="373">
        <f ca="1">IFERROR(AG63/AG$20,0)</f>
        <v>0</v>
      </c>
      <c r="AM63" s="374">
        <f ca="1">+IFERROR(ROUND(($AB63-AE63)*100,2)&amp;" pts.",0)</f>
        <v>0</v>
      </c>
      <c r="AN63" s="375">
        <f ca="1">+IFERROR(ROUND(($AB63-AH63)*100,2)&amp;" pts.",0)</f>
        <v>0</v>
      </c>
    </row>
    <row r="64" spans="1:40" x14ac:dyDescent="0.2">
      <c r="A64" s="20" t="s">
        <v>92</v>
      </c>
      <c r="B64" s="21" t="s">
        <v>93</v>
      </c>
      <c r="C64" s="21" t="s">
        <v>94</v>
      </c>
      <c r="D64" s="21" t="s">
        <v>95</v>
      </c>
      <c r="E64" s="21" t="s">
        <v>96</v>
      </c>
      <c r="F64" s="22" t="s">
        <v>97</v>
      </c>
      <c r="H64" s="10" t="s">
        <v>79</v>
      </c>
      <c r="I64" s="25" t="e">
        <f ca="1">_xll.EVPRO($B$1,$H64,"STYLE")</f>
        <v>#NAME?</v>
      </c>
      <c r="J64" s="25" t="e">
        <f ca="1">_xll.EVPRO($B$1,$H64,"CALC")</f>
        <v>#NAME?</v>
      </c>
      <c r="K64" s="24"/>
      <c r="L64" s="24"/>
      <c r="M64" s="24"/>
      <c r="N64" s="23" t="e">
        <f ca="1">IF(_xll.EVDES(H64,$B$1)="#NODATA","",_xll.EVDES(H64,$B$1))</f>
        <v>#NAME?</v>
      </c>
      <c r="O64" s="30"/>
      <c r="P64" s="30"/>
      <c r="Q64" s="30"/>
      <c r="R64" s="30"/>
      <c r="S64" s="30"/>
      <c r="T64" s="30"/>
      <c r="U64" s="30"/>
      <c r="V64" s="30"/>
      <c r="W64" s="30"/>
      <c r="X64" s="30"/>
      <c r="Y64" s="30"/>
      <c r="Z64" s="30"/>
      <c r="AA64" s="30" t="e">
        <f ca="1">IF($I64="B1","",SUM(O64:Z64))</f>
        <v>#NAME?</v>
      </c>
      <c r="AB64" s="31" t="e">
        <f ca="1">IF(AA64=0,"",IFERROR(AA64/AA$19,""))</f>
        <v>#NAME?</v>
      </c>
      <c r="AD64" s="30"/>
      <c r="AE64" s="31" t="str">
        <f>IF(AD64=0,"",IFERROR(AD64/AD$19,""))</f>
        <v/>
      </c>
      <c r="AF64" s="49" t="e">
        <f ca="1">IF(AND($AA64="",AD64=""),"",$AA64-AD64)</f>
        <v>#NAME?</v>
      </c>
      <c r="AG64" s="30"/>
      <c r="AH64" s="31" t="str">
        <f>IF(AG64=0,"",IFERROR(AG64/AG$19,""))</f>
        <v/>
      </c>
      <c r="AI64" s="49" t="e">
        <f ca="1">IF(AND($AA64="",AG64=""),"",$AA64-AG64)</f>
        <v>#NAME?</v>
      </c>
      <c r="AJ64" s="387">
        <f ca="1">IFERROR(AA64/AA$20,0)</f>
        <v>0</v>
      </c>
      <c r="AK64" s="388">
        <f ca="1">IFERROR(AD64/AD$20,0)</f>
        <v>0</v>
      </c>
      <c r="AL64" s="389">
        <f ca="1">IFERROR(AG64/AG$20,0)</f>
        <v>0</v>
      </c>
      <c r="AM64" s="390">
        <f ca="1">+IFERROR(ROUND(($AB64-AE64)*100,2)&amp;" pts.",0)</f>
        <v>0</v>
      </c>
      <c r="AN64" s="408">
        <f ca="1">+IFERROR(ROUND(($AB64-AH64)*100,2)&amp;" pts.",0)</f>
        <v>0</v>
      </c>
    </row>
    <row r="66" spans="1:40" x14ac:dyDescent="0.2">
      <c r="A66" s="1" t="s">
        <v>105</v>
      </c>
      <c r="C66" s="24" t="s">
        <v>101</v>
      </c>
      <c r="D66" s="1" t="s">
        <v>106</v>
      </c>
      <c r="F66" s="1" t="s">
        <v>98</v>
      </c>
      <c r="H66" s="10" t="s">
        <v>80</v>
      </c>
      <c r="I66" s="25" t="e">
        <f ca="1">_xll.EVPRO($B$1,$H66,"STYLE")</f>
        <v>#NAME?</v>
      </c>
      <c r="J66" s="25" t="e">
        <f ca="1">_xll.EVPRO($B$1,$H66,"CALC")</f>
        <v>#NAME?</v>
      </c>
      <c r="K66" s="23"/>
      <c r="L66" s="23"/>
      <c r="M66" s="23"/>
      <c r="N66" s="23" t="e">
        <f ca="1">IF(_xll.EVDES(H66,$B$1)="#NODATA","",_xll.EVDES(H66,$B$1))</f>
        <v>#NAME?</v>
      </c>
      <c r="O66" s="33"/>
      <c r="P66" s="33"/>
      <c r="Q66" s="33"/>
      <c r="R66" s="33"/>
      <c r="S66" s="33"/>
      <c r="T66" s="33"/>
      <c r="U66" s="33"/>
      <c r="V66" s="33"/>
      <c r="W66" s="33"/>
      <c r="X66" s="33"/>
      <c r="Y66" s="33"/>
      <c r="Z66" s="33"/>
      <c r="AA66" s="33" t="e">
        <f ca="1">IF($I66="B1","",SUM(O66:Z66))</f>
        <v>#NAME?</v>
      </c>
      <c r="AB66" s="34" t="e">
        <f ca="1">IF(AA66=0,"",IFERROR(AA66/AA$19,""))</f>
        <v>#NAME?</v>
      </c>
      <c r="AD66" s="33"/>
      <c r="AE66" s="34" t="str">
        <f>IF(AD66=0,"",IFERROR(AD66/AD$19,""))</f>
        <v/>
      </c>
      <c r="AF66" s="55" t="e">
        <f ca="1">IF(AND($AA66="",AD66=""),"",$AA66-AD66)</f>
        <v>#NAME?</v>
      </c>
      <c r="AG66" s="56"/>
      <c r="AH66" s="57" t="str">
        <f>IF(AG66=0,"",IFERROR(AG66/AG$19,""))</f>
        <v/>
      </c>
      <c r="AI66" s="55" t="e">
        <f ca="1">IF(AND($AA66="",AG66=""),"",$AA66-AG66)</f>
        <v>#NAME?</v>
      </c>
      <c r="AJ66" s="364">
        <f ca="1">IFERROR(AA66/AA$20,0)</f>
        <v>0</v>
      </c>
      <c r="AK66" s="365">
        <f ca="1">IFERROR(AD66/AD$20,0)</f>
        <v>0</v>
      </c>
      <c r="AL66" s="366">
        <f ca="1">IFERROR(AG66/AG$20,0)</f>
        <v>0</v>
      </c>
      <c r="AM66" s="367">
        <f ca="1">+IFERROR(ROUND(($AB66-AE66)*100,2)&amp;" pts.",0)</f>
        <v>0</v>
      </c>
      <c r="AN66" s="409">
        <f ca="1">+IFERROR(ROUND(($AB66-AH66)*100,2)&amp;" pts.",0)</f>
        <v>0</v>
      </c>
    </row>
    <row r="67" spans="1:40" ht="16" thickBot="1" x14ac:dyDescent="0.25">
      <c r="A67" s="1" t="s">
        <v>102</v>
      </c>
      <c r="C67" s="23" t="s">
        <v>101</v>
      </c>
      <c r="D67" s="1" t="s">
        <v>106</v>
      </c>
      <c r="F67" s="1" t="s">
        <v>98</v>
      </c>
      <c r="H67" s="10" t="s">
        <v>81</v>
      </c>
      <c r="I67" s="25" t="e">
        <f ca="1">_xll.EVPRO($B$1,$H67,"STYLE")</f>
        <v>#NAME?</v>
      </c>
      <c r="J67" s="25" t="e">
        <f ca="1">_xll.EVPRO($B$1,$H67,"CALC")</f>
        <v>#NAME?</v>
      </c>
      <c r="K67" s="23"/>
      <c r="L67" s="23"/>
      <c r="M67" s="23"/>
      <c r="N67" s="23" t="e">
        <f ca="1">IF(_xll.EVDES(H67,$B$1)="#NODATA","",_xll.EVDES(H67,$B$1))</f>
        <v>#NAME?</v>
      </c>
      <c r="O67" s="58"/>
      <c r="P67" s="58"/>
      <c r="Q67" s="58"/>
      <c r="R67" s="58"/>
      <c r="S67" s="58"/>
      <c r="T67" s="58"/>
      <c r="U67" s="58"/>
      <c r="V67" s="58"/>
      <c r="W67" s="58"/>
      <c r="X67" s="58"/>
      <c r="Y67" s="58"/>
      <c r="Z67" s="58"/>
      <c r="AA67" s="58" t="e">
        <f ca="1">IF($I67="B1","",SUM(O67:Z67))</f>
        <v>#NAME?</v>
      </c>
      <c r="AB67" s="59" t="e">
        <f ca="1">IF(AA67=0,"",IFERROR(AA67/AA$19,""))</f>
        <v>#NAME?</v>
      </c>
      <c r="AD67" s="58"/>
      <c r="AE67" s="59" t="str">
        <f>IF(AD67=0,"",IFERROR(AD67/AD$19,""))</f>
        <v/>
      </c>
      <c r="AF67" s="60" t="e">
        <f ca="1">IF(AND($AA67="",AD67=""),"",$AA67-AD67)</f>
        <v>#NAME?</v>
      </c>
      <c r="AG67" s="58"/>
      <c r="AH67" s="59" t="str">
        <f>IF(AG67=0,"",IFERROR(AG67/AG$19,""))</f>
        <v/>
      </c>
      <c r="AI67" s="60" t="e">
        <f ca="1">IF(AND($AA67="",AG67=""),"",$AA67-AG67)</f>
        <v>#NAME?</v>
      </c>
      <c r="AJ67" s="402">
        <f ca="1">IFERROR(AA67/AA$20,0)</f>
        <v>0</v>
      </c>
      <c r="AK67" s="403">
        <f ca="1">IFERROR(AD67/AD$20,0)</f>
        <v>0</v>
      </c>
      <c r="AL67" s="404">
        <f ca="1">IFERROR(AG67/AG$20,0)</f>
        <v>0</v>
      </c>
      <c r="AM67" s="405">
        <f ca="1">+IFERROR(ROUND(($AB67-AE67)*100,2)&amp;" pts.",0)</f>
        <v>0</v>
      </c>
      <c r="AN67" s="410">
        <f ca="1">+IFERROR(ROUND(($AB67-AH67)*100,2)&amp;" pts.",0)</f>
        <v>0</v>
      </c>
    </row>
    <row r="68" spans="1:40" ht="16" thickTop="1" x14ac:dyDescent="0.2">
      <c r="A68" s="1" t="s">
        <v>102</v>
      </c>
      <c r="C68" s="135" t="s">
        <v>101</v>
      </c>
      <c r="D68" s="1" t="s">
        <v>107</v>
      </c>
      <c r="F68" s="1" t="s">
        <v>99</v>
      </c>
    </row>
    <row r="69" spans="1:40" x14ac:dyDescent="0.2">
      <c r="N69" s="24" t="e">
        <f ca="1">N66&amp;" - Check"</f>
        <v>#NAME?</v>
      </c>
      <c r="O69" s="124">
        <f t="shared" ref="O69:AA69" si="20">SUMIF($H$34:$H$67,"600000",O$34:O$67)+SUMIF($H$34:$H$67,"700000",O$34:O$67)-SUMIF($H$34:$H$67,"TOTDEPTEXP",O$34:O$67)</f>
        <v>0</v>
      </c>
      <c r="P69" s="124">
        <f t="shared" si="20"/>
        <v>0</v>
      </c>
      <c r="Q69" s="124">
        <f t="shared" si="20"/>
        <v>0</v>
      </c>
      <c r="R69" s="124">
        <f t="shared" si="20"/>
        <v>0</v>
      </c>
      <c r="S69" s="124">
        <f t="shared" si="20"/>
        <v>0</v>
      </c>
      <c r="T69" s="124">
        <f t="shared" si="20"/>
        <v>0</v>
      </c>
      <c r="U69" s="124">
        <f t="shared" si="20"/>
        <v>0</v>
      </c>
      <c r="V69" s="124">
        <f t="shared" si="20"/>
        <v>0</v>
      </c>
      <c r="W69" s="124">
        <f t="shared" si="20"/>
        <v>0</v>
      </c>
      <c r="X69" s="124">
        <f t="shared" si="20"/>
        <v>0</v>
      </c>
      <c r="Y69" s="124">
        <f t="shared" si="20"/>
        <v>0</v>
      </c>
      <c r="Z69" s="124">
        <f t="shared" si="20"/>
        <v>0</v>
      </c>
      <c r="AA69" s="124" t="e">
        <f t="shared" ca="1" si="20"/>
        <v>#NAME?</v>
      </c>
      <c r="AB69" s="15"/>
      <c r="AD69" s="124">
        <f>SUMIF($H$34:$H$67,"600000",AD$34:AD$67)+SUMIF($H$34:$H$67,"700000",AD$34:AD$67)-SUMIF($H$34:$H$67,"TOTDEPTEXP",AD$34:AD$67)</f>
        <v>0</v>
      </c>
      <c r="AE69" s="15"/>
      <c r="AF69" s="19"/>
      <c r="AG69" s="124">
        <f>SUMIF($H$34:$H$67,"600000",AG$34:AG$67)+SUMIF($H$34:$H$67,"700000",AG$34:AG$67)-SUMIF($H$34:$H$67,"TOTDEPTEXP",AG$34:AG$67)</f>
        <v>0</v>
      </c>
      <c r="AH69" s="15"/>
      <c r="AI69" s="19"/>
    </row>
    <row r="70" spans="1:40" x14ac:dyDescent="0.2">
      <c r="C70" s="23"/>
      <c r="N70" s="24" t="e">
        <f ca="1">N67&amp;" - Check"</f>
        <v>#NAME?</v>
      </c>
      <c r="O70" s="124">
        <f t="shared" ref="O70:AA70" si="21">SUMIF($H$34:$H$67,"KPI_GP",O$34:O$67)-SUMIF($H$34:$H$67,"TOTDEPTEXP",O$34:O$67)-SUMIF($H$34:$H$67,"TOTDEPTPL",O$34:O$67)</f>
        <v>0</v>
      </c>
      <c r="P70" s="124">
        <f t="shared" si="21"/>
        <v>0</v>
      </c>
      <c r="Q70" s="124">
        <f t="shared" si="21"/>
        <v>0</v>
      </c>
      <c r="R70" s="124">
        <f t="shared" si="21"/>
        <v>0</v>
      </c>
      <c r="S70" s="124">
        <f t="shared" si="21"/>
        <v>0</v>
      </c>
      <c r="T70" s="124">
        <f t="shared" si="21"/>
        <v>0</v>
      </c>
      <c r="U70" s="124">
        <f t="shared" si="21"/>
        <v>0</v>
      </c>
      <c r="V70" s="124">
        <f t="shared" si="21"/>
        <v>0</v>
      </c>
      <c r="W70" s="124">
        <f t="shared" si="21"/>
        <v>0</v>
      </c>
      <c r="X70" s="124">
        <f t="shared" si="21"/>
        <v>0</v>
      </c>
      <c r="Y70" s="124">
        <f t="shared" si="21"/>
        <v>0</v>
      </c>
      <c r="Z70" s="124">
        <f t="shared" si="21"/>
        <v>0</v>
      </c>
      <c r="AA70" s="124" t="e">
        <f t="shared" ca="1" si="21"/>
        <v>#NAME?</v>
      </c>
      <c r="AB70" s="15"/>
      <c r="AD70" s="124">
        <f>SUMIF($H$34:$H$67,"KPI_GP",AD$34:AD$67)-SUMIF($H$34:$H$67,"TOTDEPTEXP",AD$34:AD$67)-SUMIF($H$34:$H$67,"TOTDEPTPL",AD$34:AD$67)</f>
        <v>0</v>
      </c>
      <c r="AE70" s="15"/>
      <c r="AF70" s="19"/>
      <c r="AG70" s="124">
        <f>SUMIF($H$34:$H$67,"KPI_GP",AG$34:AG$67)-SUMIF($H$34:$H$67,"TOTDEPTEXP",AG$34:AG$67)-SUMIF($H$34:$H$67,"TOTDEPTPL",AG$34:AG$67)</f>
        <v>0</v>
      </c>
      <c r="AH70" s="15"/>
      <c r="AI70" s="19"/>
    </row>
    <row r="71" spans="1:40" x14ac:dyDescent="0.2">
      <c r="A71" s="4" t="e">
        <f ca="1">_xll.EVDRE($B$1,A74:B81,A84:B90)</f>
        <v>#NAME?</v>
      </c>
    </row>
    <row r="72" spans="1:40" x14ac:dyDescent="0.2">
      <c r="O72" s="147"/>
      <c r="P72" s="147"/>
      <c r="Q72" s="147"/>
      <c r="R72" s="147"/>
      <c r="S72" s="147"/>
      <c r="T72" s="147"/>
      <c r="U72" s="147"/>
      <c r="V72" s="147"/>
      <c r="W72" s="147"/>
      <c r="X72" s="147"/>
      <c r="Y72" s="147"/>
      <c r="Z72" s="147"/>
      <c r="AA72" s="147"/>
      <c r="AD72" s="147"/>
      <c r="AG72" s="147"/>
    </row>
    <row r="73" spans="1:40" x14ac:dyDescent="0.2">
      <c r="A73" s="3" t="s">
        <v>0</v>
      </c>
      <c r="B73" s="5" t="s">
        <v>1</v>
      </c>
    </row>
    <row r="74" spans="1:40" x14ac:dyDescent="0.2">
      <c r="A74" s="6" t="s">
        <v>2</v>
      </c>
      <c r="B74" s="7" t="e">
        <f ca="1">_xll.EVRNG($B$2:$B$10)</f>
        <v>#NAME?</v>
      </c>
      <c r="O74" s="147"/>
      <c r="P74" s="147"/>
      <c r="Q74" s="147"/>
      <c r="R74" s="147"/>
      <c r="S74" s="147"/>
      <c r="T74" s="147"/>
      <c r="U74" s="147"/>
      <c r="V74" s="147"/>
      <c r="W74" s="147"/>
      <c r="X74" s="147"/>
      <c r="Y74" s="147"/>
      <c r="Z74" s="147"/>
      <c r="AA74" s="147"/>
      <c r="AD74" s="147"/>
      <c r="AG74" s="147"/>
    </row>
    <row r="75" spans="1:40" x14ac:dyDescent="0.2">
      <c r="A75" s="6" t="s">
        <v>3</v>
      </c>
      <c r="B75" s="7" t="e">
        <f ca="1">_xll.EVRNG($O$16:$AN$18)</f>
        <v>#NAME?</v>
      </c>
    </row>
    <row r="76" spans="1:40" x14ac:dyDescent="0.2">
      <c r="A76" s="6" t="s">
        <v>4</v>
      </c>
      <c r="B76" s="7" t="e">
        <f ca="1">_xll.EVRNG(H55:H56,H58:H59,H62:H63)</f>
        <v>#NAME?</v>
      </c>
    </row>
    <row r="77" spans="1:40" x14ac:dyDescent="0.2">
      <c r="A77" s="6" t="s">
        <v>5</v>
      </c>
      <c r="B77" s="7"/>
      <c r="H77" s="11"/>
      <c r="J77" s="1"/>
    </row>
    <row r="78" spans="1:40" x14ac:dyDescent="0.2">
      <c r="A78" s="6" t="s">
        <v>6</v>
      </c>
      <c r="B78" s="7"/>
      <c r="H78" s="11"/>
      <c r="J78" s="1"/>
    </row>
    <row r="79" spans="1:40" x14ac:dyDescent="0.2">
      <c r="A79" s="6" t="s">
        <v>7</v>
      </c>
      <c r="B79" s="7" t="e">
        <f ca="1">_xll.EVRNG(A93:F99)</f>
        <v>#NAME?</v>
      </c>
      <c r="H79" s="11"/>
      <c r="J79" s="1"/>
    </row>
    <row r="80" spans="1:40" x14ac:dyDescent="0.2">
      <c r="A80" s="6" t="s">
        <v>47</v>
      </c>
      <c r="B80" s="7" t="e">
        <f ca="1">_xll.EVRNG($A$116:$B$137)</f>
        <v>#NAME?</v>
      </c>
      <c r="H80" s="11"/>
      <c r="J80" s="1"/>
    </row>
    <row r="81" spans="1:10" x14ac:dyDescent="0.2">
      <c r="A81" s="6" t="s">
        <v>8</v>
      </c>
      <c r="B81" s="7"/>
      <c r="H81" s="11"/>
      <c r="J81" s="1"/>
    </row>
    <row r="82" spans="1:10" x14ac:dyDescent="0.2">
      <c r="H82" s="11"/>
      <c r="J82" s="1"/>
    </row>
    <row r="83" spans="1:10" x14ac:dyDescent="0.2">
      <c r="A83" s="3" t="s">
        <v>9</v>
      </c>
      <c r="B83" s="5" t="s">
        <v>10</v>
      </c>
      <c r="H83" s="11"/>
      <c r="J83" s="1"/>
    </row>
    <row r="84" spans="1:10" x14ac:dyDescent="0.2">
      <c r="A84" s="6" t="s">
        <v>11</v>
      </c>
      <c r="B84" s="7" t="s">
        <v>21</v>
      </c>
      <c r="H84" s="11"/>
      <c r="J84" s="1"/>
    </row>
    <row r="85" spans="1:10" x14ac:dyDescent="0.2">
      <c r="A85" s="6" t="s">
        <v>12</v>
      </c>
      <c r="B85" s="7" t="s">
        <v>22</v>
      </c>
      <c r="H85" s="11"/>
      <c r="J85" s="1"/>
    </row>
    <row r="86" spans="1:10" x14ac:dyDescent="0.2">
      <c r="A86" s="6" t="s">
        <v>13</v>
      </c>
      <c r="B86" s="7" t="s">
        <v>737</v>
      </c>
      <c r="H86" s="11"/>
      <c r="J86" s="1"/>
    </row>
    <row r="87" spans="1:10" x14ac:dyDescent="0.2">
      <c r="A87" s="6" t="s">
        <v>14</v>
      </c>
      <c r="B87" s="7"/>
      <c r="H87" s="11"/>
      <c r="J87" s="1"/>
    </row>
    <row r="88" spans="1:10" x14ac:dyDescent="0.2">
      <c r="A88" s="6" t="s">
        <v>15</v>
      </c>
      <c r="B88" s="7"/>
      <c r="H88" s="11"/>
      <c r="J88" s="1"/>
    </row>
    <row r="89" spans="1:10" x14ac:dyDescent="0.2">
      <c r="A89" s="6" t="s">
        <v>16</v>
      </c>
      <c r="B89" s="7" t="s">
        <v>78</v>
      </c>
      <c r="G89" s="13"/>
      <c r="H89" s="11"/>
      <c r="J89" s="1"/>
    </row>
    <row r="90" spans="1:10" x14ac:dyDescent="0.2">
      <c r="A90" s="6" t="s">
        <v>17</v>
      </c>
      <c r="B90" s="7"/>
      <c r="H90" s="11"/>
      <c r="J90" s="1"/>
    </row>
    <row r="91" spans="1:10" x14ac:dyDescent="0.2">
      <c r="H91" s="11"/>
      <c r="J91" s="1"/>
    </row>
    <row r="92" spans="1:10" x14ac:dyDescent="0.2">
      <c r="A92" s="20" t="s">
        <v>92</v>
      </c>
      <c r="B92" s="21" t="s">
        <v>93</v>
      </c>
      <c r="C92" s="21" t="s">
        <v>94</v>
      </c>
      <c r="D92" s="21" t="s">
        <v>95</v>
      </c>
      <c r="E92" s="21" t="s">
        <v>96</v>
      </c>
      <c r="F92" s="22" t="s">
        <v>97</v>
      </c>
      <c r="H92" s="11"/>
      <c r="J92" s="1"/>
    </row>
    <row r="93" spans="1:10" x14ac:dyDescent="0.2">
      <c r="H93" s="11"/>
      <c r="J93" s="1"/>
    </row>
    <row r="94" spans="1:10" x14ac:dyDescent="0.2">
      <c r="A94" s="1" t="s">
        <v>108</v>
      </c>
      <c r="C94" s="24" t="s">
        <v>101</v>
      </c>
      <c r="D94" s="1" t="s">
        <v>106</v>
      </c>
      <c r="F94" s="1" t="s">
        <v>98</v>
      </c>
      <c r="H94" s="11"/>
      <c r="J94" s="1"/>
    </row>
    <row r="95" spans="1:10" x14ac:dyDescent="0.2">
      <c r="A95" s="1" t="s">
        <v>100</v>
      </c>
      <c r="C95" s="8" t="s">
        <v>101</v>
      </c>
      <c r="D95" s="1" t="s">
        <v>106</v>
      </c>
      <c r="F95" s="1" t="s">
        <v>98</v>
      </c>
      <c r="H95" s="11"/>
      <c r="J95" s="1"/>
    </row>
    <row r="96" spans="1:10" x14ac:dyDescent="0.2">
      <c r="A96" s="1" t="s">
        <v>109</v>
      </c>
      <c r="C96" s="23" t="s">
        <v>101</v>
      </c>
      <c r="D96" s="1" t="s">
        <v>106</v>
      </c>
      <c r="F96" s="1" t="s">
        <v>98</v>
      </c>
      <c r="H96" s="11"/>
      <c r="J96" s="1"/>
    </row>
    <row r="97" spans="1:10" x14ac:dyDescent="0.2">
      <c r="A97" s="1" t="s">
        <v>109</v>
      </c>
      <c r="C97" s="135" t="s">
        <v>101</v>
      </c>
      <c r="D97" s="1" t="s">
        <v>107</v>
      </c>
      <c r="F97" s="1" t="s">
        <v>99</v>
      </c>
      <c r="H97" s="11"/>
      <c r="J97" s="1"/>
    </row>
    <row r="98" spans="1:10" x14ac:dyDescent="0.2">
      <c r="A98" s="1" t="s">
        <v>110</v>
      </c>
      <c r="C98" s="23" t="s">
        <v>101</v>
      </c>
      <c r="D98" s="1" t="s">
        <v>106</v>
      </c>
      <c r="F98" s="1" t="s">
        <v>98</v>
      </c>
      <c r="H98" s="11"/>
      <c r="J98" s="1"/>
    </row>
    <row r="99" spans="1:10" x14ac:dyDescent="0.2">
      <c r="A99" s="1" t="s">
        <v>110</v>
      </c>
      <c r="C99" s="27" t="s">
        <v>101</v>
      </c>
      <c r="D99" s="1" t="s">
        <v>107</v>
      </c>
      <c r="F99" s="1" t="s">
        <v>99</v>
      </c>
      <c r="H99" s="11"/>
      <c r="J99" s="1"/>
    </row>
    <row r="100" spans="1:10" x14ac:dyDescent="0.2">
      <c r="C100" s="23"/>
    </row>
    <row r="102" spans="1:10" x14ac:dyDescent="0.2">
      <c r="A102" s="4" t="e">
        <f ca="1">_xll.EVDRE($B$1,A105:B112)</f>
        <v>#NAME?</v>
      </c>
      <c r="B102" s="1" t="s">
        <v>736</v>
      </c>
    </row>
    <row r="103" spans="1:10" x14ac:dyDescent="0.2">
      <c r="G103" s="13"/>
    </row>
    <row r="104" spans="1:10" x14ac:dyDescent="0.2">
      <c r="A104" s="3" t="s">
        <v>0</v>
      </c>
      <c r="B104" s="5" t="s">
        <v>1</v>
      </c>
    </row>
    <row r="105" spans="1:10" x14ac:dyDescent="0.2">
      <c r="A105" s="6" t="s">
        <v>2</v>
      </c>
      <c r="B105" s="7" t="e">
        <f ca="1">_xll.EVRNG($B$2:$B$10)</f>
        <v>#NAME?</v>
      </c>
    </row>
    <row r="106" spans="1:10" x14ac:dyDescent="0.2">
      <c r="A106" s="6" t="s">
        <v>3</v>
      </c>
      <c r="B106" s="7" t="e">
        <f ca="1">_xll.EVRNG($O$16:$AN$18)</f>
        <v>#NAME?</v>
      </c>
    </row>
    <row r="107" spans="1:10" x14ac:dyDescent="0.2">
      <c r="A107" s="6" t="s">
        <v>4</v>
      </c>
      <c r="B107" s="7" t="e">
        <f ca="1">_xll.EVRNG(H64:H67)</f>
        <v>#NAME?</v>
      </c>
    </row>
    <row r="108" spans="1:10" x14ac:dyDescent="0.2">
      <c r="A108" s="6" t="s">
        <v>5</v>
      </c>
      <c r="B108" s="7"/>
    </row>
    <row r="109" spans="1:10" x14ac:dyDescent="0.2">
      <c r="A109" s="6" t="s">
        <v>6</v>
      </c>
      <c r="B109" s="7"/>
      <c r="G109" s="13"/>
    </row>
    <row r="110" spans="1:10" x14ac:dyDescent="0.2">
      <c r="A110" s="6" t="s">
        <v>7</v>
      </c>
      <c r="B110" s="7"/>
    </row>
    <row r="111" spans="1:10" x14ac:dyDescent="0.2">
      <c r="A111" s="6" t="s">
        <v>47</v>
      </c>
      <c r="B111" s="7" t="e">
        <f ca="1">_xll.EVRNG($A$116:$B$137)</f>
        <v>#NAME?</v>
      </c>
    </row>
    <row r="112" spans="1:10" x14ac:dyDescent="0.2">
      <c r="A112" s="6" t="s">
        <v>8</v>
      </c>
      <c r="B112" s="7"/>
    </row>
    <row r="115" spans="1:2" x14ac:dyDescent="0.2">
      <c r="A115" s="3" t="s">
        <v>23</v>
      </c>
      <c r="B115" s="5" t="s">
        <v>24</v>
      </c>
    </row>
    <row r="116" spans="1:2" x14ac:dyDescent="0.2">
      <c r="A116" s="6" t="s">
        <v>25</v>
      </c>
      <c r="B116" s="7"/>
    </row>
    <row r="117" spans="1:2" x14ac:dyDescent="0.2">
      <c r="A117" s="6" t="s">
        <v>26</v>
      </c>
      <c r="B117" s="7"/>
    </row>
    <row r="118" spans="1:2" x14ac:dyDescent="0.2">
      <c r="A118" s="6" t="s">
        <v>27</v>
      </c>
      <c r="B118" s="7"/>
    </row>
    <row r="119" spans="1:2" x14ac:dyDescent="0.2">
      <c r="A119" s="6" t="s">
        <v>28</v>
      </c>
      <c r="B119" s="7"/>
    </row>
    <row r="120" spans="1:2" x14ac:dyDescent="0.2">
      <c r="A120" s="6" t="s">
        <v>29</v>
      </c>
      <c r="B120" s="7"/>
    </row>
    <row r="121" spans="1:2" x14ac:dyDescent="0.2">
      <c r="A121" s="6" t="s">
        <v>30</v>
      </c>
      <c r="B121" s="7" t="s">
        <v>78</v>
      </c>
    </row>
    <row r="122" spans="1:2" x14ac:dyDescent="0.2">
      <c r="A122" s="6" t="s">
        <v>31</v>
      </c>
      <c r="B122" s="7" t="s">
        <v>78</v>
      </c>
    </row>
    <row r="123" spans="1:2" x14ac:dyDescent="0.2">
      <c r="A123" s="6" t="s">
        <v>32</v>
      </c>
      <c r="B123" s="7"/>
    </row>
    <row r="124" spans="1:2" x14ac:dyDescent="0.2">
      <c r="A124" s="6" t="s">
        <v>33</v>
      </c>
      <c r="B124" s="7"/>
    </row>
    <row r="125" spans="1:2" x14ac:dyDescent="0.2">
      <c r="A125" s="6" t="s">
        <v>34</v>
      </c>
      <c r="B125" s="7"/>
    </row>
    <row r="126" spans="1:2" x14ac:dyDescent="0.2">
      <c r="A126" s="6" t="s">
        <v>35</v>
      </c>
      <c r="B126" s="7"/>
    </row>
    <row r="127" spans="1:2" x14ac:dyDescent="0.2">
      <c r="A127" s="6" t="s">
        <v>36</v>
      </c>
      <c r="B127" s="7"/>
    </row>
    <row r="128" spans="1:2" x14ac:dyDescent="0.2">
      <c r="A128" s="6" t="s">
        <v>37</v>
      </c>
      <c r="B128" s="7"/>
    </row>
    <row r="129" spans="1:34" x14ac:dyDescent="0.2">
      <c r="A129" s="6" t="s">
        <v>38</v>
      </c>
      <c r="B129" s="7"/>
    </row>
    <row r="130" spans="1:34" x14ac:dyDescent="0.2">
      <c r="A130" s="6" t="s">
        <v>39</v>
      </c>
      <c r="B130" s="7"/>
    </row>
    <row r="131" spans="1:34" x14ac:dyDescent="0.2">
      <c r="A131" s="6" t="s">
        <v>40</v>
      </c>
      <c r="B131" s="7"/>
    </row>
    <row r="132" spans="1:34" x14ac:dyDescent="0.2">
      <c r="A132" s="6" t="s">
        <v>41</v>
      </c>
      <c r="B132" s="7"/>
    </row>
    <row r="133" spans="1:34" x14ac:dyDescent="0.2">
      <c r="A133" s="6" t="s">
        <v>42</v>
      </c>
      <c r="B133" s="7"/>
    </row>
    <row r="134" spans="1:34" x14ac:dyDescent="0.2">
      <c r="A134" s="6" t="s">
        <v>43</v>
      </c>
      <c r="B134" s="7"/>
    </row>
    <row r="135" spans="1:34" x14ac:dyDescent="0.2">
      <c r="A135" s="6" t="s">
        <v>44</v>
      </c>
      <c r="B135" s="7"/>
    </row>
    <row r="136" spans="1:34" x14ac:dyDescent="0.2">
      <c r="A136" s="6" t="s">
        <v>45</v>
      </c>
      <c r="B136" s="7"/>
    </row>
    <row r="137" spans="1:34" x14ac:dyDescent="0.2">
      <c r="A137" s="6" t="s">
        <v>46</v>
      </c>
      <c r="B137" s="7"/>
    </row>
    <row r="140" spans="1:34" x14ac:dyDescent="0.2">
      <c r="I140" s="72"/>
      <c r="J140" s="1"/>
      <c r="K140" s="72"/>
      <c r="L140" s="72"/>
      <c r="M140" s="72"/>
      <c r="O140" s="72"/>
      <c r="P140" s="72"/>
      <c r="Q140" s="72"/>
      <c r="R140" s="72"/>
      <c r="S140" s="72"/>
      <c r="T140" s="72"/>
      <c r="U140" s="72"/>
      <c r="V140" s="72"/>
      <c r="W140" s="72"/>
      <c r="X140" s="72"/>
      <c r="Y140" s="72"/>
      <c r="Z140" s="72"/>
      <c r="AA140" s="72"/>
      <c r="AD140" s="72"/>
      <c r="AF140" s="72"/>
      <c r="AH140" s="72"/>
    </row>
    <row r="144" spans="1:34" x14ac:dyDescent="0.2">
      <c r="I144" s="72"/>
      <c r="J144" s="1"/>
      <c r="K144" s="72"/>
      <c r="L144" s="72"/>
      <c r="M144" s="72"/>
      <c r="O144" s="72"/>
      <c r="P144" s="72"/>
      <c r="Q144" s="72"/>
      <c r="R144" s="72"/>
      <c r="S144" s="72"/>
      <c r="T144" s="72"/>
      <c r="U144" s="72"/>
      <c r="V144" s="72"/>
      <c r="W144" s="72"/>
      <c r="X144" s="72"/>
      <c r="Y144" s="72"/>
      <c r="Z144" s="72"/>
      <c r="AA144" s="72"/>
      <c r="AD144" s="72"/>
      <c r="AF144" s="72"/>
      <c r="AH144" s="72"/>
    </row>
    <row r="154" spans="5:5" x14ac:dyDescent="0.2">
      <c r="E154" s="72"/>
    </row>
    <row r="158" spans="5:5" x14ac:dyDescent="0.2">
      <c r="E158" s="72"/>
    </row>
    <row r="188" spans="7:7" x14ac:dyDescent="0.2">
      <c r="G188" s="72"/>
    </row>
    <row r="192" spans="7:7" x14ac:dyDescent="0.2">
      <c r="G192" s="72"/>
    </row>
  </sheetData>
  <mergeCells count="2">
    <mergeCell ref="AD31:AE31"/>
    <mergeCell ref="AG31:AH31"/>
  </mergeCells>
  <dataValidations disablePrompts="1" count="2">
    <dataValidation type="list" allowBlank="1" sqref="B28 B57 B85" xr:uid="{00000000-0002-0000-4000-000000000000}">
      <formula1>"ACCOUNT,BUSINESSUNIT,CATEGORY,DATASRC,DEPARTMENT,INTCO,MEASURES,RPTCURRENCY,TIME"</formula1>
    </dataValidation>
    <dataValidation type="list" allowBlank="1" sqref="B86 B58 B29" xr:uid="{00000000-0002-0000-40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82">
    <tabColor theme="9" tint="0.39997558519241921"/>
    <pageSetUpPr fitToPage="1"/>
  </sheetPr>
  <dimension ref="A1:AO192"/>
  <sheetViews>
    <sheetView topLeftCell="K25" zoomScale="85" zoomScaleNormal="85" workbookViewId="0">
      <pane xSplit="4" ySplit="8" topLeftCell="O39"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s">
        <v>980</v>
      </c>
      <c r="I1" s="1"/>
      <c r="J1" s="1"/>
    </row>
    <row r="2" spans="1:35" hidden="1" outlineLevel="1" x14ac:dyDescent="0.2">
      <c r="A2" s="8" t="s">
        <v>22</v>
      </c>
      <c r="B2" s="12" t="s">
        <v>56</v>
      </c>
      <c r="C2" s="1" t="s">
        <v>981</v>
      </c>
      <c r="I2" s="1"/>
      <c r="J2" s="1"/>
    </row>
    <row r="3" spans="1:35" hidden="1" outlineLevel="1" x14ac:dyDescent="0.2">
      <c r="A3" s="8" t="s">
        <v>50</v>
      </c>
      <c r="B3" s="9" t="s">
        <v>979</v>
      </c>
      <c r="C3" s="1" t="s">
        <v>982</v>
      </c>
      <c r="I3" s="1"/>
      <c r="J3" s="1"/>
    </row>
    <row r="4" spans="1:35" hidden="1" outlineLevel="1" x14ac:dyDescent="0.2">
      <c r="A4" s="8" t="s">
        <v>19</v>
      </c>
      <c r="B4" s="9" t="str">
        <f>SetUp!$D$6</f>
        <v>CURRENT</v>
      </c>
      <c r="C4" s="1" t="s">
        <v>960</v>
      </c>
      <c r="E4" s="46">
        <v>20250100</v>
      </c>
      <c r="F4" s="46">
        <v>20250100</v>
      </c>
    </row>
    <row r="5" spans="1:35" hidden="1" outlineLevel="1" x14ac:dyDescent="0.2">
      <c r="A5" s="8" t="s">
        <v>51</v>
      </c>
      <c r="B5" s="12" t="s">
        <v>59</v>
      </c>
      <c r="C5" s="1" t="s">
        <v>59</v>
      </c>
    </row>
    <row r="6" spans="1:35" hidden="1" outlineLevel="1" x14ac:dyDescent="0.2">
      <c r="A6" s="8" t="s">
        <v>52</v>
      </c>
      <c r="B6" s="12" t="s">
        <v>366</v>
      </c>
      <c r="C6" s="1" t="s">
        <v>1241</v>
      </c>
      <c r="E6" s="46" t="s">
        <v>366</v>
      </c>
      <c r="F6" s="1" t="s">
        <v>278</v>
      </c>
    </row>
    <row r="7" spans="1:35" hidden="1" outlineLevel="1" x14ac:dyDescent="0.2">
      <c r="A7" s="8" t="s">
        <v>53</v>
      </c>
      <c r="B7" s="12" t="s">
        <v>61</v>
      </c>
      <c r="C7" s="1" t="s">
        <v>984</v>
      </c>
    </row>
    <row r="8" spans="1:35" hidden="1" outlineLevel="1" x14ac:dyDescent="0.2">
      <c r="A8" s="8" t="s">
        <v>20</v>
      </c>
      <c r="B8" s="12" t="s">
        <v>63</v>
      </c>
      <c r="C8" s="1" t="s">
        <v>985</v>
      </c>
    </row>
    <row r="9" spans="1:35" hidden="1" outlineLevel="1" x14ac:dyDescent="0.2">
      <c r="A9" s="8" t="s">
        <v>54</v>
      </c>
      <c r="B9" s="9" t="str">
        <f>SetUp!$D$10</f>
        <v>LC</v>
      </c>
      <c r="C9" s="1" t="s">
        <v>986</v>
      </c>
    </row>
    <row r="10" spans="1:35" hidden="1" outlineLevel="1" x14ac:dyDescent="0.2">
      <c r="A10" s="8" t="s">
        <v>18</v>
      </c>
      <c r="B10" s="9" t="str">
        <f>SetUp!$D$7</f>
        <v>2024.TOTAL</v>
      </c>
      <c r="C10" s="1" t="s">
        <v>987</v>
      </c>
      <c r="D10" s="212" t="s">
        <v>988</v>
      </c>
    </row>
    <row r="11" spans="1:35" hidden="1" outlineLevel="1" x14ac:dyDescent="0.2">
      <c r="B11" s="8"/>
      <c r="M11" s="46" t="str">
        <f>IF(LEFT(SetUp!$D$6,3)="ALT","Y","N")</f>
        <v>N</v>
      </c>
      <c r="N11" s="1" t="s">
        <v>800</v>
      </c>
      <c r="O11" s="2" t="s">
        <v>682</v>
      </c>
      <c r="P11" s="2" t="s">
        <v>682</v>
      </c>
      <c r="Q11" s="2" t="s">
        <v>682</v>
      </c>
      <c r="R11" s="2" t="s">
        <v>682</v>
      </c>
      <c r="S11" s="2" t="s">
        <v>682</v>
      </c>
      <c r="T11" s="2" t="s">
        <v>682</v>
      </c>
      <c r="U11" s="2" t="s">
        <v>682</v>
      </c>
      <c r="V11" s="2" t="s">
        <v>682</v>
      </c>
      <c r="W11" s="2" t="s">
        <v>682</v>
      </c>
      <c r="X11" s="2" t="s">
        <v>682</v>
      </c>
      <c r="Y11" s="2" t="s">
        <v>682</v>
      </c>
      <c r="Z11" s="2" t="s">
        <v>682</v>
      </c>
      <c r="AA11" s="2" t="str">
        <f>IF(SetUp!$O$1=TRUE,"TRAILING12",IF(AA17="CURRENT","ROLLINGFORECAST","PERIODIC"))</f>
        <v>PERIODIC</v>
      </c>
    </row>
    <row r="12" spans="1:35" hidden="1" outlineLevel="1" x14ac:dyDescent="0.2">
      <c r="A12" s="1" t="s">
        <v>115</v>
      </c>
      <c r="B12" s="46">
        <v>2024</v>
      </c>
      <c r="M12" s="11"/>
      <c r="N12" s="1" t="s">
        <v>597</v>
      </c>
      <c r="O12" s="213" t="s">
        <v>78</v>
      </c>
      <c r="P12" s="213" t="s">
        <v>78</v>
      </c>
      <c r="Q12" s="213" t="s">
        <v>78</v>
      </c>
      <c r="R12" s="213" t="s">
        <v>78</v>
      </c>
      <c r="S12" s="213" t="s">
        <v>78</v>
      </c>
      <c r="T12" s="213" t="s">
        <v>78</v>
      </c>
      <c r="U12" s="213" t="s">
        <v>78</v>
      </c>
      <c r="V12" s="213" t="s">
        <v>78</v>
      </c>
      <c r="W12" s="213" t="s">
        <v>78</v>
      </c>
      <c r="X12" s="213" t="s">
        <v>78</v>
      </c>
      <c r="Y12" s="213" t="s">
        <v>78</v>
      </c>
      <c r="Z12" s="213" t="s">
        <v>78</v>
      </c>
      <c r="AA12" s="213"/>
      <c r="AD12" s="213"/>
      <c r="AG12" s="213"/>
    </row>
    <row r="13" spans="1:35" hidden="1" outlineLevel="1" x14ac:dyDescent="0.2">
      <c r="A13" s="1" t="s">
        <v>602</v>
      </c>
      <c r="B13" s="46">
        <v>2024</v>
      </c>
      <c r="M13" s="11"/>
      <c r="N13" s="1" t="s">
        <v>598</v>
      </c>
      <c r="O13" s="53">
        <v>20240100</v>
      </c>
      <c r="P13" s="53">
        <v>20240200</v>
      </c>
      <c r="Q13" s="53">
        <v>20240300</v>
      </c>
      <c r="R13" s="53">
        <v>20240400</v>
      </c>
      <c r="S13" s="53">
        <v>20240500</v>
      </c>
      <c r="T13" s="53">
        <v>20240600</v>
      </c>
      <c r="U13" s="53">
        <v>20240700</v>
      </c>
      <c r="V13" s="53">
        <v>20240800</v>
      </c>
      <c r="W13" s="53">
        <v>20240900</v>
      </c>
      <c r="X13" s="53">
        <v>20241000</v>
      </c>
      <c r="Y13" s="53">
        <v>20241100</v>
      </c>
      <c r="Z13" s="53">
        <v>20241200</v>
      </c>
      <c r="AA13" s="53">
        <v>10000193</v>
      </c>
      <c r="AD13" s="53">
        <v>10000193</v>
      </c>
      <c r="AG13" s="53">
        <v>10000183</v>
      </c>
    </row>
    <row r="14" spans="1:35" hidden="1" outlineLevel="1" x14ac:dyDescent="0.2">
      <c r="A14" s="4" t="s">
        <v>989</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s">
        <v>990</v>
      </c>
      <c r="P16" s="2" t="s">
        <v>991</v>
      </c>
      <c r="Q16" s="2" t="s">
        <v>992</v>
      </c>
      <c r="R16" s="2" t="s">
        <v>993</v>
      </c>
      <c r="S16" s="2" t="s">
        <v>994</v>
      </c>
      <c r="T16" s="2" t="s">
        <v>995</v>
      </c>
      <c r="U16" s="2" t="s">
        <v>996</v>
      </c>
      <c r="V16" s="2" t="s">
        <v>997</v>
      </c>
      <c r="W16" s="2" t="s">
        <v>998</v>
      </c>
      <c r="X16" s="2" t="s">
        <v>999</v>
      </c>
      <c r="Y16" s="2" t="s">
        <v>1000</v>
      </c>
      <c r="Z16" s="2" t="str">
        <f>IF(SetUp!$O$1=TRUE,SetUp!$Q$6,IF($D$10="FY",LEFT($B$10,6)&amp;"."&amp;Z15,$B$12&amp;"."&amp;Z14))</f>
        <v>2024.DEC</v>
      </c>
      <c r="AA16" s="2" t="str">
        <f>IF($D$10="FY",LEFT($B$10,6)&amp;"."&amp;AA15,$B$12&amp;"."&amp;AA14)</f>
        <v>2024.TOTAL</v>
      </c>
      <c r="AB16" s="10"/>
      <c r="AC16" s="10"/>
      <c r="AD16" s="2" t="str">
        <f>IF(SetUp!$O$1=TRUE,SetUp!$Q$6,SetUp!$G$7)</f>
        <v>2024.TOTAL</v>
      </c>
      <c r="AE16" s="10"/>
      <c r="AF16" s="10"/>
      <c r="AG16" s="2" t="s">
        <v>955</v>
      </c>
      <c r="AH16" s="10"/>
      <c r="AI16" s="10"/>
    </row>
    <row r="17" spans="1:40" hidden="1" outlineLevel="1" x14ac:dyDescent="0.2">
      <c r="A17" s="6" t="s">
        <v>2</v>
      </c>
      <c r="B17" s="14" t="s">
        <v>1266</v>
      </c>
      <c r="M17" s="11"/>
      <c r="N17" s="1" t="s">
        <v>19</v>
      </c>
      <c r="O17" s="2" t="s">
        <v>682</v>
      </c>
      <c r="P17" s="2" t="s">
        <v>682</v>
      </c>
      <c r="Q17" s="2" t="s">
        <v>682</v>
      </c>
      <c r="R17" s="2" t="s">
        <v>682</v>
      </c>
      <c r="S17" s="2" t="s">
        <v>682</v>
      </c>
      <c r="T17" s="2" t="s">
        <v>682</v>
      </c>
      <c r="U17" s="2" t="s">
        <v>682</v>
      </c>
      <c r="V17" s="2" t="s">
        <v>682</v>
      </c>
      <c r="W17" s="2" t="s">
        <v>682</v>
      </c>
      <c r="X17" s="2" t="s">
        <v>682</v>
      </c>
      <c r="Y17" s="2" t="s">
        <v>682</v>
      </c>
      <c r="Z17" s="2" t="s">
        <v>682</v>
      </c>
      <c r="AA17" s="2" t="str">
        <f>Z17</f>
        <v>ACTUAL_CON</v>
      </c>
      <c r="AB17" s="10"/>
      <c r="AC17" s="10"/>
      <c r="AD17" s="2" t="str">
        <f>SetUp!$G$6</f>
        <v>BUDGET</v>
      </c>
      <c r="AE17" s="10"/>
      <c r="AF17" s="10"/>
      <c r="AG17" s="2" t="str">
        <f>SetUp!$J$6</f>
        <v>ACTUAL_CON</v>
      </c>
      <c r="AH17" s="10"/>
      <c r="AI17" s="10"/>
    </row>
    <row r="18" spans="1:40" hidden="1" outlineLevel="1" x14ac:dyDescent="0.2">
      <c r="A18" s="6" t="s">
        <v>3</v>
      </c>
      <c r="B18" s="14" t="s">
        <v>1267</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str">
        <f>IF(SetUp!$O$1=TRUE,"TRAILING12",IF(AD17="CURRENT","ROLLINGFORECAST","PERIODIC"))</f>
        <v>PERIODIC</v>
      </c>
      <c r="AE18" s="10"/>
      <c r="AF18" s="10"/>
      <c r="AG18" s="2" t="str">
        <f>IF(SetUp!$O$1=TRUE,"TRAILING12",IF(AG17="CURRENT","ROLLINGFORECAST","PERIODIC"))</f>
        <v>PERIODIC</v>
      </c>
      <c r="AH18" s="10"/>
      <c r="AI18" s="10"/>
    </row>
    <row r="19" spans="1:40" hidden="1" outlineLevel="1" x14ac:dyDescent="0.2">
      <c r="A19" s="6" t="s">
        <v>4</v>
      </c>
      <c r="B19" s="14" t="s">
        <v>1268</v>
      </c>
      <c r="G19" s="16" t="str">
        <f>$B$6</f>
        <v>D1132</v>
      </c>
      <c r="H19" s="16">
        <v>400000</v>
      </c>
      <c r="I19" s="17"/>
      <c r="J19" s="17"/>
      <c r="K19" s="16"/>
      <c r="L19" s="16"/>
      <c r="M19" s="16"/>
      <c r="N19" s="16" t="s">
        <v>1001</v>
      </c>
      <c r="O19" s="18">
        <v>0</v>
      </c>
      <c r="P19" s="18">
        <v>0</v>
      </c>
      <c r="Q19" s="18">
        <v>0</v>
      </c>
      <c r="R19" s="18">
        <v>0</v>
      </c>
      <c r="S19" s="18">
        <v>0</v>
      </c>
      <c r="T19" s="18">
        <v>0</v>
      </c>
      <c r="U19" s="18">
        <v>0</v>
      </c>
      <c r="V19" s="18">
        <v>0</v>
      </c>
      <c r="W19" s="18">
        <v>0</v>
      </c>
      <c r="X19" s="18">
        <v>0</v>
      </c>
      <c r="Y19" s="18">
        <v>0</v>
      </c>
      <c r="Z19" s="18">
        <v>0</v>
      </c>
      <c r="AA19" s="18">
        <f>SUM(O19:Z19)</f>
        <v>0</v>
      </c>
      <c r="AB19" s="16"/>
      <c r="AC19" s="16"/>
      <c r="AD19" s="18">
        <v>0</v>
      </c>
      <c r="AE19" s="16"/>
      <c r="AF19" s="16"/>
      <c r="AG19" s="18">
        <v>0</v>
      </c>
      <c r="AH19" s="16"/>
      <c r="AI19" s="16"/>
    </row>
    <row r="20" spans="1:40" hidden="1" outlineLevel="1" x14ac:dyDescent="0.2">
      <c r="A20" s="6" t="s">
        <v>5</v>
      </c>
      <c r="B20" s="7"/>
      <c r="G20" s="16" t="s">
        <v>749</v>
      </c>
      <c r="H20" s="16">
        <v>900200</v>
      </c>
      <c r="I20" s="17"/>
      <c r="J20" s="17"/>
      <c r="K20" s="16"/>
      <c r="L20" s="17"/>
      <c r="M20" s="17"/>
      <c r="N20" s="16" t="s">
        <v>1047</v>
      </c>
      <c r="O20" s="18">
        <v>3694</v>
      </c>
      <c r="P20" s="18">
        <v>3593</v>
      </c>
      <c r="Q20" s="18">
        <v>3831</v>
      </c>
      <c r="R20" s="18">
        <v>3720</v>
      </c>
      <c r="S20" s="18">
        <v>3473</v>
      </c>
      <c r="T20" s="18">
        <v>3105</v>
      </c>
      <c r="U20" s="18">
        <v>3034</v>
      </c>
      <c r="V20" s="18">
        <v>3033</v>
      </c>
      <c r="W20" s="18">
        <v>2632</v>
      </c>
      <c r="X20" s="18">
        <v>3186</v>
      </c>
      <c r="Y20" s="18">
        <v>3534</v>
      </c>
      <c r="Z20" s="18">
        <v>3635</v>
      </c>
      <c r="AA20" s="18">
        <f>SUM(O20:Z20)</f>
        <v>40470</v>
      </c>
      <c r="AB20" s="16"/>
      <c r="AC20" s="16"/>
      <c r="AD20" s="18">
        <v>40231</v>
      </c>
      <c r="AE20" s="16"/>
      <c r="AF20" s="16"/>
      <c r="AG20" s="18">
        <v>39886</v>
      </c>
      <c r="AH20" s="16"/>
      <c r="AI20" s="16"/>
    </row>
    <row r="21" spans="1:40" hidden="1" outlineLevel="1" x14ac:dyDescent="0.2">
      <c r="A21" s="6" t="s">
        <v>6</v>
      </c>
      <c r="B21" s="7"/>
      <c r="I21" s="1"/>
      <c r="J21" s="1"/>
    </row>
    <row r="22" spans="1:40" hidden="1" outlineLevel="1" x14ac:dyDescent="0.2">
      <c r="A22" s="6" t="s">
        <v>7</v>
      </c>
      <c r="B22" s="14" t="s">
        <v>1269</v>
      </c>
      <c r="I22" s="1"/>
      <c r="J22" s="1"/>
    </row>
    <row r="23" spans="1:40" hidden="1" outlineLevel="1" x14ac:dyDescent="0.2">
      <c r="A23" s="6" t="s">
        <v>47</v>
      </c>
      <c r="B23" s="14" t="s">
        <v>1270</v>
      </c>
      <c r="K23" s="53"/>
      <c r="L23" s="53"/>
      <c r="M23" s="53"/>
      <c r="AD23" s="136"/>
    </row>
    <row r="24" spans="1:40" hidden="1" outlineLevel="1" x14ac:dyDescent="0.2">
      <c r="A24" s="6" t="s">
        <v>8</v>
      </c>
      <c r="B24" s="7"/>
    </row>
    <row r="25" spans="1:40" collapsed="1" x14ac:dyDescent="0.2"/>
    <row r="26" spans="1:40" ht="23" x14ac:dyDescent="0.25">
      <c r="A26" s="3" t="s">
        <v>9</v>
      </c>
      <c r="B26" s="5" t="s">
        <v>10</v>
      </c>
      <c r="N26" s="61" t="s">
        <v>982</v>
      </c>
    </row>
    <row r="27" spans="1:40" ht="18" x14ac:dyDescent="0.2">
      <c r="A27" s="6" t="s">
        <v>11</v>
      </c>
      <c r="B27" s="7" t="s">
        <v>21</v>
      </c>
      <c r="N27" s="66" t="s">
        <v>1271</v>
      </c>
    </row>
    <row r="28" spans="1:40" ht="16" x14ac:dyDescent="0.2">
      <c r="A28" s="6" t="s">
        <v>12</v>
      </c>
      <c r="B28" s="7" t="s">
        <v>22</v>
      </c>
      <c r="N28" s="67" t="s">
        <v>1002</v>
      </c>
    </row>
    <row r="29" spans="1:40" ht="15" customHeight="1" x14ac:dyDescent="0.2">
      <c r="A29" s="6" t="s">
        <v>13</v>
      </c>
      <c r="B29" s="7" t="str">
        <f>"DEP(420100) AND "&amp;$E$6&amp;"=Y,400000"</f>
        <v>DEP(420100) AND D1132=Y,400000</v>
      </c>
      <c r="N29" s="67" t="s">
        <v>986</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748</v>
      </c>
      <c r="AK30" s="209"/>
      <c r="AL30" s="210"/>
      <c r="AM30" s="209" t="s">
        <v>750</v>
      </c>
      <c r="AN30" s="209"/>
    </row>
    <row r="31" spans="1:40" x14ac:dyDescent="0.2">
      <c r="A31" s="6" t="s">
        <v>15</v>
      </c>
      <c r="B31" s="7"/>
      <c r="G31" s="13"/>
      <c r="K31" s="11"/>
      <c r="L31" s="11"/>
      <c r="M31" s="11"/>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tr">
        <f>AA14</f>
        <v>TOTAL</v>
      </c>
      <c r="AB31" s="207"/>
      <c r="AD31" s="540" t="s">
        <v>987</v>
      </c>
      <c r="AE31" s="541"/>
      <c r="AF31" s="211" t="s">
        <v>631</v>
      </c>
      <c r="AG31" s="540" t="s">
        <v>1003</v>
      </c>
      <c r="AH31" s="541"/>
      <c r="AI31" s="211" t="s">
        <v>631</v>
      </c>
      <c r="AJ31" s="211">
        <v>2024</v>
      </c>
      <c r="AK31" s="238">
        <v>2024</v>
      </c>
      <c r="AL31" s="238">
        <v>2023</v>
      </c>
      <c r="AM31" s="211" t="str">
        <f>"vs "&amp;AK31</f>
        <v>vs 2024</v>
      </c>
      <c r="AN31" s="211" t="str">
        <f>"vs "&amp;AL31</f>
        <v>vs 2023</v>
      </c>
    </row>
    <row r="32" spans="1:40" s="232" customFormat="1" ht="30" customHeight="1" x14ac:dyDescent="0.2">
      <c r="A32" s="230" t="s">
        <v>16</v>
      </c>
      <c r="B32" s="231"/>
      <c r="G32" s="317"/>
      <c r="H32" s="233"/>
      <c r="I32" s="234"/>
      <c r="J32" s="234"/>
      <c r="K32" s="235" t="s">
        <v>117</v>
      </c>
      <c r="L32" s="235"/>
      <c r="M32" s="235"/>
      <c r="N32" s="236" t="s">
        <v>120</v>
      </c>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c r="AD32" s="237" t="s">
        <v>959</v>
      </c>
      <c r="AE32" s="238" t="s">
        <v>58</v>
      </c>
      <c r="AF32" s="237" t="s">
        <v>57</v>
      </c>
      <c r="AG32" s="237" t="s">
        <v>957</v>
      </c>
      <c r="AH32" s="238" t="s">
        <v>58</v>
      </c>
      <c r="AI32" s="237" t="s">
        <v>57</v>
      </c>
      <c r="AJ32" s="237" t="str">
        <f>Z32</f>
        <v>Actual</v>
      </c>
      <c r="AK32" s="238" t="str">
        <f>AD32</f>
        <v>Budget</v>
      </c>
      <c r="AL32" s="237" t="str">
        <f>AG32</f>
        <v>Actual</v>
      </c>
      <c r="AM32" s="211" t="s">
        <v>747</v>
      </c>
      <c r="AN32" s="211" t="s">
        <v>747</v>
      </c>
    </row>
    <row r="33" spans="1:40" x14ac:dyDescent="0.2">
      <c r="A33" s="6" t="s">
        <v>17</v>
      </c>
      <c r="B33" s="7"/>
      <c r="H33" s="1" t="s">
        <v>69</v>
      </c>
      <c r="I33" s="11" t="s">
        <v>1006</v>
      </c>
      <c r="J33" s="11" t="s">
        <v>78</v>
      </c>
      <c r="N33" s="37" t="s">
        <v>1013</v>
      </c>
      <c r="O33" s="38"/>
      <c r="P33" s="42"/>
      <c r="Q33" s="42"/>
      <c r="R33" s="42"/>
      <c r="S33" s="42"/>
      <c r="T33" s="42"/>
      <c r="U33" s="42"/>
      <c r="V33" s="42"/>
      <c r="W33" s="42"/>
      <c r="X33" s="42"/>
      <c r="Y33" s="42"/>
      <c r="Z33" s="42"/>
      <c r="AA33" s="42"/>
      <c r="AB33" s="39"/>
      <c r="AD33" s="38"/>
      <c r="AE33" s="42"/>
      <c r="AF33" s="39"/>
      <c r="AG33" s="38"/>
      <c r="AH33" s="42"/>
      <c r="AI33" s="39"/>
    </row>
    <row r="34" spans="1:40" x14ac:dyDescent="0.2">
      <c r="H34" s="10" t="s">
        <v>367</v>
      </c>
      <c r="I34" s="25" t="s">
        <v>1004</v>
      </c>
      <c r="J34" s="25" t="s">
        <v>1004</v>
      </c>
      <c r="K34" s="64" t="str">
        <f t="shared" ref="K34:K44" si="0">IF(AND(I34&gt;="T5"),"&gt;","")</f>
        <v/>
      </c>
      <c r="L34" s="24">
        <v>420300</v>
      </c>
      <c r="M34" s="24">
        <v>205020</v>
      </c>
      <c r="N34" s="24" t="s">
        <v>1272</v>
      </c>
      <c r="O34" s="19"/>
      <c r="P34" s="19"/>
      <c r="Q34" s="19"/>
      <c r="R34" s="19"/>
      <c r="S34" s="19"/>
      <c r="T34" s="19"/>
      <c r="U34" s="19"/>
      <c r="V34" s="19"/>
      <c r="W34" s="19"/>
      <c r="X34" s="19"/>
      <c r="Y34" s="19"/>
      <c r="Z34" s="19"/>
      <c r="AA34" s="283">
        <f t="shared" ref="AA34:AA44" si="1">IF($I34="B1","",SUM(O34:Z34))</f>
        <v>0</v>
      </c>
      <c r="AB34" s="15" t="str">
        <f t="shared" ref="AB34:AB44" si="2">IF(AA34=0,"",IFERROR(AA34/AA$19,""))</f>
        <v/>
      </c>
      <c r="AD34" s="19"/>
      <c r="AE34" s="15" t="str">
        <f t="shared" ref="AE34:AE44" si="3">IF(AD34=0,"",IFERROR(AD34/AD$19,""))</f>
        <v/>
      </c>
      <c r="AF34" s="47">
        <f t="shared" ref="AF34:AF44" si="4">IF(AND($AA34="",AD34=""),"",$AA34-AD34)</f>
        <v>0</v>
      </c>
      <c r="AG34" s="19"/>
      <c r="AH34" s="15" t="str">
        <f t="shared" ref="AH34:AH44" si="5">IF(AG34=0,"",IFERROR(AG34/AG$19,""))</f>
        <v/>
      </c>
      <c r="AI34" s="47">
        <f t="shared" ref="AI34:AI44" si="6">IF(AND($AA34="",AG34=""),"",$AA34-AG34)</f>
        <v>0</v>
      </c>
      <c r="AJ34" s="371">
        <f t="shared" ref="AJ34:AJ44" si="7">IFERROR(AA34/AA$20,0)</f>
        <v>0</v>
      </c>
      <c r="AK34" s="372">
        <f t="shared" ref="AK34:AK44" si="8">IFERROR(AD34/AD$20,0)</f>
        <v>0</v>
      </c>
      <c r="AL34" s="373">
        <f t="shared" ref="AL34:AL44" si="9">IFERROR(AG34/AG$20,0)</f>
        <v>0</v>
      </c>
      <c r="AM34" s="374">
        <f t="shared" ref="AM34:AM44" si="10">+IFERROR(ROUND(($AB34-AE34)*100,2)&amp;" pts.",0)</f>
        <v>0</v>
      </c>
      <c r="AN34" s="375">
        <f t="shared" ref="AN34:AN44" si="11">+IFERROR(ROUND(($AB34-AH34)*100,2)&amp;" pts.",0)</f>
        <v>0</v>
      </c>
    </row>
    <row r="35" spans="1:40" x14ac:dyDescent="0.2">
      <c r="A35" s="20" t="s">
        <v>92</v>
      </c>
      <c r="B35" s="21" t="s">
        <v>93</v>
      </c>
      <c r="C35" s="21" t="s">
        <v>94</v>
      </c>
      <c r="D35" s="21" t="s">
        <v>95</v>
      </c>
      <c r="E35" s="21" t="s">
        <v>96</v>
      </c>
      <c r="F35" s="22" t="s">
        <v>97</v>
      </c>
      <c r="H35" s="10" t="s">
        <v>368</v>
      </c>
      <c r="I35" s="25" t="s">
        <v>1052</v>
      </c>
      <c r="J35" s="25" t="s">
        <v>78</v>
      </c>
      <c r="K35" s="64" t="str">
        <f t="shared" si="0"/>
        <v>&gt;</v>
      </c>
      <c r="L35" s="24"/>
      <c r="M35" s="24"/>
      <c r="N35" s="24" t="s">
        <v>1273</v>
      </c>
      <c r="O35" s="19"/>
      <c r="P35" s="19"/>
      <c r="Q35" s="19"/>
      <c r="R35" s="19"/>
      <c r="S35" s="19"/>
      <c r="T35" s="19"/>
      <c r="U35" s="19"/>
      <c r="V35" s="19"/>
      <c r="W35" s="19"/>
      <c r="X35" s="19"/>
      <c r="Y35" s="19"/>
      <c r="Z35" s="19"/>
      <c r="AA35" s="283">
        <f t="shared" si="1"/>
        <v>0</v>
      </c>
      <c r="AB35" s="15" t="str">
        <f t="shared" si="2"/>
        <v/>
      </c>
      <c r="AD35" s="19"/>
      <c r="AE35" s="15" t="str">
        <f t="shared" si="3"/>
        <v/>
      </c>
      <c r="AF35" s="47">
        <f t="shared" si="4"/>
        <v>0</v>
      </c>
      <c r="AG35" s="19"/>
      <c r="AH35" s="15" t="str">
        <f t="shared" si="5"/>
        <v/>
      </c>
      <c r="AI35" s="47">
        <f t="shared" si="6"/>
        <v>0</v>
      </c>
      <c r="AJ35" s="371">
        <f t="shared" si="7"/>
        <v>0</v>
      </c>
      <c r="AK35" s="372">
        <f t="shared" si="8"/>
        <v>0</v>
      </c>
      <c r="AL35" s="373">
        <f t="shared" si="9"/>
        <v>0</v>
      </c>
      <c r="AM35" s="374">
        <f t="shared" si="10"/>
        <v>0</v>
      </c>
      <c r="AN35" s="375">
        <f t="shared" si="11"/>
        <v>0</v>
      </c>
    </row>
    <row r="36" spans="1:40" x14ac:dyDescent="0.2">
      <c r="H36" s="10" t="s">
        <v>369</v>
      </c>
      <c r="I36" s="25" t="s">
        <v>1052</v>
      </c>
      <c r="J36" s="25" t="s">
        <v>78</v>
      </c>
      <c r="K36" s="64" t="str">
        <f t="shared" si="0"/>
        <v>&gt;</v>
      </c>
      <c r="L36" s="24"/>
      <c r="M36" s="24"/>
      <c r="N36" s="24" t="s">
        <v>1274</v>
      </c>
      <c r="O36" s="19"/>
      <c r="P36" s="19"/>
      <c r="Q36" s="19"/>
      <c r="R36" s="19"/>
      <c r="S36" s="19"/>
      <c r="T36" s="19"/>
      <c r="U36" s="19"/>
      <c r="V36" s="19"/>
      <c r="W36" s="19"/>
      <c r="X36" s="19"/>
      <c r="Y36" s="19"/>
      <c r="Z36" s="19"/>
      <c r="AA36" s="283">
        <f t="shared" si="1"/>
        <v>0</v>
      </c>
      <c r="AB36" s="15" t="str">
        <f t="shared" si="2"/>
        <v/>
      </c>
      <c r="AD36" s="19"/>
      <c r="AE36" s="15" t="str">
        <f t="shared" si="3"/>
        <v/>
      </c>
      <c r="AF36" s="47">
        <f t="shared" si="4"/>
        <v>0</v>
      </c>
      <c r="AG36" s="19"/>
      <c r="AH36" s="15" t="str">
        <f t="shared" si="5"/>
        <v/>
      </c>
      <c r="AI36" s="47">
        <f t="shared" si="6"/>
        <v>0</v>
      </c>
      <c r="AJ36" s="371">
        <f t="shared" si="7"/>
        <v>0</v>
      </c>
      <c r="AK36" s="372">
        <f t="shared" si="8"/>
        <v>0</v>
      </c>
      <c r="AL36" s="373">
        <f t="shared" si="9"/>
        <v>0</v>
      </c>
      <c r="AM36" s="374">
        <f t="shared" si="10"/>
        <v>0</v>
      </c>
      <c r="AN36" s="375">
        <f t="shared" si="11"/>
        <v>0</v>
      </c>
    </row>
    <row r="37" spans="1:40" x14ac:dyDescent="0.2">
      <c r="A37" s="1" t="s">
        <v>105</v>
      </c>
      <c r="C37" s="24" t="s">
        <v>101</v>
      </c>
      <c r="D37" s="1" t="s">
        <v>106</v>
      </c>
      <c r="F37" s="1" t="s">
        <v>98</v>
      </c>
      <c r="H37" s="10" t="s">
        <v>370</v>
      </c>
      <c r="I37" s="25" t="s">
        <v>1052</v>
      </c>
      <c r="J37" s="25" t="s">
        <v>78</v>
      </c>
      <c r="K37" s="64" t="str">
        <f t="shared" si="0"/>
        <v>&gt;</v>
      </c>
      <c r="L37" s="24"/>
      <c r="M37" s="24"/>
      <c r="N37" s="24" t="s">
        <v>1275</v>
      </c>
      <c r="O37" s="19"/>
      <c r="P37" s="19"/>
      <c r="Q37" s="19"/>
      <c r="R37" s="19"/>
      <c r="S37" s="19"/>
      <c r="T37" s="19"/>
      <c r="U37" s="19"/>
      <c r="V37" s="19"/>
      <c r="W37" s="19"/>
      <c r="X37" s="19"/>
      <c r="Y37" s="19"/>
      <c r="Z37" s="19"/>
      <c r="AA37" s="283">
        <f t="shared" si="1"/>
        <v>0</v>
      </c>
      <c r="AB37" s="15" t="str">
        <f t="shared" si="2"/>
        <v/>
      </c>
      <c r="AD37" s="19"/>
      <c r="AE37" s="15" t="str">
        <f t="shared" si="3"/>
        <v/>
      </c>
      <c r="AF37" s="47">
        <f t="shared" si="4"/>
        <v>0</v>
      </c>
      <c r="AG37" s="19"/>
      <c r="AH37" s="15" t="str">
        <f t="shared" si="5"/>
        <v/>
      </c>
      <c r="AI37" s="47">
        <f t="shared" si="6"/>
        <v>0</v>
      </c>
      <c r="AJ37" s="371">
        <f t="shared" si="7"/>
        <v>0</v>
      </c>
      <c r="AK37" s="372">
        <f t="shared" si="8"/>
        <v>0</v>
      </c>
      <c r="AL37" s="373">
        <f t="shared" si="9"/>
        <v>0</v>
      </c>
      <c r="AM37" s="374">
        <f t="shared" si="10"/>
        <v>0</v>
      </c>
      <c r="AN37" s="375">
        <f t="shared" si="11"/>
        <v>0</v>
      </c>
    </row>
    <row r="38" spans="1:40" x14ac:dyDescent="0.2">
      <c r="A38" s="1" t="s">
        <v>104</v>
      </c>
      <c r="C38" s="24" t="s">
        <v>101</v>
      </c>
      <c r="D38" s="1" t="s">
        <v>106</v>
      </c>
      <c r="F38" s="1" t="s">
        <v>98</v>
      </c>
      <c r="H38" s="10" t="s">
        <v>371</v>
      </c>
      <c r="I38" s="25" t="s">
        <v>1052</v>
      </c>
      <c r="J38" s="25" t="s">
        <v>78</v>
      </c>
      <c r="K38" s="64" t="str">
        <f t="shared" si="0"/>
        <v>&gt;</v>
      </c>
      <c r="L38" s="24"/>
      <c r="M38" s="24"/>
      <c r="N38" s="24" t="s">
        <v>1276</v>
      </c>
      <c r="O38" s="19"/>
      <c r="P38" s="19"/>
      <c r="Q38" s="19"/>
      <c r="R38" s="19"/>
      <c r="S38" s="19"/>
      <c r="T38" s="19"/>
      <c r="U38" s="19"/>
      <c r="V38" s="19"/>
      <c r="W38" s="19"/>
      <c r="X38" s="19"/>
      <c r="Y38" s="19"/>
      <c r="Z38" s="19"/>
      <c r="AA38" s="283">
        <f t="shared" si="1"/>
        <v>0</v>
      </c>
      <c r="AB38" s="15" t="str">
        <f t="shared" si="2"/>
        <v/>
      </c>
      <c r="AD38" s="19"/>
      <c r="AE38" s="15" t="str">
        <f t="shared" si="3"/>
        <v/>
      </c>
      <c r="AF38" s="47">
        <f t="shared" si="4"/>
        <v>0</v>
      </c>
      <c r="AG38" s="19"/>
      <c r="AH38" s="15" t="str">
        <f t="shared" si="5"/>
        <v/>
      </c>
      <c r="AI38" s="47">
        <f t="shared" si="6"/>
        <v>0</v>
      </c>
      <c r="AJ38" s="371">
        <f t="shared" si="7"/>
        <v>0</v>
      </c>
      <c r="AK38" s="372">
        <f t="shared" si="8"/>
        <v>0</v>
      </c>
      <c r="AL38" s="373">
        <f t="shared" si="9"/>
        <v>0</v>
      </c>
      <c r="AM38" s="374">
        <f t="shared" si="10"/>
        <v>0</v>
      </c>
      <c r="AN38" s="375">
        <f t="shared" si="11"/>
        <v>0</v>
      </c>
    </row>
    <row r="39" spans="1:40" x14ac:dyDescent="0.2">
      <c r="A39" s="1" t="s">
        <v>108</v>
      </c>
      <c r="C39" s="23" t="s">
        <v>101</v>
      </c>
      <c r="D39" s="1" t="s">
        <v>106</v>
      </c>
      <c r="F39" s="1" t="s">
        <v>98</v>
      </c>
      <c r="H39" s="10" t="s">
        <v>372</v>
      </c>
      <c r="I39" s="25" t="s">
        <v>1004</v>
      </c>
      <c r="J39" s="25" t="s">
        <v>1004</v>
      </c>
      <c r="K39" s="64" t="str">
        <f t="shared" si="0"/>
        <v/>
      </c>
      <c r="L39" s="24">
        <v>420350</v>
      </c>
      <c r="M39" s="24">
        <v>205018</v>
      </c>
      <c r="N39" s="24" t="s">
        <v>1277</v>
      </c>
      <c r="O39" s="19"/>
      <c r="P39" s="19"/>
      <c r="Q39" s="19"/>
      <c r="R39" s="19"/>
      <c r="S39" s="19"/>
      <c r="T39" s="19"/>
      <c r="U39" s="19"/>
      <c r="V39" s="19"/>
      <c r="W39" s="19"/>
      <c r="X39" s="19"/>
      <c r="Y39" s="19"/>
      <c r="Z39" s="19"/>
      <c r="AA39" s="283">
        <f t="shared" si="1"/>
        <v>0</v>
      </c>
      <c r="AB39" s="15" t="str">
        <f t="shared" si="2"/>
        <v/>
      </c>
      <c r="AD39" s="19"/>
      <c r="AE39" s="15" t="str">
        <f t="shared" si="3"/>
        <v/>
      </c>
      <c r="AF39" s="47">
        <f t="shared" si="4"/>
        <v>0</v>
      </c>
      <c r="AG39" s="19"/>
      <c r="AH39" s="15" t="str">
        <f t="shared" si="5"/>
        <v/>
      </c>
      <c r="AI39" s="47">
        <f t="shared" si="6"/>
        <v>0</v>
      </c>
      <c r="AJ39" s="371">
        <f t="shared" si="7"/>
        <v>0</v>
      </c>
      <c r="AK39" s="372">
        <f t="shared" si="8"/>
        <v>0</v>
      </c>
      <c r="AL39" s="373">
        <f t="shared" si="9"/>
        <v>0</v>
      </c>
      <c r="AM39" s="374">
        <f t="shared" si="10"/>
        <v>0</v>
      </c>
      <c r="AN39" s="375">
        <f t="shared" si="11"/>
        <v>0</v>
      </c>
    </row>
    <row r="40" spans="1:40" x14ac:dyDescent="0.2">
      <c r="A40" s="1" t="s">
        <v>108</v>
      </c>
      <c r="C40" s="135" t="s">
        <v>101</v>
      </c>
      <c r="D40" s="1" t="s">
        <v>107</v>
      </c>
      <c r="F40" s="1" t="s">
        <v>99</v>
      </c>
      <c r="H40" s="10" t="s">
        <v>373</v>
      </c>
      <c r="I40" s="25" t="s">
        <v>1052</v>
      </c>
      <c r="J40" s="25" t="s">
        <v>78</v>
      </c>
      <c r="K40" s="64" t="str">
        <f t="shared" si="0"/>
        <v>&gt;</v>
      </c>
      <c r="L40" s="24"/>
      <c r="M40" s="24"/>
      <c r="N40" s="24" t="s">
        <v>1278</v>
      </c>
      <c r="O40" s="19"/>
      <c r="P40" s="19"/>
      <c r="Q40" s="19"/>
      <c r="R40" s="19"/>
      <c r="S40" s="19"/>
      <c r="T40" s="19"/>
      <c r="U40" s="19"/>
      <c r="V40" s="19"/>
      <c r="W40" s="19"/>
      <c r="X40" s="19"/>
      <c r="Y40" s="19"/>
      <c r="Z40" s="19"/>
      <c r="AA40" s="283">
        <f t="shared" si="1"/>
        <v>0</v>
      </c>
      <c r="AB40" s="15" t="str">
        <f t="shared" si="2"/>
        <v/>
      </c>
      <c r="AD40" s="19"/>
      <c r="AE40" s="15" t="str">
        <f t="shared" si="3"/>
        <v/>
      </c>
      <c r="AF40" s="47">
        <f t="shared" si="4"/>
        <v>0</v>
      </c>
      <c r="AG40" s="19"/>
      <c r="AH40" s="15" t="str">
        <f t="shared" si="5"/>
        <v/>
      </c>
      <c r="AI40" s="47">
        <f t="shared" si="6"/>
        <v>0</v>
      </c>
      <c r="AJ40" s="371">
        <f t="shared" si="7"/>
        <v>0</v>
      </c>
      <c r="AK40" s="372">
        <f t="shared" si="8"/>
        <v>0</v>
      </c>
      <c r="AL40" s="373">
        <f t="shared" si="9"/>
        <v>0</v>
      </c>
      <c r="AM40" s="374">
        <f t="shared" si="10"/>
        <v>0</v>
      </c>
      <c r="AN40" s="375">
        <f t="shared" si="11"/>
        <v>0</v>
      </c>
    </row>
    <row r="41" spans="1:40" x14ac:dyDescent="0.2">
      <c r="H41" s="10" t="s">
        <v>374</v>
      </c>
      <c r="I41" s="25" t="s">
        <v>1052</v>
      </c>
      <c r="J41" s="25" t="s">
        <v>78</v>
      </c>
      <c r="K41" s="64" t="str">
        <f t="shared" si="0"/>
        <v>&gt;</v>
      </c>
      <c r="L41" s="24"/>
      <c r="M41" s="24"/>
      <c r="N41" s="24" t="s">
        <v>1279</v>
      </c>
      <c r="O41" s="19"/>
      <c r="P41" s="19"/>
      <c r="Q41" s="19"/>
      <c r="R41" s="19"/>
      <c r="S41" s="19"/>
      <c r="T41" s="19"/>
      <c r="U41" s="19"/>
      <c r="V41" s="19"/>
      <c r="W41" s="19"/>
      <c r="X41" s="19"/>
      <c r="Y41" s="19"/>
      <c r="Z41" s="19"/>
      <c r="AA41" s="283">
        <f t="shared" si="1"/>
        <v>0</v>
      </c>
      <c r="AB41" s="15" t="str">
        <f t="shared" si="2"/>
        <v/>
      </c>
      <c r="AD41" s="19"/>
      <c r="AE41" s="15" t="str">
        <f t="shared" si="3"/>
        <v/>
      </c>
      <c r="AF41" s="47">
        <f t="shared" si="4"/>
        <v>0</v>
      </c>
      <c r="AG41" s="19"/>
      <c r="AH41" s="15" t="str">
        <f t="shared" si="5"/>
        <v/>
      </c>
      <c r="AI41" s="47">
        <f t="shared" si="6"/>
        <v>0</v>
      </c>
      <c r="AJ41" s="371">
        <f t="shared" si="7"/>
        <v>0</v>
      </c>
      <c r="AK41" s="372">
        <f t="shared" si="8"/>
        <v>0</v>
      </c>
      <c r="AL41" s="373">
        <f t="shared" si="9"/>
        <v>0</v>
      </c>
      <c r="AM41" s="374">
        <f t="shared" si="10"/>
        <v>0</v>
      </c>
      <c r="AN41" s="375">
        <f t="shared" si="11"/>
        <v>0</v>
      </c>
    </row>
    <row r="42" spans="1:40" x14ac:dyDescent="0.2">
      <c r="H42" s="133" t="s">
        <v>375</v>
      </c>
      <c r="I42" s="25" t="s">
        <v>1004</v>
      </c>
      <c r="J42" s="25" t="s">
        <v>1004</v>
      </c>
      <c r="K42" s="64" t="str">
        <f t="shared" si="0"/>
        <v/>
      </c>
      <c r="L42" s="24">
        <v>420700</v>
      </c>
      <c r="M42" s="24">
        <v>205035</v>
      </c>
      <c r="N42" s="24" t="s">
        <v>1202</v>
      </c>
      <c r="O42" s="19"/>
      <c r="P42" s="19"/>
      <c r="Q42" s="19"/>
      <c r="R42" s="19"/>
      <c r="S42" s="19"/>
      <c r="T42" s="19"/>
      <c r="U42" s="19"/>
      <c r="V42" s="19"/>
      <c r="W42" s="19"/>
      <c r="X42" s="19"/>
      <c r="Y42" s="19"/>
      <c r="Z42" s="19"/>
      <c r="AA42" s="283">
        <f t="shared" si="1"/>
        <v>0</v>
      </c>
      <c r="AB42" s="15" t="str">
        <f t="shared" si="2"/>
        <v/>
      </c>
      <c r="AD42" s="19"/>
      <c r="AE42" s="15" t="str">
        <f t="shared" si="3"/>
        <v/>
      </c>
      <c r="AF42" s="47">
        <f t="shared" si="4"/>
        <v>0</v>
      </c>
      <c r="AG42" s="19"/>
      <c r="AH42" s="15" t="str">
        <f t="shared" si="5"/>
        <v/>
      </c>
      <c r="AI42" s="47">
        <f t="shared" si="6"/>
        <v>0</v>
      </c>
      <c r="AJ42" s="371">
        <f t="shared" si="7"/>
        <v>0</v>
      </c>
      <c r="AK42" s="372">
        <f t="shared" si="8"/>
        <v>0</v>
      </c>
      <c r="AL42" s="373">
        <f t="shared" si="9"/>
        <v>0</v>
      </c>
      <c r="AM42" s="374">
        <f t="shared" si="10"/>
        <v>0</v>
      </c>
      <c r="AN42" s="375">
        <f t="shared" si="11"/>
        <v>0</v>
      </c>
    </row>
    <row r="43" spans="1:40" x14ac:dyDescent="0.2">
      <c r="A43" s="4" t="s">
        <v>989</v>
      </c>
      <c r="H43" s="133" t="s">
        <v>376</v>
      </c>
      <c r="I43" s="25" t="s">
        <v>1004</v>
      </c>
      <c r="J43" s="25" t="s">
        <v>1004</v>
      </c>
      <c r="K43" s="64" t="str">
        <f t="shared" si="0"/>
        <v/>
      </c>
      <c r="L43" s="24">
        <v>420990</v>
      </c>
      <c r="M43" s="24">
        <v>206022</v>
      </c>
      <c r="N43" s="24" t="s">
        <v>1280</v>
      </c>
      <c r="O43" s="28"/>
      <c r="P43" s="28"/>
      <c r="Q43" s="28"/>
      <c r="R43" s="28"/>
      <c r="S43" s="28"/>
      <c r="T43" s="28"/>
      <c r="U43" s="28"/>
      <c r="V43" s="28"/>
      <c r="W43" s="28"/>
      <c r="X43" s="28"/>
      <c r="Y43" s="28"/>
      <c r="Z43" s="28"/>
      <c r="AA43" s="296">
        <f t="shared" si="1"/>
        <v>0</v>
      </c>
      <c r="AB43" s="29" t="str">
        <f t="shared" si="2"/>
        <v/>
      </c>
      <c r="AD43" s="28"/>
      <c r="AE43" s="29" t="str">
        <f t="shared" si="3"/>
        <v/>
      </c>
      <c r="AF43" s="48">
        <f t="shared" si="4"/>
        <v>0</v>
      </c>
      <c r="AG43" s="28"/>
      <c r="AH43" s="29" t="str">
        <f t="shared" si="5"/>
        <v/>
      </c>
      <c r="AI43" s="48">
        <f t="shared" si="6"/>
        <v>0</v>
      </c>
      <c r="AJ43" s="381">
        <f t="shared" si="7"/>
        <v>0</v>
      </c>
      <c r="AK43" s="382">
        <f t="shared" si="8"/>
        <v>0</v>
      </c>
      <c r="AL43" s="383">
        <f t="shared" si="9"/>
        <v>0</v>
      </c>
      <c r="AM43" s="384">
        <f t="shared" si="10"/>
        <v>0</v>
      </c>
      <c r="AN43" s="385">
        <f t="shared" si="11"/>
        <v>0</v>
      </c>
    </row>
    <row r="44" spans="1:40" x14ac:dyDescent="0.2">
      <c r="H44" s="10" t="s">
        <v>280</v>
      </c>
      <c r="I44" s="447" t="s">
        <v>1007</v>
      </c>
      <c r="J44" s="447" t="s">
        <v>78</v>
      </c>
      <c r="K44" s="448" t="str">
        <f t="shared" si="0"/>
        <v/>
      </c>
      <c r="L44" s="151">
        <v>400000</v>
      </c>
      <c r="M44" s="151"/>
      <c r="N44" s="151" t="s">
        <v>1001</v>
      </c>
      <c r="O44" s="120"/>
      <c r="P44" s="120"/>
      <c r="Q44" s="120"/>
      <c r="R44" s="120"/>
      <c r="S44" s="120"/>
      <c r="T44" s="120"/>
      <c r="U44" s="120"/>
      <c r="V44" s="120"/>
      <c r="W44" s="120"/>
      <c r="X44" s="120"/>
      <c r="Y44" s="120"/>
      <c r="Z44" s="120"/>
      <c r="AA44" s="120">
        <f t="shared" si="1"/>
        <v>0</v>
      </c>
      <c r="AB44" s="121" t="str">
        <f t="shared" si="2"/>
        <v/>
      </c>
      <c r="AC44" s="123"/>
      <c r="AD44" s="120"/>
      <c r="AE44" s="121" t="str">
        <f t="shared" si="3"/>
        <v/>
      </c>
      <c r="AF44" s="122">
        <f t="shared" si="4"/>
        <v>0</v>
      </c>
      <c r="AG44" s="120"/>
      <c r="AH44" s="121" t="str">
        <f t="shared" si="5"/>
        <v/>
      </c>
      <c r="AI44" s="122">
        <f t="shared" si="6"/>
        <v>0</v>
      </c>
      <c r="AJ44" s="332">
        <f t="shared" si="7"/>
        <v>0</v>
      </c>
      <c r="AK44" s="333">
        <f t="shared" si="8"/>
        <v>0</v>
      </c>
      <c r="AL44" s="335">
        <f t="shared" si="9"/>
        <v>0</v>
      </c>
      <c r="AM44" s="377">
        <f t="shared" si="10"/>
        <v>0</v>
      </c>
      <c r="AN44" s="378">
        <f t="shared" si="11"/>
        <v>0</v>
      </c>
    </row>
    <row r="45" spans="1:40" x14ac:dyDescent="0.2">
      <c r="A45" s="3" t="s">
        <v>0</v>
      </c>
      <c r="B45" s="5" t="s">
        <v>1</v>
      </c>
      <c r="O45" s="50"/>
      <c r="AB45" s="51"/>
      <c r="AD45" s="50"/>
      <c r="AF45" s="51"/>
      <c r="AG45" s="50"/>
      <c r="AI45" s="51"/>
    </row>
    <row r="46" spans="1:40" x14ac:dyDescent="0.2">
      <c r="A46" s="6" t="s">
        <v>2</v>
      </c>
      <c r="B46" s="14" t="s">
        <v>1266</v>
      </c>
      <c r="H46" s="1" t="s">
        <v>281</v>
      </c>
      <c r="I46" s="11" t="s">
        <v>1006</v>
      </c>
      <c r="J46" s="11" t="s">
        <v>78</v>
      </c>
      <c r="N46" s="37" t="s">
        <v>1210</v>
      </c>
      <c r="O46" s="50"/>
      <c r="AB46" s="51"/>
      <c r="AD46" s="50"/>
      <c r="AF46" s="51"/>
      <c r="AG46" s="50"/>
      <c r="AI46" s="51"/>
    </row>
    <row r="47" spans="1:40" x14ac:dyDescent="0.2">
      <c r="A47" s="6" t="s">
        <v>3</v>
      </c>
      <c r="B47" s="14" t="s">
        <v>1267</v>
      </c>
      <c r="H47" s="10" t="s">
        <v>377</v>
      </c>
      <c r="I47" s="25" t="s">
        <v>1004</v>
      </c>
      <c r="J47" s="25" t="s">
        <v>1004</v>
      </c>
      <c r="K47" s="64" t="str">
        <f>IF(AND(I47&gt;="T5"),"&gt;","")</f>
        <v/>
      </c>
      <c r="L47" s="24">
        <v>520600</v>
      </c>
      <c r="M47" s="24">
        <v>300030</v>
      </c>
      <c r="N47" s="24" t="s">
        <v>1282</v>
      </c>
      <c r="O47" s="19"/>
      <c r="P47" s="19"/>
      <c r="Q47" s="19"/>
      <c r="R47" s="19"/>
      <c r="S47" s="19"/>
      <c r="T47" s="19"/>
      <c r="U47" s="19"/>
      <c r="V47" s="19"/>
      <c r="W47" s="19"/>
      <c r="X47" s="19"/>
      <c r="Y47" s="19"/>
      <c r="Z47" s="19"/>
      <c r="AA47" s="19">
        <f>IF($I47="B1","",SUM(O47:Z47))</f>
        <v>0</v>
      </c>
      <c r="AB47" s="15"/>
      <c r="AD47" s="19"/>
      <c r="AE47" s="15"/>
      <c r="AF47" s="47">
        <f>IF(AND($AA47="",AD47=""),"",$AA47-AD47)</f>
        <v>0</v>
      </c>
      <c r="AG47" s="19"/>
      <c r="AH47" s="15"/>
      <c r="AI47" s="47">
        <f>IF(AND($AA47="",AG47=""),"",$AA47-AG47)</f>
        <v>0</v>
      </c>
      <c r="AJ47" s="371">
        <f>IFERROR(AA47/AA$20,0)</f>
        <v>0</v>
      </c>
      <c r="AK47" s="372">
        <f>IFERROR(AD47/AD$20,0)</f>
        <v>0</v>
      </c>
      <c r="AL47" s="373">
        <f>IFERROR(AG47/AG$20,0)</f>
        <v>0</v>
      </c>
      <c r="AM47" s="374" t="str">
        <f>+IFERROR(ROUND(($AB47-AE47)*100,2)&amp;" pts.",0)</f>
        <v>0 pts.</v>
      </c>
      <c r="AN47" s="375" t="str">
        <f>+IFERROR(ROUND(($AB47-AH47)*100,2)&amp;" pts.",0)</f>
        <v>0 pts.</v>
      </c>
    </row>
    <row r="48" spans="1:40" x14ac:dyDescent="0.2">
      <c r="A48" s="6" t="s">
        <v>4</v>
      </c>
      <c r="B48" s="14" t="s">
        <v>1281</v>
      </c>
      <c r="H48" s="133" t="s">
        <v>378</v>
      </c>
      <c r="I48" s="25" t="s">
        <v>1004</v>
      </c>
      <c r="J48" s="25" t="s">
        <v>1004</v>
      </c>
      <c r="K48" s="64" t="str">
        <f>IF(AND(I48&gt;="T5"),"&gt;","")</f>
        <v/>
      </c>
      <c r="L48" s="24">
        <v>520650</v>
      </c>
      <c r="M48" s="24">
        <v>305023</v>
      </c>
      <c r="N48" s="24" t="s">
        <v>1283</v>
      </c>
      <c r="O48" s="28"/>
      <c r="P48" s="28"/>
      <c r="Q48" s="28"/>
      <c r="R48" s="28"/>
      <c r="S48" s="28"/>
      <c r="T48" s="28"/>
      <c r="U48" s="28"/>
      <c r="V48" s="28"/>
      <c r="W48" s="28"/>
      <c r="X48" s="28"/>
      <c r="Y48" s="28"/>
      <c r="Z48" s="28"/>
      <c r="AA48" s="28">
        <f>IF($I48="B1","",SUM(O48:Z48))</f>
        <v>0</v>
      </c>
      <c r="AB48" s="29"/>
      <c r="AD48" s="28"/>
      <c r="AE48" s="29"/>
      <c r="AF48" s="48">
        <f>IF(AND($AA48="",AD48=""),"",$AA48-AD48)</f>
        <v>0</v>
      </c>
      <c r="AG48" s="28"/>
      <c r="AH48" s="29"/>
      <c r="AI48" s="48">
        <f>IF(AND($AA48="",AG48=""),"",$AA48-AG48)</f>
        <v>0</v>
      </c>
      <c r="AJ48" s="381">
        <f>IFERROR(AA48/AA$20,0)</f>
        <v>0</v>
      </c>
      <c r="AK48" s="382">
        <f>IFERROR(AD48/AD$20,0)</f>
        <v>0</v>
      </c>
      <c r="AL48" s="383">
        <f>IFERROR(AG48/AG$20,0)</f>
        <v>0</v>
      </c>
      <c r="AM48" s="384" t="str">
        <f>+IFERROR(ROUND(($AB48-AE48)*100,2)&amp;" pts.",0)</f>
        <v>0 pts.</v>
      </c>
      <c r="AN48" s="385" t="str">
        <f>+IFERROR(ROUND(($AB48-AH48)*100,2)&amp;" pts.",0)</f>
        <v>0 pts.</v>
      </c>
    </row>
    <row r="49" spans="1:40" x14ac:dyDescent="0.2">
      <c r="A49" s="6" t="s">
        <v>5</v>
      </c>
      <c r="B49" s="7"/>
      <c r="F49" s="136"/>
      <c r="H49" s="133" t="s">
        <v>379</v>
      </c>
      <c r="I49" s="447" t="s">
        <v>1058</v>
      </c>
      <c r="J49" s="447" t="s">
        <v>78</v>
      </c>
      <c r="K49" s="448" t="str">
        <f>IF(AND(I49&gt;="T5"),"&gt;","")</f>
        <v/>
      </c>
      <c r="L49" s="151"/>
      <c r="M49" s="151"/>
      <c r="N49" s="151" t="s">
        <v>1284</v>
      </c>
      <c r="O49" s="120"/>
      <c r="P49" s="120"/>
      <c r="Q49" s="120"/>
      <c r="R49" s="120"/>
      <c r="S49" s="120"/>
      <c r="T49" s="120"/>
      <c r="U49" s="120"/>
      <c r="V49" s="120"/>
      <c r="W49" s="120"/>
      <c r="X49" s="120"/>
      <c r="Y49" s="120"/>
      <c r="Z49" s="120"/>
      <c r="AA49" s="120">
        <f>IF($I49="B1","",SUM(O49:Z49))</f>
        <v>0</v>
      </c>
      <c r="AB49" s="121"/>
      <c r="AC49" s="123"/>
      <c r="AD49" s="120"/>
      <c r="AE49" s="121"/>
      <c r="AF49" s="122">
        <f>IF(AND($AA49="",AD49=""),"",$AA49-AD49)</f>
        <v>0</v>
      </c>
      <c r="AG49" s="120"/>
      <c r="AH49" s="121"/>
      <c r="AI49" s="122">
        <f>IF(AND($AA49="",AG49=""),"",$AA49-AG49)</f>
        <v>0</v>
      </c>
      <c r="AJ49" s="332">
        <f>IFERROR(AA49/AA$20,0)</f>
        <v>0</v>
      </c>
      <c r="AK49" s="333">
        <f>IFERROR(AD49/AD$20,0)</f>
        <v>0</v>
      </c>
      <c r="AL49" s="335">
        <f>IFERROR(AG49/AG$20,0)</f>
        <v>0</v>
      </c>
      <c r="AM49" s="377" t="str">
        <f>+IFERROR(ROUND(($AB49-AE49)*100,2)&amp;" pts.",0)</f>
        <v>0 pts.</v>
      </c>
      <c r="AN49" s="378" t="str">
        <f>+IFERROR(ROUND(($AB49-AH49)*100,2)&amp;" pts.",0)</f>
        <v>0 pts.</v>
      </c>
    </row>
    <row r="50" spans="1:40" x14ac:dyDescent="0.2">
      <c r="A50" s="6" t="s">
        <v>6</v>
      </c>
      <c r="B50" s="7"/>
      <c r="F50" s="136"/>
      <c r="H50" s="133" t="s">
        <v>175</v>
      </c>
      <c r="I50" s="26" t="s">
        <v>1006</v>
      </c>
      <c r="J50" s="26" t="s">
        <v>78</v>
      </c>
      <c r="K50" s="65" t="str">
        <f>IF(AND(I50&gt;="T5"),"&gt;","")</f>
        <v/>
      </c>
      <c r="L50" s="65"/>
      <c r="M50" s="65"/>
      <c r="N50" s="23" t="s">
        <v>175</v>
      </c>
      <c r="O50" s="44"/>
      <c r="P50" s="44"/>
      <c r="Q50" s="44"/>
      <c r="R50" s="44"/>
      <c r="S50" s="44"/>
      <c r="T50" s="44"/>
      <c r="U50" s="44"/>
      <c r="V50" s="44"/>
      <c r="W50" s="44"/>
      <c r="X50" s="44"/>
      <c r="Y50" s="44"/>
      <c r="Z50" s="44"/>
      <c r="AA50" s="44" t="str">
        <f>IF($I50="B1","",SUM(O50:Z50))</f>
        <v/>
      </c>
      <c r="AB50" s="45"/>
      <c r="AD50" s="44"/>
      <c r="AE50" s="45"/>
      <c r="AF50" s="134" t="str">
        <f>IF(AND($AA50="",AD50=""),"",$AA50-AD50)</f>
        <v/>
      </c>
      <c r="AG50" s="44"/>
      <c r="AH50" s="45"/>
      <c r="AI50" s="134" t="str">
        <f>IF(AND($AA50="",AG50=""),"",$AA50-AG50)</f>
        <v/>
      </c>
      <c r="AJ50" s="325">
        <f>IFERROR(AA50/AA$20,0)</f>
        <v>0</v>
      </c>
      <c r="AK50" s="326">
        <f>IFERROR(AD50/AD$20,0)</f>
        <v>0</v>
      </c>
      <c r="AL50" s="328">
        <f>IFERROR(AG50/AG$20,0)</f>
        <v>0</v>
      </c>
      <c r="AM50" s="362" t="str">
        <f>+IFERROR(ROUND(($AB50-AE50)*100,2)&amp;" pts.",0)</f>
        <v>0 pts.</v>
      </c>
      <c r="AN50" s="376" t="str">
        <f>+IFERROR(ROUND(($AB50-AH50)*100,2)&amp;" pts.",0)</f>
        <v>0 pts.</v>
      </c>
    </row>
    <row r="51" spans="1:40" x14ac:dyDescent="0.2">
      <c r="A51" s="6" t="s">
        <v>7</v>
      </c>
      <c r="B51" s="14" t="s">
        <v>1285</v>
      </c>
      <c r="F51" s="136"/>
      <c r="H51" s="133" t="s">
        <v>292</v>
      </c>
      <c r="I51" s="26" t="s">
        <v>1007</v>
      </c>
      <c r="J51" s="26" t="s">
        <v>78</v>
      </c>
      <c r="K51" s="65" t="str">
        <f>IF(AND(I51&gt;="T5"),"&gt;","")</f>
        <v/>
      </c>
      <c r="L51" s="65"/>
      <c r="M51" s="65"/>
      <c r="N51" s="23" t="s">
        <v>1220</v>
      </c>
      <c r="O51" s="145">
        <f t="shared" ref="O51:Z51" si="12">SUMIF($H$34:$H$49,"400000",O34:O49)-SUMIF($H$34:$H$49,"COS_SPARET",O34:O49)</f>
        <v>0</v>
      </c>
      <c r="P51" s="145">
        <f t="shared" si="12"/>
        <v>0</v>
      </c>
      <c r="Q51" s="145">
        <f t="shared" si="12"/>
        <v>0</v>
      </c>
      <c r="R51" s="145">
        <f t="shared" si="12"/>
        <v>0</v>
      </c>
      <c r="S51" s="145">
        <f t="shared" si="12"/>
        <v>0</v>
      </c>
      <c r="T51" s="145">
        <f t="shared" si="12"/>
        <v>0</v>
      </c>
      <c r="U51" s="145">
        <f t="shared" si="12"/>
        <v>0</v>
      </c>
      <c r="V51" s="145">
        <f t="shared" si="12"/>
        <v>0</v>
      </c>
      <c r="W51" s="145">
        <f t="shared" si="12"/>
        <v>0</v>
      </c>
      <c r="X51" s="145">
        <f t="shared" si="12"/>
        <v>0</v>
      </c>
      <c r="Y51" s="145">
        <f t="shared" si="12"/>
        <v>0</v>
      </c>
      <c r="Z51" s="145">
        <f t="shared" si="12"/>
        <v>0</v>
      </c>
      <c r="AA51" s="120">
        <f>IF($I51="B1","",SUM(O51:Z51))</f>
        <v>0</v>
      </c>
      <c r="AB51" s="121" t="str">
        <f>IF(AA51=0,"",IFERROR(AA51/AA$19,""))</f>
        <v/>
      </c>
      <c r="AD51" s="145">
        <f>SUMIF($H$34:$H$49,"400000",AD34:AD49)-SUMIF($H$34:$H$49,"COS_SPARET",AD34:AD49)</f>
        <v>0</v>
      </c>
      <c r="AE51" s="121" t="str">
        <f>IF(AD51=0,"",IFERROR(AD51/AD$19,""))</f>
        <v/>
      </c>
      <c r="AF51" s="146">
        <f>IF(AND($AA51="",AD51=""),"",$AA51-AD51)</f>
        <v>0</v>
      </c>
      <c r="AG51" s="145">
        <f>SUMIF($H$34:$H$49,"400000",AG34:AG49)-SUMIF($H$34:$H$49,"COS_SPARET",AG34:AG49)</f>
        <v>0</v>
      </c>
      <c r="AH51" s="121" t="str">
        <f>IF(AG51=0,"",IFERROR(AG51/AG$19,""))</f>
        <v/>
      </c>
      <c r="AI51" s="146">
        <f>IF(AND($AA51="",AG51=""),"",$AA51-AG51)</f>
        <v>0</v>
      </c>
      <c r="AJ51" s="332">
        <f>IFERROR(AA51/AA$20,0)</f>
        <v>0</v>
      </c>
      <c r="AK51" s="333">
        <f>IFERROR(AD51/AD$20,0)</f>
        <v>0</v>
      </c>
      <c r="AL51" s="335">
        <f>IFERROR(AG51/AG$20,0)</f>
        <v>0</v>
      </c>
      <c r="AM51" s="377">
        <f>+IFERROR(ROUND(($AB51-AE51)*100,2)&amp;" pts.",0)</f>
        <v>0</v>
      </c>
      <c r="AN51" s="378">
        <f>+IFERROR(ROUND(($AB51-AH51)*100,2)&amp;" pts.",0)</f>
        <v>0</v>
      </c>
    </row>
    <row r="52" spans="1:40" x14ac:dyDescent="0.2">
      <c r="A52" s="6" t="s">
        <v>47</v>
      </c>
      <c r="B52" s="14" t="s">
        <v>1270</v>
      </c>
      <c r="O52" s="144"/>
      <c r="P52" s="147"/>
      <c r="Q52" s="147"/>
      <c r="R52" s="147"/>
      <c r="S52" s="147"/>
      <c r="T52" s="147"/>
      <c r="U52" s="147"/>
      <c r="V52" s="147"/>
      <c r="W52" s="147"/>
      <c r="X52" s="147"/>
      <c r="Y52" s="147"/>
      <c r="Z52" s="147"/>
      <c r="AA52" s="147"/>
      <c r="AB52" s="51"/>
      <c r="AD52" s="50"/>
      <c r="AF52" s="51"/>
      <c r="AI52" s="51"/>
    </row>
    <row r="53" spans="1:40" x14ac:dyDescent="0.2">
      <c r="A53" s="6" t="s">
        <v>8</v>
      </c>
      <c r="B53" s="7"/>
      <c r="H53" s="1" t="s">
        <v>73</v>
      </c>
      <c r="I53" s="11" t="s">
        <v>1006</v>
      </c>
      <c r="J53" s="11" t="s">
        <v>78</v>
      </c>
      <c r="N53" s="37" t="s">
        <v>1073</v>
      </c>
      <c r="O53" s="50"/>
      <c r="AB53" s="149"/>
      <c r="AD53" s="148"/>
      <c r="AE53" s="150"/>
      <c r="AF53" s="51"/>
      <c r="AH53" s="150"/>
      <c r="AI53" s="51"/>
    </row>
    <row r="54" spans="1:40" x14ac:dyDescent="0.2">
      <c r="H54" s="1" t="s">
        <v>74</v>
      </c>
      <c r="I54" s="11" t="s">
        <v>1006</v>
      </c>
      <c r="J54" s="11" t="s">
        <v>78</v>
      </c>
      <c r="N54" s="8" t="s">
        <v>1074</v>
      </c>
      <c r="O54" s="40"/>
      <c r="P54" s="43"/>
      <c r="Q54" s="43"/>
      <c r="R54" s="43"/>
      <c r="S54" s="43"/>
      <c r="T54" s="43"/>
      <c r="U54" s="43"/>
      <c r="V54" s="43"/>
      <c r="W54" s="43"/>
      <c r="X54" s="43"/>
      <c r="Y54" s="43"/>
      <c r="Z54" s="43"/>
      <c r="AA54" s="43"/>
      <c r="AB54" s="41"/>
      <c r="AD54" s="40"/>
      <c r="AE54" s="43"/>
      <c r="AF54" s="41"/>
      <c r="AG54" s="43"/>
      <c r="AH54" s="43"/>
      <c r="AI54" s="41"/>
    </row>
    <row r="55" spans="1:40" hidden="1" x14ac:dyDescent="0.2">
      <c r="A55" s="3" t="s">
        <v>9</v>
      </c>
      <c r="B55" s="5" t="s">
        <v>10</v>
      </c>
      <c r="H55" s="10" t="s">
        <v>667</v>
      </c>
      <c r="I55" s="25"/>
      <c r="J55" s="25"/>
      <c r="K55" s="64" t="str">
        <f>IF(AND(I55&gt;="T3"),"&gt;","")</f>
        <v/>
      </c>
      <c r="L55" s="24"/>
      <c r="M55" s="24"/>
      <c r="N55" s="24"/>
      <c r="O55" s="35"/>
      <c r="P55" s="35"/>
      <c r="Q55" s="35"/>
      <c r="R55" s="35"/>
      <c r="S55" s="35"/>
      <c r="T55" s="35"/>
      <c r="U55" s="35"/>
      <c r="V55" s="35"/>
      <c r="W55" s="35"/>
      <c r="X55" s="35"/>
      <c r="Y55" s="35"/>
      <c r="Z55" s="35"/>
      <c r="AA55" s="35">
        <f>IF($I55="B1","",SUM(O55:Z55))</f>
        <v>0</v>
      </c>
      <c r="AB55" s="36" t="str">
        <f>IF(AA55=0,"",IFERROR(AA55/AA$19,""))</f>
        <v/>
      </c>
      <c r="AD55" s="35"/>
      <c r="AE55" s="36" t="str">
        <f>IF(AD55=0,"",IFERROR(AD55/AD$19,""))</f>
        <v/>
      </c>
      <c r="AF55" s="118">
        <f>IF(AND($AA55="",AD55=""),"",$AA55-AD55)</f>
        <v>0</v>
      </c>
      <c r="AG55" s="35"/>
      <c r="AH55" s="36" t="str">
        <f>IF(AG55=0,"",IFERROR(AG55/AG$19,""))</f>
        <v/>
      </c>
      <c r="AI55" s="118">
        <f>IF(AND($AA55="",AG55=""),"",$AA55-AG55)</f>
        <v>0</v>
      </c>
      <c r="AJ55" s="371">
        <f>IFERROR(AA55/AA$20,0)</f>
        <v>0</v>
      </c>
      <c r="AK55" s="372">
        <f>IFERROR(AD55/AD$20,0)</f>
        <v>0</v>
      </c>
      <c r="AL55" s="373">
        <f>IFERROR(AG55/AG$20,0)</f>
        <v>0</v>
      </c>
      <c r="AM55" s="374">
        <f>+IFERROR(ROUND(($AB55-AE55)*100,2)&amp;" pts.",0)</f>
        <v>0</v>
      </c>
      <c r="AN55" s="375">
        <f>+IFERROR(ROUND(($AB55-AH55)*100,2)&amp;" pts.",0)</f>
        <v>0</v>
      </c>
    </row>
    <row r="56" spans="1:40" hidden="1" x14ac:dyDescent="0.2">
      <c r="A56" s="6" t="s">
        <v>11</v>
      </c>
      <c r="B56" s="7" t="s">
        <v>21</v>
      </c>
      <c r="G56" s="13"/>
      <c r="H56" s="10"/>
      <c r="I56" s="25"/>
      <c r="J56" s="25"/>
      <c r="K56" s="64" t="str">
        <f>IF(AND(I56&gt;="T3"),"&gt;","")</f>
        <v/>
      </c>
      <c r="L56" s="24"/>
      <c r="M56" s="24"/>
      <c r="N56" s="24"/>
      <c r="O56" s="35"/>
      <c r="P56" s="35"/>
      <c r="Q56" s="35"/>
      <c r="R56" s="35"/>
      <c r="S56" s="35"/>
      <c r="T56" s="35"/>
      <c r="U56" s="35"/>
      <c r="V56" s="35"/>
      <c r="W56" s="35"/>
      <c r="X56" s="35"/>
      <c r="Y56" s="35"/>
      <c r="Z56" s="35"/>
      <c r="AA56" s="35">
        <f>IF($I56="B1","",SUM(O56:Z56))</f>
        <v>0</v>
      </c>
      <c r="AB56" s="36" t="str">
        <f>IF(AA56=0,"",IFERROR(AA56/AA$19,""))</f>
        <v/>
      </c>
      <c r="AD56" s="35"/>
      <c r="AE56" s="36" t="str">
        <f>IF(AD56=0,"",IFERROR(AD56/AD$19,""))</f>
        <v/>
      </c>
      <c r="AF56" s="118">
        <f>IF(AND($AA56="",AD56=""),"",$AA56-AD56)</f>
        <v>0</v>
      </c>
      <c r="AG56" s="35"/>
      <c r="AH56" s="36" t="str">
        <f>IF(AG56=0,"",IFERROR(AG56/AG$19,""))</f>
        <v/>
      </c>
      <c r="AI56" s="118">
        <f>IF(AND($AA56="",AG56=""),"",$AA56-AG56)</f>
        <v>0</v>
      </c>
      <c r="AJ56" s="371">
        <f>IFERROR(AA56/AA$20,0)</f>
        <v>0</v>
      </c>
      <c r="AK56" s="372">
        <f>IFERROR(AD56/AD$20,0)</f>
        <v>0</v>
      </c>
      <c r="AL56" s="373">
        <f>IFERROR(AG56/AG$20,0)</f>
        <v>0</v>
      </c>
      <c r="AM56" s="374">
        <f>+IFERROR(ROUND(($AB56-AE56)*100,2)&amp;" pts.",0)</f>
        <v>0</v>
      </c>
      <c r="AN56" s="375">
        <f>+IFERROR(ROUND(($AB56-AH56)*100,2)&amp;" pts.",0)</f>
        <v>0</v>
      </c>
    </row>
    <row r="57" spans="1:40" x14ac:dyDescent="0.2">
      <c r="A57" s="6" t="s">
        <v>12</v>
      </c>
      <c r="B57" s="7" t="s">
        <v>22</v>
      </c>
      <c r="H57" s="10" t="s">
        <v>75</v>
      </c>
      <c r="I57" s="26" t="s">
        <v>1006</v>
      </c>
      <c r="J57" s="26" t="s">
        <v>78</v>
      </c>
      <c r="K57" s="65" t="str">
        <f>IF(AND(I57&gt;="T3"),"&gt;","")</f>
        <v/>
      </c>
      <c r="L57" s="23"/>
      <c r="M57" s="24"/>
      <c r="N57" s="23" t="s">
        <v>1076</v>
      </c>
      <c r="O57" s="35"/>
      <c r="P57" s="35"/>
      <c r="Q57" s="35"/>
      <c r="R57" s="35"/>
      <c r="S57" s="35"/>
      <c r="T57" s="35"/>
      <c r="U57" s="35"/>
      <c r="V57" s="35"/>
      <c r="W57" s="35"/>
      <c r="X57" s="35"/>
      <c r="Y57" s="35"/>
      <c r="Z57" s="35"/>
      <c r="AA57" s="35" t="str">
        <f>IF($I57="B1","",SUM(O57:Z57))</f>
        <v/>
      </c>
      <c r="AB57" s="36" t="str">
        <f>IF(AA57=0,"",IFERROR(AA57/AA$19,""))</f>
        <v/>
      </c>
      <c r="AD57" s="35"/>
      <c r="AE57" s="36" t="str">
        <f>IF(AD57=0,"",IFERROR(AD57/AD$19,""))</f>
        <v/>
      </c>
      <c r="AF57" s="118" t="str">
        <f>IF(AND($AA57="",AD57=""),"",$AA57-AD57)</f>
        <v/>
      </c>
      <c r="AG57" s="35"/>
      <c r="AH57" s="36" t="str">
        <f>IF(AG57=0,"",IFERROR(AG57/AG$19,""))</f>
        <v/>
      </c>
      <c r="AI57" s="118" t="str">
        <f>IF(AND($AA57="",AG57=""),"",$AA57-AG57)</f>
        <v/>
      </c>
      <c r="AJ57" s="371">
        <f>IFERROR(AA57/AA$20,0)</f>
        <v>0</v>
      </c>
      <c r="AK57" s="372">
        <f>IFERROR(AD57/AD$20,0)</f>
        <v>0</v>
      </c>
      <c r="AL57" s="373">
        <f>IFERROR(AG57/AG$20,0)</f>
        <v>0</v>
      </c>
      <c r="AM57" s="374">
        <f>+IFERROR(ROUND(($AB57-AE57)*100,2)&amp;" pts.",0)</f>
        <v>0</v>
      </c>
      <c r="AN57" s="375">
        <f>+IFERROR(ROUND(($AB57-AH57)*100,2)&amp;" pts.",0)</f>
        <v>0</v>
      </c>
    </row>
    <row r="58" spans="1:40" hidden="1" x14ac:dyDescent="0.2">
      <c r="A58" s="6" t="s">
        <v>13</v>
      </c>
      <c r="B58" s="7" t="str">
        <f>"DEP(COS_SPARET) AND "&amp;$E$6&amp;"=Y,COS_SPARET"</f>
        <v>DEP(COS_SPARET) AND D1132=Y,COS_SPARET</v>
      </c>
      <c r="H58" s="10" t="s">
        <v>667</v>
      </c>
      <c r="I58" s="25"/>
      <c r="J58" s="25"/>
      <c r="K58" s="64" t="str">
        <f>IF(AND(I58&gt;="T3"),"&gt;","")</f>
        <v/>
      </c>
      <c r="L58" s="24"/>
      <c r="M58" s="24"/>
      <c r="N58" s="24"/>
      <c r="O58" s="44"/>
      <c r="P58" s="44"/>
      <c r="Q58" s="44"/>
      <c r="R58" s="44"/>
      <c r="S58" s="44"/>
      <c r="T58" s="44"/>
      <c r="U58" s="44"/>
      <c r="V58" s="44"/>
      <c r="W58" s="44"/>
      <c r="X58" s="44"/>
      <c r="Y58" s="44"/>
      <c r="Z58" s="44"/>
      <c r="AA58" s="44">
        <f>IF($I58="B1","",SUM(O58:Z58))</f>
        <v>0</v>
      </c>
      <c r="AB58" s="45" t="str">
        <f>IF(AA58=0,"",IFERROR(AA58/AA$19,""))</f>
        <v/>
      </c>
      <c r="AD58" s="44"/>
      <c r="AE58" s="45" t="str">
        <f>IF(AD58=0,"",IFERROR(AD58/AD$19,""))</f>
        <v/>
      </c>
      <c r="AF58" s="134">
        <f>IF(AND($AA58="",AD58=""),"",$AA58-AD58)</f>
        <v>0</v>
      </c>
      <c r="AG58" s="44"/>
      <c r="AH58" s="45" t="str">
        <f>IF(AG58=0,"",IFERROR(AG58/AG$19,""))</f>
        <v/>
      </c>
      <c r="AI58" s="134">
        <f>IF(AND($AA58="",AG58=""),"",$AA58-AG58)</f>
        <v>0</v>
      </c>
      <c r="AJ58" s="371">
        <f>IFERROR(AA58/AA$20,0)</f>
        <v>0</v>
      </c>
      <c r="AK58" s="372">
        <f>IFERROR(AD58/AD$20,0)</f>
        <v>0</v>
      </c>
      <c r="AL58" s="373">
        <f>IFERROR(AG58/AG$20,0)</f>
        <v>0</v>
      </c>
      <c r="AM58" s="374">
        <f>+IFERROR(ROUND(($AB58-AE58)*100,2)&amp;" pts.",0)</f>
        <v>0</v>
      </c>
      <c r="AN58" s="375">
        <f>+IFERROR(ROUND(($AB58-AH58)*100,2)&amp;" pts.",0)</f>
        <v>0</v>
      </c>
    </row>
    <row r="59" spans="1:40" hidden="1" x14ac:dyDescent="0.2">
      <c r="A59" s="6" t="s">
        <v>14</v>
      </c>
      <c r="B59" s="7"/>
      <c r="H59" s="10"/>
      <c r="I59" s="25"/>
      <c r="J59" s="25"/>
      <c r="K59" s="64" t="str">
        <f>IF(AND(I59&gt;="T3"),"&gt;","")</f>
        <v/>
      </c>
      <c r="L59" s="24"/>
      <c r="M59" s="24"/>
      <c r="N59" s="24"/>
      <c r="O59" s="44"/>
      <c r="P59" s="44"/>
      <c r="Q59" s="44"/>
      <c r="R59" s="44"/>
      <c r="S59" s="44"/>
      <c r="T59" s="44"/>
      <c r="U59" s="44"/>
      <c r="V59" s="44"/>
      <c r="W59" s="44"/>
      <c r="X59" s="44"/>
      <c r="Y59" s="44"/>
      <c r="Z59" s="44"/>
      <c r="AA59" s="44">
        <f>IF($I59="B1","",SUM(O59:Z59))</f>
        <v>0</v>
      </c>
      <c r="AB59" s="45" t="str">
        <f>IF(AA59=0,"",IFERROR(AA59/AA$19,""))</f>
        <v/>
      </c>
      <c r="AD59" s="44"/>
      <c r="AE59" s="45" t="str">
        <f>IF(AD59=0,"",IFERROR(AD59/AD$19,""))</f>
        <v/>
      </c>
      <c r="AF59" s="134">
        <f>IF(AND($AA59="",AD59=""),"",$AA59-AD59)</f>
        <v>0</v>
      </c>
      <c r="AG59" s="44"/>
      <c r="AH59" s="45" t="str">
        <f>IF(AG59=0,"",IFERROR(AG59/AG$19,""))</f>
        <v/>
      </c>
      <c r="AI59" s="134">
        <f>IF(AND($AA59="",AG59=""),"",$AA59-AG59)</f>
        <v>0</v>
      </c>
      <c r="AJ59" s="371">
        <f>IFERROR(AA59/AA$20,0)</f>
        <v>0</v>
      </c>
      <c r="AK59" s="372">
        <f>IFERROR(AD59/AD$20,0)</f>
        <v>0</v>
      </c>
      <c r="AL59" s="373">
        <f>IFERROR(AG59/AG$20,0)</f>
        <v>0</v>
      </c>
      <c r="AM59" s="374">
        <f>+IFERROR(ROUND(($AB59-AE59)*100,2)&amp;" pts.",0)</f>
        <v>0</v>
      </c>
      <c r="AN59" s="375">
        <f>+IFERROR(ROUND(($AB59-AH59)*100,2)&amp;" pts.",0)</f>
        <v>0</v>
      </c>
    </row>
    <row r="60" spans="1:40" x14ac:dyDescent="0.2">
      <c r="A60" s="6" t="s">
        <v>15</v>
      </c>
      <c r="B60" s="7"/>
      <c r="O60" s="38"/>
      <c r="P60" s="42"/>
      <c r="Q60" s="42"/>
      <c r="R60" s="42"/>
      <c r="S60" s="42"/>
      <c r="T60" s="42"/>
      <c r="U60" s="42"/>
      <c r="V60" s="42"/>
      <c r="W60" s="42"/>
      <c r="X60" s="42"/>
      <c r="Y60" s="42"/>
      <c r="Z60" s="42"/>
      <c r="AA60" s="42"/>
      <c r="AB60" s="39"/>
      <c r="AD60" s="38"/>
      <c r="AE60" s="42"/>
      <c r="AF60" s="39"/>
      <c r="AG60" s="38"/>
      <c r="AH60" s="42"/>
      <c r="AI60" s="39"/>
    </row>
    <row r="61" spans="1:40" x14ac:dyDescent="0.2">
      <c r="A61" s="6" t="s">
        <v>16</v>
      </c>
      <c r="B61" s="7"/>
      <c r="H61" s="1" t="s">
        <v>82</v>
      </c>
      <c r="I61" s="11" t="s">
        <v>1006</v>
      </c>
      <c r="J61" s="11" t="s">
        <v>78</v>
      </c>
      <c r="N61" s="37" t="s">
        <v>1087</v>
      </c>
      <c r="O61" s="40"/>
      <c r="P61" s="43"/>
      <c r="Q61" s="43"/>
      <c r="R61" s="43"/>
      <c r="S61" s="43"/>
      <c r="T61" s="43"/>
      <c r="U61" s="43"/>
      <c r="V61" s="43"/>
      <c r="W61" s="43"/>
      <c r="X61" s="43"/>
      <c r="Y61" s="43"/>
      <c r="Z61" s="43"/>
      <c r="AA61" s="43"/>
      <c r="AB61" s="41"/>
      <c r="AD61" s="40"/>
      <c r="AE61" s="43"/>
      <c r="AF61" s="41"/>
      <c r="AG61" s="40"/>
      <c r="AH61" s="43"/>
      <c r="AI61" s="41"/>
    </row>
    <row r="62" spans="1:40" hidden="1" x14ac:dyDescent="0.2">
      <c r="A62" s="6" t="s">
        <v>17</v>
      </c>
      <c r="B62" s="7"/>
      <c r="H62" s="10" t="s">
        <v>667</v>
      </c>
      <c r="I62" s="25"/>
      <c r="J62" s="25"/>
      <c r="K62" s="64" t="str">
        <f>IF(AND(I62&lt;&gt;"B1",J62="Y"),"&gt;","")</f>
        <v/>
      </c>
      <c r="L62" s="24"/>
      <c r="M62" s="24"/>
      <c r="N62" s="24"/>
      <c r="O62" s="19"/>
      <c r="P62" s="19"/>
      <c r="Q62" s="19"/>
      <c r="R62" s="19"/>
      <c r="S62" s="19"/>
      <c r="T62" s="19"/>
      <c r="U62" s="19"/>
      <c r="V62" s="19"/>
      <c r="W62" s="19"/>
      <c r="X62" s="19"/>
      <c r="Y62" s="19"/>
      <c r="Z62" s="19"/>
      <c r="AA62" s="19">
        <f>IF($I62="B1","",SUM(O62:Z62))</f>
        <v>0</v>
      </c>
      <c r="AB62" s="15" t="str">
        <f>IF(AA62=0,"",IFERROR(AA62/AA$19,""))</f>
        <v/>
      </c>
      <c r="AD62" s="19"/>
      <c r="AE62" s="15" t="str">
        <f>IF(AD62=0,"",IFERROR(AD62/AD$19,""))</f>
        <v/>
      </c>
      <c r="AF62" s="47">
        <f>IF(AND($AA62="",AD62=""),"",$AA62-AD62)</f>
        <v>0</v>
      </c>
      <c r="AG62" s="19"/>
      <c r="AH62" s="15" t="str">
        <f>IF(AG62=0,"",IFERROR(AG62/AG$19,""))</f>
        <v/>
      </c>
      <c r="AI62" s="47">
        <f>IF(AND($AA62="",AG62=""),"",$AA62-AG62)</f>
        <v>0</v>
      </c>
      <c r="AJ62" s="371">
        <f>IFERROR(AA62/AA$20,0)</f>
        <v>0</v>
      </c>
      <c r="AK62" s="372">
        <f>IFERROR(AD62/AD$20,0)</f>
        <v>0</v>
      </c>
      <c r="AL62" s="373">
        <f>IFERROR(AG62/AG$20,0)</f>
        <v>0</v>
      </c>
      <c r="AM62" s="374">
        <f>+IFERROR(ROUND(($AB62-AE62)*100,2)&amp;" pts.",0)</f>
        <v>0</v>
      </c>
      <c r="AN62" s="375">
        <f>+IFERROR(ROUND(($AB62-AH62)*100,2)&amp;" pts.",0)</f>
        <v>0</v>
      </c>
    </row>
    <row r="63" spans="1:40" hidden="1" x14ac:dyDescent="0.2">
      <c r="H63" s="10"/>
      <c r="I63" s="25"/>
      <c r="J63" s="25"/>
      <c r="K63" s="64" t="str">
        <f>IF(AND(I63&lt;&gt;"B1",J63="Y"),"&gt;","")</f>
        <v/>
      </c>
      <c r="L63" s="24"/>
      <c r="M63" s="24"/>
      <c r="N63" s="24"/>
      <c r="O63" s="19"/>
      <c r="P63" s="19"/>
      <c r="Q63" s="19"/>
      <c r="R63" s="19"/>
      <c r="S63" s="19"/>
      <c r="T63" s="19"/>
      <c r="U63" s="19"/>
      <c r="V63" s="19"/>
      <c r="W63" s="19"/>
      <c r="X63" s="19"/>
      <c r="Y63" s="19"/>
      <c r="Z63" s="19"/>
      <c r="AA63" s="19">
        <f>IF($I63="B1","",SUM(O63:Z63))</f>
        <v>0</v>
      </c>
      <c r="AB63" s="15" t="str">
        <f>IF(AA63=0,"",IFERROR(AA63/AA$19,""))</f>
        <v/>
      </c>
      <c r="AD63" s="19"/>
      <c r="AE63" s="15" t="str">
        <f>IF(AD63=0,"",IFERROR(AD63/AD$19,""))</f>
        <v/>
      </c>
      <c r="AF63" s="47">
        <f>IF(AND($AA63="",AD63=""),"",$AA63-AD63)</f>
        <v>0</v>
      </c>
      <c r="AG63" s="19"/>
      <c r="AH63" s="15" t="str">
        <f>IF(AG63=0,"",IFERROR(AG63/AG$19,""))</f>
        <v/>
      </c>
      <c r="AI63" s="47">
        <f>IF(AND($AA63="",AG63=""),"",$AA63-AG63)</f>
        <v>0</v>
      </c>
      <c r="AJ63" s="371">
        <f>IFERROR(AA63/AA$20,0)</f>
        <v>0</v>
      </c>
      <c r="AK63" s="372">
        <f>IFERROR(AD63/AD$20,0)</f>
        <v>0</v>
      </c>
      <c r="AL63" s="373">
        <f>IFERROR(AG63/AG$20,0)</f>
        <v>0</v>
      </c>
      <c r="AM63" s="374">
        <f>+IFERROR(ROUND(($AB63-AE63)*100,2)&amp;" pts.",0)</f>
        <v>0</v>
      </c>
      <c r="AN63" s="375">
        <f>+IFERROR(ROUND(($AB63-AH63)*100,2)&amp;" pts.",0)</f>
        <v>0</v>
      </c>
    </row>
    <row r="64" spans="1:40" x14ac:dyDescent="0.2">
      <c r="A64" s="20" t="s">
        <v>92</v>
      </c>
      <c r="B64" s="21" t="s">
        <v>93</v>
      </c>
      <c r="C64" s="21" t="s">
        <v>94</v>
      </c>
      <c r="D64" s="21" t="s">
        <v>95</v>
      </c>
      <c r="E64" s="21" t="s">
        <v>96</v>
      </c>
      <c r="F64" s="22" t="s">
        <v>97</v>
      </c>
      <c r="H64" s="10" t="s">
        <v>79</v>
      </c>
      <c r="I64" s="25" t="s">
        <v>1007</v>
      </c>
      <c r="J64" s="25" t="s">
        <v>78</v>
      </c>
      <c r="K64" s="24"/>
      <c r="L64" s="24"/>
      <c r="M64" s="24"/>
      <c r="N64" s="23" t="s">
        <v>1111</v>
      </c>
      <c r="O64" s="30"/>
      <c r="P64" s="30"/>
      <c r="Q64" s="30"/>
      <c r="R64" s="30"/>
      <c r="S64" s="30"/>
      <c r="T64" s="30"/>
      <c r="U64" s="30"/>
      <c r="V64" s="30"/>
      <c r="W64" s="30"/>
      <c r="X64" s="30"/>
      <c r="Y64" s="30"/>
      <c r="Z64" s="30"/>
      <c r="AA64" s="30">
        <f>IF($I64="B1","",SUM(O64:Z64))</f>
        <v>0</v>
      </c>
      <c r="AB64" s="31" t="str">
        <f>IF(AA64=0,"",IFERROR(AA64/AA$19,""))</f>
        <v/>
      </c>
      <c r="AD64" s="30"/>
      <c r="AE64" s="31" t="str">
        <f>IF(AD64=0,"",IFERROR(AD64/AD$19,""))</f>
        <v/>
      </c>
      <c r="AF64" s="49">
        <f>IF(AND($AA64="",AD64=""),"",$AA64-AD64)</f>
        <v>0</v>
      </c>
      <c r="AG64" s="30"/>
      <c r="AH64" s="31" t="str">
        <f>IF(AG64=0,"",IFERROR(AG64/AG$19,""))</f>
        <v/>
      </c>
      <c r="AI64" s="49">
        <f>IF(AND($AA64="",AG64=""),"",$AA64-AG64)</f>
        <v>0</v>
      </c>
      <c r="AJ64" s="387">
        <f>IFERROR(AA64/AA$20,0)</f>
        <v>0</v>
      </c>
      <c r="AK64" s="388">
        <f>IFERROR(AD64/AD$20,0)</f>
        <v>0</v>
      </c>
      <c r="AL64" s="389">
        <f>IFERROR(AG64/AG$20,0)</f>
        <v>0</v>
      </c>
      <c r="AM64" s="390">
        <f>+IFERROR(ROUND(($AB64-AE64)*100,2)&amp;" pts.",0)</f>
        <v>0</v>
      </c>
      <c r="AN64" s="408">
        <f>+IFERROR(ROUND(($AB64-AH64)*100,2)&amp;" pts.",0)</f>
        <v>0</v>
      </c>
    </row>
    <row r="66" spans="1:40" x14ac:dyDescent="0.2">
      <c r="A66" s="1" t="s">
        <v>105</v>
      </c>
      <c r="C66" s="24" t="s">
        <v>101</v>
      </c>
      <c r="D66" s="1" t="s">
        <v>106</v>
      </c>
      <c r="F66" s="1" t="s">
        <v>98</v>
      </c>
      <c r="H66" s="10" t="s">
        <v>80</v>
      </c>
      <c r="I66" s="25" t="s">
        <v>1007</v>
      </c>
      <c r="J66" s="25" t="s">
        <v>78</v>
      </c>
      <c r="K66" s="23"/>
      <c r="L66" s="23"/>
      <c r="M66" s="23"/>
      <c r="N66" s="23" t="s">
        <v>1112</v>
      </c>
      <c r="O66" s="33"/>
      <c r="P66" s="33"/>
      <c r="Q66" s="33"/>
      <c r="R66" s="33"/>
      <c r="S66" s="33"/>
      <c r="T66" s="33"/>
      <c r="U66" s="33"/>
      <c r="V66" s="33"/>
      <c r="W66" s="33"/>
      <c r="X66" s="33"/>
      <c r="Y66" s="33"/>
      <c r="Z66" s="33"/>
      <c r="AA66" s="33">
        <f>IF($I66="B1","",SUM(O66:Z66))</f>
        <v>0</v>
      </c>
      <c r="AB66" s="34" t="str">
        <f>IF(AA66=0,"",IFERROR(AA66/AA$19,""))</f>
        <v/>
      </c>
      <c r="AD66" s="33"/>
      <c r="AE66" s="34" t="str">
        <f>IF(AD66=0,"",IFERROR(AD66/AD$19,""))</f>
        <v/>
      </c>
      <c r="AF66" s="55">
        <f>IF(AND($AA66="",AD66=""),"",$AA66-AD66)</f>
        <v>0</v>
      </c>
      <c r="AG66" s="56"/>
      <c r="AH66" s="57" t="str">
        <f>IF(AG66=0,"",IFERROR(AG66/AG$19,""))</f>
        <v/>
      </c>
      <c r="AI66" s="55">
        <f>IF(AND($AA66="",AG66=""),"",$AA66-AG66)</f>
        <v>0</v>
      </c>
      <c r="AJ66" s="364">
        <f>IFERROR(AA66/AA$20,0)</f>
        <v>0</v>
      </c>
      <c r="AK66" s="365">
        <f>IFERROR(AD66/AD$20,0)</f>
        <v>0</v>
      </c>
      <c r="AL66" s="366">
        <f>IFERROR(AG66/AG$20,0)</f>
        <v>0</v>
      </c>
      <c r="AM66" s="367">
        <f>+IFERROR(ROUND(($AB66-AE66)*100,2)&amp;" pts.",0)</f>
        <v>0</v>
      </c>
      <c r="AN66" s="409">
        <f>+IFERROR(ROUND(($AB66-AH66)*100,2)&amp;" pts.",0)</f>
        <v>0</v>
      </c>
    </row>
    <row r="67" spans="1:40" ht="16" thickBot="1" x14ac:dyDescent="0.25">
      <c r="A67" s="1" t="s">
        <v>102</v>
      </c>
      <c r="C67" s="23" t="s">
        <v>101</v>
      </c>
      <c r="D67" s="1" t="s">
        <v>106</v>
      </c>
      <c r="F67" s="1" t="s">
        <v>98</v>
      </c>
      <c r="H67" s="10" t="s">
        <v>81</v>
      </c>
      <c r="I67" s="25" t="s">
        <v>1007</v>
      </c>
      <c r="J67" s="25" t="s">
        <v>78</v>
      </c>
      <c r="K67" s="23"/>
      <c r="L67" s="23"/>
      <c r="M67" s="23"/>
      <c r="N67" s="23" t="s">
        <v>1113</v>
      </c>
      <c r="O67" s="58"/>
      <c r="P67" s="58"/>
      <c r="Q67" s="58"/>
      <c r="R67" s="58"/>
      <c r="S67" s="58"/>
      <c r="T67" s="58"/>
      <c r="U67" s="58"/>
      <c r="V67" s="58"/>
      <c r="W67" s="58"/>
      <c r="X67" s="58"/>
      <c r="Y67" s="58"/>
      <c r="Z67" s="58"/>
      <c r="AA67" s="58">
        <f>IF($I67="B1","",SUM(O67:Z67))</f>
        <v>0</v>
      </c>
      <c r="AB67" s="59" t="str">
        <f>IF(AA67=0,"",IFERROR(AA67/AA$19,""))</f>
        <v/>
      </c>
      <c r="AD67" s="58"/>
      <c r="AE67" s="59" t="str">
        <f>IF(AD67=0,"",IFERROR(AD67/AD$19,""))</f>
        <v/>
      </c>
      <c r="AF67" s="60">
        <f>IF(AND($AA67="",AD67=""),"",$AA67-AD67)</f>
        <v>0</v>
      </c>
      <c r="AG67" s="58"/>
      <c r="AH67" s="59" t="str">
        <f>IF(AG67=0,"",IFERROR(AG67/AG$19,""))</f>
        <v/>
      </c>
      <c r="AI67" s="60">
        <f>IF(AND($AA67="",AG67=""),"",$AA67-AG67)</f>
        <v>0</v>
      </c>
      <c r="AJ67" s="402">
        <f>IFERROR(AA67/AA$20,0)</f>
        <v>0</v>
      </c>
      <c r="AK67" s="403">
        <f>IFERROR(AD67/AD$20,0)</f>
        <v>0</v>
      </c>
      <c r="AL67" s="404">
        <f>IFERROR(AG67/AG$20,0)</f>
        <v>0</v>
      </c>
      <c r="AM67" s="405">
        <f>+IFERROR(ROUND(($AB67-AE67)*100,2)&amp;" pts.",0)</f>
        <v>0</v>
      </c>
      <c r="AN67" s="410">
        <f>+IFERROR(ROUND(($AB67-AH67)*100,2)&amp;" pts.",0)</f>
        <v>0</v>
      </c>
    </row>
    <row r="68" spans="1:40" ht="16" thickTop="1" x14ac:dyDescent="0.2">
      <c r="A68" s="1" t="s">
        <v>102</v>
      </c>
      <c r="C68" s="135" t="s">
        <v>101</v>
      </c>
      <c r="D68" s="1" t="s">
        <v>107</v>
      </c>
      <c r="F68" s="1" t="s">
        <v>99</v>
      </c>
    </row>
    <row r="69" spans="1:40" x14ac:dyDescent="0.2">
      <c r="N69" s="24" t="str">
        <f>N66&amp;" - Check"</f>
        <v>Total Expenses - Check</v>
      </c>
      <c r="O69" s="124">
        <f t="shared" ref="O69:AA69" si="13">SUMIF($H$34:$H$67,"600000",O$34:O$67)+SUMIF($H$34:$H$67,"700000",O$34:O$67)-SUMIF($H$34:$H$67,"TOTDEPTEXP",O$34:O$67)</f>
        <v>0</v>
      </c>
      <c r="P69" s="124">
        <f t="shared" si="13"/>
        <v>0</v>
      </c>
      <c r="Q69" s="124">
        <f t="shared" si="13"/>
        <v>0</v>
      </c>
      <c r="R69" s="124">
        <f t="shared" si="13"/>
        <v>0</v>
      </c>
      <c r="S69" s="124">
        <f t="shared" si="13"/>
        <v>0</v>
      </c>
      <c r="T69" s="124">
        <f t="shared" si="13"/>
        <v>0</v>
      </c>
      <c r="U69" s="124">
        <f t="shared" si="13"/>
        <v>0</v>
      </c>
      <c r="V69" s="124">
        <f t="shared" si="13"/>
        <v>0</v>
      </c>
      <c r="W69" s="124">
        <f t="shared" si="13"/>
        <v>0</v>
      </c>
      <c r="X69" s="124">
        <f t="shared" si="13"/>
        <v>0</v>
      </c>
      <c r="Y69" s="124">
        <f t="shared" si="13"/>
        <v>0</v>
      </c>
      <c r="Z69" s="124">
        <f t="shared" si="13"/>
        <v>0</v>
      </c>
      <c r="AA69" s="124">
        <f t="shared" si="13"/>
        <v>0</v>
      </c>
      <c r="AB69" s="15"/>
      <c r="AD69" s="124">
        <f>SUMIF($H$34:$H$67,"600000",AD$34:AD$67)+SUMIF($H$34:$H$67,"700000",AD$34:AD$67)-SUMIF($H$34:$H$67,"TOTDEPTEXP",AD$34:AD$67)</f>
        <v>0</v>
      </c>
      <c r="AE69" s="15"/>
      <c r="AF69" s="19"/>
      <c r="AG69" s="124">
        <f>SUMIF($H$34:$H$67,"600000",AG$34:AG$67)+SUMIF($H$34:$H$67,"700000",AG$34:AG$67)-SUMIF($H$34:$H$67,"TOTDEPTEXP",AG$34:AG$67)</f>
        <v>0</v>
      </c>
      <c r="AH69" s="15"/>
      <c r="AI69" s="19"/>
    </row>
    <row r="70" spans="1:40" x14ac:dyDescent="0.2">
      <c r="C70" s="23"/>
      <c r="N70" s="24" t="str">
        <f>N67&amp;" - Check"</f>
        <v>Department Profit (Loss) - Check</v>
      </c>
      <c r="O70" s="124">
        <f t="shared" ref="O70:AA70" si="14">SUMIF($H$34:$H$67,"KPI_GP",O$34:O$67)-SUMIF($H$34:$H$67,"TOTDEPTEXP",O$34:O$67)-SUMIF($H$34:$H$67,"TOTDEPTPL",O$34:O$67)</f>
        <v>0</v>
      </c>
      <c r="P70" s="124">
        <f t="shared" si="14"/>
        <v>0</v>
      </c>
      <c r="Q70" s="124">
        <f t="shared" si="14"/>
        <v>0</v>
      </c>
      <c r="R70" s="124">
        <f t="shared" si="14"/>
        <v>0</v>
      </c>
      <c r="S70" s="124">
        <f t="shared" si="14"/>
        <v>0</v>
      </c>
      <c r="T70" s="124">
        <f t="shared" si="14"/>
        <v>0</v>
      </c>
      <c r="U70" s="124">
        <f t="shared" si="14"/>
        <v>0</v>
      </c>
      <c r="V70" s="124">
        <f t="shared" si="14"/>
        <v>0</v>
      </c>
      <c r="W70" s="124">
        <f t="shared" si="14"/>
        <v>0</v>
      </c>
      <c r="X70" s="124">
        <f t="shared" si="14"/>
        <v>0</v>
      </c>
      <c r="Y70" s="124">
        <f t="shared" si="14"/>
        <v>0</v>
      </c>
      <c r="Z70" s="124">
        <f t="shared" si="14"/>
        <v>0</v>
      </c>
      <c r="AA70" s="124">
        <f t="shared" si="14"/>
        <v>0</v>
      </c>
      <c r="AB70" s="15"/>
      <c r="AD70" s="124">
        <f>SUMIF($H$34:$H$67,"KPI_GP",AD$34:AD$67)-SUMIF($H$34:$H$67,"TOTDEPTEXP",AD$34:AD$67)-SUMIF($H$34:$H$67,"TOTDEPTPL",AD$34:AD$67)</f>
        <v>0</v>
      </c>
      <c r="AE70" s="15"/>
      <c r="AF70" s="19"/>
      <c r="AG70" s="124">
        <f>SUMIF($H$34:$H$67,"KPI_GP",AG$34:AG$67)-SUMIF($H$34:$H$67,"TOTDEPTEXP",AG$34:AG$67)-SUMIF($H$34:$H$67,"TOTDEPTPL",AG$34:AG$67)</f>
        <v>0</v>
      </c>
      <c r="AH70" s="15"/>
      <c r="AI70" s="19"/>
    </row>
    <row r="71" spans="1:40" x14ac:dyDescent="0.2">
      <c r="A71" s="4" t="s">
        <v>989</v>
      </c>
    </row>
    <row r="72" spans="1:40" x14ac:dyDescent="0.2">
      <c r="O72" s="147"/>
      <c r="P72" s="147"/>
      <c r="Q72" s="147"/>
      <c r="R72" s="147"/>
      <c r="S72" s="147"/>
      <c r="T72" s="147"/>
      <c r="U72" s="147"/>
      <c r="V72" s="147"/>
      <c r="W72" s="147"/>
      <c r="X72" s="147"/>
      <c r="Y72" s="147"/>
      <c r="Z72" s="147"/>
      <c r="AA72" s="147"/>
      <c r="AD72" s="147"/>
      <c r="AG72" s="147"/>
    </row>
    <row r="73" spans="1:40" x14ac:dyDescent="0.2">
      <c r="A73" s="3" t="s">
        <v>0</v>
      </c>
      <c r="B73" s="5" t="s">
        <v>1</v>
      </c>
    </row>
    <row r="74" spans="1:40" x14ac:dyDescent="0.2">
      <c r="A74" s="6" t="s">
        <v>2</v>
      </c>
      <c r="B74" s="14" t="s">
        <v>1266</v>
      </c>
      <c r="O74" s="147"/>
      <c r="P74" s="147"/>
      <c r="Q74" s="147"/>
      <c r="R74" s="147"/>
      <c r="S74" s="147"/>
      <c r="T74" s="147"/>
      <c r="U74" s="147"/>
      <c r="V74" s="147"/>
      <c r="W74" s="147"/>
      <c r="X74" s="147"/>
      <c r="Y74" s="147"/>
      <c r="Z74" s="147"/>
      <c r="AA74" s="147"/>
      <c r="AD74" s="147"/>
      <c r="AG74" s="147"/>
    </row>
    <row r="75" spans="1:40" x14ac:dyDescent="0.2">
      <c r="A75" s="6" t="s">
        <v>3</v>
      </c>
      <c r="B75" s="14" t="s">
        <v>1267</v>
      </c>
    </row>
    <row r="76" spans="1:40" x14ac:dyDescent="0.2">
      <c r="A76" s="6" t="s">
        <v>4</v>
      </c>
      <c r="B76" s="14" t="s">
        <v>1286</v>
      </c>
    </row>
    <row r="77" spans="1:40" x14ac:dyDescent="0.2">
      <c r="A77" s="6" t="s">
        <v>5</v>
      </c>
      <c r="B77" s="7"/>
      <c r="H77" s="11"/>
      <c r="J77" s="1"/>
    </row>
    <row r="78" spans="1:40" x14ac:dyDescent="0.2">
      <c r="A78" s="6" t="s">
        <v>6</v>
      </c>
      <c r="B78" s="7"/>
      <c r="H78" s="11"/>
      <c r="J78" s="1"/>
    </row>
    <row r="79" spans="1:40" x14ac:dyDescent="0.2">
      <c r="A79" s="6" t="s">
        <v>7</v>
      </c>
      <c r="B79" s="14" t="s">
        <v>1287</v>
      </c>
      <c r="H79" s="11"/>
      <c r="J79" s="1"/>
    </row>
    <row r="80" spans="1:40" x14ac:dyDescent="0.2">
      <c r="A80" s="6" t="s">
        <v>47</v>
      </c>
      <c r="B80" s="14" t="s">
        <v>1270</v>
      </c>
      <c r="H80" s="11"/>
      <c r="J80" s="1"/>
    </row>
    <row r="81" spans="1:10" x14ac:dyDescent="0.2">
      <c r="A81" s="6" t="s">
        <v>8</v>
      </c>
      <c r="B81" s="7"/>
      <c r="H81" s="11"/>
      <c r="J81" s="1"/>
    </row>
    <row r="82" spans="1:10" x14ac:dyDescent="0.2">
      <c r="H82" s="11"/>
      <c r="J82" s="1"/>
    </row>
    <row r="83" spans="1:10" x14ac:dyDescent="0.2">
      <c r="A83" s="3" t="s">
        <v>9</v>
      </c>
      <c r="B83" s="5" t="s">
        <v>10</v>
      </c>
      <c r="H83" s="11"/>
      <c r="J83" s="1"/>
    </row>
    <row r="84" spans="1:10" x14ac:dyDescent="0.2">
      <c r="A84" s="6" t="s">
        <v>11</v>
      </c>
      <c r="B84" s="7" t="s">
        <v>21</v>
      </c>
      <c r="H84" s="11"/>
      <c r="J84" s="1"/>
    </row>
    <row r="85" spans="1:10" x14ac:dyDescent="0.2">
      <c r="A85" s="6" t="s">
        <v>12</v>
      </c>
      <c r="B85" s="7" t="s">
        <v>22</v>
      </c>
      <c r="H85" s="11"/>
      <c r="J85" s="1"/>
    </row>
    <row r="86" spans="1:10" x14ac:dyDescent="0.2">
      <c r="A86" s="6" t="s">
        <v>13</v>
      </c>
      <c r="B86" s="7" t="s">
        <v>737</v>
      </c>
      <c r="H86" s="11"/>
      <c r="J86" s="1"/>
    </row>
    <row r="87" spans="1:10" x14ac:dyDescent="0.2">
      <c r="A87" s="6" t="s">
        <v>14</v>
      </c>
      <c r="B87" s="7"/>
      <c r="H87" s="11"/>
      <c r="J87" s="1"/>
    </row>
    <row r="88" spans="1:10" x14ac:dyDescent="0.2">
      <c r="A88" s="6" t="s">
        <v>15</v>
      </c>
      <c r="B88" s="7"/>
      <c r="H88" s="11"/>
      <c r="J88" s="1"/>
    </row>
    <row r="89" spans="1:10" x14ac:dyDescent="0.2">
      <c r="A89" s="6" t="s">
        <v>16</v>
      </c>
      <c r="B89" s="7" t="s">
        <v>78</v>
      </c>
      <c r="G89" s="13"/>
      <c r="H89" s="11"/>
      <c r="J89" s="1"/>
    </row>
    <row r="90" spans="1:10" x14ac:dyDescent="0.2">
      <c r="A90" s="6" t="s">
        <v>17</v>
      </c>
      <c r="B90" s="7"/>
      <c r="H90" s="11"/>
      <c r="J90" s="1"/>
    </row>
    <row r="91" spans="1:10" x14ac:dyDescent="0.2">
      <c r="H91" s="11"/>
      <c r="J91" s="1"/>
    </row>
    <row r="92" spans="1:10" x14ac:dyDescent="0.2">
      <c r="A92" s="20" t="s">
        <v>92</v>
      </c>
      <c r="B92" s="21" t="s">
        <v>93</v>
      </c>
      <c r="C92" s="21" t="s">
        <v>94</v>
      </c>
      <c r="D92" s="21" t="s">
        <v>95</v>
      </c>
      <c r="E92" s="21" t="s">
        <v>96</v>
      </c>
      <c r="F92" s="22" t="s">
        <v>97</v>
      </c>
      <c r="H92" s="11"/>
      <c r="J92" s="1"/>
    </row>
    <row r="93" spans="1:10" x14ac:dyDescent="0.2">
      <c r="H93" s="11"/>
      <c r="J93" s="1"/>
    </row>
    <row r="94" spans="1:10" x14ac:dyDescent="0.2">
      <c r="A94" s="1" t="s">
        <v>108</v>
      </c>
      <c r="C94" s="24" t="s">
        <v>101</v>
      </c>
      <c r="D94" s="1" t="s">
        <v>106</v>
      </c>
      <c r="F94" s="1" t="s">
        <v>98</v>
      </c>
      <c r="H94" s="11"/>
      <c r="J94" s="1"/>
    </row>
    <row r="95" spans="1:10" x14ac:dyDescent="0.2">
      <c r="A95" s="1" t="s">
        <v>100</v>
      </c>
      <c r="C95" s="8" t="s">
        <v>101</v>
      </c>
      <c r="D95" s="1" t="s">
        <v>106</v>
      </c>
      <c r="F95" s="1" t="s">
        <v>98</v>
      </c>
      <c r="H95" s="11"/>
      <c r="J95" s="1"/>
    </row>
    <row r="96" spans="1:10" x14ac:dyDescent="0.2">
      <c r="A96" s="1" t="s">
        <v>109</v>
      </c>
      <c r="C96" s="23" t="s">
        <v>101</v>
      </c>
      <c r="D96" s="1" t="s">
        <v>106</v>
      </c>
      <c r="F96" s="1" t="s">
        <v>98</v>
      </c>
      <c r="H96" s="11"/>
      <c r="J96" s="1"/>
    </row>
    <row r="97" spans="1:10" x14ac:dyDescent="0.2">
      <c r="A97" s="1" t="s">
        <v>109</v>
      </c>
      <c r="C97" s="135" t="s">
        <v>101</v>
      </c>
      <c r="D97" s="1" t="s">
        <v>107</v>
      </c>
      <c r="F97" s="1" t="s">
        <v>99</v>
      </c>
      <c r="H97" s="11"/>
      <c r="J97" s="1"/>
    </row>
    <row r="98" spans="1:10" x14ac:dyDescent="0.2">
      <c r="A98" s="1" t="s">
        <v>110</v>
      </c>
      <c r="C98" s="23" t="s">
        <v>101</v>
      </c>
      <c r="D98" s="1" t="s">
        <v>106</v>
      </c>
      <c r="F98" s="1" t="s">
        <v>98</v>
      </c>
      <c r="H98" s="11"/>
      <c r="J98" s="1"/>
    </row>
    <row r="99" spans="1:10" x14ac:dyDescent="0.2">
      <c r="A99" s="1" t="s">
        <v>110</v>
      </c>
      <c r="C99" s="27" t="s">
        <v>101</v>
      </c>
      <c r="D99" s="1" t="s">
        <v>107</v>
      </c>
      <c r="F99" s="1" t="s">
        <v>99</v>
      </c>
      <c r="H99" s="11"/>
      <c r="J99" s="1"/>
    </row>
    <row r="100" spans="1:10" x14ac:dyDescent="0.2">
      <c r="C100" s="23"/>
    </row>
    <row r="102" spans="1:10" x14ac:dyDescent="0.2">
      <c r="A102" s="4" t="s">
        <v>989</v>
      </c>
      <c r="B102" s="1" t="s">
        <v>736</v>
      </c>
    </row>
    <row r="103" spans="1:10" x14ac:dyDescent="0.2">
      <c r="G103" s="13"/>
    </row>
    <row r="104" spans="1:10" x14ac:dyDescent="0.2">
      <c r="A104" s="3" t="s">
        <v>0</v>
      </c>
      <c r="B104" s="5" t="s">
        <v>1</v>
      </c>
    </row>
    <row r="105" spans="1:10" x14ac:dyDescent="0.2">
      <c r="A105" s="6" t="s">
        <v>2</v>
      </c>
      <c r="B105" s="14" t="s">
        <v>1266</v>
      </c>
    </row>
    <row r="106" spans="1:10" x14ac:dyDescent="0.2">
      <c r="A106" s="6" t="s">
        <v>3</v>
      </c>
      <c r="B106" s="14" t="s">
        <v>1267</v>
      </c>
    </row>
    <row r="107" spans="1:10" x14ac:dyDescent="0.2">
      <c r="A107" s="6" t="s">
        <v>4</v>
      </c>
      <c r="B107" s="14" t="s">
        <v>1288</v>
      </c>
    </row>
    <row r="108" spans="1:10" x14ac:dyDescent="0.2">
      <c r="A108" s="6" t="s">
        <v>5</v>
      </c>
      <c r="B108" s="7"/>
    </row>
    <row r="109" spans="1:10" x14ac:dyDescent="0.2">
      <c r="A109" s="6" t="s">
        <v>6</v>
      </c>
      <c r="B109" s="7"/>
      <c r="G109" s="13"/>
    </row>
    <row r="110" spans="1:10" x14ac:dyDescent="0.2">
      <c r="A110" s="6" t="s">
        <v>7</v>
      </c>
      <c r="B110" s="7"/>
    </row>
    <row r="111" spans="1:10" x14ac:dyDescent="0.2">
      <c r="A111" s="6" t="s">
        <v>47</v>
      </c>
      <c r="B111" s="14" t="s">
        <v>1270</v>
      </c>
    </row>
    <row r="112" spans="1:10" x14ac:dyDescent="0.2">
      <c r="A112" s="6" t="s">
        <v>8</v>
      </c>
      <c r="B112" s="7"/>
    </row>
    <row r="115" spans="1:2" x14ac:dyDescent="0.2">
      <c r="A115" s="3" t="s">
        <v>23</v>
      </c>
      <c r="B115" s="5" t="s">
        <v>24</v>
      </c>
    </row>
    <row r="116" spans="1:2" x14ac:dyDescent="0.2">
      <c r="A116" s="6" t="s">
        <v>25</v>
      </c>
      <c r="B116" s="7"/>
    </row>
    <row r="117" spans="1:2" x14ac:dyDescent="0.2">
      <c r="A117" s="6" t="s">
        <v>26</v>
      </c>
      <c r="B117" s="7"/>
    </row>
    <row r="118" spans="1:2" x14ac:dyDescent="0.2">
      <c r="A118" s="6" t="s">
        <v>27</v>
      </c>
      <c r="B118" s="7"/>
    </row>
    <row r="119" spans="1:2" x14ac:dyDescent="0.2">
      <c r="A119" s="6" t="s">
        <v>28</v>
      </c>
      <c r="B119" s="7"/>
    </row>
    <row r="120" spans="1:2" x14ac:dyDescent="0.2">
      <c r="A120" s="6" t="s">
        <v>29</v>
      </c>
      <c r="B120" s="7"/>
    </row>
    <row r="121" spans="1:2" x14ac:dyDescent="0.2">
      <c r="A121" s="6" t="s">
        <v>30</v>
      </c>
      <c r="B121" s="7" t="s">
        <v>78</v>
      </c>
    </row>
    <row r="122" spans="1:2" x14ac:dyDescent="0.2">
      <c r="A122" s="6" t="s">
        <v>31</v>
      </c>
      <c r="B122" s="7" t="s">
        <v>78</v>
      </c>
    </row>
    <row r="123" spans="1:2" x14ac:dyDescent="0.2">
      <c r="A123" s="6" t="s">
        <v>32</v>
      </c>
      <c r="B123" s="7"/>
    </row>
    <row r="124" spans="1:2" x14ac:dyDescent="0.2">
      <c r="A124" s="6" t="s">
        <v>33</v>
      </c>
      <c r="B124" s="7"/>
    </row>
    <row r="125" spans="1:2" x14ac:dyDescent="0.2">
      <c r="A125" s="6" t="s">
        <v>34</v>
      </c>
      <c r="B125" s="7"/>
    </row>
    <row r="126" spans="1:2" x14ac:dyDescent="0.2">
      <c r="A126" s="6" t="s">
        <v>35</v>
      </c>
      <c r="B126" s="7"/>
    </row>
    <row r="127" spans="1:2" x14ac:dyDescent="0.2">
      <c r="A127" s="6" t="s">
        <v>36</v>
      </c>
      <c r="B127" s="7"/>
    </row>
    <row r="128" spans="1:2" x14ac:dyDescent="0.2">
      <c r="A128" s="6" t="s">
        <v>37</v>
      </c>
      <c r="B128" s="7"/>
    </row>
    <row r="129" spans="1:34" x14ac:dyDescent="0.2">
      <c r="A129" s="6" t="s">
        <v>38</v>
      </c>
      <c r="B129" s="7"/>
    </row>
    <row r="130" spans="1:34" x14ac:dyDescent="0.2">
      <c r="A130" s="6" t="s">
        <v>39</v>
      </c>
      <c r="B130" s="7"/>
    </row>
    <row r="131" spans="1:34" x14ac:dyDescent="0.2">
      <c r="A131" s="6" t="s">
        <v>40</v>
      </c>
      <c r="B131" s="7"/>
    </row>
    <row r="132" spans="1:34" x14ac:dyDescent="0.2">
      <c r="A132" s="6" t="s">
        <v>41</v>
      </c>
      <c r="B132" s="7"/>
    </row>
    <row r="133" spans="1:34" x14ac:dyDescent="0.2">
      <c r="A133" s="6" t="s">
        <v>42</v>
      </c>
      <c r="B133" s="7"/>
    </row>
    <row r="134" spans="1:34" x14ac:dyDescent="0.2">
      <c r="A134" s="6" t="s">
        <v>43</v>
      </c>
      <c r="B134" s="7"/>
    </row>
    <row r="135" spans="1:34" x14ac:dyDescent="0.2">
      <c r="A135" s="6" t="s">
        <v>44</v>
      </c>
      <c r="B135" s="7"/>
    </row>
    <row r="136" spans="1:34" x14ac:dyDescent="0.2">
      <c r="A136" s="6" t="s">
        <v>45</v>
      </c>
      <c r="B136" s="7"/>
    </row>
    <row r="137" spans="1:34" x14ac:dyDescent="0.2">
      <c r="A137" s="6" t="s">
        <v>46</v>
      </c>
      <c r="B137" s="7"/>
    </row>
    <row r="140" spans="1:34" x14ac:dyDescent="0.2">
      <c r="I140" s="72"/>
      <c r="J140" s="1"/>
      <c r="K140" s="72"/>
      <c r="L140" s="72"/>
      <c r="M140" s="72"/>
      <c r="O140" s="72"/>
      <c r="P140" s="72"/>
      <c r="Q140" s="72"/>
      <c r="R140" s="72"/>
      <c r="S140" s="72"/>
      <c r="T140" s="72"/>
      <c r="U140" s="72"/>
      <c r="V140" s="72"/>
      <c r="W140" s="72"/>
      <c r="X140" s="72"/>
      <c r="Y140" s="72"/>
      <c r="Z140" s="72"/>
      <c r="AA140" s="72"/>
      <c r="AD140" s="72"/>
      <c r="AF140" s="72"/>
      <c r="AH140" s="72"/>
    </row>
    <row r="144" spans="1:34" x14ac:dyDescent="0.2">
      <c r="I144" s="72"/>
      <c r="J144" s="1"/>
      <c r="K144" s="72"/>
      <c r="L144" s="72"/>
      <c r="M144" s="72"/>
      <c r="O144" s="72"/>
      <c r="P144" s="72"/>
      <c r="Q144" s="72"/>
      <c r="R144" s="72"/>
      <c r="S144" s="72"/>
      <c r="T144" s="72"/>
      <c r="U144" s="72"/>
      <c r="V144" s="72"/>
      <c r="W144" s="72"/>
      <c r="X144" s="72"/>
      <c r="Y144" s="72"/>
      <c r="Z144" s="72"/>
      <c r="AA144" s="72"/>
      <c r="AD144" s="72"/>
      <c r="AF144" s="72"/>
      <c r="AH144" s="72"/>
    </row>
    <row r="154" spans="5:5" x14ac:dyDescent="0.2">
      <c r="E154" s="72"/>
    </row>
    <row r="158" spans="5:5" x14ac:dyDescent="0.2">
      <c r="E158" s="72"/>
    </row>
    <row r="188" spans="7:7" x14ac:dyDescent="0.2">
      <c r="G188" s="72"/>
    </row>
    <row r="192" spans="7:7" x14ac:dyDescent="0.2">
      <c r="G192" s="72"/>
    </row>
  </sheetData>
  <mergeCells count="2">
    <mergeCell ref="AD31:AE31"/>
    <mergeCell ref="AG31:AH31"/>
  </mergeCells>
  <dataValidations count="2">
    <dataValidation type="list" allowBlank="1" sqref="B86 B58 B29" xr:uid="{00000000-0002-0000-4100-000000000000}">
      <formula1>"SELF,ALL,BAS,DEP,BASMEMBERS,MEMBERS,NOEXPAND,GDEP"</formula1>
    </dataValidation>
    <dataValidation type="list" allowBlank="1" sqref="B28 B57 B85" xr:uid="{00000000-0002-0000-41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17">
    <tabColor theme="9" tint="0.39997558519241921"/>
    <pageSetUpPr fitToPage="1"/>
  </sheetPr>
  <dimension ref="A1:AO169"/>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380</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_xll.EVRNG(H34:H38)</f>
        <v>#NAME?</v>
      </c>
      <c r="G19" s="16" t="str">
        <f>$B$6</f>
        <v>D1133</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
        <v>749</v>
      </c>
      <c r="H20" s="16">
        <v>900200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I21" s="1"/>
      <c r="J21" s="1"/>
    </row>
    <row r="22" spans="1:40" hidden="1" outlineLevel="1" x14ac:dyDescent="0.2">
      <c r="A22" s="6" t="s">
        <v>7</v>
      </c>
      <c r="B22" s="7" t="e">
        <f ca="1">_xll.EVRNG(A36:F40)</f>
        <v>#NAME?</v>
      </c>
      <c r="I22" s="1"/>
      <c r="J22" s="1"/>
    </row>
    <row r="23" spans="1:40" hidden="1" outlineLevel="1" x14ac:dyDescent="0.2">
      <c r="A23" s="6" t="s">
        <v>47</v>
      </c>
      <c r="B23" s="7" t="e">
        <f ca="1">_xll.EVRNG($A$116:$B$137)</f>
        <v>#NAME?</v>
      </c>
      <c r="K23" s="53"/>
      <c r="L23" s="53"/>
      <c r="M23" s="53"/>
      <c r="AD23" s="136"/>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IF(_xll.EVDES(B6,$B$1)="#NODATA","",_xll.EVDES(B6,$B$1)&amp;" Department")</f>
        <v>#NAME?</v>
      </c>
    </row>
    <row r="28" spans="1:40" ht="16" x14ac:dyDescent="0.2">
      <c r="A28" s="6" t="s">
        <v>12</v>
      </c>
      <c r="B28" s="7" t="s">
        <v>22</v>
      </c>
      <c r="N28" s="67" t="e">
        <f ca="1">"For the Period ended"&amp;" "&amp;IF(_xll.EVDES($B$10,$B$1)="#NODATA","",_xll.EVDES($B$10,$B$1))</f>
        <v>#NAME?</v>
      </c>
    </row>
    <row r="29" spans="1:40" ht="15" customHeight="1" x14ac:dyDescent="0.2">
      <c r="A29" s="6" t="s">
        <v>13</v>
      </c>
      <c r="B29" s="7" t="e">
        <f ca="1">"DEP(430000) AND "&amp;$E$6&amp;"=Y,400000"</f>
        <v>#NAME?</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748</v>
      </c>
      <c r="AK30" s="209"/>
      <c r="AL30" s="210"/>
      <c r="AM30" s="209" t="s">
        <v>750</v>
      </c>
      <c r="AN30" s="209"/>
    </row>
    <row r="31" spans="1:40" x14ac:dyDescent="0.2">
      <c r="A31" s="6" t="s">
        <v>15</v>
      </c>
      <c r="B31" s="7"/>
      <c r="G31" s="13"/>
      <c r="K31" s="11"/>
      <c r="L31" s="11"/>
      <c r="M31" s="1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69</v>
      </c>
      <c r="I33" s="11" t="e">
        <f ca="1">_xll.EVPRO($B$1,$H33,"STYLE")</f>
        <v>#NAME?</v>
      </c>
      <c r="J33" s="11" t="e">
        <f ca="1">_xll.EVPRO($B$1,$H33,"CALC")</f>
        <v>#NAME?</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0" x14ac:dyDescent="0.2">
      <c r="H34" s="10" t="s">
        <v>381</v>
      </c>
      <c r="I34" s="25" t="e">
        <f ca="1">_xll.EVPRO($B$1,$H34,"STYLE")</f>
        <v>#NAME?</v>
      </c>
      <c r="J34" s="25" t="e">
        <f ca="1">_xll.EVPRO($B$1,$H34,"CALC")</f>
        <v>#NAME?</v>
      </c>
      <c r="K34" s="64" t="e">
        <f ca="1">IF(AND(I34&gt;="T5"),"&gt;","")</f>
        <v>#NAME?</v>
      </c>
      <c r="L34" s="24" t="e">
        <f ca="1">_xll.EVPRO($B$1,H34,"JDEID")</f>
        <v>#NAME?</v>
      </c>
      <c r="M34" s="24" t="e">
        <f ca="1">IF(AND(I34="N",J34="N"),_xll.EVPRO($B$1,H34,"PSFTID"),"")</f>
        <v>#NAME?</v>
      </c>
      <c r="N34" s="24" t="e">
        <f ca="1">IF(_xll.EVDES(H34,$B$1)="#NODATA","",_xll.EVDES(H34,$B$1))</f>
        <v>#NAME?</v>
      </c>
      <c r="O34" s="19"/>
      <c r="P34" s="19"/>
      <c r="Q34" s="19"/>
      <c r="R34" s="19"/>
      <c r="S34" s="19"/>
      <c r="T34" s="19"/>
      <c r="U34" s="19"/>
      <c r="V34" s="19"/>
      <c r="W34" s="19"/>
      <c r="X34" s="19"/>
      <c r="Y34" s="19"/>
      <c r="Z34" s="19"/>
      <c r="AA34" s="283" t="e">
        <f ca="1">IF($I34="B1","",SUM(O34:Z34))</f>
        <v>#NAME?</v>
      </c>
      <c r="AB34" s="15" t="e">
        <f ca="1">IF(AA34=0,"",IFERROR(AA34/AA$19,""))</f>
        <v>#NAME?</v>
      </c>
      <c r="AD34" s="19"/>
      <c r="AE34" s="15" t="str">
        <f>IF(AD34=0,"",IFERROR(AD34/AD$19,""))</f>
        <v/>
      </c>
      <c r="AF34" s="47" t="e">
        <f ca="1">IF(AND($AA34="",AD34=""),"",$AA34-AD34)</f>
        <v>#NAME?</v>
      </c>
      <c r="AG34" s="19"/>
      <c r="AH34" s="15" t="str">
        <f>IF(AG34=0,"",IFERROR(AG34/AG$19,""))</f>
        <v/>
      </c>
      <c r="AI34" s="47" t="e">
        <f ca="1">IF(AND($AA34="",AG34=""),"",$AA34-AG34)</f>
        <v>#NAME?</v>
      </c>
      <c r="AJ34" s="371">
        <f ca="1">IFERROR(AA34/AA$20,0)</f>
        <v>0</v>
      </c>
      <c r="AK34" s="372">
        <f ca="1">IFERROR(AD34/AD$20,0)</f>
        <v>0</v>
      </c>
      <c r="AL34" s="373">
        <f ca="1">IFERROR(AG34/AG$20,0)</f>
        <v>0</v>
      </c>
      <c r="AM34" s="374">
        <f ca="1">+IFERROR(ROUND(($AB34-AE34)*100,2)&amp;" pts.",0)</f>
        <v>0</v>
      </c>
      <c r="AN34" s="375">
        <f ca="1">+IFERROR(ROUND(($AB34-AH34)*100,2)&amp;" pts.",0)</f>
        <v>0</v>
      </c>
    </row>
    <row r="35" spans="1:40" x14ac:dyDescent="0.2">
      <c r="A35" s="20" t="s">
        <v>92</v>
      </c>
      <c r="B35" s="21" t="s">
        <v>93</v>
      </c>
      <c r="C35" s="21" t="s">
        <v>94</v>
      </c>
      <c r="D35" s="21" t="s">
        <v>95</v>
      </c>
      <c r="E35" s="21" t="s">
        <v>96</v>
      </c>
      <c r="F35" s="22" t="s">
        <v>97</v>
      </c>
      <c r="H35" s="10" t="s">
        <v>382</v>
      </c>
      <c r="I35" s="25" t="e">
        <f ca="1">_xll.EVPRO($B$1,$H35,"STYLE")</f>
        <v>#NAME?</v>
      </c>
      <c r="J35" s="25" t="e">
        <f ca="1">_xll.EVPRO($B$1,$H35,"CALC")</f>
        <v>#NAME?</v>
      </c>
      <c r="K35" s="64" t="e">
        <f t="shared" ref="K35:K38" ca="1" si="0">IF(AND(I35&gt;="T5"),"&gt;","")</f>
        <v>#NAME?</v>
      </c>
      <c r="L35" s="24" t="e">
        <f ca="1">_xll.EVPRO($B$1,H35,"JDEID")</f>
        <v>#NAME?</v>
      </c>
      <c r="M35" s="24" t="e">
        <f ca="1">IF(AND(I35="N",J35="N"),_xll.EVPRO($B$1,H35,"PSFTID"),"")</f>
        <v>#NAME?</v>
      </c>
      <c r="N35" s="24" t="e">
        <f ca="1">IF(_xll.EVDES(H35,$B$1)="#NODATA","",_xll.EVDES(H35,$B$1))</f>
        <v>#NAME?</v>
      </c>
      <c r="O35" s="19"/>
      <c r="P35" s="19"/>
      <c r="Q35" s="19"/>
      <c r="R35" s="19"/>
      <c r="S35" s="19"/>
      <c r="T35" s="19"/>
      <c r="U35" s="19"/>
      <c r="V35" s="19"/>
      <c r="W35" s="19"/>
      <c r="X35" s="19"/>
      <c r="Y35" s="19"/>
      <c r="Z35" s="19"/>
      <c r="AA35" s="283" t="e">
        <f ca="1">IF($I35="B1","",SUM(O35:Z35))</f>
        <v>#NAME?</v>
      </c>
      <c r="AB35" s="15" t="e">
        <f ca="1">IF(AA35=0,"",IFERROR(AA35/AA$19,""))</f>
        <v>#NAME?</v>
      </c>
      <c r="AD35" s="19"/>
      <c r="AE35" s="15" t="str">
        <f>IF(AD35=0,"",IFERROR(AD35/AD$19,""))</f>
        <v/>
      </c>
      <c r="AF35" s="47" t="e">
        <f ca="1">IF(AND($AA35="",AD35=""),"",$AA35-AD35)</f>
        <v>#NAME?</v>
      </c>
      <c r="AG35" s="19">
        <v>0</v>
      </c>
      <c r="AH35" s="15" t="str">
        <f t="shared" ref="AH35:AH38" si="1">IF(AG35=0,"",IFERROR(AG35/AG$19,""))</f>
        <v/>
      </c>
      <c r="AI35" s="47" t="e">
        <f t="shared" ref="AI35:AI38" ca="1" si="2">IF(AND($AA35="",AG35=""),"",$AA35-AG35)</f>
        <v>#NAME?</v>
      </c>
      <c r="AJ35" s="371">
        <f t="shared" ref="AJ35:AJ38" ca="1" si="3">IFERROR(AA35/AA$20,0)</f>
        <v>0</v>
      </c>
      <c r="AK35" s="372">
        <f t="shared" ref="AK35:AK38" ca="1" si="4">IFERROR(AD35/AD$20,0)</f>
        <v>0</v>
      </c>
      <c r="AL35" s="373">
        <f t="shared" ref="AL35:AL38" ca="1" si="5">IFERROR(AG35/AG$20,0)</f>
        <v>0</v>
      </c>
      <c r="AM35" s="374">
        <f t="shared" ref="AM35:AM38" ca="1" si="6">+IFERROR(ROUND(($AB35-AE35)*100,2)&amp;" pts.",0)</f>
        <v>0</v>
      </c>
      <c r="AN35" s="375">
        <f t="shared" ref="AN35:AN38" ca="1" si="7">+IFERROR(ROUND(($AB35-AH35)*100,2)&amp;" pts.",0)</f>
        <v>0</v>
      </c>
    </row>
    <row r="36" spans="1:40" x14ac:dyDescent="0.2">
      <c r="H36" s="10" t="s">
        <v>383</v>
      </c>
      <c r="I36" s="25" t="e">
        <f ca="1">_xll.EVPRO($B$1,$H36,"STYLE")</f>
        <v>#NAME?</v>
      </c>
      <c r="J36" s="25" t="e">
        <f ca="1">_xll.EVPRO($B$1,$H36,"CALC")</f>
        <v>#NAME?</v>
      </c>
      <c r="K36" s="64" t="e">
        <f t="shared" ca="1" si="0"/>
        <v>#NAME?</v>
      </c>
      <c r="L36" s="24" t="e">
        <f ca="1">_xll.EVPRO($B$1,H36,"JDEID")</f>
        <v>#NAME?</v>
      </c>
      <c r="M36" s="24" t="e">
        <f ca="1">IF(AND(I36="N",J36="N"),_xll.EVPRO($B$1,H36,"PSFTID"),"")</f>
        <v>#NAME?</v>
      </c>
      <c r="N36" s="24" t="e">
        <f ca="1">IF(_xll.EVDES(H36,$B$1)="#NODATA","",_xll.EVDES(H36,$B$1))</f>
        <v>#NAME?</v>
      </c>
      <c r="O36" s="19"/>
      <c r="P36" s="19"/>
      <c r="Q36" s="19"/>
      <c r="R36" s="19"/>
      <c r="S36" s="19"/>
      <c r="T36" s="19"/>
      <c r="U36" s="19"/>
      <c r="V36" s="19"/>
      <c r="W36" s="19"/>
      <c r="X36" s="19"/>
      <c r="Y36" s="19"/>
      <c r="Z36" s="19"/>
      <c r="AA36" s="283" t="e">
        <f ca="1">IF($I36="B1","",SUM(O36:Z36))</f>
        <v>#NAME?</v>
      </c>
      <c r="AB36" s="15" t="e">
        <f ca="1">IF(AA36=0,"",IFERROR(AA36/AA$19,""))</f>
        <v>#NAME?</v>
      </c>
      <c r="AD36" s="19"/>
      <c r="AE36" s="15" t="str">
        <f>IF(AD36=0,"",IFERROR(AD36/AD$19,""))</f>
        <v/>
      </c>
      <c r="AF36" s="47" t="e">
        <f ca="1">IF(AND($AA36="",AD36=""),"",$AA36-AD36)</f>
        <v>#NAME?</v>
      </c>
      <c r="AG36" s="19"/>
      <c r="AH36" s="15" t="str">
        <f t="shared" si="1"/>
        <v/>
      </c>
      <c r="AI36" s="47" t="e">
        <f t="shared" ca="1" si="2"/>
        <v>#NAME?</v>
      </c>
      <c r="AJ36" s="371">
        <f t="shared" ca="1" si="3"/>
        <v>0</v>
      </c>
      <c r="AK36" s="372">
        <f t="shared" ca="1" si="4"/>
        <v>0</v>
      </c>
      <c r="AL36" s="373">
        <f t="shared" ca="1" si="5"/>
        <v>0</v>
      </c>
      <c r="AM36" s="374">
        <f t="shared" ca="1" si="6"/>
        <v>0</v>
      </c>
      <c r="AN36" s="375">
        <f t="shared" ca="1" si="7"/>
        <v>0</v>
      </c>
    </row>
    <row r="37" spans="1:40" x14ac:dyDescent="0.2">
      <c r="A37" s="1" t="s">
        <v>105</v>
      </c>
      <c r="C37" s="24" t="s">
        <v>101</v>
      </c>
      <c r="D37" s="1" t="s">
        <v>106</v>
      </c>
      <c r="F37" s="1" t="s">
        <v>98</v>
      </c>
      <c r="H37" s="10" t="s">
        <v>384</v>
      </c>
      <c r="I37" s="25" t="e">
        <f ca="1">_xll.EVPRO($B$1,$H37,"STYLE")</f>
        <v>#NAME?</v>
      </c>
      <c r="J37" s="25" t="e">
        <f ca="1">_xll.EVPRO($B$1,$H37,"CALC")</f>
        <v>#NAME?</v>
      </c>
      <c r="K37" s="64" t="e">
        <f t="shared" ca="1" si="0"/>
        <v>#NAME?</v>
      </c>
      <c r="L37" s="24" t="e">
        <f ca="1">_xll.EVPRO($B$1,H37,"JDEID")</f>
        <v>#NAME?</v>
      </c>
      <c r="M37" s="24" t="e">
        <f ca="1">IF(AND(I37="N",J37="N"),_xll.EVPRO($B$1,H37,"PSFTID"),"")</f>
        <v>#NAME?</v>
      </c>
      <c r="N37" s="24" t="e">
        <f ca="1">IF(_xll.EVDES(H37,$B$1)="#NODATA","",_xll.EVDES(H37,$B$1))</f>
        <v>#NAME?</v>
      </c>
      <c r="O37" s="28"/>
      <c r="P37" s="28"/>
      <c r="Q37" s="28"/>
      <c r="R37" s="28"/>
      <c r="S37" s="28"/>
      <c r="T37" s="28"/>
      <c r="U37" s="28"/>
      <c r="V37" s="28"/>
      <c r="W37" s="28"/>
      <c r="X37" s="28"/>
      <c r="Y37" s="28"/>
      <c r="Z37" s="28"/>
      <c r="AA37" s="296" t="e">
        <f ca="1">IF($I37="B1","",SUM(O37:Z37))</f>
        <v>#NAME?</v>
      </c>
      <c r="AB37" s="29" t="e">
        <f ca="1">IF(AA37=0,"",IFERROR(AA37/AA$19,""))</f>
        <v>#NAME?</v>
      </c>
      <c r="AD37" s="28"/>
      <c r="AE37" s="29" t="str">
        <f>IF(AD37=0,"",IFERROR(AD37/AD$19,""))</f>
        <v/>
      </c>
      <c r="AF37" s="48" t="e">
        <f ca="1">IF(AND($AA37="",AD37=""),"",$AA37-AD37)</f>
        <v>#NAME?</v>
      </c>
      <c r="AG37" s="28"/>
      <c r="AH37" s="29" t="str">
        <f t="shared" si="1"/>
        <v/>
      </c>
      <c r="AI37" s="48" t="e">
        <f t="shared" ca="1" si="2"/>
        <v>#NAME?</v>
      </c>
      <c r="AJ37" s="381">
        <f t="shared" ca="1" si="3"/>
        <v>0</v>
      </c>
      <c r="AK37" s="382">
        <f t="shared" ca="1" si="4"/>
        <v>0</v>
      </c>
      <c r="AL37" s="383">
        <f t="shared" ca="1" si="5"/>
        <v>0</v>
      </c>
      <c r="AM37" s="384">
        <f t="shared" ca="1" si="6"/>
        <v>0</v>
      </c>
      <c r="AN37" s="385">
        <f t="shared" ca="1" si="7"/>
        <v>0</v>
      </c>
    </row>
    <row r="38" spans="1:40" x14ac:dyDescent="0.2">
      <c r="A38" s="1" t="s">
        <v>104</v>
      </c>
      <c r="C38" s="24" t="s">
        <v>101</v>
      </c>
      <c r="D38" s="1" t="s">
        <v>106</v>
      </c>
      <c r="F38" s="1" t="s">
        <v>98</v>
      </c>
      <c r="H38" s="10" t="s">
        <v>280</v>
      </c>
      <c r="I38" s="447" t="e">
        <f ca="1">_xll.EVPRO($B$1,$H38,"STYLE")</f>
        <v>#NAME?</v>
      </c>
      <c r="J38" s="447" t="e">
        <f ca="1">_xll.EVPRO($B$1,$H38,"CALC")</f>
        <v>#NAME?</v>
      </c>
      <c r="K38" s="448" t="e">
        <f t="shared" ca="1" si="0"/>
        <v>#NAME?</v>
      </c>
      <c r="L38" s="151" t="e">
        <f ca="1">_xll.EVPRO($B$1,H38,"JDEID")</f>
        <v>#NAME?</v>
      </c>
      <c r="M38" s="151" t="e">
        <f ca="1">IF(AND(I38="N",J38="N"),_xll.EVPRO($B$1,H38,"PSFTID"),"")</f>
        <v>#NAME?</v>
      </c>
      <c r="N38" s="151" t="e">
        <f ca="1">IF(_xll.EVDES(H38,$B$1)="#NODATA","",_xll.EVDES(H38,$B$1))</f>
        <v>#NAME?</v>
      </c>
      <c r="O38" s="120"/>
      <c r="P38" s="120"/>
      <c r="Q38" s="120"/>
      <c r="R38" s="120"/>
      <c r="S38" s="120"/>
      <c r="T38" s="120"/>
      <c r="U38" s="120"/>
      <c r="V38" s="120"/>
      <c r="W38" s="120"/>
      <c r="X38" s="120"/>
      <c r="Y38" s="120"/>
      <c r="Z38" s="120"/>
      <c r="AA38" s="120" t="e">
        <f ca="1">IF($I38="B1","",SUM(O38:Z38))</f>
        <v>#NAME?</v>
      </c>
      <c r="AB38" s="121" t="e">
        <f ca="1">IF(AA38=0,"",IFERROR(AA38/AA$19,""))</f>
        <v>#NAME?</v>
      </c>
      <c r="AC38" s="123"/>
      <c r="AD38" s="120"/>
      <c r="AE38" s="121" t="str">
        <f>IF(AD38=0,"",IFERROR(AD38/AD$19,""))</f>
        <v/>
      </c>
      <c r="AF38" s="122" t="e">
        <f ca="1">IF(AND($AA38="",AD38=""),"",$AA38-AD38)</f>
        <v>#NAME?</v>
      </c>
      <c r="AG38" s="120">
        <v>0</v>
      </c>
      <c r="AH38" s="121" t="str">
        <f t="shared" si="1"/>
        <v/>
      </c>
      <c r="AI38" s="122" t="e">
        <f t="shared" ca="1" si="2"/>
        <v>#NAME?</v>
      </c>
      <c r="AJ38" s="332">
        <f t="shared" ca="1" si="3"/>
        <v>0</v>
      </c>
      <c r="AK38" s="333">
        <f t="shared" ca="1" si="4"/>
        <v>0</v>
      </c>
      <c r="AL38" s="335">
        <f t="shared" ca="1" si="5"/>
        <v>0</v>
      </c>
      <c r="AM38" s="377">
        <f t="shared" ca="1" si="6"/>
        <v>0</v>
      </c>
      <c r="AN38" s="378">
        <f t="shared" ca="1" si="7"/>
        <v>0</v>
      </c>
    </row>
    <row r="39" spans="1:40" x14ac:dyDescent="0.2">
      <c r="A39" s="1" t="s">
        <v>108</v>
      </c>
      <c r="C39" s="23" t="s">
        <v>101</v>
      </c>
      <c r="D39" s="1" t="s">
        <v>106</v>
      </c>
      <c r="F39" s="1" t="s">
        <v>98</v>
      </c>
      <c r="O39" s="50"/>
      <c r="AB39" s="51"/>
      <c r="AD39" s="50"/>
      <c r="AF39" s="51"/>
      <c r="AG39" s="50"/>
      <c r="AI39" s="51"/>
    </row>
    <row r="40" spans="1:40" x14ac:dyDescent="0.2">
      <c r="A40" s="1" t="s">
        <v>108</v>
      </c>
      <c r="C40" s="135" t="s">
        <v>101</v>
      </c>
      <c r="D40" s="1" t="s">
        <v>107</v>
      </c>
      <c r="F40" s="1" t="s">
        <v>99</v>
      </c>
      <c r="H40" s="1" t="s">
        <v>281</v>
      </c>
      <c r="I40" s="11" t="e">
        <f ca="1">_xll.EVPRO($B$1,$H40,"STYLE")</f>
        <v>#NAME?</v>
      </c>
      <c r="J40" s="11" t="e">
        <f ca="1">_xll.EVPRO($B$1,$H40,"CALC")</f>
        <v>#NAME?</v>
      </c>
      <c r="N40" s="37" t="e">
        <f ca="1">IF(_xll.EVDES(H40,$B$1)="#NODATA","",_xll.EVDES(H40,$B$1))</f>
        <v>#NAME?</v>
      </c>
      <c r="O40" s="50"/>
      <c r="AB40" s="51"/>
      <c r="AD40" s="50"/>
      <c r="AF40" s="51"/>
      <c r="AG40" s="50"/>
      <c r="AI40" s="51"/>
    </row>
    <row r="41" spans="1:40" x14ac:dyDescent="0.2">
      <c r="H41" s="10" t="s">
        <v>385</v>
      </c>
      <c r="I41" s="25" t="e">
        <f ca="1">_xll.EVPRO($B$1,$H41,"STYLE")</f>
        <v>#NAME?</v>
      </c>
      <c r="J41" s="25" t="e">
        <f ca="1">_xll.EVPRO($B$1,$H41,"CALC")</f>
        <v>#NAME?</v>
      </c>
      <c r="K41" s="64" t="e">
        <f ca="1">IF(AND(I41&gt;="T5"),"&gt;","")</f>
        <v>#NAME?</v>
      </c>
      <c r="L41" s="24" t="e">
        <f ca="1">_xll.EVPRO($B$1,H41,"JDEID")</f>
        <v>#NAME?</v>
      </c>
      <c r="M41" s="24" t="e">
        <f ca="1">IF(AND(I41="N",J41="N"),_xll.EVPRO($B$1,H41,"PSFTID"),"")</f>
        <v>#NAME?</v>
      </c>
      <c r="N41" s="24" t="e">
        <f ca="1">IF(_xll.EVDES(H41,$B$1)="#NODATA","",_xll.EVDES(H41,$B$1))</f>
        <v>#NAME?</v>
      </c>
      <c r="O41" s="28"/>
      <c r="P41" s="28"/>
      <c r="Q41" s="28"/>
      <c r="R41" s="28"/>
      <c r="S41" s="28"/>
      <c r="T41" s="28"/>
      <c r="U41" s="28"/>
      <c r="V41" s="28"/>
      <c r="W41" s="28"/>
      <c r="X41" s="28"/>
      <c r="Y41" s="28"/>
      <c r="Z41" s="28"/>
      <c r="AA41" s="28" t="e">
        <f ca="1">IF($I41="B1","",SUM(O41:Z41))</f>
        <v>#NAME?</v>
      </c>
      <c r="AB41" s="29" t="e">
        <f ca="1">IF(AA41=0,"",IFERROR(AA41/_xll.EVGTS($B$1,1,_xll.EVPRO($B$1,$H41,"COSBASIS"),$B$3,$B$5,$B$6,$B$7,$B$9,AA$16,AA$17,AA$11),""))</f>
        <v>#NAME?</v>
      </c>
      <c r="AD41" s="28"/>
      <c r="AE41" s="29" t="str">
        <f>IF(AD41=0,"",IFERROR(AD41/_xll.EVGTS($B$1,1,_xll.EVPRO($B$1,$H41,"COSBASIS"),$B$3,$B$5,$B$6,$B$7,$B$9,AD$16,AD$17,AD$18),""))</f>
        <v/>
      </c>
      <c r="AF41" s="48" t="e">
        <f ca="1">IF(AND($AA41="",AD41=""),"",$AA41-AD41)</f>
        <v>#NAME?</v>
      </c>
      <c r="AG41" s="28"/>
      <c r="AH41" s="29" t="str">
        <f>IF(AG41=0,"",IFERROR(AG41/_xll.EVGTS($B$1,1,_xll.EVPRO($B$1,$H41,"COSBASIS"),$B$3,$B$5,$B$6,$B$7,$B$9,AG$16,AG$17,AG$18),""))</f>
        <v/>
      </c>
      <c r="AI41" s="48" t="e">
        <f ca="1">IF(AND($AA41="",AG41=""),"",$AA41-AG41)</f>
        <v>#NAME?</v>
      </c>
      <c r="AJ41" s="381">
        <f ca="1">IFERROR(AA41/AA$20,0)</f>
        <v>0</v>
      </c>
      <c r="AK41" s="382">
        <f ca="1">IFERROR(AD41/AD$20,0)</f>
        <v>0</v>
      </c>
      <c r="AL41" s="383">
        <f ca="1">IFERROR(AG41/AG$20,0)</f>
        <v>0</v>
      </c>
      <c r="AM41" s="384">
        <f ca="1">+IFERROR(ROUND(($AB41-AE41)*100,2)&amp;" pts.",0)</f>
        <v>0</v>
      </c>
      <c r="AN41" s="385">
        <f ca="1">+IFERROR(ROUND(($AB41-AH41)*100,2)&amp;" pts.",0)</f>
        <v>0</v>
      </c>
    </row>
    <row r="42" spans="1:40" x14ac:dyDescent="0.2">
      <c r="H42" s="10" t="s">
        <v>289</v>
      </c>
      <c r="I42" s="447" t="e">
        <f ca="1">_xll.EVPRO($B$1,$H42,"STYLE")</f>
        <v>#NAME?</v>
      </c>
      <c r="J42" s="447" t="e">
        <f ca="1">_xll.EVPRO($B$1,$H42,"CALC")</f>
        <v>#NAME?</v>
      </c>
      <c r="K42" s="448" t="e">
        <f ca="1">IF(AND(I42&gt;="T5"),"&gt;","")</f>
        <v>#NAME?</v>
      </c>
      <c r="L42" s="151" t="e">
        <f ca="1">_xll.EVPRO($B$1,H42,"JDEID")</f>
        <v>#NAME?</v>
      </c>
      <c r="M42" s="151" t="e">
        <f ca="1">IF(AND(I42="N",J42="N"),_xll.EVPRO($B$1,H42,"PSFTID"),"")</f>
        <v>#NAME?</v>
      </c>
      <c r="N42" s="151" t="e">
        <f ca="1">IF(_xll.EVDES(H42,$B$1)="#NODATA","",_xll.EVDES(H42,$B$1))</f>
        <v>#NAME?</v>
      </c>
      <c r="O42" s="120"/>
      <c r="P42" s="120"/>
      <c r="Q42" s="120"/>
      <c r="R42" s="120"/>
      <c r="S42" s="120"/>
      <c r="T42" s="120"/>
      <c r="U42" s="120"/>
      <c r="V42" s="120"/>
      <c r="W42" s="120"/>
      <c r="X42" s="120"/>
      <c r="Y42" s="120"/>
      <c r="Z42" s="120"/>
      <c r="AA42" s="120" t="e">
        <f ca="1">IF($I42="B1","",SUM(O42:Z42))</f>
        <v>#NAME?</v>
      </c>
      <c r="AB42" s="121" t="e">
        <f ca="1">IF(AA42=0,"",IFERROR(AA42/_xll.EVGTS($B$1,1,_xll.EVPRO($B$1,$H42,"COSBASIS"),$B$3,$B$5,$B$6,$B$7,$B$9,AA$16,AA$17,AA$11),""))</f>
        <v>#NAME?</v>
      </c>
      <c r="AC42" s="123"/>
      <c r="AD42" s="120"/>
      <c r="AE42" s="121" t="str">
        <f>IF(AD42=0,"",IFERROR(AD42/_xll.EVGTS($B$1,1,_xll.EVPRO($B$1,$H42,"COSBASIS"),$B$3,$B$5,$B$6,$B$7,$B$9,AD$16,AD$17,AD$18),""))</f>
        <v/>
      </c>
      <c r="AF42" s="122" t="e">
        <f ca="1">IF(AND($AA42="",AD42=""),"",$AA42-AD42)</f>
        <v>#NAME?</v>
      </c>
      <c r="AG42" s="120"/>
      <c r="AH42" s="121" t="str">
        <f>IF(AG42=0,"",IFERROR(AG42/_xll.EVGTS($B$1,1,_xll.EVPRO($B$1,$H42,"COSBASIS"),$B$3,$B$5,$B$6,$B$7,$B$9,AG$16,AG$17,AG$18),""))</f>
        <v/>
      </c>
      <c r="AI42" s="122" t="e">
        <f ca="1">IF(AND($AA42="",AG42=""),"",$AA42-AG42)</f>
        <v>#NAME?</v>
      </c>
      <c r="AJ42" s="332">
        <f ca="1">IFERROR(AA42/AA$20,0)</f>
        <v>0</v>
      </c>
      <c r="AK42" s="333">
        <f ca="1">IFERROR(AD42/AD$20,0)</f>
        <v>0</v>
      </c>
      <c r="AL42" s="335">
        <f ca="1">IFERROR(AG42/AG$20,0)</f>
        <v>0</v>
      </c>
      <c r="AM42" s="377">
        <f ca="1">+IFERROR(ROUND(($AB42-AE42)*100,2)&amp;" pts.",0)</f>
        <v>0</v>
      </c>
      <c r="AN42" s="378">
        <f ca="1">+IFERROR(ROUND(($AB42-AH42)*100,2)&amp;" pts.",0)</f>
        <v>0</v>
      </c>
    </row>
    <row r="43" spans="1:40" x14ac:dyDescent="0.2">
      <c r="A43" s="4" t="e">
        <f ca="1">_xll.EVDRE($B$1,A46:B53,A56:B62)</f>
        <v>#NAME?</v>
      </c>
      <c r="H43" s="133" t="s">
        <v>175</v>
      </c>
      <c r="I43" s="26" t="e">
        <f ca="1">_xll.EVPRO($B$1,$H43,"STYLE")</f>
        <v>#NAME?</v>
      </c>
      <c r="J43" s="26" t="e">
        <f ca="1">_xll.EVPRO($B$1,$H43,"CALC")</f>
        <v>#NAME?</v>
      </c>
      <c r="K43" s="65" t="e">
        <f ca="1">IF(AND(I43&gt;="T5"),"&gt;","")</f>
        <v>#NAME?</v>
      </c>
      <c r="L43" s="65"/>
      <c r="M43" s="65"/>
      <c r="N43" s="23" t="e">
        <f ca="1">IF(_xll.EVDES(H43,$B$1)="#NODATA","",_xll.EVDES(H43,$B$1))</f>
        <v>#NAME?</v>
      </c>
      <c r="O43" s="44"/>
      <c r="P43" s="44"/>
      <c r="Q43" s="44"/>
      <c r="R43" s="44"/>
      <c r="S43" s="44"/>
      <c r="T43" s="44"/>
      <c r="U43" s="44"/>
      <c r="V43" s="44"/>
      <c r="W43" s="44"/>
      <c r="X43" s="44"/>
      <c r="Y43" s="44"/>
      <c r="Z43" s="44"/>
      <c r="AA43" s="44"/>
      <c r="AB43" s="45"/>
      <c r="AD43" s="44"/>
      <c r="AE43" s="45" t="str">
        <f>IF(AD43=0,"",IFERROR(AD43/_xll.EVGTS($B$1,1,INDEX($C$143:$C$166,MATCH($H43,$A$143:$A$166,0)),$B$3,$B$5,$B$6,$B$7,$B$9,AD$16,AD$17,AD$18),""))</f>
        <v/>
      </c>
      <c r="AF43" s="134" t="str">
        <f>IF(AND($AA43="",AD43=""),"",$AA43-AD43)</f>
        <v/>
      </c>
      <c r="AG43" s="44"/>
      <c r="AH43" s="45" t="str">
        <f>IF(AG43=0,"",IFERROR(AG43/_xll.EVGTS($B$1,1,INDEX($C$143:$C$166,MATCH($H43,$A$143:$A$166,0)),$B$3,$B$5,$B$6,$B$7,$B$9,AG$16,AG$17,AG$18),""))</f>
        <v/>
      </c>
      <c r="AI43" s="134" t="str">
        <f>IF(AND($AA43="",AG43=""),"",$AA43-AG43)</f>
        <v/>
      </c>
      <c r="AJ43" s="392">
        <f ca="1">IFERROR(AA43/AA$20,0)</f>
        <v>0</v>
      </c>
      <c r="AK43" s="393">
        <f ca="1">IFERROR(AD43/AD$20,0)</f>
        <v>0</v>
      </c>
      <c r="AL43" s="394">
        <f ca="1">IFERROR(AG43/AG$20,0)</f>
        <v>0</v>
      </c>
      <c r="AM43" s="395">
        <f>+IFERROR(ROUND(($AB43-AE43)*100,2)&amp;" pts.",0)</f>
        <v>0</v>
      </c>
      <c r="AN43" s="396">
        <f>+IFERROR(ROUND(($AB43-AH43)*100,2)&amp;" pts.",0)</f>
        <v>0</v>
      </c>
    </row>
    <row r="44" spans="1:40" x14ac:dyDescent="0.2">
      <c r="H44" s="133" t="s">
        <v>292</v>
      </c>
      <c r="I44" s="26" t="e">
        <f ca="1">_xll.EVPRO($B$1,$H44,"STYLE")</f>
        <v>#NAME?</v>
      </c>
      <c r="J44" s="26" t="e">
        <f ca="1">_xll.EVPRO($B$1,$H44,"CALC")</f>
        <v>#NAME?</v>
      </c>
      <c r="K44" s="65" t="e">
        <f ca="1">IF(AND(I44&gt;="T5"),"&gt;","")</f>
        <v>#NAME?</v>
      </c>
      <c r="L44" s="65"/>
      <c r="M44" s="65"/>
      <c r="N44" s="23" t="e">
        <f ca="1">IF(_xll.EVDES(H44,$B$1)="#NODATA","",_xll.EVDES(H44,$B$1))</f>
        <v>#NAME?</v>
      </c>
      <c r="O44" s="145">
        <f>SUMIF($H$34:$H$42,"400000",O34:O42)-SUMIF($H$34:$H$42,"500001",O34:O42)</f>
        <v>0</v>
      </c>
      <c r="P44" s="145">
        <f t="shared" ref="P44:Z44" si="8">SUMIF($H$34:$H$42,"400000",P34:P42)-SUMIF($H$34:$H$42,"500001",P34:P42)</f>
        <v>0</v>
      </c>
      <c r="Q44" s="145">
        <f t="shared" si="8"/>
        <v>0</v>
      </c>
      <c r="R44" s="145">
        <f t="shared" si="8"/>
        <v>0</v>
      </c>
      <c r="S44" s="145">
        <f t="shared" si="8"/>
        <v>0</v>
      </c>
      <c r="T44" s="145">
        <f t="shared" si="8"/>
        <v>0</v>
      </c>
      <c r="U44" s="145">
        <f t="shared" si="8"/>
        <v>0</v>
      </c>
      <c r="V44" s="145">
        <f t="shared" si="8"/>
        <v>0</v>
      </c>
      <c r="W44" s="145">
        <f t="shared" si="8"/>
        <v>0</v>
      </c>
      <c r="X44" s="145">
        <f t="shared" si="8"/>
        <v>0</v>
      </c>
      <c r="Y44" s="145">
        <f t="shared" si="8"/>
        <v>0</v>
      </c>
      <c r="Z44" s="145">
        <f t="shared" si="8"/>
        <v>0</v>
      </c>
      <c r="AA44" s="120" t="e">
        <f ca="1">IF($I44="B1","",SUM(O44:Z44))</f>
        <v>#NAME?</v>
      </c>
      <c r="AB44" s="121" t="e">
        <f ca="1">IF(AA44=0,"",IFERROR(AA44/AA$19,""))</f>
        <v>#NAME?</v>
      </c>
      <c r="AD44" s="145">
        <f>SUMIF($H$34:$H$42,"400000",AD34:AD42)-SUMIF($H$34:$H$42,"500001",AD34:AD42)</f>
        <v>0</v>
      </c>
      <c r="AE44" s="121" t="str">
        <f>IF(AD44=0,"",IFERROR(AD44/AD$19,""))</f>
        <v/>
      </c>
      <c r="AF44" s="146" t="e">
        <f ca="1">IF(AND($AA44="",AD44=""),"",$AA44-AD44)</f>
        <v>#NAME?</v>
      </c>
      <c r="AG44" s="145">
        <f>SUMIF($H$34:$H$42,"400000",AG34:AG42)-SUMIF($H$34:$H$42,"500001",AG34:AG42)</f>
        <v>0</v>
      </c>
      <c r="AH44" s="121" t="str">
        <f>IF(AG44=0,"",IFERROR(AG44/AG$19,""))</f>
        <v/>
      </c>
      <c r="AI44" s="146" t="e">
        <f ca="1">IF(AND($AA44="",AG44=""),"",$AA44-AG44)</f>
        <v>#NAME?</v>
      </c>
      <c r="AJ44" s="364">
        <f ca="1">IFERROR(AA44/AA$20,0)</f>
        <v>0</v>
      </c>
      <c r="AK44" s="365">
        <f ca="1">IFERROR(AD44/AD$20,0)</f>
        <v>0</v>
      </c>
      <c r="AL44" s="366">
        <f ca="1">IFERROR(AG44/AG$20,0)</f>
        <v>0</v>
      </c>
      <c r="AM44" s="367">
        <f ca="1">+IFERROR(ROUND(($AB44-AE44)*100,2)&amp;" pts.",0)</f>
        <v>0</v>
      </c>
      <c r="AN44" s="409">
        <f ca="1">+IFERROR(ROUND(($AB44-AH44)*100,2)&amp;" pts.",0)</f>
        <v>0</v>
      </c>
    </row>
    <row r="45" spans="1:40" x14ac:dyDescent="0.2">
      <c r="A45" s="3" t="s">
        <v>0</v>
      </c>
      <c r="B45" s="5" t="s">
        <v>1</v>
      </c>
      <c r="O45" s="144"/>
      <c r="P45" s="147"/>
      <c r="Q45" s="147"/>
      <c r="R45" s="147"/>
      <c r="S45" s="147"/>
      <c r="T45" s="147"/>
      <c r="U45" s="147"/>
      <c r="V45" s="147"/>
      <c r="W45" s="147"/>
      <c r="X45" s="147"/>
      <c r="Y45" s="147"/>
      <c r="Z45" s="147"/>
      <c r="AA45" s="147"/>
      <c r="AB45" s="51"/>
      <c r="AD45" s="50"/>
      <c r="AF45" s="51"/>
      <c r="AI45" s="51"/>
    </row>
    <row r="46" spans="1:40" x14ac:dyDescent="0.2">
      <c r="A46" s="6" t="s">
        <v>2</v>
      </c>
      <c r="B46" s="7" t="e">
        <f ca="1">_xll.EVRNG($B$2:$B$10)</f>
        <v>#NAME?</v>
      </c>
      <c r="H46" s="1" t="s">
        <v>73</v>
      </c>
      <c r="I46" s="11" t="e">
        <f ca="1">_xll.EVPRO($B$1,$H46,"STYLE")</f>
        <v>#NAME?</v>
      </c>
      <c r="J46" s="11" t="e">
        <f ca="1">_xll.EVPRO($B$1,$H46,"CALC")</f>
        <v>#NAME?</v>
      </c>
      <c r="N46" s="37" t="e">
        <f ca="1">IF(_xll.EVDES(H46,$B$1)="#NODATA","",_xll.EVDES(H46,$B$1))</f>
        <v>#NAME?</v>
      </c>
      <c r="O46" s="50"/>
      <c r="AB46" s="149"/>
      <c r="AD46" s="148"/>
      <c r="AE46" s="150"/>
      <c r="AF46" s="51"/>
      <c r="AH46" s="150"/>
      <c r="AI46" s="51"/>
    </row>
    <row r="47" spans="1:40" x14ac:dyDescent="0.2">
      <c r="A47" s="6" t="s">
        <v>3</v>
      </c>
      <c r="B47" s="7" t="e">
        <f ca="1">_xll.EVRNG($O$16:$AN$18)</f>
        <v>#NAME?</v>
      </c>
      <c r="H47" s="1" t="s">
        <v>74</v>
      </c>
      <c r="I47" s="11" t="e">
        <f ca="1">_xll.EVPRO($B$1,$H47,"STYLE")</f>
        <v>#NAME?</v>
      </c>
      <c r="J47" s="11" t="e">
        <f ca="1">_xll.EVPRO($B$1,$H47,"CALC")</f>
        <v>#NAME?</v>
      </c>
      <c r="N47" s="8" t="e">
        <f ca="1">IF(_xll.EVDES(H47,$B$1)="#NODATA","",_xll.EVDES(H47,$B$1))</f>
        <v>#NAME?</v>
      </c>
      <c r="O47" s="40"/>
      <c r="P47" s="43"/>
      <c r="Q47" s="43"/>
      <c r="R47" s="43"/>
      <c r="S47" s="43"/>
      <c r="T47" s="43"/>
      <c r="U47" s="43"/>
      <c r="V47" s="43"/>
      <c r="W47" s="43"/>
      <c r="X47" s="43"/>
      <c r="Y47" s="43"/>
      <c r="Z47" s="43"/>
      <c r="AA47" s="43"/>
      <c r="AB47" s="41"/>
      <c r="AD47" s="40"/>
      <c r="AE47" s="43"/>
      <c r="AF47" s="41"/>
      <c r="AG47" s="43"/>
      <c r="AH47" s="43"/>
      <c r="AI47" s="41"/>
    </row>
    <row r="48" spans="1:40" hidden="1" x14ac:dyDescent="0.2">
      <c r="A48" s="6" t="s">
        <v>4</v>
      </c>
      <c r="B48" s="7" t="e">
        <f ca="1">_xll.EVRNG(H41:H42)</f>
        <v>#NAME?</v>
      </c>
      <c r="H48" s="10" t="s">
        <v>667</v>
      </c>
      <c r="I48" s="25" t="e">
        <f ca="1">_xll.EVPRO($B$1,$H48,"STYLE")</f>
        <v>#NAME?</v>
      </c>
      <c r="J48" s="25" t="e">
        <f ca="1">_xll.EVPRO($B$1,$H48,"CALC")</f>
        <v>#NAME?</v>
      </c>
      <c r="K48" s="64" t="e">
        <f ca="1">IF(AND(I48&gt;="T3"),"&gt;","")</f>
        <v>#NAME?</v>
      </c>
      <c r="L48" s="24" t="e">
        <f ca="1">_xll.EVPRO($B$1,H48,"JDEID")</f>
        <v>#NAME?</v>
      </c>
      <c r="M48" s="24" t="e">
        <f ca="1">IF(AND(I48="N",J48="N"),_xll.EVPRO($B$1,H48,"PSFTID"),"")</f>
        <v>#NAME?</v>
      </c>
      <c r="N48" s="24" t="e">
        <f ca="1">IF(_xll.EVDES(H48,$B$1)="#NODATA","",_xll.EVDES(H48,$B$1))</f>
        <v>#NAME?</v>
      </c>
      <c r="O48" s="44"/>
      <c r="P48" s="44"/>
      <c r="Q48" s="44"/>
      <c r="R48" s="44"/>
      <c r="S48" s="44"/>
      <c r="T48" s="44"/>
      <c r="U48" s="44"/>
      <c r="V48" s="44"/>
      <c r="W48" s="44"/>
      <c r="X48" s="44"/>
      <c r="Y48" s="44"/>
      <c r="Z48" s="44"/>
      <c r="AA48" s="296" t="e">
        <f ca="1">IF($I48="B1","",SUM(O48:Z48))</f>
        <v>#NAME?</v>
      </c>
      <c r="AB48" s="45" t="e">
        <f ca="1">IF(AA48=0,"",IFERROR(AA48/AA$19,""))</f>
        <v>#NAME?</v>
      </c>
      <c r="AD48" s="44"/>
      <c r="AE48" s="45" t="str">
        <f>IF(AD48=0,"",IFERROR(AD48/AD$19,""))</f>
        <v/>
      </c>
      <c r="AF48" s="134" t="e">
        <f ca="1">IF(AND($AA48="",AD48=""),"",$AA48-AD48)</f>
        <v>#NAME?</v>
      </c>
      <c r="AG48" s="44"/>
      <c r="AH48" s="45" t="str">
        <f>IF(AG48=0,"",IFERROR(AG48/AG$19,""))</f>
        <v/>
      </c>
      <c r="AI48" s="134" t="e">
        <f ca="1">IF(AND($AA48="",AG48=""),"",$AA48-AG48)</f>
        <v>#NAME?</v>
      </c>
      <c r="AJ48" s="371">
        <f ca="1">IFERROR(AA48/AA$20,0)</f>
        <v>0</v>
      </c>
      <c r="AK48" s="372">
        <f ca="1">IFERROR(AD48/AD$20,0)</f>
        <v>0</v>
      </c>
      <c r="AL48" s="373">
        <f ca="1">IFERROR(AG48/AG$20,0)</f>
        <v>0</v>
      </c>
      <c r="AM48" s="374">
        <f ca="1">+IFERROR(ROUND(($AB48-AE48)*100,2)&amp;" pts.",0)</f>
        <v>0</v>
      </c>
      <c r="AN48" s="375">
        <f ca="1">+IFERROR(ROUND(($AB48-AH48)*100,2)&amp;" pts.",0)</f>
        <v>0</v>
      </c>
    </row>
    <row r="49" spans="1:40" hidden="1" x14ac:dyDescent="0.2">
      <c r="A49" s="6" t="s">
        <v>5</v>
      </c>
      <c r="B49" s="7"/>
      <c r="F49" s="136"/>
      <c r="H49" s="10"/>
      <c r="I49" s="25" t="e">
        <f ca="1">_xll.EVPRO($B$1,$H49,"STYLE")</f>
        <v>#NAME?</v>
      </c>
      <c r="J49" s="25" t="e">
        <f ca="1">_xll.EVPRO($B$1,$H49,"CALC")</f>
        <v>#NAME?</v>
      </c>
      <c r="K49" s="64" t="e">
        <f ca="1">IF(AND(I49&gt;="T3"),"&gt;","")</f>
        <v>#NAME?</v>
      </c>
      <c r="L49" s="24" t="e">
        <f ca="1">_xll.EVPRO($B$1,H49,"JDEID")</f>
        <v>#NAME?</v>
      </c>
      <c r="M49" s="24" t="e">
        <f ca="1">IF(AND(I49="N",J49="N"),_xll.EVPRO($B$1,H49,"PSFTID"),"")</f>
        <v>#NAME?</v>
      </c>
      <c r="N49" s="24" t="e">
        <f ca="1">IF(_xll.EVDES(H49,$B$1)="#NODATA","",_xll.EVDES(H49,$B$1))</f>
        <v>#NAME?</v>
      </c>
      <c r="O49" s="44"/>
      <c r="P49" s="44"/>
      <c r="Q49" s="44"/>
      <c r="R49" s="44"/>
      <c r="S49" s="44"/>
      <c r="T49" s="44"/>
      <c r="U49" s="44"/>
      <c r="V49" s="44"/>
      <c r="W49" s="44"/>
      <c r="X49" s="44"/>
      <c r="Y49" s="44"/>
      <c r="Z49" s="44"/>
      <c r="AA49" s="296" t="e">
        <f ca="1">IF($I49="B1","",SUM(O49:Z49))</f>
        <v>#NAME?</v>
      </c>
      <c r="AB49" s="45" t="e">
        <f ca="1">IF(AA49=0,"",IFERROR(AA49/AA$19,""))</f>
        <v>#NAME?</v>
      </c>
      <c r="AD49" s="44"/>
      <c r="AE49" s="45" t="str">
        <f>IF(AD49=0,"",IFERROR(AD49/AD$19,""))</f>
        <v/>
      </c>
      <c r="AF49" s="134" t="e">
        <f ca="1">IF(AND($AA49="",AD49=""),"",$AA49-AD49)</f>
        <v>#NAME?</v>
      </c>
      <c r="AG49" s="44"/>
      <c r="AH49" s="45" t="str">
        <f>IF(AG49=0,"",IFERROR(AG49/AG$19,""))</f>
        <v/>
      </c>
      <c r="AI49" s="134" t="e">
        <f ca="1">IF(AND($AA49="",AG49=""),"",$AA49-AG49)</f>
        <v>#NAME?</v>
      </c>
      <c r="AJ49" s="371">
        <f ca="1">IFERROR(AA49/AA$20,0)</f>
        <v>0</v>
      </c>
      <c r="AK49" s="372">
        <f ca="1">IFERROR(AD49/AD$20,0)</f>
        <v>0</v>
      </c>
      <c r="AL49" s="373">
        <f ca="1">IFERROR(AG49/AG$20,0)</f>
        <v>0</v>
      </c>
      <c r="AM49" s="374">
        <f ca="1">+IFERROR(ROUND(($AB49-AE49)*100,2)&amp;" pts.",0)</f>
        <v>0</v>
      </c>
      <c r="AN49" s="375">
        <f ca="1">+IFERROR(ROUND(($AB49-AH49)*100,2)&amp;" pts.",0)</f>
        <v>0</v>
      </c>
    </row>
    <row r="50" spans="1:40" x14ac:dyDescent="0.2">
      <c r="A50" s="6" t="s">
        <v>6</v>
      </c>
      <c r="B50" s="7"/>
      <c r="F50" s="136"/>
      <c r="H50" s="10" t="s">
        <v>75</v>
      </c>
      <c r="I50" s="26" t="e">
        <f ca="1">_xll.EVPRO($B$1,$H50,"STYLE")</f>
        <v>#NAME?</v>
      </c>
      <c r="J50" s="26" t="e">
        <f ca="1">_xll.EVPRO($B$1,$H50,"CALC")</f>
        <v>#NAME?</v>
      </c>
      <c r="K50" s="65" t="e">
        <f ca="1">IF(AND(I50&gt;="T3"),"&gt;","")</f>
        <v>#NAME?</v>
      </c>
      <c r="L50" s="23" t="e">
        <f ca="1">_xll.EVPRO($B$1,H50,"JDEID")</f>
        <v>#NAME?</v>
      </c>
      <c r="M50" s="24" t="e">
        <f ca="1">IF(AND(I50="N",J50="N"),_xll.EVPRO($B$1,H50,"PSFTID"),"")</f>
        <v>#NAME?</v>
      </c>
      <c r="N50" s="23" t="e">
        <f ca="1">IF(_xll.EVDES(H50,$B$1)="#NODATA","",_xll.EVDES(H50,$B$1))</f>
        <v>#NAME?</v>
      </c>
      <c r="O50" s="35"/>
      <c r="P50" s="35"/>
      <c r="Q50" s="35"/>
      <c r="R50" s="35"/>
      <c r="S50" s="35"/>
      <c r="T50" s="35"/>
      <c r="U50" s="35"/>
      <c r="V50" s="35"/>
      <c r="W50" s="35"/>
      <c r="X50" s="35"/>
      <c r="Y50" s="35"/>
      <c r="Z50" s="35"/>
      <c r="AA50" s="283" t="e">
        <f ca="1">IF($I50="B1","",SUM(O50:Z50))</f>
        <v>#NAME?</v>
      </c>
      <c r="AB50" s="36" t="e">
        <f ca="1">IF(AA50=0,"",IFERROR(AA50/AA$19,""))</f>
        <v>#NAME?</v>
      </c>
      <c r="AD50" s="35"/>
      <c r="AE50" s="36" t="str">
        <f>IF(AD50=0,"",IFERROR(AD50/AD$19,""))</f>
        <v/>
      </c>
      <c r="AF50" s="118" t="e">
        <f ca="1">IF(AND($AA50="",AD50=""),"",$AA50-AD50)</f>
        <v>#NAME?</v>
      </c>
      <c r="AG50" s="35"/>
      <c r="AH50" s="36" t="str">
        <f>IF(AG50=0,"",IFERROR(AG50/AG$19,""))</f>
        <v/>
      </c>
      <c r="AI50" s="118" t="e">
        <f ca="1">IF(AND($AA50="",AG50=""),"",$AA50-AG50)</f>
        <v>#NAME?</v>
      </c>
      <c r="AJ50" s="371">
        <f ca="1">IFERROR(AA50/AA$20,0)</f>
        <v>0</v>
      </c>
      <c r="AK50" s="372">
        <f ca="1">IFERROR(AD50/AD$20,0)</f>
        <v>0</v>
      </c>
      <c r="AL50" s="373">
        <f ca="1">IFERROR(AG50/AG$20,0)</f>
        <v>0</v>
      </c>
      <c r="AM50" s="374">
        <f ca="1">+IFERROR(ROUND(($AB50-AE50)*100,2)&amp;" pts.",0)</f>
        <v>0</v>
      </c>
      <c r="AN50" s="375">
        <f ca="1">+IFERROR(ROUND(($AB50-AH50)*100,2)&amp;" pts.",0)</f>
        <v>0</v>
      </c>
    </row>
    <row r="51" spans="1:40" hidden="1" x14ac:dyDescent="0.2">
      <c r="A51" s="6" t="s">
        <v>7</v>
      </c>
      <c r="B51" s="7" t="e">
        <f ca="1">_xll.EVRNG(A65:F68)</f>
        <v>#NAME?</v>
      </c>
      <c r="F51" s="136"/>
      <c r="H51" s="10" t="s">
        <v>667</v>
      </c>
      <c r="I51" s="25" t="e">
        <f ca="1">_xll.EVPRO($B$1,$H51,"STYLE")</f>
        <v>#NAME?</v>
      </c>
      <c r="J51" s="25" t="e">
        <f ca="1">_xll.EVPRO($B$1,$H51,"CALC")</f>
        <v>#NAME?</v>
      </c>
      <c r="K51" s="64" t="e">
        <f ca="1">IF(AND(I51&gt;="T3"),"&gt;","")</f>
        <v>#NAME?</v>
      </c>
      <c r="L51" s="24" t="e">
        <f ca="1">_xll.EVPRO($B$1,H51,"JDEID")</f>
        <v>#NAME?</v>
      </c>
      <c r="M51" s="24" t="e">
        <f ca="1">IF(AND(I51="N",J51="N"),_xll.EVPRO($B$1,H51,"PSFTID"),"")</f>
        <v>#NAME?</v>
      </c>
      <c r="N51" s="24" t="e">
        <f ca="1">IF(_xll.EVDES(H51,$B$1)="#NODATA","",_xll.EVDES(H51,$B$1))</f>
        <v>#NAME?</v>
      </c>
      <c r="O51" s="44"/>
      <c r="P51" s="44"/>
      <c r="Q51" s="44"/>
      <c r="R51" s="44"/>
      <c r="S51" s="44"/>
      <c r="T51" s="44"/>
      <c r="U51" s="44"/>
      <c r="V51" s="44"/>
      <c r="W51" s="44"/>
      <c r="X51" s="44"/>
      <c r="Y51" s="44"/>
      <c r="Z51" s="44"/>
      <c r="AA51" s="296" t="e">
        <f ca="1">IF($I51="B1","",SUM(O51:Z51))</f>
        <v>#NAME?</v>
      </c>
      <c r="AB51" s="45" t="e">
        <f ca="1">IF(AA51=0,"",IFERROR(AA51/AA$19,""))</f>
        <v>#NAME?</v>
      </c>
      <c r="AD51" s="44"/>
      <c r="AE51" s="45" t="str">
        <f>IF(AD51=0,"",IFERROR(AD51/AD$19,""))</f>
        <v/>
      </c>
      <c r="AF51" s="134" t="e">
        <f ca="1">IF(AND($AA51="",AD51=""),"",$AA51-AD51)</f>
        <v>#NAME?</v>
      </c>
      <c r="AG51" s="44"/>
      <c r="AH51" s="45" t="str">
        <f>IF(AG51=0,"",IFERROR(AG51/AG$19,""))</f>
        <v/>
      </c>
      <c r="AI51" s="134" t="e">
        <f ca="1">IF(AND($AA51="",AG51=""),"",$AA51-AG51)</f>
        <v>#NAME?</v>
      </c>
      <c r="AJ51" s="381">
        <f ca="1">IFERROR(AA51/AA$20,0)</f>
        <v>0</v>
      </c>
      <c r="AK51" s="382">
        <f ca="1">IFERROR(AD51/AD$20,0)</f>
        <v>0</v>
      </c>
      <c r="AL51" s="383">
        <f ca="1">IFERROR(AG51/AG$20,0)</f>
        <v>0</v>
      </c>
      <c r="AM51" s="384">
        <f ca="1">+IFERROR(ROUND(($AB51-AE51)*100,2)&amp;" pts.",0)</f>
        <v>0</v>
      </c>
      <c r="AN51" s="385">
        <f ca="1">+IFERROR(ROUND(($AB51-AH51)*100,2)&amp;" pts.",0)</f>
        <v>0</v>
      </c>
    </row>
    <row r="52" spans="1:40" hidden="1" x14ac:dyDescent="0.2">
      <c r="A52" s="6" t="s">
        <v>47</v>
      </c>
      <c r="B52" s="7" t="e">
        <f ca="1">_xll.EVRNG($A$116:$B$137)</f>
        <v>#NAME?</v>
      </c>
      <c r="H52" s="10"/>
      <c r="I52" s="25" t="e">
        <f ca="1">_xll.EVPRO($B$1,$H52,"STYLE")</f>
        <v>#NAME?</v>
      </c>
      <c r="J52" s="25" t="e">
        <f ca="1">_xll.EVPRO($B$1,$H52,"CALC")</f>
        <v>#NAME?</v>
      </c>
      <c r="K52" s="64" t="e">
        <f ca="1">IF(AND(I52&gt;="T3"),"&gt;","")</f>
        <v>#NAME?</v>
      </c>
      <c r="L52" s="24" t="e">
        <f ca="1">_xll.EVPRO($B$1,H52,"JDEID")</f>
        <v>#NAME?</v>
      </c>
      <c r="M52" s="24" t="e">
        <f ca="1">IF(AND(I52="N",J52="N"),_xll.EVPRO($B$1,H52,"PSFTID"),"")</f>
        <v>#NAME?</v>
      </c>
      <c r="N52" s="24" t="e">
        <f ca="1">IF(_xll.EVDES(H52,$B$1)="#NODATA","",_xll.EVDES(H52,$B$1))</f>
        <v>#NAME?</v>
      </c>
      <c r="O52" s="44"/>
      <c r="P52" s="44"/>
      <c r="Q52" s="44"/>
      <c r="R52" s="44"/>
      <c r="S52" s="44"/>
      <c r="T52" s="44"/>
      <c r="U52" s="44"/>
      <c r="V52" s="44"/>
      <c r="W52" s="44"/>
      <c r="X52" s="44"/>
      <c r="Y52" s="44"/>
      <c r="Z52" s="44"/>
      <c r="AA52" s="296" t="e">
        <f ca="1">IF($I52="B1","",SUM(O52:Z52))</f>
        <v>#NAME?</v>
      </c>
      <c r="AB52" s="45" t="e">
        <f ca="1">IF(AA52=0,"",IFERROR(AA52/AA$19,""))</f>
        <v>#NAME?</v>
      </c>
      <c r="AD52" s="44"/>
      <c r="AE52" s="45" t="str">
        <f>IF(AD52=0,"",IFERROR(AD52/AD$19,""))</f>
        <v/>
      </c>
      <c r="AF52" s="134" t="e">
        <f ca="1">IF(AND($AA52="",AD52=""),"",$AA52-AD52)</f>
        <v>#NAME?</v>
      </c>
      <c r="AG52" s="44"/>
      <c r="AH52" s="45" t="str">
        <f>IF(AG52=0,"",IFERROR(AG52/AG$19,""))</f>
        <v/>
      </c>
      <c r="AI52" s="134" t="e">
        <f ca="1">IF(AND($AA52="",AG52=""),"",$AA52-AG52)</f>
        <v>#NAME?</v>
      </c>
      <c r="AJ52" s="381">
        <f ca="1">IFERROR(AA52/AA$20,0)</f>
        <v>0</v>
      </c>
      <c r="AK52" s="382">
        <f ca="1">IFERROR(AD52/AD$20,0)</f>
        <v>0</v>
      </c>
      <c r="AL52" s="383">
        <f ca="1">IFERROR(AG52/AG$20,0)</f>
        <v>0</v>
      </c>
      <c r="AM52" s="384">
        <f ca="1">+IFERROR(ROUND(($AB52-AE52)*100,2)&amp;" pts.",0)</f>
        <v>0</v>
      </c>
      <c r="AN52" s="385">
        <f ca="1">+IFERROR(ROUND(($AB52-AH52)*100,2)&amp;" pts.",0)</f>
        <v>0</v>
      </c>
    </row>
    <row r="53" spans="1:40" x14ac:dyDescent="0.2">
      <c r="A53" s="6" t="s">
        <v>8</v>
      </c>
      <c r="B53" s="7"/>
      <c r="O53" s="38"/>
      <c r="P53" s="42"/>
      <c r="Q53" s="42"/>
      <c r="R53" s="42"/>
      <c r="S53" s="42"/>
      <c r="T53" s="42"/>
      <c r="U53" s="42"/>
      <c r="V53" s="42"/>
      <c r="W53" s="42"/>
      <c r="X53" s="42"/>
      <c r="Y53" s="42"/>
      <c r="Z53" s="42"/>
      <c r="AA53" s="42"/>
      <c r="AB53" s="39"/>
      <c r="AD53" s="38"/>
      <c r="AE53" s="42"/>
      <c r="AF53" s="39"/>
      <c r="AG53" s="38"/>
      <c r="AH53" s="42"/>
      <c r="AI53" s="39"/>
    </row>
    <row r="54" spans="1:40" x14ac:dyDescent="0.2">
      <c r="H54" s="1" t="s">
        <v>82</v>
      </c>
      <c r="I54" s="11" t="e">
        <f ca="1">_xll.EVPRO($B$1,$H54,"STYLE")</f>
        <v>#NAME?</v>
      </c>
      <c r="J54" s="11" t="e">
        <f ca="1">_xll.EVPRO($B$1,$H54,"CALC")</f>
        <v>#NAME?</v>
      </c>
      <c r="N54" s="37" t="e">
        <f ca="1">IF(_xll.EVDES(H54,$B$1)="#NODATA","",_xll.EVDES(H54,$B$1))</f>
        <v>#NAME?</v>
      </c>
      <c r="O54" s="40"/>
      <c r="P54" s="43"/>
      <c r="Q54" s="43"/>
      <c r="R54" s="43"/>
      <c r="S54" s="43"/>
      <c r="T54" s="43"/>
      <c r="U54" s="43"/>
      <c r="V54" s="43"/>
      <c r="W54" s="43"/>
      <c r="X54" s="43"/>
      <c r="Y54" s="43"/>
      <c r="Z54" s="43"/>
      <c r="AA54" s="43"/>
      <c r="AB54" s="41"/>
      <c r="AD54" s="40"/>
      <c r="AE54" s="43"/>
      <c r="AF54" s="41"/>
      <c r="AG54" s="40"/>
      <c r="AH54" s="43"/>
      <c r="AI54" s="41"/>
    </row>
    <row r="55" spans="1:40" hidden="1" x14ac:dyDescent="0.2">
      <c r="A55" s="3" t="s">
        <v>9</v>
      </c>
      <c r="B55" s="5" t="s">
        <v>10</v>
      </c>
      <c r="H55" s="10" t="s">
        <v>667</v>
      </c>
      <c r="I55" s="25" t="e">
        <f ca="1">_xll.EVPRO($B$1,$H55,"STYLE")</f>
        <v>#NAME?</v>
      </c>
      <c r="J55" s="25" t="e">
        <f ca="1">_xll.EVPRO($B$1,$H55,"CALC")</f>
        <v>#NAME?</v>
      </c>
      <c r="K55" s="64" t="e">
        <f ca="1">IF(AND(I55&lt;&gt;"B1",J55="Y"),"&gt;","")</f>
        <v>#NAME?</v>
      </c>
      <c r="L55" s="24" t="e">
        <f ca="1">_xll.EVPRO($B$1,H55,"JDEID")</f>
        <v>#NAME?</v>
      </c>
      <c r="M55" s="24" t="e">
        <f ca="1">IF(AND(I55="N",J55="N"),_xll.EVPRO($B$1,H55,"PSFTID"),"")</f>
        <v>#NAME?</v>
      </c>
      <c r="N55" s="24" t="e">
        <f ca="1">IF(_xll.EVDES(H55,$B$1)="#NODATA","",_xll.EVDES(H55,$B$1))</f>
        <v>#NAME?</v>
      </c>
      <c r="O55" s="28"/>
      <c r="P55" s="28"/>
      <c r="Q55" s="28"/>
      <c r="R55" s="28"/>
      <c r="S55" s="28"/>
      <c r="T55" s="28"/>
      <c r="U55" s="28"/>
      <c r="V55" s="28"/>
      <c r="W55" s="28"/>
      <c r="X55" s="28"/>
      <c r="Y55" s="28"/>
      <c r="Z55" s="28"/>
      <c r="AA55" s="296" t="e">
        <f ca="1">IF($I55="B1","",SUM(O55:Z55))</f>
        <v>#NAME?</v>
      </c>
      <c r="AB55" s="29" t="e">
        <f ca="1">IF(AA55=0,"",IFERROR(AA55/AA$19,""))</f>
        <v>#NAME?</v>
      </c>
      <c r="AD55" s="28"/>
      <c r="AE55" s="29" t="str">
        <f>IF(AD55=0,"",IFERROR(AD55/AD$19,""))</f>
        <v/>
      </c>
      <c r="AF55" s="48" t="e">
        <f ca="1">IF(AND($AA55="",AD55=""),"",$AA55-AD55)</f>
        <v>#NAME?</v>
      </c>
      <c r="AG55" s="28"/>
      <c r="AH55" s="29" t="str">
        <f>IF(AG55=0,"",IFERROR(AG55/AG$19,""))</f>
        <v/>
      </c>
      <c r="AI55" s="48" t="e">
        <f ca="1">IF(AND($AA55="",AG55=""),"",$AA55-AG55)</f>
        <v>#NAME?</v>
      </c>
      <c r="AJ55" s="371">
        <f ca="1">IFERROR(AA55/AA$20,0)</f>
        <v>0</v>
      </c>
      <c r="AK55" s="372">
        <f ca="1">IFERROR(AD55/AD$20,0)</f>
        <v>0</v>
      </c>
      <c r="AL55" s="373">
        <f ca="1">IFERROR(AG55/AG$20,0)</f>
        <v>0</v>
      </c>
      <c r="AM55" s="374">
        <f ca="1">+IFERROR(ROUND(($AB55-AE55)*100,2)&amp;" pts.",0)</f>
        <v>0</v>
      </c>
      <c r="AN55" s="375">
        <f ca="1">+IFERROR(ROUND(($AB55-AH55)*100,2)&amp;" pts.",0)</f>
        <v>0</v>
      </c>
    </row>
    <row r="56" spans="1:40" hidden="1" x14ac:dyDescent="0.2">
      <c r="A56" s="6" t="s">
        <v>11</v>
      </c>
      <c r="B56" s="7" t="s">
        <v>21</v>
      </c>
      <c r="G56" s="13"/>
      <c r="H56" s="10"/>
      <c r="I56" s="25" t="e">
        <f ca="1">_xll.EVPRO($B$1,$H56,"STYLE")</f>
        <v>#NAME?</v>
      </c>
      <c r="J56" s="25" t="e">
        <f ca="1">_xll.EVPRO($B$1,$H56,"CALC")</f>
        <v>#NAME?</v>
      </c>
      <c r="K56" s="64" t="e">
        <f ca="1">IF(AND(I56&lt;&gt;"B1",J56="Y"),"&gt;","")</f>
        <v>#NAME?</v>
      </c>
      <c r="L56" s="24" t="e">
        <f ca="1">_xll.EVPRO($B$1,H56,"JDEID")</f>
        <v>#NAME?</v>
      </c>
      <c r="M56" s="24" t="e">
        <f ca="1">IF(AND(I56="N",J56="N"),_xll.EVPRO($B$1,H56,"PSFTID"),"")</f>
        <v>#NAME?</v>
      </c>
      <c r="N56" s="24" t="e">
        <f ca="1">IF(_xll.EVDES(H56,$B$1)="#NODATA","",_xll.EVDES(H56,$B$1))</f>
        <v>#NAME?</v>
      </c>
      <c r="O56" s="28"/>
      <c r="P56" s="28"/>
      <c r="Q56" s="28"/>
      <c r="R56" s="28"/>
      <c r="S56" s="28"/>
      <c r="T56" s="28"/>
      <c r="U56" s="28"/>
      <c r="V56" s="28"/>
      <c r="W56" s="28"/>
      <c r="X56" s="28"/>
      <c r="Y56" s="28"/>
      <c r="Z56" s="28"/>
      <c r="AA56" s="296" t="e">
        <f ca="1">IF($I56="B1","",SUM(O56:Z56))</f>
        <v>#NAME?</v>
      </c>
      <c r="AB56" s="29" t="e">
        <f ca="1">IF(AA56=0,"",IFERROR(AA56/AA$19,""))</f>
        <v>#NAME?</v>
      </c>
      <c r="AD56" s="28"/>
      <c r="AE56" s="29" t="str">
        <f>IF(AD56=0,"",IFERROR(AD56/AD$19,""))</f>
        <v/>
      </c>
      <c r="AF56" s="48" t="e">
        <f ca="1">IF(AND($AA56="",AD56=""),"",$AA56-AD56)</f>
        <v>#NAME?</v>
      </c>
      <c r="AG56" s="28"/>
      <c r="AH56" s="29" t="str">
        <f>IF(AG56=0,"",IFERROR(AG56/AG$19,""))</f>
        <v/>
      </c>
      <c r="AI56" s="48" t="e">
        <f ca="1">IF(AND($AA56="",AG56=""),"",$AA56-AG56)</f>
        <v>#NAME?</v>
      </c>
      <c r="AJ56" s="371">
        <f ca="1">IFERROR(AA56/AA$20,0)</f>
        <v>0</v>
      </c>
      <c r="AK56" s="372">
        <f ca="1">IFERROR(AD56/AD$20,0)</f>
        <v>0</v>
      </c>
      <c r="AL56" s="373">
        <f ca="1">IFERROR(AG56/AG$20,0)</f>
        <v>0</v>
      </c>
      <c r="AM56" s="374">
        <f ca="1">+IFERROR(ROUND(($AB56-AE56)*100,2)&amp;" pts.",0)</f>
        <v>0</v>
      </c>
      <c r="AN56" s="375">
        <f ca="1">+IFERROR(ROUND(($AB56-AH56)*100,2)&amp;" pts.",0)</f>
        <v>0</v>
      </c>
    </row>
    <row r="57" spans="1:40" x14ac:dyDescent="0.2">
      <c r="A57" s="6" t="s">
        <v>12</v>
      </c>
      <c r="B57" s="7" t="s">
        <v>22</v>
      </c>
      <c r="H57" s="10" t="s">
        <v>79</v>
      </c>
      <c r="I57" s="25" t="e">
        <f ca="1">_xll.EVPRO($B$1,$H57,"STYLE")</f>
        <v>#NAME?</v>
      </c>
      <c r="J57" s="25" t="e">
        <f ca="1">_xll.EVPRO($B$1,$H57,"CALC")</f>
        <v>#NAME?</v>
      </c>
      <c r="K57" s="24"/>
      <c r="L57" s="24"/>
      <c r="M57" s="24"/>
      <c r="N57" s="23" t="e">
        <f ca="1">IF(_xll.EVDES(H57,$B$1)="#NODATA","",_xll.EVDES(H57,$B$1))</f>
        <v>#NAME?</v>
      </c>
      <c r="O57" s="30"/>
      <c r="P57" s="30"/>
      <c r="Q57" s="30"/>
      <c r="R57" s="30"/>
      <c r="S57" s="30"/>
      <c r="T57" s="30"/>
      <c r="U57" s="30"/>
      <c r="V57" s="30"/>
      <c r="W57" s="30"/>
      <c r="X57" s="30"/>
      <c r="Y57" s="30"/>
      <c r="Z57" s="30"/>
      <c r="AA57" s="30" t="e">
        <f ca="1">IF($I57="B1","",SUM(O57:Z57))</f>
        <v>#NAME?</v>
      </c>
      <c r="AB57" s="31" t="e">
        <f ca="1">IF(AA57=0,"",IFERROR(AA57/AA$19,""))</f>
        <v>#NAME?</v>
      </c>
      <c r="AD57" s="30"/>
      <c r="AE57" s="31" t="str">
        <f>IF(AD57=0,"",IFERROR(AD57/AD$19,""))</f>
        <v/>
      </c>
      <c r="AF57" s="49" t="e">
        <f ca="1">IF(AND($AA57="",AD57=""),"",$AA57-AD57)</f>
        <v>#NAME?</v>
      </c>
      <c r="AG57" s="30"/>
      <c r="AH57" s="31" t="str">
        <f>IF(AG57=0,"",IFERROR(AG57/AG$19,""))</f>
        <v/>
      </c>
      <c r="AI57" s="49" t="e">
        <f ca="1">IF(AND($AA57="",AG57=""),"",$AA57-AG57)</f>
        <v>#NAME?</v>
      </c>
      <c r="AJ57" s="387">
        <f ca="1">IFERROR(AA57/AA$20,0)</f>
        <v>0</v>
      </c>
      <c r="AK57" s="388">
        <f ca="1">IFERROR(AD57/AD$20,0)</f>
        <v>0</v>
      </c>
      <c r="AL57" s="389">
        <f ca="1">IFERROR(AG57/AG$20,0)</f>
        <v>0</v>
      </c>
      <c r="AM57" s="390">
        <f ca="1">+IFERROR(ROUND(($AB57-AE57)*100,2)&amp;" pts.",0)</f>
        <v>0</v>
      </c>
      <c r="AN57" s="408">
        <f ca="1">+IFERROR(ROUND(($AB57-AH57)*100,2)&amp;" pts.",0)</f>
        <v>0</v>
      </c>
    </row>
    <row r="58" spans="1:40" x14ac:dyDescent="0.2">
      <c r="A58" s="6" t="s">
        <v>13</v>
      </c>
      <c r="B58" s="7" t="e">
        <f ca="1">"DEP(500001) AND "&amp;$E$6&amp;"=Y,500001"</f>
        <v>#NAME?</v>
      </c>
    </row>
    <row r="59" spans="1:40" x14ac:dyDescent="0.2">
      <c r="A59" s="6" t="s">
        <v>14</v>
      </c>
      <c r="B59" s="7"/>
      <c r="H59" s="10" t="s">
        <v>80</v>
      </c>
      <c r="I59" s="25" t="e">
        <f ca="1">_xll.EVPRO($B$1,$H59,"STYLE")</f>
        <v>#NAME?</v>
      </c>
      <c r="J59" s="25" t="e">
        <f ca="1">_xll.EVPRO($B$1,$H59,"CALC")</f>
        <v>#NAME?</v>
      </c>
      <c r="K59" s="23"/>
      <c r="L59" s="23"/>
      <c r="M59" s="23"/>
      <c r="N59" s="23" t="e">
        <f ca="1">IF(_xll.EVDES(H59,$B$1)="#NODATA","",_xll.EVDES(H59,$B$1))</f>
        <v>#NAME?</v>
      </c>
      <c r="O59" s="33"/>
      <c r="P59" s="33"/>
      <c r="Q59" s="33"/>
      <c r="R59" s="33"/>
      <c r="S59" s="33"/>
      <c r="T59" s="33"/>
      <c r="U59" s="33"/>
      <c r="V59" s="33"/>
      <c r="W59" s="33"/>
      <c r="X59" s="33"/>
      <c r="Y59" s="33"/>
      <c r="Z59" s="33"/>
      <c r="AA59" s="33" t="e">
        <f ca="1">IF($I59="B1","",SUM(O59:Z59))</f>
        <v>#NAME?</v>
      </c>
      <c r="AB59" s="34" t="e">
        <f ca="1">IF(AA59=0,"",IFERROR(AA59/AA$19,""))</f>
        <v>#NAME?</v>
      </c>
      <c r="AD59" s="33"/>
      <c r="AE59" s="34" t="str">
        <f>IF(AD59=0,"",IFERROR(AD59/AD$19,""))</f>
        <v/>
      </c>
      <c r="AF59" s="55" t="e">
        <f ca="1">IF(AND($AA59="",AD59=""),"",$AA59-AD59)</f>
        <v>#NAME?</v>
      </c>
      <c r="AG59" s="56"/>
      <c r="AH59" s="57" t="str">
        <f>IF(AG59=0,"",IFERROR(AG59/AG$19,""))</f>
        <v/>
      </c>
      <c r="AI59" s="55" t="e">
        <f ca="1">IF(AND($AA59="",AG59=""),"",$AA59-AG59)</f>
        <v>#NAME?</v>
      </c>
      <c r="AJ59" s="364">
        <f ca="1">IFERROR(AA59/AA$20,0)</f>
        <v>0</v>
      </c>
      <c r="AK59" s="365">
        <f ca="1">IFERROR(AD59/AD$20,0)</f>
        <v>0</v>
      </c>
      <c r="AL59" s="366">
        <f ca="1">IFERROR(AG59/AG$20,0)</f>
        <v>0</v>
      </c>
      <c r="AM59" s="367">
        <f ca="1">+IFERROR(ROUND(($AB59-AE59)*100,2)&amp;" pts.",0)</f>
        <v>0</v>
      </c>
      <c r="AN59" s="409">
        <f ca="1">+IFERROR(ROUND(($AB59-AH59)*100,2)&amp;" pts.",0)</f>
        <v>0</v>
      </c>
    </row>
    <row r="60" spans="1:40" ht="16" thickBot="1" x14ac:dyDescent="0.25">
      <c r="A60" s="6" t="s">
        <v>15</v>
      </c>
      <c r="B60" s="7"/>
      <c r="H60" s="10" t="s">
        <v>81</v>
      </c>
      <c r="I60" s="25" t="e">
        <f ca="1">_xll.EVPRO($B$1,$H60,"STYLE")</f>
        <v>#NAME?</v>
      </c>
      <c r="J60" s="25" t="e">
        <f ca="1">_xll.EVPRO($B$1,$H60,"CALC")</f>
        <v>#NAME?</v>
      </c>
      <c r="K60" s="23"/>
      <c r="L60" s="23"/>
      <c r="M60" s="23"/>
      <c r="N60" s="23" t="e">
        <f ca="1">IF(_xll.EVDES(H60,$B$1)="#NODATA","",_xll.EVDES(H60,$B$1))</f>
        <v>#NAME?</v>
      </c>
      <c r="O60" s="58"/>
      <c r="P60" s="58"/>
      <c r="Q60" s="58"/>
      <c r="R60" s="58"/>
      <c r="S60" s="58"/>
      <c r="T60" s="58"/>
      <c r="U60" s="58"/>
      <c r="V60" s="58"/>
      <c r="W60" s="58"/>
      <c r="X60" s="58"/>
      <c r="Y60" s="58"/>
      <c r="Z60" s="58"/>
      <c r="AA60" s="58" t="e">
        <f ca="1">IF($I60="B1","",SUM(O60:Z60))</f>
        <v>#NAME?</v>
      </c>
      <c r="AB60" s="59" t="e">
        <f ca="1">IF(AA60=0,"",IFERROR(AA60/AA$19,""))</f>
        <v>#NAME?</v>
      </c>
      <c r="AD60" s="58"/>
      <c r="AE60" s="59" t="str">
        <f>IF(AD60=0,"",IFERROR(AD60/AD$19,""))</f>
        <v/>
      </c>
      <c r="AF60" s="60" t="e">
        <f ca="1">IF(AND($AA60="",AD60=""),"",$AA60-AD60)</f>
        <v>#NAME?</v>
      </c>
      <c r="AG60" s="58">
        <v>0</v>
      </c>
      <c r="AH60" s="59" t="str">
        <f>IF(AG60=0,"",IFERROR(AG60/AG$19,""))</f>
        <v/>
      </c>
      <c r="AI60" s="60" t="e">
        <f ca="1">IF(AND($AA60="",AG60=""),"",$AA60-AG60)</f>
        <v>#NAME?</v>
      </c>
      <c r="AJ60" s="402">
        <f ca="1">IFERROR(AA60/AA$20,0)</f>
        <v>0</v>
      </c>
      <c r="AK60" s="403">
        <f ca="1">IFERROR(AD60/AD$20,0)</f>
        <v>0</v>
      </c>
      <c r="AL60" s="404">
        <f ca="1">IFERROR(AG60/AG$20,0)</f>
        <v>0</v>
      </c>
      <c r="AM60" s="405">
        <f ca="1">+IFERROR(ROUND(($AB60-AE60)*100,2)&amp;" pts.",0)</f>
        <v>0</v>
      </c>
      <c r="AN60" s="410">
        <f ca="1">+IFERROR(ROUND(($AB60-AH60)*100,2)&amp;" pts.",0)</f>
        <v>0</v>
      </c>
    </row>
    <row r="61" spans="1:40" ht="16" thickTop="1" x14ac:dyDescent="0.2">
      <c r="A61" s="6" t="s">
        <v>16</v>
      </c>
      <c r="B61" s="7"/>
    </row>
    <row r="62" spans="1:40" x14ac:dyDescent="0.2">
      <c r="A62" s="6" t="s">
        <v>17</v>
      </c>
      <c r="B62" s="7"/>
      <c r="N62" s="24" t="e">
        <f ca="1">N59&amp;" - Check"</f>
        <v>#NAME?</v>
      </c>
      <c r="O62" s="124">
        <f t="shared" ref="O62:AA62" si="9">SUMIF($H$34:$H$60,"600000",O$34:O$60)+SUMIF($H$34:$H$60,"700000",O$34:O$60)-SUMIF($H$34:$H$60,"TOTDEPTEXP",O$34:O$60)</f>
        <v>0</v>
      </c>
      <c r="P62" s="124">
        <f t="shared" si="9"/>
        <v>0</v>
      </c>
      <c r="Q62" s="124">
        <f t="shared" si="9"/>
        <v>0</v>
      </c>
      <c r="R62" s="124">
        <f t="shared" si="9"/>
        <v>0</v>
      </c>
      <c r="S62" s="124">
        <f t="shared" si="9"/>
        <v>0</v>
      </c>
      <c r="T62" s="124">
        <f t="shared" si="9"/>
        <v>0</v>
      </c>
      <c r="U62" s="124">
        <f t="shared" si="9"/>
        <v>0</v>
      </c>
      <c r="V62" s="124">
        <f t="shared" si="9"/>
        <v>0</v>
      </c>
      <c r="W62" s="124">
        <f t="shared" si="9"/>
        <v>0</v>
      </c>
      <c r="X62" s="124">
        <f t="shared" si="9"/>
        <v>0</v>
      </c>
      <c r="Y62" s="124">
        <f t="shared" si="9"/>
        <v>0</v>
      </c>
      <c r="Z62" s="124">
        <f t="shared" si="9"/>
        <v>0</v>
      </c>
      <c r="AA62" s="124" t="e">
        <f t="shared" ca="1" si="9"/>
        <v>#NAME?</v>
      </c>
      <c r="AB62" s="15"/>
      <c r="AD62" s="124">
        <f>SUMIF($H$34:$H$60,"600000",AD$34:AD$60)+SUMIF($H$34:$H$60,"700000",AD$34:AD$60)-SUMIF($H$34:$H$60,"TOTDEPTEXP",AD$34:AD$60)</f>
        <v>0</v>
      </c>
      <c r="AE62" s="15"/>
      <c r="AF62" s="19"/>
      <c r="AG62" s="124">
        <f>SUMIF($H$34:$H$60,"600000",AG$34:AG$60)+SUMIF($H$34:$H$60,"700000",AG$34:AG$60)-SUMIF($H$34:$H$60,"TOTDEPTEXP",AG$34:AG$60)</f>
        <v>0</v>
      </c>
      <c r="AH62" s="15"/>
      <c r="AI62" s="19"/>
    </row>
    <row r="63" spans="1:40" x14ac:dyDescent="0.2">
      <c r="N63" s="24" t="e">
        <f ca="1">N60&amp;" - Check"</f>
        <v>#NAME?</v>
      </c>
      <c r="O63" s="124">
        <f t="shared" ref="O63:AA63" si="10">SUMIF($H$34:$H$60,"KPI_GP",O$34:O$60)-SUMIF($H$34:$H$60,"TOTDEPTEXP",O$34:O$60)-SUMIF($H$34:$H$60,"TOTDEPTPL",O$34:O$60)</f>
        <v>0</v>
      </c>
      <c r="P63" s="124">
        <f t="shared" si="10"/>
        <v>0</v>
      </c>
      <c r="Q63" s="124">
        <f t="shared" si="10"/>
        <v>0</v>
      </c>
      <c r="R63" s="124">
        <f t="shared" si="10"/>
        <v>0</v>
      </c>
      <c r="S63" s="124">
        <f t="shared" si="10"/>
        <v>0</v>
      </c>
      <c r="T63" s="124">
        <f t="shared" si="10"/>
        <v>0</v>
      </c>
      <c r="U63" s="124">
        <f t="shared" si="10"/>
        <v>0</v>
      </c>
      <c r="V63" s="124">
        <f t="shared" si="10"/>
        <v>0</v>
      </c>
      <c r="W63" s="124">
        <f t="shared" si="10"/>
        <v>0</v>
      </c>
      <c r="X63" s="124">
        <f t="shared" si="10"/>
        <v>0</v>
      </c>
      <c r="Y63" s="124">
        <f t="shared" si="10"/>
        <v>0</v>
      </c>
      <c r="Z63" s="124">
        <f t="shared" si="10"/>
        <v>0</v>
      </c>
      <c r="AA63" s="124" t="e">
        <f t="shared" ca="1" si="10"/>
        <v>#NAME?</v>
      </c>
      <c r="AB63" s="15"/>
      <c r="AD63" s="124">
        <f>SUMIF($H$34:$H$60,"KPI_GP",AD$34:AD$60)-SUMIF($H$34:$H$60,"TOTDEPTEXP",AD$34:AD$60)-SUMIF($H$34:$H$60,"TOTDEPTPL",AD$34:AD$60)</f>
        <v>0</v>
      </c>
      <c r="AE63" s="15"/>
      <c r="AF63" s="19"/>
      <c r="AG63" s="124">
        <f>SUMIF($H$34:$H$60,"KPI_GP",AG$34:AG$60)-SUMIF($H$34:$H$60,"TOTDEPTEXP",AG$34:AG$60)-SUMIF($H$34:$H$60,"TOTDEPTPL",AG$34:AG$60)</f>
        <v>0</v>
      </c>
      <c r="AH63" s="15"/>
      <c r="AI63" s="19"/>
    </row>
    <row r="64" spans="1:40" x14ac:dyDescent="0.2">
      <c r="A64" s="20" t="s">
        <v>92</v>
      </c>
      <c r="B64" s="21" t="s">
        <v>93</v>
      </c>
      <c r="C64" s="21" t="s">
        <v>94</v>
      </c>
      <c r="D64" s="21" t="s">
        <v>95</v>
      </c>
      <c r="E64" s="21" t="s">
        <v>96</v>
      </c>
      <c r="F64" s="22" t="s">
        <v>97</v>
      </c>
    </row>
    <row r="65" spans="1:33" x14ac:dyDescent="0.2">
      <c r="O65" s="147"/>
      <c r="P65" s="147"/>
      <c r="Q65" s="147"/>
      <c r="R65" s="147"/>
      <c r="S65" s="147"/>
      <c r="T65" s="147"/>
      <c r="U65" s="147"/>
      <c r="V65" s="147"/>
      <c r="W65" s="147"/>
      <c r="X65" s="147"/>
      <c r="Y65" s="147"/>
      <c r="Z65" s="147"/>
      <c r="AA65" s="147"/>
      <c r="AD65" s="147"/>
      <c r="AG65" s="147"/>
    </row>
    <row r="66" spans="1:33" x14ac:dyDescent="0.2">
      <c r="A66" s="1" t="s">
        <v>105</v>
      </c>
      <c r="C66" s="24" t="s">
        <v>101</v>
      </c>
      <c r="D66" s="1" t="s">
        <v>106</v>
      </c>
      <c r="F66" s="1" t="s">
        <v>98</v>
      </c>
    </row>
    <row r="67" spans="1:33" x14ac:dyDescent="0.2">
      <c r="A67" s="1" t="s">
        <v>108</v>
      </c>
      <c r="C67" s="23" t="s">
        <v>101</v>
      </c>
      <c r="D67" s="1" t="s">
        <v>106</v>
      </c>
      <c r="F67" s="1" t="s">
        <v>98</v>
      </c>
      <c r="O67" s="147"/>
      <c r="P67" s="147"/>
      <c r="Q67" s="147"/>
      <c r="R67" s="147"/>
      <c r="S67" s="147"/>
      <c r="T67" s="147"/>
      <c r="U67" s="147"/>
      <c r="V67" s="147"/>
      <c r="W67" s="147"/>
      <c r="X67" s="147"/>
      <c r="Y67" s="147"/>
      <c r="Z67" s="147"/>
      <c r="AA67" s="147"/>
      <c r="AD67" s="147"/>
      <c r="AG67" s="147"/>
    </row>
    <row r="68" spans="1:33" x14ac:dyDescent="0.2">
      <c r="A68" s="1" t="s">
        <v>108</v>
      </c>
      <c r="C68" s="135" t="s">
        <v>101</v>
      </c>
      <c r="D68" s="1" t="s">
        <v>107</v>
      </c>
      <c r="F68" s="1" t="s">
        <v>99</v>
      </c>
    </row>
    <row r="70" spans="1:33" x14ac:dyDescent="0.2">
      <c r="C70" s="23"/>
      <c r="H70" s="11"/>
      <c r="J70" s="1"/>
    </row>
    <row r="71" spans="1:33" x14ac:dyDescent="0.2">
      <c r="A71" s="4" t="e">
        <f ca="1">_xll.EVDRE($B$1,A74:B81,A84:B90)</f>
        <v>#NAME?</v>
      </c>
      <c r="H71" s="11"/>
      <c r="J71" s="1"/>
    </row>
    <row r="72" spans="1:33" x14ac:dyDescent="0.2">
      <c r="H72" s="11"/>
      <c r="J72" s="1"/>
    </row>
    <row r="73" spans="1:33" x14ac:dyDescent="0.2">
      <c r="A73" s="3" t="s">
        <v>0</v>
      </c>
      <c r="B73" s="5" t="s">
        <v>1</v>
      </c>
      <c r="H73" s="11"/>
      <c r="J73" s="1"/>
    </row>
    <row r="74" spans="1:33" x14ac:dyDescent="0.2">
      <c r="A74" s="6" t="s">
        <v>2</v>
      </c>
      <c r="B74" s="7" t="e">
        <f ca="1">_xll.EVRNG($B$2:$B$10)</f>
        <v>#NAME?</v>
      </c>
      <c r="H74" s="11"/>
      <c r="J74" s="1"/>
    </row>
    <row r="75" spans="1:33" x14ac:dyDescent="0.2">
      <c r="A75" s="6" t="s">
        <v>3</v>
      </c>
      <c r="B75" s="7" t="e">
        <f ca="1">_xll.EVRNG($O$16:$AN$18)</f>
        <v>#NAME?</v>
      </c>
      <c r="H75" s="11"/>
      <c r="J75" s="1"/>
    </row>
    <row r="76" spans="1:33" x14ac:dyDescent="0.2">
      <c r="A76" s="6" t="s">
        <v>4</v>
      </c>
      <c r="B76" s="7" t="e">
        <f ca="1">_xll.EVRNG(H48:H49,H51:H52,H55:H56)</f>
        <v>#NAME?</v>
      </c>
      <c r="H76" s="11"/>
      <c r="J76" s="1"/>
    </row>
    <row r="77" spans="1:33" x14ac:dyDescent="0.2">
      <c r="A77" s="6" t="s">
        <v>5</v>
      </c>
      <c r="B77" s="7"/>
      <c r="H77" s="11"/>
      <c r="J77" s="1"/>
    </row>
    <row r="78" spans="1:33" x14ac:dyDescent="0.2">
      <c r="A78" s="6" t="s">
        <v>6</v>
      </c>
      <c r="B78" s="7"/>
      <c r="H78" s="11"/>
      <c r="J78" s="1"/>
    </row>
    <row r="79" spans="1:33" x14ac:dyDescent="0.2">
      <c r="A79" s="6" t="s">
        <v>7</v>
      </c>
      <c r="B79" s="7" t="e">
        <f ca="1">_xll.EVRNG(A93:F99)</f>
        <v>#NAME?</v>
      </c>
      <c r="H79" s="11"/>
      <c r="J79" s="1"/>
    </row>
    <row r="80" spans="1:33" x14ac:dyDescent="0.2">
      <c r="A80" s="6" t="s">
        <v>47</v>
      </c>
      <c r="B80" s="7" t="e">
        <f ca="1">_xll.EVRNG($A$116:$B$137)</f>
        <v>#NAME?</v>
      </c>
      <c r="H80" s="11"/>
      <c r="J80" s="1"/>
    </row>
    <row r="81" spans="1:10" x14ac:dyDescent="0.2">
      <c r="A81" s="6" t="s">
        <v>8</v>
      </c>
      <c r="B81" s="7"/>
      <c r="H81" s="11"/>
      <c r="J81" s="1"/>
    </row>
    <row r="82" spans="1:10" x14ac:dyDescent="0.2">
      <c r="H82" s="11"/>
      <c r="J82" s="1"/>
    </row>
    <row r="83" spans="1:10" x14ac:dyDescent="0.2">
      <c r="A83" s="3" t="s">
        <v>9</v>
      </c>
      <c r="B83" s="5" t="s">
        <v>10</v>
      </c>
      <c r="H83" s="11"/>
      <c r="J83" s="1"/>
    </row>
    <row r="84" spans="1:10" x14ac:dyDescent="0.2">
      <c r="A84" s="6" t="s">
        <v>11</v>
      </c>
      <c r="B84" s="7" t="s">
        <v>21</v>
      </c>
      <c r="H84" s="11"/>
      <c r="J84" s="1"/>
    </row>
    <row r="85" spans="1:10" x14ac:dyDescent="0.2">
      <c r="A85" s="6" t="s">
        <v>12</v>
      </c>
      <c r="B85" s="7" t="s">
        <v>22</v>
      </c>
      <c r="H85" s="11"/>
      <c r="J85" s="1"/>
    </row>
    <row r="86" spans="1:10" x14ac:dyDescent="0.2">
      <c r="A86" s="6" t="s">
        <v>13</v>
      </c>
      <c r="B86" s="7" t="s">
        <v>737</v>
      </c>
      <c r="H86" s="11"/>
      <c r="J86" s="1"/>
    </row>
    <row r="87" spans="1:10" x14ac:dyDescent="0.2">
      <c r="A87" s="6" t="s">
        <v>14</v>
      </c>
      <c r="B87" s="7"/>
      <c r="H87" s="11"/>
      <c r="J87" s="1"/>
    </row>
    <row r="88" spans="1:10" x14ac:dyDescent="0.2">
      <c r="A88" s="6" t="s">
        <v>15</v>
      </c>
      <c r="B88" s="7"/>
      <c r="H88" s="11"/>
      <c r="J88" s="1"/>
    </row>
    <row r="89" spans="1:10" x14ac:dyDescent="0.2">
      <c r="A89" s="6" t="s">
        <v>16</v>
      </c>
      <c r="B89" s="7" t="s">
        <v>78</v>
      </c>
      <c r="G89" s="13"/>
      <c r="H89" s="11"/>
      <c r="J89" s="1"/>
    </row>
    <row r="90" spans="1:10" x14ac:dyDescent="0.2">
      <c r="A90" s="6" t="s">
        <v>17</v>
      </c>
      <c r="B90" s="7"/>
      <c r="H90" s="11"/>
      <c r="J90" s="1"/>
    </row>
    <row r="91" spans="1:10" x14ac:dyDescent="0.2">
      <c r="H91" s="11"/>
      <c r="J91" s="1"/>
    </row>
    <row r="92" spans="1:10" x14ac:dyDescent="0.2">
      <c r="A92" s="20" t="s">
        <v>92</v>
      </c>
      <c r="B92" s="21" t="s">
        <v>93</v>
      </c>
      <c r="C92" s="21" t="s">
        <v>94</v>
      </c>
      <c r="D92" s="21" t="s">
        <v>95</v>
      </c>
      <c r="E92" s="21" t="s">
        <v>96</v>
      </c>
      <c r="F92" s="22" t="s">
        <v>97</v>
      </c>
      <c r="H92" s="11"/>
      <c r="J92" s="1"/>
    </row>
    <row r="93" spans="1:10" x14ac:dyDescent="0.2">
      <c r="H93" s="11"/>
    </row>
    <row r="94" spans="1:10" x14ac:dyDescent="0.2">
      <c r="A94" s="1" t="s">
        <v>108</v>
      </c>
      <c r="C94" s="24" t="s">
        <v>101</v>
      </c>
      <c r="D94" s="1" t="s">
        <v>106</v>
      </c>
      <c r="F94" s="1" t="s">
        <v>98</v>
      </c>
    </row>
    <row r="95" spans="1:10" x14ac:dyDescent="0.2">
      <c r="A95" s="1" t="s">
        <v>100</v>
      </c>
      <c r="C95" s="8" t="s">
        <v>101</v>
      </c>
      <c r="D95" s="1" t="s">
        <v>106</v>
      </c>
      <c r="F95" s="1" t="s">
        <v>98</v>
      </c>
    </row>
    <row r="96" spans="1:10" x14ac:dyDescent="0.2">
      <c r="A96" s="1" t="s">
        <v>109</v>
      </c>
      <c r="C96" s="23" t="s">
        <v>101</v>
      </c>
      <c r="D96" s="1" t="s">
        <v>106</v>
      </c>
      <c r="F96" s="1" t="s">
        <v>98</v>
      </c>
    </row>
    <row r="97" spans="1:6" x14ac:dyDescent="0.2">
      <c r="A97" s="1" t="s">
        <v>109</v>
      </c>
      <c r="C97" s="135" t="s">
        <v>101</v>
      </c>
      <c r="D97" s="1" t="s">
        <v>107</v>
      </c>
      <c r="F97" s="1" t="s">
        <v>99</v>
      </c>
    </row>
    <row r="98" spans="1:6" x14ac:dyDescent="0.2">
      <c r="A98" s="1" t="s">
        <v>110</v>
      </c>
      <c r="C98" s="23" t="s">
        <v>101</v>
      </c>
      <c r="D98" s="1" t="s">
        <v>106</v>
      </c>
      <c r="F98" s="1" t="s">
        <v>98</v>
      </c>
    </row>
    <row r="99" spans="1:6" x14ac:dyDescent="0.2">
      <c r="A99" s="1" t="s">
        <v>110</v>
      </c>
      <c r="C99" s="27" t="s">
        <v>101</v>
      </c>
      <c r="D99" s="1" t="s">
        <v>107</v>
      </c>
      <c r="F99" s="1" t="s">
        <v>99</v>
      </c>
    </row>
    <row r="100" spans="1:6" x14ac:dyDescent="0.2">
      <c r="C100" s="23"/>
    </row>
    <row r="102" spans="1:6" x14ac:dyDescent="0.2">
      <c r="A102" s="4" t="e">
        <f ca="1">_xll.EVDRE($B$1,A105:B112)</f>
        <v>#NAME?</v>
      </c>
      <c r="B102" s="1" t="s">
        <v>736</v>
      </c>
    </row>
    <row r="104" spans="1:6" x14ac:dyDescent="0.2">
      <c r="A104" s="3" t="s">
        <v>0</v>
      </c>
      <c r="B104" s="5" t="s">
        <v>1</v>
      </c>
    </row>
    <row r="105" spans="1:6" x14ac:dyDescent="0.2">
      <c r="A105" s="6" t="s">
        <v>2</v>
      </c>
      <c r="B105" s="7" t="e">
        <f ca="1">_xll.EVRNG($B$2:$B$10)</f>
        <v>#NAME?</v>
      </c>
    </row>
    <row r="106" spans="1:6" x14ac:dyDescent="0.2">
      <c r="A106" s="6" t="s">
        <v>3</v>
      </c>
      <c r="B106" s="7" t="e">
        <f ca="1">_xll.EVRNG($O$16:$AN$18)</f>
        <v>#NAME?</v>
      </c>
    </row>
    <row r="107" spans="1:6" x14ac:dyDescent="0.2">
      <c r="A107" s="6" t="s">
        <v>4</v>
      </c>
      <c r="B107" s="7" t="e">
        <f ca="1">_xll.EVRNG(H57:H60)</f>
        <v>#NAME?</v>
      </c>
    </row>
    <row r="108" spans="1:6" x14ac:dyDescent="0.2">
      <c r="A108" s="6" t="s">
        <v>5</v>
      </c>
      <c r="B108" s="7"/>
    </row>
    <row r="109" spans="1:6" x14ac:dyDescent="0.2">
      <c r="A109" s="6" t="s">
        <v>6</v>
      </c>
      <c r="B109" s="7"/>
    </row>
    <row r="110" spans="1:6" x14ac:dyDescent="0.2">
      <c r="A110" s="6" t="s">
        <v>7</v>
      </c>
      <c r="B110" s="7"/>
    </row>
    <row r="111" spans="1:6" x14ac:dyDescent="0.2">
      <c r="A111" s="6" t="s">
        <v>47</v>
      </c>
      <c r="B111" s="7" t="e">
        <f ca="1">_xll.EVRNG($A$116:$B$137)</f>
        <v>#NAME?</v>
      </c>
    </row>
    <row r="112" spans="1:6" x14ac:dyDescent="0.2">
      <c r="A112" s="6" t="s">
        <v>8</v>
      </c>
      <c r="B112" s="7"/>
    </row>
    <row r="115" spans="1:2" x14ac:dyDescent="0.2">
      <c r="A115" s="3" t="s">
        <v>23</v>
      </c>
      <c r="B115" s="5" t="s">
        <v>24</v>
      </c>
    </row>
    <row r="116" spans="1:2" x14ac:dyDescent="0.2">
      <c r="A116" s="6" t="s">
        <v>25</v>
      </c>
      <c r="B116" s="7"/>
    </row>
    <row r="117" spans="1:2" x14ac:dyDescent="0.2">
      <c r="A117" s="6" t="s">
        <v>26</v>
      </c>
      <c r="B117" s="7"/>
    </row>
    <row r="118" spans="1:2" x14ac:dyDescent="0.2">
      <c r="A118" s="6" t="s">
        <v>27</v>
      </c>
      <c r="B118" s="7"/>
    </row>
    <row r="119" spans="1:2" x14ac:dyDescent="0.2">
      <c r="A119" s="6" t="s">
        <v>28</v>
      </c>
      <c r="B119" s="7"/>
    </row>
    <row r="120" spans="1:2" x14ac:dyDescent="0.2">
      <c r="A120" s="6" t="s">
        <v>29</v>
      </c>
      <c r="B120" s="7"/>
    </row>
    <row r="121" spans="1:2" x14ac:dyDescent="0.2">
      <c r="A121" s="6" t="s">
        <v>30</v>
      </c>
      <c r="B121" s="7" t="s">
        <v>78</v>
      </c>
    </row>
    <row r="122" spans="1:2" x14ac:dyDescent="0.2">
      <c r="A122" s="6" t="s">
        <v>31</v>
      </c>
      <c r="B122" s="7" t="s">
        <v>78</v>
      </c>
    </row>
    <row r="123" spans="1:2" x14ac:dyDescent="0.2">
      <c r="A123" s="6" t="s">
        <v>32</v>
      </c>
      <c r="B123" s="7"/>
    </row>
    <row r="124" spans="1:2" x14ac:dyDescent="0.2">
      <c r="A124" s="6" t="s">
        <v>33</v>
      </c>
      <c r="B124" s="7"/>
    </row>
    <row r="125" spans="1:2" x14ac:dyDescent="0.2">
      <c r="A125" s="6" t="s">
        <v>34</v>
      </c>
      <c r="B125" s="7"/>
    </row>
    <row r="126" spans="1:2" x14ac:dyDescent="0.2">
      <c r="A126" s="6" t="s">
        <v>35</v>
      </c>
      <c r="B126" s="7"/>
    </row>
    <row r="127" spans="1:2" x14ac:dyDescent="0.2">
      <c r="A127" s="6" t="s">
        <v>36</v>
      </c>
      <c r="B127" s="7"/>
    </row>
    <row r="128" spans="1:2" x14ac:dyDescent="0.2">
      <c r="A128" s="6" t="s">
        <v>37</v>
      </c>
      <c r="B128" s="7"/>
    </row>
    <row r="129" spans="1:34" x14ac:dyDescent="0.2">
      <c r="A129" s="6" t="s">
        <v>38</v>
      </c>
      <c r="B129" s="7"/>
    </row>
    <row r="130" spans="1:34" x14ac:dyDescent="0.2">
      <c r="A130" s="6" t="s">
        <v>39</v>
      </c>
      <c r="B130" s="7"/>
    </row>
    <row r="131" spans="1:34" x14ac:dyDescent="0.2">
      <c r="A131" s="6" t="s">
        <v>40</v>
      </c>
      <c r="B131" s="7"/>
    </row>
    <row r="132" spans="1:34" x14ac:dyDescent="0.2">
      <c r="A132" s="6" t="s">
        <v>41</v>
      </c>
      <c r="B132" s="7"/>
    </row>
    <row r="133" spans="1:34" x14ac:dyDescent="0.2">
      <c r="A133" s="6" t="s">
        <v>42</v>
      </c>
      <c r="B133" s="7"/>
      <c r="I133" s="72"/>
      <c r="J133" s="1"/>
      <c r="K133" s="72"/>
      <c r="L133" s="72"/>
      <c r="M133" s="72"/>
      <c r="O133" s="72"/>
      <c r="P133" s="72"/>
      <c r="Q133" s="72"/>
      <c r="R133" s="72"/>
      <c r="S133" s="72"/>
      <c r="T133" s="72"/>
      <c r="U133" s="72"/>
      <c r="V133" s="72"/>
      <c r="W133" s="72"/>
      <c r="X133" s="72"/>
      <c r="Y133" s="72"/>
      <c r="Z133" s="72"/>
      <c r="AA133" s="72"/>
      <c r="AD133" s="72"/>
      <c r="AF133" s="72"/>
      <c r="AH133" s="72"/>
    </row>
    <row r="134" spans="1:34" x14ac:dyDescent="0.2">
      <c r="A134" s="6" t="s">
        <v>43</v>
      </c>
      <c r="B134" s="7"/>
    </row>
    <row r="135" spans="1:34" x14ac:dyDescent="0.2">
      <c r="A135" s="6" t="s">
        <v>44</v>
      </c>
      <c r="B135" s="7"/>
    </row>
    <row r="136" spans="1:34" x14ac:dyDescent="0.2">
      <c r="A136" s="6" t="s">
        <v>45</v>
      </c>
      <c r="B136" s="7"/>
    </row>
    <row r="137" spans="1:34" x14ac:dyDescent="0.2">
      <c r="A137" s="6" t="s">
        <v>46</v>
      </c>
      <c r="B137" s="7"/>
      <c r="I137" s="72"/>
      <c r="J137" s="1"/>
      <c r="K137" s="72"/>
      <c r="L137" s="72"/>
      <c r="M137" s="72"/>
      <c r="O137" s="72"/>
      <c r="P137" s="72"/>
      <c r="Q137" s="72"/>
      <c r="R137" s="72"/>
      <c r="S137" s="72"/>
      <c r="T137" s="72"/>
      <c r="U137" s="72"/>
      <c r="V137" s="72"/>
      <c r="W137" s="72"/>
      <c r="X137" s="72"/>
      <c r="Y137" s="72"/>
      <c r="Z137" s="72"/>
      <c r="AA137" s="72"/>
      <c r="AD137" s="72"/>
      <c r="AF137" s="72"/>
      <c r="AH137" s="72"/>
    </row>
    <row r="154" spans="5:5" x14ac:dyDescent="0.2">
      <c r="E154" s="72"/>
    </row>
    <row r="158" spans="5:5" x14ac:dyDescent="0.2">
      <c r="E158" s="72"/>
    </row>
    <row r="165" spans="7:7" x14ac:dyDescent="0.2">
      <c r="G165" s="72"/>
    </row>
    <row r="169" spans="7:7" x14ac:dyDescent="0.2">
      <c r="G169" s="72"/>
    </row>
  </sheetData>
  <mergeCells count="2">
    <mergeCell ref="AD31:AE31"/>
    <mergeCell ref="AG31:AH31"/>
  </mergeCells>
  <dataValidations disablePrompts="1" count="2">
    <dataValidation type="list" allowBlank="1" sqref="B57 B85 B28" xr:uid="{00000000-0002-0000-4200-000000000000}">
      <formula1>"ACCOUNT,BUSINESSUNIT,CATEGORY,DATASRC,DEPARTMENT,INTCO,MEASURES,RPTCURRENCY,TIME"</formula1>
    </dataValidation>
    <dataValidation type="list" allowBlank="1" sqref="B58 B29 B86" xr:uid="{00000000-0002-0000-42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83">
    <tabColor theme="9" tint="0.39997558519241921"/>
    <pageSetUpPr fitToPage="1"/>
  </sheetPr>
  <dimension ref="A1:AO169"/>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s">
        <v>980</v>
      </c>
      <c r="I1" s="1"/>
      <c r="J1" s="1"/>
    </row>
    <row r="2" spans="1:35" hidden="1" outlineLevel="1" x14ac:dyDescent="0.2">
      <c r="A2" s="8" t="s">
        <v>22</v>
      </c>
      <c r="B2" s="12" t="s">
        <v>56</v>
      </c>
      <c r="C2" s="1" t="s">
        <v>981</v>
      </c>
      <c r="I2" s="1"/>
      <c r="J2" s="1"/>
    </row>
    <row r="3" spans="1:35" hidden="1" outlineLevel="1" x14ac:dyDescent="0.2">
      <c r="A3" s="8" t="s">
        <v>50</v>
      </c>
      <c r="B3" s="9" t="s">
        <v>979</v>
      </c>
      <c r="C3" s="1" t="s">
        <v>982</v>
      </c>
      <c r="I3" s="1"/>
      <c r="J3" s="1"/>
    </row>
    <row r="4" spans="1:35" hidden="1" outlineLevel="1" x14ac:dyDescent="0.2">
      <c r="A4" s="8" t="s">
        <v>19</v>
      </c>
      <c r="B4" s="9" t="str">
        <f>SetUp!$D$6</f>
        <v>CURRENT</v>
      </c>
      <c r="C4" s="1" t="s">
        <v>960</v>
      </c>
      <c r="E4" s="46">
        <v>20250100</v>
      </c>
      <c r="F4" s="46">
        <v>20250100</v>
      </c>
    </row>
    <row r="5" spans="1:35" hidden="1" outlineLevel="1" x14ac:dyDescent="0.2">
      <c r="A5" s="8" t="s">
        <v>51</v>
      </c>
      <c r="B5" s="12" t="s">
        <v>59</v>
      </c>
      <c r="C5" s="1" t="s">
        <v>59</v>
      </c>
    </row>
    <row r="6" spans="1:35" hidden="1" outlineLevel="1" x14ac:dyDescent="0.2">
      <c r="A6" s="8" t="s">
        <v>52</v>
      </c>
      <c r="B6" s="12" t="s">
        <v>380</v>
      </c>
      <c r="C6" s="1" t="s">
        <v>1242</v>
      </c>
      <c r="E6" s="46" t="s">
        <v>380</v>
      </c>
      <c r="F6" s="1" t="s">
        <v>278</v>
      </c>
    </row>
    <row r="7" spans="1:35" hidden="1" outlineLevel="1" x14ac:dyDescent="0.2">
      <c r="A7" s="8" t="s">
        <v>53</v>
      </c>
      <c r="B7" s="12" t="s">
        <v>61</v>
      </c>
      <c r="C7" s="1" t="s">
        <v>984</v>
      </c>
    </row>
    <row r="8" spans="1:35" hidden="1" outlineLevel="1" x14ac:dyDescent="0.2">
      <c r="A8" s="8" t="s">
        <v>20</v>
      </c>
      <c r="B8" s="12" t="s">
        <v>63</v>
      </c>
      <c r="C8" s="1" t="s">
        <v>985</v>
      </c>
    </row>
    <row r="9" spans="1:35" hidden="1" outlineLevel="1" x14ac:dyDescent="0.2">
      <c r="A9" s="8" t="s">
        <v>54</v>
      </c>
      <c r="B9" s="9" t="str">
        <f>SetUp!$D$10</f>
        <v>LC</v>
      </c>
      <c r="C9" s="1" t="s">
        <v>986</v>
      </c>
    </row>
    <row r="10" spans="1:35" hidden="1" outlineLevel="1" x14ac:dyDescent="0.2">
      <c r="A10" s="8" t="s">
        <v>18</v>
      </c>
      <c r="B10" s="9" t="str">
        <f>SetUp!$D$7</f>
        <v>2024.TOTAL</v>
      </c>
      <c r="C10" s="1" t="s">
        <v>987</v>
      </c>
      <c r="D10" s="212" t="s">
        <v>988</v>
      </c>
    </row>
    <row r="11" spans="1:35" hidden="1" outlineLevel="1" x14ac:dyDescent="0.2">
      <c r="B11" s="8"/>
      <c r="M11" s="46" t="str">
        <f>IF(LEFT(SetUp!$D$6,3)="ALT","Y","N")</f>
        <v>N</v>
      </c>
      <c r="N11" s="1" t="s">
        <v>800</v>
      </c>
      <c r="O11" s="2" t="s">
        <v>682</v>
      </c>
      <c r="P11" s="2" t="s">
        <v>682</v>
      </c>
      <c r="Q11" s="2" t="s">
        <v>682</v>
      </c>
      <c r="R11" s="2" t="s">
        <v>682</v>
      </c>
      <c r="S11" s="2" t="s">
        <v>682</v>
      </c>
      <c r="T11" s="2" t="s">
        <v>682</v>
      </c>
      <c r="U11" s="2" t="s">
        <v>682</v>
      </c>
      <c r="V11" s="2" t="s">
        <v>682</v>
      </c>
      <c r="W11" s="2" t="s">
        <v>682</v>
      </c>
      <c r="X11" s="2" t="s">
        <v>682</v>
      </c>
      <c r="Y11" s="2" t="s">
        <v>682</v>
      </c>
      <c r="Z11" s="2" t="s">
        <v>682</v>
      </c>
      <c r="AA11" s="2" t="str">
        <f>IF(SetUp!$O$1=TRUE,"TRAILING12",IF(AA17="CURRENT","ROLLINGFORECAST","PERIODIC"))</f>
        <v>PERIODIC</v>
      </c>
    </row>
    <row r="12" spans="1:35" hidden="1" outlineLevel="1" x14ac:dyDescent="0.2">
      <c r="A12" s="1" t="s">
        <v>115</v>
      </c>
      <c r="B12" s="46">
        <v>2024</v>
      </c>
      <c r="M12" s="11"/>
      <c r="N12" s="1" t="s">
        <v>597</v>
      </c>
      <c r="O12" s="213" t="s">
        <v>78</v>
      </c>
      <c r="P12" s="213" t="s">
        <v>78</v>
      </c>
      <c r="Q12" s="213" t="s">
        <v>78</v>
      </c>
      <c r="R12" s="213" t="s">
        <v>78</v>
      </c>
      <c r="S12" s="213" t="s">
        <v>78</v>
      </c>
      <c r="T12" s="213" t="s">
        <v>78</v>
      </c>
      <c r="U12" s="213" t="s">
        <v>78</v>
      </c>
      <c r="V12" s="213" t="s">
        <v>78</v>
      </c>
      <c r="W12" s="213" t="s">
        <v>78</v>
      </c>
      <c r="X12" s="213" t="s">
        <v>78</v>
      </c>
      <c r="Y12" s="213" t="s">
        <v>78</v>
      </c>
      <c r="Z12" s="213" t="s">
        <v>78</v>
      </c>
      <c r="AA12" s="213"/>
      <c r="AD12" s="213"/>
      <c r="AG12" s="213"/>
    </row>
    <row r="13" spans="1:35" hidden="1" outlineLevel="1" x14ac:dyDescent="0.2">
      <c r="A13" s="1" t="s">
        <v>602</v>
      </c>
      <c r="B13" s="46">
        <v>2024</v>
      </c>
      <c r="M13" s="11"/>
      <c r="N13" s="1" t="s">
        <v>598</v>
      </c>
      <c r="O13" s="53">
        <v>20240100</v>
      </c>
      <c r="P13" s="53">
        <v>20240200</v>
      </c>
      <c r="Q13" s="53">
        <v>20240300</v>
      </c>
      <c r="R13" s="53">
        <v>20240400</v>
      </c>
      <c r="S13" s="53">
        <v>20240500</v>
      </c>
      <c r="T13" s="53">
        <v>20240600</v>
      </c>
      <c r="U13" s="53">
        <v>20240700</v>
      </c>
      <c r="V13" s="53">
        <v>20240800</v>
      </c>
      <c r="W13" s="53">
        <v>20240900</v>
      </c>
      <c r="X13" s="53">
        <v>20241000</v>
      </c>
      <c r="Y13" s="53">
        <v>20241100</v>
      </c>
      <c r="Z13" s="53">
        <v>20241200</v>
      </c>
      <c r="AA13" s="53">
        <v>10000193</v>
      </c>
      <c r="AD13" s="53">
        <v>10000193</v>
      </c>
      <c r="AG13" s="53">
        <v>10000183</v>
      </c>
    </row>
    <row r="14" spans="1:35" hidden="1" outlineLevel="1" x14ac:dyDescent="0.2">
      <c r="A14" s="4" t="s">
        <v>989</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s">
        <v>990</v>
      </c>
      <c r="P16" s="2" t="s">
        <v>991</v>
      </c>
      <c r="Q16" s="2" t="s">
        <v>992</v>
      </c>
      <c r="R16" s="2" t="s">
        <v>993</v>
      </c>
      <c r="S16" s="2" t="s">
        <v>994</v>
      </c>
      <c r="T16" s="2" t="s">
        <v>995</v>
      </c>
      <c r="U16" s="2" t="s">
        <v>996</v>
      </c>
      <c r="V16" s="2" t="s">
        <v>997</v>
      </c>
      <c r="W16" s="2" t="s">
        <v>998</v>
      </c>
      <c r="X16" s="2" t="s">
        <v>999</v>
      </c>
      <c r="Y16" s="2" t="s">
        <v>1000</v>
      </c>
      <c r="Z16" s="2" t="str">
        <f>IF(SetUp!$O$1=TRUE,SetUp!$Q$6,IF($D$10="FY",LEFT($B$10,6)&amp;"."&amp;Z15,$B$12&amp;"."&amp;Z14))</f>
        <v>2024.DEC</v>
      </c>
      <c r="AA16" s="2" t="str">
        <f>IF($D$10="FY",LEFT($B$10,6)&amp;"."&amp;AA15,$B$12&amp;"."&amp;AA14)</f>
        <v>2024.TOTAL</v>
      </c>
      <c r="AB16" s="10"/>
      <c r="AC16" s="10"/>
      <c r="AD16" s="2" t="str">
        <f>IF(SetUp!$O$1=TRUE,SetUp!$Q$6,SetUp!$G$7)</f>
        <v>2024.TOTAL</v>
      </c>
      <c r="AE16" s="10"/>
      <c r="AF16" s="10"/>
      <c r="AG16" s="2" t="s">
        <v>955</v>
      </c>
      <c r="AH16" s="10"/>
      <c r="AI16" s="10"/>
    </row>
    <row r="17" spans="1:40" hidden="1" outlineLevel="1" x14ac:dyDescent="0.2">
      <c r="A17" s="6" t="s">
        <v>2</v>
      </c>
      <c r="B17" s="14" t="s">
        <v>1289</v>
      </c>
      <c r="M17" s="11"/>
      <c r="N17" s="1" t="s">
        <v>19</v>
      </c>
      <c r="O17" s="2" t="s">
        <v>682</v>
      </c>
      <c r="P17" s="2" t="s">
        <v>682</v>
      </c>
      <c r="Q17" s="2" t="s">
        <v>682</v>
      </c>
      <c r="R17" s="2" t="s">
        <v>682</v>
      </c>
      <c r="S17" s="2" t="s">
        <v>682</v>
      </c>
      <c r="T17" s="2" t="s">
        <v>682</v>
      </c>
      <c r="U17" s="2" t="s">
        <v>682</v>
      </c>
      <c r="V17" s="2" t="s">
        <v>682</v>
      </c>
      <c r="W17" s="2" t="s">
        <v>682</v>
      </c>
      <c r="X17" s="2" t="s">
        <v>682</v>
      </c>
      <c r="Y17" s="2" t="s">
        <v>682</v>
      </c>
      <c r="Z17" s="2" t="s">
        <v>682</v>
      </c>
      <c r="AA17" s="2" t="str">
        <f>Z17</f>
        <v>ACTUAL_CON</v>
      </c>
      <c r="AB17" s="10"/>
      <c r="AC17" s="10"/>
      <c r="AD17" s="2" t="str">
        <f>SetUp!$G$6</f>
        <v>BUDGET</v>
      </c>
      <c r="AE17" s="10"/>
      <c r="AF17" s="10"/>
      <c r="AG17" s="2" t="str">
        <f>SetUp!$J$6</f>
        <v>ACTUAL_CON</v>
      </c>
      <c r="AH17" s="10"/>
      <c r="AI17" s="10"/>
    </row>
    <row r="18" spans="1:40" hidden="1" outlineLevel="1" x14ac:dyDescent="0.2">
      <c r="A18" s="6" t="s">
        <v>3</v>
      </c>
      <c r="B18" s="14" t="s">
        <v>1290</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str">
        <f>IF(SetUp!$O$1=TRUE,"TRAILING12",IF(AD17="CURRENT","ROLLINGFORECAST","PERIODIC"))</f>
        <v>PERIODIC</v>
      </c>
      <c r="AE18" s="10"/>
      <c r="AF18" s="10"/>
      <c r="AG18" s="2" t="str">
        <f>IF(SetUp!$O$1=TRUE,"TRAILING12",IF(AG17="CURRENT","ROLLINGFORECAST","PERIODIC"))</f>
        <v>PERIODIC</v>
      </c>
      <c r="AH18" s="10"/>
      <c r="AI18" s="10"/>
    </row>
    <row r="19" spans="1:40" hidden="1" outlineLevel="1" x14ac:dyDescent="0.2">
      <c r="A19" s="6" t="s">
        <v>4</v>
      </c>
      <c r="B19" s="14" t="s">
        <v>1291</v>
      </c>
      <c r="G19" s="16" t="str">
        <f>$B$6</f>
        <v>D1133</v>
      </c>
      <c r="H19" s="16">
        <v>400000</v>
      </c>
      <c r="I19" s="17"/>
      <c r="J19" s="17"/>
      <c r="K19" s="16"/>
      <c r="L19" s="16"/>
      <c r="M19" s="16"/>
      <c r="N19" s="16" t="s">
        <v>1001</v>
      </c>
      <c r="O19" s="18">
        <v>0</v>
      </c>
      <c r="P19" s="18">
        <v>0</v>
      </c>
      <c r="Q19" s="18">
        <v>0</v>
      </c>
      <c r="R19" s="18">
        <v>0</v>
      </c>
      <c r="S19" s="18">
        <v>0</v>
      </c>
      <c r="T19" s="18">
        <v>0</v>
      </c>
      <c r="U19" s="18">
        <v>0</v>
      </c>
      <c r="V19" s="18">
        <v>0</v>
      </c>
      <c r="W19" s="18">
        <v>0</v>
      </c>
      <c r="X19" s="18">
        <v>0</v>
      </c>
      <c r="Y19" s="18">
        <v>0</v>
      </c>
      <c r="Z19" s="18">
        <v>0</v>
      </c>
      <c r="AA19" s="18">
        <f>SUM(O19:Z19)</f>
        <v>0</v>
      </c>
      <c r="AB19" s="16"/>
      <c r="AC19" s="16"/>
      <c r="AD19" s="18">
        <v>0</v>
      </c>
      <c r="AE19" s="16"/>
      <c r="AF19" s="16"/>
      <c r="AG19" s="18">
        <v>0</v>
      </c>
      <c r="AH19" s="16"/>
      <c r="AI19" s="16"/>
    </row>
    <row r="20" spans="1:40" hidden="1" outlineLevel="1" x14ac:dyDescent="0.2">
      <c r="A20" s="6" t="s">
        <v>5</v>
      </c>
      <c r="B20" s="7"/>
      <c r="G20" s="16" t="s">
        <v>749</v>
      </c>
      <c r="H20" s="16">
        <v>900200</v>
      </c>
      <c r="I20" s="17"/>
      <c r="J20" s="17"/>
      <c r="K20" s="16"/>
      <c r="L20" s="17"/>
      <c r="M20" s="17"/>
      <c r="N20" s="16" t="s">
        <v>1047</v>
      </c>
      <c r="O20" s="18">
        <v>3694</v>
      </c>
      <c r="P20" s="18">
        <v>3593</v>
      </c>
      <c r="Q20" s="18">
        <v>3831</v>
      </c>
      <c r="R20" s="18">
        <v>3720</v>
      </c>
      <c r="S20" s="18">
        <v>3473</v>
      </c>
      <c r="T20" s="18">
        <v>3105</v>
      </c>
      <c r="U20" s="18">
        <v>3034</v>
      </c>
      <c r="V20" s="18">
        <v>3033</v>
      </c>
      <c r="W20" s="18">
        <v>2632</v>
      </c>
      <c r="X20" s="18">
        <v>3186</v>
      </c>
      <c r="Y20" s="18">
        <v>3534</v>
      </c>
      <c r="Z20" s="18">
        <v>3635</v>
      </c>
      <c r="AA20" s="18">
        <f>SUM(O20:Z20)</f>
        <v>40470</v>
      </c>
      <c r="AB20" s="16"/>
      <c r="AC20" s="16"/>
      <c r="AD20" s="18">
        <v>40231</v>
      </c>
      <c r="AE20" s="16"/>
      <c r="AF20" s="16"/>
      <c r="AG20" s="18">
        <v>39886</v>
      </c>
      <c r="AH20" s="16"/>
      <c r="AI20" s="16"/>
    </row>
    <row r="21" spans="1:40" hidden="1" outlineLevel="1" x14ac:dyDescent="0.2">
      <c r="A21" s="6" t="s">
        <v>6</v>
      </c>
      <c r="B21" s="7"/>
      <c r="I21" s="1"/>
      <c r="J21" s="1"/>
    </row>
    <row r="22" spans="1:40" hidden="1" outlineLevel="1" x14ac:dyDescent="0.2">
      <c r="A22" s="6" t="s">
        <v>7</v>
      </c>
      <c r="B22" s="14" t="s">
        <v>1292</v>
      </c>
      <c r="I22" s="1"/>
      <c r="J22" s="1"/>
    </row>
    <row r="23" spans="1:40" hidden="1" outlineLevel="1" x14ac:dyDescent="0.2">
      <c r="A23" s="6" t="s">
        <v>47</v>
      </c>
      <c r="B23" s="14" t="s">
        <v>1293</v>
      </c>
      <c r="K23" s="53"/>
      <c r="L23" s="53"/>
      <c r="M23" s="53"/>
      <c r="AD23" s="136"/>
    </row>
    <row r="24" spans="1:40" hidden="1" outlineLevel="1" x14ac:dyDescent="0.2">
      <c r="A24" s="6" t="s">
        <v>8</v>
      </c>
      <c r="B24" s="7"/>
    </row>
    <row r="25" spans="1:40" collapsed="1" x14ac:dyDescent="0.2"/>
    <row r="26" spans="1:40" ht="23" x14ac:dyDescent="0.25">
      <c r="A26" s="3" t="s">
        <v>9</v>
      </c>
      <c r="B26" s="5" t="s">
        <v>10</v>
      </c>
      <c r="N26" s="61" t="s">
        <v>982</v>
      </c>
    </row>
    <row r="27" spans="1:40" ht="18" x14ac:dyDescent="0.2">
      <c r="A27" s="6" t="s">
        <v>11</v>
      </c>
      <c r="B27" s="7" t="s">
        <v>21</v>
      </c>
      <c r="N27" s="66" t="s">
        <v>1294</v>
      </c>
    </row>
    <row r="28" spans="1:40" ht="16" x14ac:dyDescent="0.2">
      <c r="A28" s="6" t="s">
        <v>12</v>
      </c>
      <c r="B28" s="7" t="s">
        <v>22</v>
      </c>
      <c r="N28" s="67" t="s">
        <v>1002</v>
      </c>
    </row>
    <row r="29" spans="1:40" ht="15" customHeight="1" x14ac:dyDescent="0.2">
      <c r="A29" s="6" t="s">
        <v>13</v>
      </c>
      <c r="B29" s="7" t="str">
        <f>"DEP(430000) AND "&amp;$E$6&amp;"=Y,400000"</f>
        <v>DEP(430000) AND D1133=Y,400000</v>
      </c>
      <c r="N29" s="67" t="s">
        <v>986</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748</v>
      </c>
      <c r="AK30" s="209"/>
      <c r="AL30" s="210"/>
      <c r="AM30" s="209" t="s">
        <v>750</v>
      </c>
      <c r="AN30" s="209"/>
    </row>
    <row r="31" spans="1:40" x14ac:dyDescent="0.2">
      <c r="A31" s="6" t="s">
        <v>15</v>
      </c>
      <c r="B31" s="7"/>
      <c r="G31" s="13"/>
      <c r="K31" s="11"/>
      <c r="L31" s="11"/>
      <c r="M31" s="11"/>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tr">
        <f>AA14</f>
        <v>TOTAL</v>
      </c>
      <c r="AB31" s="207"/>
      <c r="AD31" s="540" t="s">
        <v>987</v>
      </c>
      <c r="AE31" s="541"/>
      <c r="AF31" s="211" t="s">
        <v>631</v>
      </c>
      <c r="AG31" s="540" t="s">
        <v>1003</v>
      </c>
      <c r="AH31" s="541"/>
      <c r="AI31" s="211" t="s">
        <v>631</v>
      </c>
      <c r="AJ31" s="211">
        <v>2024</v>
      </c>
      <c r="AK31" s="238">
        <v>2024</v>
      </c>
      <c r="AL31" s="238">
        <v>2023</v>
      </c>
      <c r="AM31" s="211" t="str">
        <f>"vs "&amp;AK31</f>
        <v>vs 2024</v>
      </c>
      <c r="AN31" s="211" t="str">
        <f>"vs "&amp;AL31</f>
        <v>vs 2023</v>
      </c>
    </row>
    <row r="32" spans="1:40" s="232" customFormat="1" ht="30" customHeight="1" x14ac:dyDescent="0.2">
      <c r="A32" s="230" t="s">
        <v>16</v>
      </c>
      <c r="B32" s="231"/>
      <c r="G32" s="317"/>
      <c r="H32" s="233"/>
      <c r="I32" s="234"/>
      <c r="J32" s="234"/>
      <c r="K32" s="235" t="s">
        <v>117</v>
      </c>
      <c r="L32" s="235"/>
      <c r="M32" s="235"/>
      <c r="N32" s="236" t="s">
        <v>120</v>
      </c>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c r="AD32" s="237" t="s">
        <v>959</v>
      </c>
      <c r="AE32" s="238" t="s">
        <v>58</v>
      </c>
      <c r="AF32" s="237" t="s">
        <v>57</v>
      </c>
      <c r="AG32" s="237" t="s">
        <v>957</v>
      </c>
      <c r="AH32" s="238" t="s">
        <v>58</v>
      </c>
      <c r="AI32" s="237" t="s">
        <v>57</v>
      </c>
      <c r="AJ32" s="237" t="str">
        <f>Z32</f>
        <v>Actual</v>
      </c>
      <c r="AK32" s="238" t="str">
        <f>AD32</f>
        <v>Budget</v>
      </c>
      <c r="AL32" s="237" t="str">
        <f>AG32</f>
        <v>Actual</v>
      </c>
      <c r="AM32" s="211" t="s">
        <v>747</v>
      </c>
      <c r="AN32" s="211" t="s">
        <v>747</v>
      </c>
    </row>
    <row r="33" spans="1:40" x14ac:dyDescent="0.2">
      <c r="A33" s="6" t="s">
        <v>17</v>
      </c>
      <c r="B33" s="7"/>
      <c r="H33" s="1" t="s">
        <v>69</v>
      </c>
      <c r="I33" s="11" t="s">
        <v>1006</v>
      </c>
      <c r="J33" s="11" t="s">
        <v>78</v>
      </c>
      <c r="N33" s="37" t="s">
        <v>1013</v>
      </c>
      <c r="O33" s="38"/>
      <c r="P33" s="42"/>
      <c r="Q33" s="42"/>
      <c r="R33" s="42"/>
      <c r="S33" s="42"/>
      <c r="T33" s="42"/>
      <c r="U33" s="42"/>
      <c r="V33" s="42"/>
      <c r="W33" s="42"/>
      <c r="X33" s="42"/>
      <c r="Y33" s="42"/>
      <c r="Z33" s="42"/>
      <c r="AA33" s="42"/>
      <c r="AB33" s="39"/>
      <c r="AD33" s="38"/>
      <c r="AE33" s="42"/>
      <c r="AF33" s="39"/>
      <c r="AG33" s="38"/>
      <c r="AH33" s="42"/>
      <c r="AI33" s="39"/>
    </row>
    <row r="34" spans="1:40" x14ac:dyDescent="0.2">
      <c r="H34" s="10" t="s">
        <v>381</v>
      </c>
      <c r="I34" s="25" t="s">
        <v>1004</v>
      </c>
      <c r="J34" s="25" t="s">
        <v>1004</v>
      </c>
      <c r="K34" s="64" t="str">
        <f>IF(AND(I34&gt;="T5"),"&gt;","")</f>
        <v/>
      </c>
      <c r="L34" s="24">
        <v>430100</v>
      </c>
      <c r="M34" s="24">
        <v>206012</v>
      </c>
      <c r="N34" s="24" t="s">
        <v>1295</v>
      </c>
      <c r="O34" s="19"/>
      <c r="P34" s="19"/>
      <c r="Q34" s="19"/>
      <c r="R34" s="19"/>
      <c r="S34" s="19"/>
      <c r="T34" s="19"/>
      <c r="U34" s="19"/>
      <c r="V34" s="19"/>
      <c r="W34" s="19"/>
      <c r="X34" s="19"/>
      <c r="Y34" s="19"/>
      <c r="Z34" s="19"/>
      <c r="AA34" s="283">
        <f>IF($I34="B1","",SUM(O34:Z34))</f>
        <v>0</v>
      </c>
      <c r="AB34" s="15" t="str">
        <f>IF(AA34=0,"",IFERROR(AA34/AA$19,""))</f>
        <v/>
      </c>
      <c r="AD34" s="19"/>
      <c r="AE34" s="15" t="str">
        <f>IF(AD34=0,"",IFERROR(AD34/AD$19,""))</f>
        <v/>
      </c>
      <c r="AF34" s="47">
        <f>IF(AND($AA34="",AD34=""),"",$AA34-AD34)</f>
        <v>0</v>
      </c>
      <c r="AG34" s="19"/>
      <c r="AH34" s="15" t="str">
        <f>IF(AG34=0,"",IFERROR(AG34/AG$19,""))</f>
        <v/>
      </c>
      <c r="AI34" s="47">
        <f>IF(AND($AA34="",AG34=""),"",$AA34-AG34)</f>
        <v>0</v>
      </c>
      <c r="AJ34" s="371">
        <f>IFERROR(AA34/AA$20,0)</f>
        <v>0</v>
      </c>
      <c r="AK34" s="372">
        <f>IFERROR(AD34/AD$20,0)</f>
        <v>0</v>
      </c>
      <c r="AL34" s="373">
        <f>IFERROR(AG34/AG$20,0)</f>
        <v>0</v>
      </c>
      <c r="AM34" s="374">
        <f>+IFERROR(ROUND(($AB34-AE34)*100,2)&amp;" pts.",0)</f>
        <v>0</v>
      </c>
      <c r="AN34" s="375">
        <f>+IFERROR(ROUND(($AB34-AH34)*100,2)&amp;" pts.",0)</f>
        <v>0</v>
      </c>
    </row>
    <row r="35" spans="1:40" x14ac:dyDescent="0.2">
      <c r="A35" s="20" t="s">
        <v>92</v>
      </c>
      <c r="B35" s="21" t="s">
        <v>93</v>
      </c>
      <c r="C35" s="21" t="s">
        <v>94</v>
      </c>
      <c r="D35" s="21" t="s">
        <v>95</v>
      </c>
      <c r="E35" s="21" t="s">
        <v>96</v>
      </c>
      <c r="F35" s="22" t="s">
        <v>97</v>
      </c>
      <c r="H35" s="10" t="s">
        <v>382</v>
      </c>
      <c r="I35" s="25" t="s">
        <v>1052</v>
      </c>
      <c r="J35" s="25" t="s">
        <v>78</v>
      </c>
      <c r="K35" s="64" t="str">
        <f>IF(AND(I35&gt;="T5"),"&gt;","")</f>
        <v>&gt;</v>
      </c>
      <c r="L35" s="24"/>
      <c r="M35" s="24"/>
      <c r="N35" s="24" t="s">
        <v>1296</v>
      </c>
      <c r="O35" s="19"/>
      <c r="P35" s="19"/>
      <c r="Q35" s="19"/>
      <c r="R35" s="19"/>
      <c r="S35" s="19"/>
      <c r="T35" s="19"/>
      <c r="U35" s="19"/>
      <c r="V35" s="19"/>
      <c r="W35" s="19"/>
      <c r="X35" s="19"/>
      <c r="Y35" s="19"/>
      <c r="Z35" s="19"/>
      <c r="AA35" s="283">
        <f>IF($I35="B1","",SUM(O35:Z35))</f>
        <v>0</v>
      </c>
      <c r="AB35" s="15" t="str">
        <f>IF(AA35=0,"",IFERROR(AA35/AA$19,""))</f>
        <v/>
      </c>
      <c r="AD35" s="19"/>
      <c r="AE35" s="15" t="str">
        <f>IF(AD35=0,"",IFERROR(AD35/AD$19,""))</f>
        <v/>
      </c>
      <c r="AF35" s="47">
        <f>IF(AND($AA35="",AD35=""),"",$AA35-AD35)</f>
        <v>0</v>
      </c>
      <c r="AG35" s="19">
        <v>0</v>
      </c>
      <c r="AH35" s="15" t="str">
        <f>IF(AG35=0,"",IFERROR(AG35/AG$19,""))</f>
        <v/>
      </c>
      <c r="AI35" s="47">
        <f>IF(AND($AA35="",AG35=""),"",$AA35-AG35)</f>
        <v>0</v>
      </c>
      <c r="AJ35" s="371">
        <f>IFERROR(AA35/AA$20,0)</f>
        <v>0</v>
      </c>
      <c r="AK35" s="372">
        <f>IFERROR(AD35/AD$20,0)</f>
        <v>0</v>
      </c>
      <c r="AL35" s="373">
        <f>IFERROR(AG35/AG$20,0)</f>
        <v>0</v>
      </c>
      <c r="AM35" s="374">
        <f>+IFERROR(ROUND(($AB35-AE35)*100,2)&amp;" pts.",0)</f>
        <v>0</v>
      </c>
      <c r="AN35" s="375">
        <f>+IFERROR(ROUND(($AB35-AH35)*100,2)&amp;" pts.",0)</f>
        <v>0</v>
      </c>
    </row>
    <row r="36" spans="1:40" x14ac:dyDescent="0.2">
      <c r="H36" s="10" t="s">
        <v>383</v>
      </c>
      <c r="I36" s="25" t="s">
        <v>1004</v>
      </c>
      <c r="J36" s="25" t="s">
        <v>1004</v>
      </c>
      <c r="K36" s="64" t="str">
        <f>IF(AND(I36&gt;="T5"),"&gt;","")</f>
        <v/>
      </c>
      <c r="L36" s="24">
        <v>430300</v>
      </c>
      <c r="M36" s="24">
        <v>206098</v>
      </c>
      <c r="N36" s="24" t="s">
        <v>1202</v>
      </c>
      <c r="O36" s="19"/>
      <c r="P36" s="19"/>
      <c r="Q36" s="19"/>
      <c r="R36" s="19"/>
      <c r="S36" s="19"/>
      <c r="T36" s="19"/>
      <c r="U36" s="19"/>
      <c r="V36" s="19"/>
      <c r="W36" s="19"/>
      <c r="X36" s="19"/>
      <c r="Y36" s="19"/>
      <c r="Z36" s="19"/>
      <c r="AA36" s="283">
        <f>IF($I36="B1","",SUM(O36:Z36))</f>
        <v>0</v>
      </c>
      <c r="AB36" s="15" t="str">
        <f>IF(AA36=0,"",IFERROR(AA36/AA$19,""))</f>
        <v/>
      </c>
      <c r="AD36" s="19"/>
      <c r="AE36" s="15" t="str">
        <f>IF(AD36=0,"",IFERROR(AD36/AD$19,""))</f>
        <v/>
      </c>
      <c r="AF36" s="47">
        <f>IF(AND($AA36="",AD36=""),"",$AA36-AD36)</f>
        <v>0</v>
      </c>
      <c r="AG36" s="19"/>
      <c r="AH36" s="15" t="str">
        <f>IF(AG36=0,"",IFERROR(AG36/AG$19,""))</f>
        <v/>
      </c>
      <c r="AI36" s="47">
        <f>IF(AND($AA36="",AG36=""),"",$AA36-AG36)</f>
        <v>0</v>
      </c>
      <c r="AJ36" s="371">
        <f>IFERROR(AA36/AA$20,0)</f>
        <v>0</v>
      </c>
      <c r="AK36" s="372">
        <f>IFERROR(AD36/AD$20,0)</f>
        <v>0</v>
      </c>
      <c r="AL36" s="373">
        <f>IFERROR(AG36/AG$20,0)</f>
        <v>0</v>
      </c>
      <c r="AM36" s="374">
        <f>+IFERROR(ROUND(($AB36-AE36)*100,2)&amp;" pts.",0)</f>
        <v>0</v>
      </c>
      <c r="AN36" s="375">
        <f>+IFERROR(ROUND(($AB36-AH36)*100,2)&amp;" pts.",0)</f>
        <v>0</v>
      </c>
    </row>
    <row r="37" spans="1:40" x14ac:dyDescent="0.2">
      <c r="A37" s="1" t="s">
        <v>105</v>
      </c>
      <c r="C37" s="24" t="s">
        <v>101</v>
      </c>
      <c r="D37" s="1" t="s">
        <v>106</v>
      </c>
      <c r="F37" s="1" t="s">
        <v>98</v>
      </c>
      <c r="H37" s="10" t="s">
        <v>384</v>
      </c>
      <c r="I37" s="25" t="s">
        <v>1004</v>
      </c>
      <c r="J37" s="25" t="s">
        <v>1004</v>
      </c>
      <c r="K37" s="64" t="str">
        <f>IF(AND(I37&gt;="T5"),"&gt;","")</f>
        <v/>
      </c>
      <c r="L37" s="24">
        <v>430990</v>
      </c>
      <c r="M37" s="24">
        <v>206022</v>
      </c>
      <c r="N37" s="24" t="s">
        <v>1297</v>
      </c>
      <c r="O37" s="28"/>
      <c r="P37" s="28"/>
      <c r="Q37" s="28"/>
      <c r="R37" s="28"/>
      <c r="S37" s="28"/>
      <c r="T37" s="28"/>
      <c r="U37" s="28"/>
      <c r="V37" s="28"/>
      <c r="W37" s="28"/>
      <c r="X37" s="28"/>
      <c r="Y37" s="28"/>
      <c r="Z37" s="28"/>
      <c r="AA37" s="296">
        <f>IF($I37="B1","",SUM(O37:Z37))</f>
        <v>0</v>
      </c>
      <c r="AB37" s="29" t="str">
        <f>IF(AA37=0,"",IFERROR(AA37/AA$19,""))</f>
        <v/>
      </c>
      <c r="AD37" s="28"/>
      <c r="AE37" s="29" t="str">
        <f>IF(AD37=0,"",IFERROR(AD37/AD$19,""))</f>
        <v/>
      </c>
      <c r="AF37" s="48">
        <f>IF(AND($AA37="",AD37=""),"",$AA37-AD37)</f>
        <v>0</v>
      </c>
      <c r="AG37" s="28"/>
      <c r="AH37" s="29" t="str">
        <f>IF(AG37=0,"",IFERROR(AG37/AG$19,""))</f>
        <v/>
      </c>
      <c r="AI37" s="48">
        <f>IF(AND($AA37="",AG37=""),"",$AA37-AG37)</f>
        <v>0</v>
      </c>
      <c r="AJ37" s="381">
        <f>IFERROR(AA37/AA$20,0)</f>
        <v>0</v>
      </c>
      <c r="AK37" s="382">
        <f>IFERROR(AD37/AD$20,0)</f>
        <v>0</v>
      </c>
      <c r="AL37" s="383">
        <f>IFERROR(AG37/AG$20,0)</f>
        <v>0</v>
      </c>
      <c r="AM37" s="384">
        <f>+IFERROR(ROUND(($AB37-AE37)*100,2)&amp;" pts.",0)</f>
        <v>0</v>
      </c>
      <c r="AN37" s="385">
        <f>+IFERROR(ROUND(($AB37-AH37)*100,2)&amp;" pts.",0)</f>
        <v>0</v>
      </c>
    </row>
    <row r="38" spans="1:40" x14ac:dyDescent="0.2">
      <c r="A38" s="1" t="s">
        <v>104</v>
      </c>
      <c r="C38" s="24" t="s">
        <v>101</v>
      </c>
      <c r="D38" s="1" t="s">
        <v>106</v>
      </c>
      <c r="F38" s="1" t="s">
        <v>98</v>
      </c>
      <c r="H38" s="10" t="s">
        <v>280</v>
      </c>
      <c r="I38" s="447" t="s">
        <v>1007</v>
      </c>
      <c r="J38" s="447" t="s">
        <v>78</v>
      </c>
      <c r="K38" s="448" t="str">
        <f>IF(AND(I38&gt;="T5"),"&gt;","")</f>
        <v/>
      </c>
      <c r="L38" s="151">
        <v>400000</v>
      </c>
      <c r="M38" s="151"/>
      <c r="N38" s="151" t="s">
        <v>1001</v>
      </c>
      <c r="O38" s="120"/>
      <c r="P38" s="120"/>
      <c r="Q38" s="120"/>
      <c r="R38" s="120"/>
      <c r="S38" s="120"/>
      <c r="T38" s="120"/>
      <c r="U38" s="120"/>
      <c r="V38" s="120"/>
      <c r="W38" s="120"/>
      <c r="X38" s="120"/>
      <c r="Y38" s="120"/>
      <c r="Z38" s="120"/>
      <c r="AA38" s="120">
        <f>IF($I38="B1","",SUM(O38:Z38))</f>
        <v>0</v>
      </c>
      <c r="AB38" s="121" t="str">
        <f>IF(AA38=0,"",IFERROR(AA38/AA$19,""))</f>
        <v/>
      </c>
      <c r="AC38" s="123"/>
      <c r="AD38" s="120"/>
      <c r="AE38" s="121" t="str">
        <f>IF(AD38=0,"",IFERROR(AD38/AD$19,""))</f>
        <v/>
      </c>
      <c r="AF38" s="122">
        <f>IF(AND($AA38="",AD38=""),"",$AA38-AD38)</f>
        <v>0</v>
      </c>
      <c r="AG38" s="120">
        <v>0</v>
      </c>
      <c r="AH38" s="121" t="str">
        <f>IF(AG38=0,"",IFERROR(AG38/AG$19,""))</f>
        <v/>
      </c>
      <c r="AI38" s="122">
        <f>IF(AND($AA38="",AG38=""),"",$AA38-AG38)</f>
        <v>0</v>
      </c>
      <c r="AJ38" s="332">
        <f>IFERROR(AA38/AA$20,0)</f>
        <v>0</v>
      </c>
      <c r="AK38" s="333">
        <f>IFERROR(AD38/AD$20,0)</f>
        <v>0</v>
      </c>
      <c r="AL38" s="335">
        <f>IFERROR(AG38/AG$20,0)</f>
        <v>0</v>
      </c>
      <c r="AM38" s="377">
        <f>+IFERROR(ROUND(($AB38-AE38)*100,2)&amp;" pts.",0)</f>
        <v>0</v>
      </c>
      <c r="AN38" s="378">
        <f>+IFERROR(ROUND(($AB38-AH38)*100,2)&amp;" pts.",0)</f>
        <v>0</v>
      </c>
    </row>
    <row r="39" spans="1:40" x14ac:dyDescent="0.2">
      <c r="A39" s="1" t="s">
        <v>108</v>
      </c>
      <c r="C39" s="23" t="s">
        <v>101</v>
      </c>
      <c r="D39" s="1" t="s">
        <v>106</v>
      </c>
      <c r="F39" s="1" t="s">
        <v>98</v>
      </c>
      <c r="O39" s="50"/>
      <c r="AB39" s="51"/>
      <c r="AD39" s="50"/>
      <c r="AF39" s="51"/>
      <c r="AG39" s="50"/>
      <c r="AI39" s="51"/>
    </row>
    <row r="40" spans="1:40" x14ac:dyDescent="0.2">
      <c r="A40" s="1" t="s">
        <v>108</v>
      </c>
      <c r="C40" s="135" t="s">
        <v>101</v>
      </c>
      <c r="D40" s="1" t="s">
        <v>107</v>
      </c>
      <c r="F40" s="1" t="s">
        <v>99</v>
      </c>
      <c r="H40" s="1" t="s">
        <v>281</v>
      </c>
      <c r="I40" s="11" t="s">
        <v>1006</v>
      </c>
      <c r="J40" s="11" t="s">
        <v>78</v>
      </c>
      <c r="N40" s="37" t="s">
        <v>1210</v>
      </c>
      <c r="O40" s="50"/>
      <c r="AB40" s="51"/>
      <c r="AD40" s="50"/>
      <c r="AF40" s="51"/>
      <c r="AG40" s="50"/>
      <c r="AI40" s="51"/>
    </row>
    <row r="41" spans="1:40" x14ac:dyDescent="0.2">
      <c r="H41" s="10" t="s">
        <v>385</v>
      </c>
      <c r="I41" s="25" t="s">
        <v>1004</v>
      </c>
      <c r="J41" s="25" t="s">
        <v>1004</v>
      </c>
      <c r="K41" s="64" t="str">
        <f>IF(AND(I41&gt;="T5"),"&gt;","")</f>
        <v/>
      </c>
      <c r="L41" s="24">
        <v>530100</v>
      </c>
      <c r="M41" s="24">
        <v>306010</v>
      </c>
      <c r="N41" s="24" t="s">
        <v>1298</v>
      </c>
      <c r="O41" s="28"/>
      <c r="P41" s="28"/>
      <c r="Q41" s="28"/>
      <c r="R41" s="28"/>
      <c r="S41" s="28"/>
      <c r="T41" s="28"/>
      <c r="U41" s="28"/>
      <c r="V41" s="28"/>
      <c r="W41" s="28"/>
      <c r="X41" s="28"/>
      <c r="Y41" s="28"/>
      <c r="Z41" s="28"/>
      <c r="AA41" s="28">
        <f>IF($I41="B1","",SUM(O41:Z41))</f>
        <v>0</v>
      </c>
      <c r="AB41" s="29"/>
      <c r="AD41" s="28"/>
      <c r="AE41" s="29"/>
      <c r="AF41" s="48">
        <f>IF(AND($AA41="",AD41=""),"",$AA41-AD41)</f>
        <v>0</v>
      </c>
      <c r="AG41" s="28"/>
      <c r="AH41" s="29"/>
      <c r="AI41" s="48">
        <f>IF(AND($AA41="",AG41=""),"",$AA41-AG41)</f>
        <v>0</v>
      </c>
      <c r="AJ41" s="381">
        <f>IFERROR(AA41/AA$20,0)</f>
        <v>0</v>
      </c>
      <c r="AK41" s="382">
        <f>IFERROR(AD41/AD$20,0)</f>
        <v>0</v>
      </c>
      <c r="AL41" s="383">
        <f>IFERROR(AG41/AG$20,0)</f>
        <v>0</v>
      </c>
      <c r="AM41" s="384" t="str">
        <f>+IFERROR(ROUND(($AB41-AE41)*100,2)&amp;" pts.",0)</f>
        <v>0 pts.</v>
      </c>
      <c r="AN41" s="385" t="str">
        <f>+IFERROR(ROUND(($AB41-AH41)*100,2)&amp;" pts.",0)</f>
        <v>0 pts.</v>
      </c>
    </row>
    <row r="42" spans="1:40" x14ac:dyDescent="0.2">
      <c r="H42" s="10" t="s">
        <v>289</v>
      </c>
      <c r="I42" s="447" t="s">
        <v>1007</v>
      </c>
      <c r="J42" s="447" t="s">
        <v>78</v>
      </c>
      <c r="K42" s="448" t="str">
        <f>IF(AND(I42&gt;="T5"),"&gt;","")</f>
        <v/>
      </c>
      <c r="L42" s="151">
        <v>500001</v>
      </c>
      <c r="M42" s="151"/>
      <c r="N42" s="151" t="s">
        <v>1219</v>
      </c>
      <c r="O42" s="120"/>
      <c r="P42" s="120"/>
      <c r="Q42" s="120"/>
      <c r="R42" s="120"/>
      <c r="S42" s="120"/>
      <c r="T42" s="120"/>
      <c r="U42" s="120"/>
      <c r="V42" s="120"/>
      <c r="W42" s="120"/>
      <c r="X42" s="120"/>
      <c r="Y42" s="120"/>
      <c r="Z42" s="120"/>
      <c r="AA42" s="120">
        <f>IF($I42="B1","",SUM(O42:Z42))</f>
        <v>0</v>
      </c>
      <c r="AB42" s="121"/>
      <c r="AC42" s="123"/>
      <c r="AD42" s="120"/>
      <c r="AE42" s="121"/>
      <c r="AF42" s="122">
        <f>IF(AND($AA42="",AD42=""),"",$AA42-AD42)</f>
        <v>0</v>
      </c>
      <c r="AG42" s="120"/>
      <c r="AH42" s="121"/>
      <c r="AI42" s="122">
        <f>IF(AND($AA42="",AG42=""),"",$AA42-AG42)</f>
        <v>0</v>
      </c>
      <c r="AJ42" s="332">
        <f>IFERROR(AA42/AA$20,0)</f>
        <v>0</v>
      </c>
      <c r="AK42" s="333">
        <f>IFERROR(AD42/AD$20,0)</f>
        <v>0</v>
      </c>
      <c r="AL42" s="335">
        <f>IFERROR(AG42/AG$20,0)</f>
        <v>0</v>
      </c>
      <c r="AM42" s="377" t="str">
        <f>+IFERROR(ROUND(($AB42-AE42)*100,2)&amp;" pts.",0)</f>
        <v>0 pts.</v>
      </c>
      <c r="AN42" s="378" t="str">
        <f>+IFERROR(ROUND(($AB42-AH42)*100,2)&amp;" pts.",0)</f>
        <v>0 pts.</v>
      </c>
    </row>
    <row r="43" spans="1:40" x14ac:dyDescent="0.2">
      <c r="A43" s="4" t="s">
        <v>989</v>
      </c>
      <c r="H43" s="133" t="s">
        <v>175</v>
      </c>
      <c r="I43" s="26" t="s">
        <v>1006</v>
      </c>
      <c r="J43" s="26" t="s">
        <v>78</v>
      </c>
      <c r="K43" s="65" t="str">
        <f>IF(AND(I43&gt;="T5"),"&gt;","")</f>
        <v/>
      </c>
      <c r="L43" s="65"/>
      <c r="M43" s="65"/>
      <c r="N43" s="23" t="s">
        <v>175</v>
      </c>
      <c r="O43" s="44"/>
      <c r="P43" s="44"/>
      <c r="Q43" s="44"/>
      <c r="R43" s="44"/>
      <c r="S43" s="44"/>
      <c r="T43" s="44"/>
      <c r="U43" s="44"/>
      <c r="V43" s="44"/>
      <c r="W43" s="44"/>
      <c r="X43" s="44"/>
      <c r="Y43" s="44"/>
      <c r="Z43" s="44"/>
      <c r="AA43" s="44"/>
      <c r="AB43" s="45"/>
      <c r="AD43" s="44"/>
      <c r="AE43" s="45"/>
      <c r="AF43" s="134" t="str">
        <f>IF(AND($AA43="",AD43=""),"",$AA43-AD43)</f>
        <v/>
      </c>
      <c r="AG43" s="44"/>
      <c r="AH43" s="45"/>
      <c r="AI43" s="134" t="str">
        <f>IF(AND($AA43="",AG43=""),"",$AA43-AG43)</f>
        <v/>
      </c>
      <c r="AJ43" s="392">
        <f>IFERROR(AA43/AA$20,0)</f>
        <v>0</v>
      </c>
      <c r="AK43" s="393">
        <f>IFERROR(AD43/AD$20,0)</f>
        <v>0</v>
      </c>
      <c r="AL43" s="394">
        <f>IFERROR(AG43/AG$20,0)</f>
        <v>0</v>
      </c>
      <c r="AM43" s="395" t="str">
        <f>+IFERROR(ROUND(($AB43-AE43)*100,2)&amp;" pts.",0)</f>
        <v>0 pts.</v>
      </c>
      <c r="AN43" s="396" t="str">
        <f>+IFERROR(ROUND(($AB43-AH43)*100,2)&amp;" pts.",0)</f>
        <v>0 pts.</v>
      </c>
    </row>
    <row r="44" spans="1:40" x14ac:dyDescent="0.2">
      <c r="H44" s="133" t="s">
        <v>292</v>
      </c>
      <c r="I44" s="26" t="s">
        <v>1007</v>
      </c>
      <c r="J44" s="26" t="s">
        <v>78</v>
      </c>
      <c r="K44" s="65" t="str">
        <f>IF(AND(I44&gt;="T5"),"&gt;","")</f>
        <v/>
      </c>
      <c r="L44" s="65"/>
      <c r="M44" s="65"/>
      <c r="N44" s="23" t="s">
        <v>1220</v>
      </c>
      <c r="O44" s="145">
        <f t="shared" ref="O44:Z44" si="0">SUMIF($H$34:$H$42,"400000",O34:O42)-SUMIF($H$34:$H$42,"500001",O34:O42)</f>
        <v>0</v>
      </c>
      <c r="P44" s="145">
        <f t="shared" si="0"/>
        <v>0</v>
      </c>
      <c r="Q44" s="145">
        <f t="shared" si="0"/>
        <v>0</v>
      </c>
      <c r="R44" s="145">
        <f t="shared" si="0"/>
        <v>0</v>
      </c>
      <c r="S44" s="145">
        <f t="shared" si="0"/>
        <v>0</v>
      </c>
      <c r="T44" s="145">
        <f t="shared" si="0"/>
        <v>0</v>
      </c>
      <c r="U44" s="145">
        <f t="shared" si="0"/>
        <v>0</v>
      </c>
      <c r="V44" s="145">
        <f t="shared" si="0"/>
        <v>0</v>
      </c>
      <c r="W44" s="145">
        <f t="shared" si="0"/>
        <v>0</v>
      </c>
      <c r="X44" s="145">
        <f t="shared" si="0"/>
        <v>0</v>
      </c>
      <c r="Y44" s="145">
        <f t="shared" si="0"/>
        <v>0</v>
      </c>
      <c r="Z44" s="145">
        <f t="shared" si="0"/>
        <v>0</v>
      </c>
      <c r="AA44" s="120">
        <f>IF($I44="B1","",SUM(O44:Z44))</f>
        <v>0</v>
      </c>
      <c r="AB44" s="121" t="str">
        <f>IF(AA44=0,"",IFERROR(AA44/AA$19,""))</f>
        <v/>
      </c>
      <c r="AD44" s="145">
        <f>SUMIF($H$34:$H$42,"400000",AD34:AD42)-SUMIF($H$34:$H$42,"500001",AD34:AD42)</f>
        <v>0</v>
      </c>
      <c r="AE44" s="121" t="str">
        <f>IF(AD44=0,"",IFERROR(AD44/AD$19,""))</f>
        <v/>
      </c>
      <c r="AF44" s="146">
        <f>IF(AND($AA44="",AD44=""),"",$AA44-AD44)</f>
        <v>0</v>
      </c>
      <c r="AG44" s="145">
        <f>SUMIF($H$34:$H$42,"400000",AG34:AG42)-SUMIF($H$34:$H$42,"500001",AG34:AG42)</f>
        <v>0</v>
      </c>
      <c r="AH44" s="121" t="str">
        <f>IF(AG44=0,"",IFERROR(AG44/AG$19,""))</f>
        <v/>
      </c>
      <c r="AI44" s="146">
        <f>IF(AND($AA44="",AG44=""),"",$AA44-AG44)</f>
        <v>0</v>
      </c>
      <c r="AJ44" s="364">
        <f>IFERROR(AA44/AA$20,0)</f>
        <v>0</v>
      </c>
      <c r="AK44" s="365">
        <f>IFERROR(AD44/AD$20,0)</f>
        <v>0</v>
      </c>
      <c r="AL44" s="366">
        <f>IFERROR(AG44/AG$20,0)</f>
        <v>0</v>
      </c>
      <c r="AM44" s="367">
        <f>+IFERROR(ROUND(($AB44-AE44)*100,2)&amp;" pts.",0)</f>
        <v>0</v>
      </c>
      <c r="AN44" s="409">
        <f>+IFERROR(ROUND(($AB44-AH44)*100,2)&amp;" pts.",0)</f>
        <v>0</v>
      </c>
    </row>
    <row r="45" spans="1:40" x14ac:dyDescent="0.2">
      <c r="A45" s="3" t="s">
        <v>0</v>
      </c>
      <c r="B45" s="5" t="s">
        <v>1</v>
      </c>
      <c r="O45" s="144"/>
      <c r="P45" s="147"/>
      <c r="Q45" s="147"/>
      <c r="R45" s="147"/>
      <c r="S45" s="147"/>
      <c r="T45" s="147"/>
      <c r="U45" s="147"/>
      <c r="V45" s="147"/>
      <c r="W45" s="147"/>
      <c r="X45" s="147"/>
      <c r="Y45" s="147"/>
      <c r="Z45" s="147"/>
      <c r="AA45" s="147"/>
      <c r="AB45" s="51"/>
      <c r="AD45" s="50"/>
      <c r="AF45" s="51"/>
      <c r="AI45" s="51"/>
    </row>
    <row r="46" spans="1:40" x14ac:dyDescent="0.2">
      <c r="A46" s="6" t="s">
        <v>2</v>
      </c>
      <c r="B46" s="14" t="s">
        <v>1289</v>
      </c>
      <c r="H46" s="1" t="s">
        <v>73</v>
      </c>
      <c r="I46" s="11" t="s">
        <v>1006</v>
      </c>
      <c r="J46" s="11" t="s">
        <v>78</v>
      </c>
      <c r="N46" s="37" t="s">
        <v>1073</v>
      </c>
      <c r="O46" s="50"/>
      <c r="AB46" s="149"/>
      <c r="AD46" s="148"/>
      <c r="AE46" s="150"/>
      <c r="AF46" s="51"/>
      <c r="AH46" s="150"/>
      <c r="AI46" s="51"/>
    </row>
    <row r="47" spans="1:40" x14ac:dyDescent="0.2">
      <c r="A47" s="6" t="s">
        <v>3</v>
      </c>
      <c r="B47" s="14" t="s">
        <v>1290</v>
      </c>
      <c r="H47" s="1" t="s">
        <v>74</v>
      </c>
      <c r="I47" s="11" t="s">
        <v>1006</v>
      </c>
      <c r="J47" s="11" t="s">
        <v>78</v>
      </c>
      <c r="N47" s="8" t="s">
        <v>1074</v>
      </c>
      <c r="O47" s="40"/>
      <c r="P47" s="43"/>
      <c r="Q47" s="43"/>
      <c r="R47" s="43"/>
      <c r="S47" s="43"/>
      <c r="T47" s="43"/>
      <c r="U47" s="43"/>
      <c r="V47" s="43"/>
      <c r="W47" s="43"/>
      <c r="X47" s="43"/>
      <c r="Y47" s="43"/>
      <c r="Z47" s="43"/>
      <c r="AA47" s="43"/>
      <c r="AB47" s="41"/>
      <c r="AD47" s="40"/>
      <c r="AE47" s="43"/>
      <c r="AF47" s="41"/>
      <c r="AG47" s="43"/>
      <c r="AH47" s="43"/>
      <c r="AI47" s="41"/>
    </row>
    <row r="48" spans="1:40" hidden="1" x14ac:dyDescent="0.2">
      <c r="A48" s="6" t="s">
        <v>4</v>
      </c>
      <c r="B48" s="14" t="s">
        <v>1299</v>
      </c>
      <c r="H48" s="10" t="s">
        <v>667</v>
      </c>
      <c r="I48" s="25"/>
      <c r="J48" s="25"/>
      <c r="K48" s="64" t="str">
        <f>IF(AND(I48&gt;="T3"),"&gt;","")</f>
        <v/>
      </c>
      <c r="L48" s="24"/>
      <c r="M48" s="24"/>
      <c r="N48" s="24"/>
      <c r="O48" s="44"/>
      <c r="P48" s="44"/>
      <c r="Q48" s="44"/>
      <c r="R48" s="44"/>
      <c r="S48" s="44"/>
      <c r="T48" s="44"/>
      <c r="U48" s="44"/>
      <c r="V48" s="44"/>
      <c r="W48" s="44"/>
      <c r="X48" s="44"/>
      <c r="Y48" s="44"/>
      <c r="Z48" s="44"/>
      <c r="AA48" s="296">
        <f>IF($I48="B1","",SUM(O48:Z48))</f>
        <v>0</v>
      </c>
      <c r="AB48" s="45" t="str">
        <f>IF(AA48=0,"",IFERROR(AA48/AA$19,""))</f>
        <v/>
      </c>
      <c r="AD48" s="44"/>
      <c r="AE48" s="45" t="str">
        <f>IF(AD48=0,"",IFERROR(AD48/AD$19,""))</f>
        <v/>
      </c>
      <c r="AF48" s="134">
        <f>IF(AND($AA48="",AD48=""),"",$AA48-AD48)</f>
        <v>0</v>
      </c>
      <c r="AG48" s="44"/>
      <c r="AH48" s="45" t="str">
        <f>IF(AG48=0,"",IFERROR(AG48/AG$19,""))</f>
        <v/>
      </c>
      <c r="AI48" s="134">
        <f>IF(AND($AA48="",AG48=""),"",$AA48-AG48)</f>
        <v>0</v>
      </c>
      <c r="AJ48" s="371">
        <f>IFERROR(AA48/AA$20,0)</f>
        <v>0</v>
      </c>
      <c r="AK48" s="372">
        <f>IFERROR(AD48/AD$20,0)</f>
        <v>0</v>
      </c>
      <c r="AL48" s="373">
        <f>IFERROR(AG48/AG$20,0)</f>
        <v>0</v>
      </c>
      <c r="AM48" s="374">
        <f>+IFERROR(ROUND(($AB48-AE48)*100,2)&amp;" pts.",0)</f>
        <v>0</v>
      </c>
      <c r="AN48" s="375">
        <f>+IFERROR(ROUND(($AB48-AH48)*100,2)&amp;" pts.",0)</f>
        <v>0</v>
      </c>
    </row>
    <row r="49" spans="1:40" hidden="1" x14ac:dyDescent="0.2">
      <c r="A49" s="6" t="s">
        <v>5</v>
      </c>
      <c r="B49" s="7"/>
      <c r="F49" s="136"/>
      <c r="H49" s="10"/>
      <c r="I49" s="25"/>
      <c r="J49" s="25"/>
      <c r="K49" s="64" t="str">
        <f>IF(AND(I49&gt;="T3"),"&gt;","")</f>
        <v/>
      </c>
      <c r="L49" s="24"/>
      <c r="M49" s="24"/>
      <c r="N49" s="24"/>
      <c r="O49" s="44"/>
      <c r="P49" s="44"/>
      <c r="Q49" s="44"/>
      <c r="R49" s="44"/>
      <c r="S49" s="44"/>
      <c r="T49" s="44"/>
      <c r="U49" s="44"/>
      <c r="V49" s="44"/>
      <c r="W49" s="44"/>
      <c r="X49" s="44"/>
      <c r="Y49" s="44"/>
      <c r="Z49" s="44"/>
      <c r="AA49" s="296">
        <f>IF($I49="B1","",SUM(O49:Z49))</f>
        <v>0</v>
      </c>
      <c r="AB49" s="45" t="str">
        <f>IF(AA49=0,"",IFERROR(AA49/AA$19,""))</f>
        <v/>
      </c>
      <c r="AD49" s="44"/>
      <c r="AE49" s="45" t="str">
        <f>IF(AD49=0,"",IFERROR(AD49/AD$19,""))</f>
        <v/>
      </c>
      <c r="AF49" s="134">
        <f>IF(AND($AA49="",AD49=""),"",$AA49-AD49)</f>
        <v>0</v>
      </c>
      <c r="AG49" s="44"/>
      <c r="AH49" s="45" t="str">
        <f>IF(AG49=0,"",IFERROR(AG49/AG$19,""))</f>
        <v/>
      </c>
      <c r="AI49" s="134">
        <f>IF(AND($AA49="",AG49=""),"",$AA49-AG49)</f>
        <v>0</v>
      </c>
      <c r="AJ49" s="371">
        <f>IFERROR(AA49/AA$20,0)</f>
        <v>0</v>
      </c>
      <c r="AK49" s="372">
        <f>IFERROR(AD49/AD$20,0)</f>
        <v>0</v>
      </c>
      <c r="AL49" s="373">
        <f>IFERROR(AG49/AG$20,0)</f>
        <v>0</v>
      </c>
      <c r="AM49" s="374">
        <f>+IFERROR(ROUND(($AB49-AE49)*100,2)&amp;" pts.",0)</f>
        <v>0</v>
      </c>
      <c r="AN49" s="375">
        <f>+IFERROR(ROUND(($AB49-AH49)*100,2)&amp;" pts.",0)</f>
        <v>0</v>
      </c>
    </row>
    <row r="50" spans="1:40" x14ac:dyDescent="0.2">
      <c r="A50" s="6" t="s">
        <v>6</v>
      </c>
      <c r="B50" s="7"/>
      <c r="F50" s="136"/>
      <c r="H50" s="10" t="s">
        <v>75</v>
      </c>
      <c r="I50" s="26" t="s">
        <v>1006</v>
      </c>
      <c r="J50" s="26" t="s">
        <v>78</v>
      </c>
      <c r="K50" s="65" t="str">
        <f>IF(AND(I50&gt;="T3"),"&gt;","")</f>
        <v/>
      </c>
      <c r="L50" s="23"/>
      <c r="M50" s="24"/>
      <c r="N50" s="23" t="s">
        <v>1076</v>
      </c>
      <c r="O50" s="35"/>
      <c r="P50" s="35"/>
      <c r="Q50" s="35"/>
      <c r="R50" s="35"/>
      <c r="S50" s="35"/>
      <c r="T50" s="35"/>
      <c r="U50" s="35"/>
      <c r="V50" s="35"/>
      <c r="W50" s="35"/>
      <c r="X50" s="35"/>
      <c r="Y50" s="35"/>
      <c r="Z50" s="35"/>
      <c r="AA50" s="283" t="str">
        <f>IF($I50="B1","",SUM(O50:Z50))</f>
        <v/>
      </c>
      <c r="AB50" s="36" t="str">
        <f>IF(AA50=0,"",IFERROR(AA50/AA$19,""))</f>
        <v/>
      </c>
      <c r="AD50" s="35"/>
      <c r="AE50" s="36" t="str">
        <f>IF(AD50=0,"",IFERROR(AD50/AD$19,""))</f>
        <v/>
      </c>
      <c r="AF50" s="118" t="str">
        <f>IF(AND($AA50="",AD50=""),"",$AA50-AD50)</f>
        <v/>
      </c>
      <c r="AG50" s="35"/>
      <c r="AH50" s="36" t="str">
        <f>IF(AG50=0,"",IFERROR(AG50/AG$19,""))</f>
        <v/>
      </c>
      <c r="AI50" s="118" t="str">
        <f>IF(AND($AA50="",AG50=""),"",$AA50-AG50)</f>
        <v/>
      </c>
      <c r="AJ50" s="371">
        <f>IFERROR(AA50/AA$20,0)</f>
        <v>0</v>
      </c>
      <c r="AK50" s="372">
        <f>IFERROR(AD50/AD$20,0)</f>
        <v>0</v>
      </c>
      <c r="AL50" s="373">
        <f>IFERROR(AG50/AG$20,0)</f>
        <v>0</v>
      </c>
      <c r="AM50" s="374">
        <f>+IFERROR(ROUND(($AB50-AE50)*100,2)&amp;" pts.",0)</f>
        <v>0</v>
      </c>
      <c r="AN50" s="375">
        <f>+IFERROR(ROUND(($AB50-AH50)*100,2)&amp;" pts.",0)</f>
        <v>0</v>
      </c>
    </row>
    <row r="51" spans="1:40" hidden="1" x14ac:dyDescent="0.2">
      <c r="A51" s="6" t="s">
        <v>7</v>
      </c>
      <c r="B51" s="14" t="s">
        <v>1300</v>
      </c>
      <c r="F51" s="136"/>
      <c r="H51" s="10" t="s">
        <v>667</v>
      </c>
      <c r="I51" s="25"/>
      <c r="J51" s="25"/>
      <c r="K51" s="64" t="str">
        <f>IF(AND(I51&gt;="T3"),"&gt;","")</f>
        <v/>
      </c>
      <c r="L51" s="24"/>
      <c r="M51" s="24"/>
      <c r="N51" s="24"/>
      <c r="O51" s="44"/>
      <c r="P51" s="44"/>
      <c r="Q51" s="44"/>
      <c r="R51" s="44"/>
      <c r="S51" s="44"/>
      <c r="T51" s="44"/>
      <c r="U51" s="44"/>
      <c r="V51" s="44"/>
      <c r="W51" s="44"/>
      <c r="X51" s="44"/>
      <c r="Y51" s="44"/>
      <c r="Z51" s="44"/>
      <c r="AA51" s="296">
        <f>IF($I51="B1","",SUM(O51:Z51))</f>
        <v>0</v>
      </c>
      <c r="AB51" s="45" t="str">
        <f>IF(AA51=0,"",IFERROR(AA51/AA$19,""))</f>
        <v/>
      </c>
      <c r="AD51" s="44"/>
      <c r="AE51" s="45" t="str">
        <f>IF(AD51=0,"",IFERROR(AD51/AD$19,""))</f>
        <v/>
      </c>
      <c r="AF51" s="134">
        <f>IF(AND($AA51="",AD51=""),"",$AA51-AD51)</f>
        <v>0</v>
      </c>
      <c r="AG51" s="44"/>
      <c r="AH51" s="45" t="str">
        <f>IF(AG51=0,"",IFERROR(AG51/AG$19,""))</f>
        <v/>
      </c>
      <c r="AI51" s="134">
        <f>IF(AND($AA51="",AG51=""),"",$AA51-AG51)</f>
        <v>0</v>
      </c>
      <c r="AJ51" s="381">
        <f>IFERROR(AA51/AA$20,0)</f>
        <v>0</v>
      </c>
      <c r="AK51" s="382">
        <f>IFERROR(AD51/AD$20,0)</f>
        <v>0</v>
      </c>
      <c r="AL51" s="383">
        <f>IFERROR(AG51/AG$20,0)</f>
        <v>0</v>
      </c>
      <c r="AM51" s="384">
        <f>+IFERROR(ROUND(($AB51-AE51)*100,2)&amp;" pts.",0)</f>
        <v>0</v>
      </c>
      <c r="AN51" s="385">
        <f>+IFERROR(ROUND(($AB51-AH51)*100,2)&amp;" pts.",0)</f>
        <v>0</v>
      </c>
    </row>
    <row r="52" spans="1:40" hidden="1" x14ac:dyDescent="0.2">
      <c r="A52" s="6" t="s">
        <v>47</v>
      </c>
      <c r="B52" s="14" t="s">
        <v>1293</v>
      </c>
      <c r="H52" s="10"/>
      <c r="I52" s="25"/>
      <c r="J52" s="25"/>
      <c r="K52" s="64" t="str">
        <f>IF(AND(I52&gt;="T3"),"&gt;","")</f>
        <v/>
      </c>
      <c r="L52" s="24"/>
      <c r="M52" s="24"/>
      <c r="N52" s="24"/>
      <c r="O52" s="44"/>
      <c r="P52" s="44"/>
      <c r="Q52" s="44"/>
      <c r="R52" s="44"/>
      <c r="S52" s="44"/>
      <c r="T52" s="44"/>
      <c r="U52" s="44"/>
      <c r="V52" s="44"/>
      <c r="W52" s="44"/>
      <c r="X52" s="44"/>
      <c r="Y52" s="44"/>
      <c r="Z52" s="44"/>
      <c r="AA52" s="296">
        <f>IF($I52="B1","",SUM(O52:Z52))</f>
        <v>0</v>
      </c>
      <c r="AB52" s="45" t="str">
        <f>IF(AA52=0,"",IFERROR(AA52/AA$19,""))</f>
        <v/>
      </c>
      <c r="AD52" s="44"/>
      <c r="AE52" s="45" t="str">
        <f>IF(AD52=0,"",IFERROR(AD52/AD$19,""))</f>
        <v/>
      </c>
      <c r="AF52" s="134">
        <f>IF(AND($AA52="",AD52=""),"",$AA52-AD52)</f>
        <v>0</v>
      </c>
      <c r="AG52" s="44"/>
      <c r="AH52" s="45" t="str">
        <f>IF(AG52=0,"",IFERROR(AG52/AG$19,""))</f>
        <v/>
      </c>
      <c r="AI52" s="134">
        <f>IF(AND($AA52="",AG52=""),"",$AA52-AG52)</f>
        <v>0</v>
      </c>
      <c r="AJ52" s="381">
        <f>IFERROR(AA52/AA$20,0)</f>
        <v>0</v>
      </c>
      <c r="AK52" s="382">
        <f>IFERROR(AD52/AD$20,0)</f>
        <v>0</v>
      </c>
      <c r="AL52" s="383">
        <f>IFERROR(AG52/AG$20,0)</f>
        <v>0</v>
      </c>
      <c r="AM52" s="384">
        <f>+IFERROR(ROUND(($AB52-AE52)*100,2)&amp;" pts.",0)</f>
        <v>0</v>
      </c>
      <c r="AN52" s="385">
        <f>+IFERROR(ROUND(($AB52-AH52)*100,2)&amp;" pts.",0)</f>
        <v>0</v>
      </c>
    </row>
    <row r="53" spans="1:40" x14ac:dyDescent="0.2">
      <c r="A53" s="6" t="s">
        <v>8</v>
      </c>
      <c r="B53" s="7"/>
      <c r="O53" s="38"/>
      <c r="P53" s="42"/>
      <c r="Q53" s="42"/>
      <c r="R53" s="42"/>
      <c r="S53" s="42"/>
      <c r="T53" s="42"/>
      <c r="U53" s="42"/>
      <c r="V53" s="42"/>
      <c r="W53" s="42"/>
      <c r="X53" s="42"/>
      <c r="Y53" s="42"/>
      <c r="Z53" s="42"/>
      <c r="AA53" s="42"/>
      <c r="AB53" s="39"/>
      <c r="AD53" s="38"/>
      <c r="AE53" s="42"/>
      <c r="AF53" s="39"/>
      <c r="AG53" s="38"/>
      <c r="AH53" s="42"/>
      <c r="AI53" s="39"/>
    </row>
    <row r="54" spans="1:40" x14ac:dyDescent="0.2">
      <c r="H54" s="1" t="s">
        <v>82</v>
      </c>
      <c r="I54" s="11" t="s">
        <v>1006</v>
      </c>
      <c r="J54" s="11" t="s">
        <v>78</v>
      </c>
      <c r="N54" s="37" t="s">
        <v>1087</v>
      </c>
      <c r="O54" s="40"/>
      <c r="P54" s="43"/>
      <c r="Q54" s="43"/>
      <c r="R54" s="43"/>
      <c r="S54" s="43"/>
      <c r="T54" s="43"/>
      <c r="U54" s="43"/>
      <c r="V54" s="43"/>
      <c r="W54" s="43"/>
      <c r="X54" s="43"/>
      <c r="Y54" s="43"/>
      <c r="Z54" s="43"/>
      <c r="AA54" s="43"/>
      <c r="AB54" s="41"/>
      <c r="AD54" s="40"/>
      <c r="AE54" s="43"/>
      <c r="AF54" s="41"/>
      <c r="AG54" s="40"/>
      <c r="AH54" s="43"/>
      <c r="AI54" s="41"/>
    </row>
    <row r="55" spans="1:40" hidden="1" x14ac:dyDescent="0.2">
      <c r="A55" s="3" t="s">
        <v>9</v>
      </c>
      <c r="B55" s="5" t="s">
        <v>10</v>
      </c>
      <c r="H55" s="10" t="s">
        <v>667</v>
      </c>
      <c r="I55" s="25"/>
      <c r="J55" s="25"/>
      <c r="K55" s="64" t="str">
        <f>IF(AND(I55&lt;&gt;"B1",J55="Y"),"&gt;","")</f>
        <v/>
      </c>
      <c r="L55" s="24"/>
      <c r="M55" s="24"/>
      <c r="N55" s="24"/>
      <c r="O55" s="28"/>
      <c r="P55" s="28"/>
      <c r="Q55" s="28"/>
      <c r="R55" s="28"/>
      <c r="S55" s="28"/>
      <c r="T55" s="28"/>
      <c r="U55" s="28"/>
      <c r="V55" s="28"/>
      <c r="W55" s="28"/>
      <c r="X55" s="28"/>
      <c r="Y55" s="28"/>
      <c r="Z55" s="28"/>
      <c r="AA55" s="296">
        <f>IF($I55="B1","",SUM(O55:Z55))</f>
        <v>0</v>
      </c>
      <c r="AB55" s="29" t="str">
        <f>IF(AA55=0,"",IFERROR(AA55/AA$19,""))</f>
        <v/>
      </c>
      <c r="AD55" s="28"/>
      <c r="AE55" s="29" t="str">
        <f>IF(AD55=0,"",IFERROR(AD55/AD$19,""))</f>
        <v/>
      </c>
      <c r="AF55" s="48">
        <f>IF(AND($AA55="",AD55=""),"",$AA55-AD55)</f>
        <v>0</v>
      </c>
      <c r="AG55" s="28"/>
      <c r="AH55" s="29" t="str">
        <f>IF(AG55=0,"",IFERROR(AG55/AG$19,""))</f>
        <v/>
      </c>
      <c r="AI55" s="48">
        <f>IF(AND($AA55="",AG55=""),"",$AA55-AG55)</f>
        <v>0</v>
      </c>
      <c r="AJ55" s="371">
        <f>IFERROR(AA55/AA$20,0)</f>
        <v>0</v>
      </c>
      <c r="AK55" s="372">
        <f>IFERROR(AD55/AD$20,0)</f>
        <v>0</v>
      </c>
      <c r="AL55" s="373">
        <f>IFERROR(AG55/AG$20,0)</f>
        <v>0</v>
      </c>
      <c r="AM55" s="374">
        <f>+IFERROR(ROUND(($AB55-AE55)*100,2)&amp;" pts.",0)</f>
        <v>0</v>
      </c>
      <c r="AN55" s="375">
        <f>+IFERROR(ROUND(($AB55-AH55)*100,2)&amp;" pts.",0)</f>
        <v>0</v>
      </c>
    </row>
    <row r="56" spans="1:40" hidden="1" x14ac:dyDescent="0.2">
      <c r="A56" s="6" t="s">
        <v>11</v>
      </c>
      <c r="B56" s="7" t="s">
        <v>21</v>
      </c>
      <c r="G56" s="13"/>
      <c r="H56" s="10"/>
      <c r="I56" s="25"/>
      <c r="J56" s="25"/>
      <c r="K56" s="64" t="str">
        <f>IF(AND(I56&lt;&gt;"B1",J56="Y"),"&gt;","")</f>
        <v/>
      </c>
      <c r="L56" s="24"/>
      <c r="M56" s="24"/>
      <c r="N56" s="24"/>
      <c r="O56" s="28"/>
      <c r="P56" s="28"/>
      <c r="Q56" s="28"/>
      <c r="R56" s="28"/>
      <c r="S56" s="28"/>
      <c r="T56" s="28"/>
      <c r="U56" s="28"/>
      <c r="V56" s="28"/>
      <c r="W56" s="28"/>
      <c r="X56" s="28"/>
      <c r="Y56" s="28"/>
      <c r="Z56" s="28"/>
      <c r="AA56" s="296">
        <f>IF($I56="B1","",SUM(O56:Z56))</f>
        <v>0</v>
      </c>
      <c r="AB56" s="29" t="str">
        <f>IF(AA56=0,"",IFERROR(AA56/AA$19,""))</f>
        <v/>
      </c>
      <c r="AD56" s="28"/>
      <c r="AE56" s="29" t="str">
        <f>IF(AD56=0,"",IFERROR(AD56/AD$19,""))</f>
        <v/>
      </c>
      <c r="AF56" s="48">
        <f>IF(AND($AA56="",AD56=""),"",$AA56-AD56)</f>
        <v>0</v>
      </c>
      <c r="AG56" s="28"/>
      <c r="AH56" s="29" t="str">
        <f>IF(AG56=0,"",IFERROR(AG56/AG$19,""))</f>
        <v/>
      </c>
      <c r="AI56" s="48">
        <f>IF(AND($AA56="",AG56=""),"",$AA56-AG56)</f>
        <v>0</v>
      </c>
      <c r="AJ56" s="371">
        <f>IFERROR(AA56/AA$20,0)</f>
        <v>0</v>
      </c>
      <c r="AK56" s="372">
        <f>IFERROR(AD56/AD$20,0)</f>
        <v>0</v>
      </c>
      <c r="AL56" s="373">
        <f>IFERROR(AG56/AG$20,0)</f>
        <v>0</v>
      </c>
      <c r="AM56" s="374">
        <f>+IFERROR(ROUND(($AB56-AE56)*100,2)&amp;" pts.",0)</f>
        <v>0</v>
      </c>
      <c r="AN56" s="375">
        <f>+IFERROR(ROUND(($AB56-AH56)*100,2)&amp;" pts.",0)</f>
        <v>0</v>
      </c>
    </row>
    <row r="57" spans="1:40" x14ac:dyDescent="0.2">
      <c r="A57" s="6" t="s">
        <v>12</v>
      </c>
      <c r="B57" s="7" t="s">
        <v>22</v>
      </c>
      <c r="H57" s="10" t="s">
        <v>79</v>
      </c>
      <c r="I57" s="25" t="s">
        <v>1007</v>
      </c>
      <c r="J57" s="25" t="s">
        <v>78</v>
      </c>
      <c r="K57" s="24"/>
      <c r="L57" s="24"/>
      <c r="M57" s="24"/>
      <c r="N57" s="23" t="s">
        <v>1111</v>
      </c>
      <c r="O57" s="30"/>
      <c r="P57" s="30"/>
      <c r="Q57" s="30"/>
      <c r="R57" s="30"/>
      <c r="S57" s="30"/>
      <c r="T57" s="30"/>
      <c r="U57" s="30"/>
      <c r="V57" s="30"/>
      <c r="W57" s="30"/>
      <c r="X57" s="30"/>
      <c r="Y57" s="30"/>
      <c r="Z57" s="30"/>
      <c r="AA57" s="30">
        <f>IF($I57="B1","",SUM(O57:Z57))</f>
        <v>0</v>
      </c>
      <c r="AB57" s="31" t="str">
        <f>IF(AA57=0,"",IFERROR(AA57/AA$19,""))</f>
        <v/>
      </c>
      <c r="AD57" s="30"/>
      <c r="AE57" s="31" t="str">
        <f>IF(AD57=0,"",IFERROR(AD57/AD$19,""))</f>
        <v/>
      </c>
      <c r="AF57" s="49">
        <f>IF(AND($AA57="",AD57=""),"",$AA57-AD57)</f>
        <v>0</v>
      </c>
      <c r="AG57" s="30"/>
      <c r="AH57" s="31" t="str">
        <f>IF(AG57=0,"",IFERROR(AG57/AG$19,""))</f>
        <v/>
      </c>
      <c r="AI57" s="49">
        <f>IF(AND($AA57="",AG57=""),"",$AA57-AG57)</f>
        <v>0</v>
      </c>
      <c r="AJ57" s="387">
        <f>IFERROR(AA57/AA$20,0)</f>
        <v>0</v>
      </c>
      <c r="AK57" s="388">
        <f>IFERROR(AD57/AD$20,0)</f>
        <v>0</v>
      </c>
      <c r="AL57" s="389">
        <f>IFERROR(AG57/AG$20,0)</f>
        <v>0</v>
      </c>
      <c r="AM57" s="390">
        <f>+IFERROR(ROUND(($AB57-AE57)*100,2)&amp;" pts.",0)</f>
        <v>0</v>
      </c>
      <c r="AN57" s="408">
        <f>+IFERROR(ROUND(($AB57-AH57)*100,2)&amp;" pts.",0)</f>
        <v>0</v>
      </c>
    </row>
    <row r="58" spans="1:40" x14ac:dyDescent="0.2">
      <c r="A58" s="6" t="s">
        <v>13</v>
      </c>
      <c r="B58" s="7" t="str">
        <f>"DEP(500001) AND "&amp;$E$6&amp;"=Y,500001"</f>
        <v>DEP(500001) AND D1133=Y,500001</v>
      </c>
    </row>
    <row r="59" spans="1:40" x14ac:dyDescent="0.2">
      <c r="A59" s="6" t="s">
        <v>14</v>
      </c>
      <c r="B59" s="7"/>
      <c r="H59" s="10" t="s">
        <v>80</v>
      </c>
      <c r="I59" s="25" t="s">
        <v>1007</v>
      </c>
      <c r="J59" s="25" t="s">
        <v>78</v>
      </c>
      <c r="K59" s="23"/>
      <c r="L59" s="23"/>
      <c r="M59" s="23"/>
      <c r="N59" s="23" t="s">
        <v>1112</v>
      </c>
      <c r="O59" s="33"/>
      <c r="P59" s="33"/>
      <c r="Q59" s="33"/>
      <c r="R59" s="33"/>
      <c r="S59" s="33"/>
      <c r="T59" s="33"/>
      <c r="U59" s="33"/>
      <c r="V59" s="33"/>
      <c r="W59" s="33"/>
      <c r="X59" s="33"/>
      <c r="Y59" s="33"/>
      <c r="Z59" s="33"/>
      <c r="AA59" s="33">
        <f>IF($I59="B1","",SUM(O59:Z59))</f>
        <v>0</v>
      </c>
      <c r="AB59" s="34" t="str">
        <f>IF(AA59=0,"",IFERROR(AA59/AA$19,""))</f>
        <v/>
      </c>
      <c r="AD59" s="33"/>
      <c r="AE59" s="34" t="str">
        <f>IF(AD59=0,"",IFERROR(AD59/AD$19,""))</f>
        <v/>
      </c>
      <c r="AF59" s="55">
        <f>IF(AND($AA59="",AD59=""),"",$AA59-AD59)</f>
        <v>0</v>
      </c>
      <c r="AG59" s="56"/>
      <c r="AH59" s="57" t="str">
        <f>IF(AG59=0,"",IFERROR(AG59/AG$19,""))</f>
        <v/>
      </c>
      <c r="AI59" s="55">
        <f>IF(AND($AA59="",AG59=""),"",$AA59-AG59)</f>
        <v>0</v>
      </c>
      <c r="AJ59" s="364">
        <f>IFERROR(AA59/AA$20,0)</f>
        <v>0</v>
      </c>
      <c r="AK59" s="365">
        <f>IFERROR(AD59/AD$20,0)</f>
        <v>0</v>
      </c>
      <c r="AL59" s="366">
        <f>IFERROR(AG59/AG$20,0)</f>
        <v>0</v>
      </c>
      <c r="AM59" s="367">
        <f>+IFERROR(ROUND(($AB59-AE59)*100,2)&amp;" pts.",0)</f>
        <v>0</v>
      </c>
      <c r="AN59" s="409">
        <f>+IFERROR(ROUND(($AB59-AH59)*100,2)&amp;" pts.",0)</f>
        <v>0</v>
      </c>
    </row>
    <row r="60" spans="1:40" ht="16" thickBot="1" x14ac:dyDescent="0.25">
      <c r="A60" s="6" t="s">
        <v>15</v>
      </c>
      <c r="B60" s="7"/>
      <c r="H60" s="10" t="s">
        <v>81</v>
      </c>
      <c r="I60" s="25" t="s">
        <v>1007</v>
      </c>
      <c r="J60" s="25" t="s">
        <v>78</v>
      </c>
      <c r="K60" s="23"/>
      <c r="L60" s="23"/>
      <c r="M60" s="23"/>
      <c r="N60" s="23" t="s">
        <v>1113</v>
      </c>
      <c r="O60" s="58"/>
      <c r="P60" s="58"/>
      <c r="Q60" s="58"/>
      <c r="R60" s="58"/>
      <c r="S60" s="58"/>
      <c r="T60" s="58"/>
      <c r="U60" s="58"/>
      <c r="V60" s="58"/>
      <c r="W60" s="58"/>
      <c r="X60" s="58"/>
      <c r="Y60" s="58"/>
      <c r="Z60" s="58"/>
      <c r="AA60" s="58">
        <f>IF($I60="B1","",SUM(O60:Z60))</f>
        <v>0</v>
      </c>
      <c r="AB60" s="59" t="str">
        <f>IF(AA60=0,"",IFERROR(AA60/AA$19,""))</f>
        <v/>
      </c>
      <c r="AD60" s="58"/>
      <c r="AE60" s="59" t="str">
        <f>IF(AD60=0,"",IFERROR(AD60/AD$19,""))</f>
        <v/>
      </c>
      <c r="AF60" s="60">
        <f>IF(AND($AA60="",AD60=""),"",$AA60-AD60)</f>
        <v>0</v>
      </c>
      <c r="AG60" s="58">
        <v>0</v>
      </c>
      <c r="AH60" s="59" t="str">
        <f>IF(AG60=0,"",IFERROR(AG60/AG$19,""))</f>
        <v/>
      </c>
      <c r="AI60" s="60">
        <f>IF(AND($AA60="",AG60=""),"",$AA60-AG60)</f>
        <v>0</v>
      </c>
      <c r="AJ60" s="402">
        <f>IFERROR(AA60/AA$20,0)</f>
        <v>0</v>
      </c>
      <c r="AK60" s="403">
        <f>IFERROR(AD60/AD$20,0)</f>
        <v>0</v>
      </c>
      <c r="AL60" s="404">
        <f>IFERROR(AG60/AG$20,0)</f>
        <v>0</v>
      </c>
      <c r="AM60" s="405">
        <f>+IFERROR(ROUND(($AB60-AE60)*100,2)&amp;" pts.",0)</f>
        <v>0</v>
      </c>
      <c r="AN60" s="410">
        <f>+IFERROR(ROUND(($AB60-AH60)*100,2)&amp;" pts.",0)</f>
        <v>0</v>
      </c>
    </row>
    <row r="61" spans="1:40" ht="16" thickTop="1" x14ac:dyDescent="0.2">
      <c r="A61" s="6" t="s">
        <v>16</v>
      </c>
      <c r="B61" s="7"/>
    </row>
    <row r="62" spans="1:40" x14ac:dyDescent="0.2">
      <c r="A62" s="6" t="s">
        <v>17</v>
      </c>
      <c r="B62" s="7"/>
      <c r="N62" s="24" t="str">
        <f>N59&amp;" - Check"</f>
        <v>Total Expenses - Check</v>
      </c>
      <c r="O62" s="124">
        <f t="shared" ref="O62:AA62" si="1">SUMIF($H$34:$H$60,"600000",O$34:O$60)+SUMIF($H$34:$H$60,"700000",O$34:O$60)-SUMIF($H$34:$H$60,"TOTDEPTEXP",O$34:O$60)</f>
        <v>0</v>
      </c>
      <c r="P62" s="124">
        <f t="shared" si="1"/>
        <v>0</v>
      </c>
      <c r="Q62" s="124">
        <f t="shared" si="1"/>
        <v>0</v>
      </c>
      <c r="R62" s="124">
        <f t="shared" si="1"/>
        <v>0</v>
      </c>
      <c r="S62" s="124">
        <f t="shared" si="1"/>
        <v>0</v>
      </c>
      <c r="T62" s="124">
        <f t="shared" si="1"/>
        <v>0</v>
      </c>
      <c r="U62" s="124">
        <f t="shared" si="1"/>
        <v>0</v>
      </c>
      <c r="V62" s="124">
        <f t="shared" si="1"/>
        <v>0</v>
      </c>
      <c r="W62" s="124">
        <f t="shared" si="1"/>
        <v>0</v>
      </c>
      <c r="X62" s="124">
        <f t="shared" si="1"/>
        <v>0</v>
      </c>
      <c r="Y62" s="124">
        <f t="shared" si="1"/>
        <v>0</v>
      </c>
      <c r="Z62" s="124">
        <f t="shared" si="1"/>
        <v>0</v>
      </c>
      <c r="AA62" s="124">
        <f t="shared" si="1"/>
        <v>0</v>
      </c>
      <c r="AB62" s="15"/>
      <c r="AD62" s="124">
        <f>SUMIF($H$34:$H$60,"600000",AD$34:AD$60)+SUMIF($H$34:$H$60,"700000",AD$34:AD$60)-SUMIF($H$34:$H$60,"TOTDEPTEXP",AD$34:AD$60)</f>
        <v>0</v>
      </c>
      <c r="AE62" s="15"/>
      <c r="AF62" s="19"/>
      <c r="AG62" s="124">
        <f>SUMIF($H$34:$H$60,"600000",AG$34:AG$60)+SUMIF($H$34:$H$60,"700000",AG$34:AG$60)-SUMIF($H$34:$H$60,"TOTDEPTEXP",AG$34:AG$60)</f>
        <v>0</v>
      </c>
      <c r="AH62" s="15"/>
      <c r="AI62" s="19"/>
    </row>
    <row r="63" spans="1:40" x14ac:dyDescent="0.2">
      <c r="N63" s="24" t="str">
        <f>N60&amp;" - Check"</f>
        <v>Department Profit (Loss) - Check</v>
      </c>
      <c r="O63" s="124">
        <f t="shared" ref="O63:AA63" si="2">SUMIF($H$34:$H$60,"KPI_GP",O$34:O$60)-SUMIF($H$34:$H$60,"TOTDEPTEXP",O$34:O$60)-SUMIF($H$34:$H$60,"TOTDEPTPL",O$34:O$60)</f>
        <v>0</v>
      </c>
      <c r="P63" s="124">
        <f t="shared" si="2"/>
        <v>0</v>
      </c>
      <c r="Q63" s="124">
        <f t="shared" si="2"/>
        <v>0</v>
      </c>
      <c r="R63" s="124">
        <f t="shared" si="2"/>
        <v>0</v>
      </c>
      <c r="S63" s="124">
        <f t="shared" si="2"/>
        <v>0</v>
      </c>
      <c r="T63" s="124">
        <f t="shared" si="2"/>
        <v>0</v>
      </c>
      <c r="U63" s="124">
        <f t="shared" si="2"/>
        <v>0</v>
      </c>
      <c r="V63" s="124">
        <f t="shared" si="2"/>
        <v>0</v>
      </c>
      <c r="W63" s="124">
        <f t="shared" si="2"/>
        <v>0</v>
      </c>
      <c r="X63" s="124">
        <f t="shared" si="2"/>
        <v>0</v>
      </c>
      <c r="Y63" s="124">
        <f t="shared" si="2"/>
        <v>0</v>
      </c>
      <c r="Z63" s="124">
        <f t="shared" si="2"/>
        <v>0</v>
      </c>
      <c r="AA63" s="124">
        <f t="shared" si="2"/>
        <v>0</v>
      </c>
      <c r="AB63" s="15"/>
      <c r="AD63" s="124">
        <f>SUMIF($H$34:$H$60,"KPI_GP",AD$34:AD$60)-SUMIF($H$34:$H$60,"TOTDEPTEXP",AD$34:AD$60)-SUMIF($H$34:$H$60,"TOTDEPTPL",AD$34:AD$60)</f>
        <v>0</v>
      </c>
      <c r="AE63" s="15"/>
      <c r="AF63" s="19"/>
      <c r="AG63" s="124">
        <f>SUMIF($H$34:$H$60,"KPI_GP",AG$34:AG$60)-SUMIF($H$34:$H$60,"TOTDEPTEXP",AG$34:AG$60)-SUMIF($H$34:$H$60,"TOTDEPTPL",AG$34:AG$60)</f>
        <v>0</v>
      </c>
      <c r="AH63" s="15"/>
      <c r="AI63" s="19"/>
    </row>
    <row r="64" spans="1:40" x14ac:dyDescent="0.2">
      <c r="A64" s="20" t="s">
        <v>92</v>
      </c>
      <c r="B64" s="21" t="s">
        <v>93</v>
      </c>
      <c r="C64" s="21" t="s">
        <v>94</v>
      </c>
      <c r="D64" s="21" t="s">
        <v>95</v>
      </c>
      <c r="E64" s="21" t="s">
        <v>96</v>
      </c>
      <c r="F64" s="22" t="s">
        <v>97</v>
      </c>
    </row>
    <row r="65" spans="1:33" x14ac:dyDescent="0.2">
      <c r="O65" s="147"/>
      <c r="P65" s="147"/>
      <c r="Q65" s="147"/>
      <c r="R65" s="147"/>
      <c r="S65" s="147"/>
      <c r="T65" s="147"/>
      <c r="U65" s="147"/>
      <c r="V65" s="147"/>
      <c r="W65" s="147"/>
      <c r="X65" s="147"/>
      <c r="Y65" s="147"/>
      <c r="Z65" s="147"/>
      <c r="AA65" s="147"/>
      <c r="AD65" s="147"/>
      <c r="AG65" s="147"/>
    </row>
    <row r="66" spans="1:33" x14ac:dyDescent="0.2">
      <c r="A66" s="1" t="s">
        <v>105</v>
      </c>
      <c r="C66" s="24" t="s">
        <v>101</v>
      </c>
      <c r="D66" s="1" t="s">
        <v>106</v>
      </c>
      <c r="F66" s="1" t="s">
        <v>98</v>
      </c>
    </row>
    <row r="67" spans="1:33" x14ac:dyDescent="0.2">
      <c r="A67" s="1" t="s">
        <v>108</v>
      </c>
      <c r="C67" s="23" t="s">
        <v>101</v>
      </c>
      <c r="D67" s="1" t="s">
        <v>106</v>
      </c>
      <c r="F67" s="1" t="s">
        <v>98</v>
      </c>
      <c r="O67" s="147"/>
      <c r="P67" s="147"/>
      <c r="Q67" s="147"/>
      <c r="R67" s="147"/>
      <c r="S67" s="147"/>
      <c r="T67" s="147"/>
      <c r="U67" s="147"/>
      <c r="V67" s="147"/>
      <c r="W67" s="147"/>
      <c r="X67" s="147"/>
      <c r="Y67" s="147"/>
      <c r="Z67" s="147"/>
      <c r="AA67" s="147"/>
      <c r="AD67" s="147"/>
      <c r="AG67" s="147"/>
    </row>
    <row r="68" spans="1:33" x14ac:dyDescent="0.2">
      <c r="A68" s="1" t="s">
        <v>108</v>
      </c>
      <c r="C68" s="135" t="s">
        <v>101</v>
      </c>
      <c r="D68" s="1" t="s">
        <v>107</v>
      </c>
      <c r="F68" s="1" t="s">
        <v>99</v>
      </c>
    </row>
    <row r="70" spans="1:33" x14ac:dyDescent="0.2">
      <c r="C70" s="23"/>
      <c r="H70" s="11"/>
      <c r="J70" s="1"/>
    </row>
    <row r="71" spans="1:33" x14ac:dyDescent="0.2">
      <c r="A71" s="4" t="s">
        <v>989</v>
      </c>
      <c r="H71" s="11"/>
      <c r="J71" s="1"/>
    </row>
    <row r="72" spans="1:33" x14ac:dyDescent="0.2">
      <c r="H72" s="11"/>
      <c r="J72" s="1"/>
    </row>
    <row r="73" spans="1:33" x14ac:dyDescent="0.2">
      <c r="A73" s="3" t="s">
        <v>0</v>
      </c>
      <c r="B73" s="5" t="s">
        <v>1</v>
      </c>
      <c r="H73" s="11"/>
      <c r="J73" s="1"/>
    </row>
    <row r="74" spans="1:33" x14ac:dyDescent="0.2">
      <c r="A74" s="6" t="s">
        <v>2</v>
      </c>
      <c r="B74" s="14" t="s">
        <v>1289</v>
      </c>
      <c r="H74" s="11"/>
      <c r="J74" s="1"/>
    </row>
    <row r="75" spans="1:33" x14ac:dyDescent="0.2">
      <c r="A75" s="6" t="s">
        <v>3</v>
      </c>
      <c r="B75" s="14" t="s">
        <v>1290</v>
      </c>
      <c r="H75" s="11"/>
      <c r="J75" s="1"/>
    </row>
    <row r="76" spans="1:33" x14ac:dyDescent="0.2">
      <c r="A76" s="6" t="s">
        <v>4</v>
      </c>
      <c r="B76" s="14" t="s">
        <v>1301</v>
      </c>
      <c r="H76" s="11"/>
      <c r="J76" s="1"/>
    </row>
    <row r="77" spans="1:33" x14ac:dyDescent="0.2">
      <c r="A77" s="6" t="s">
        <v>5</v>
      </c>
      <c r="B77" s="7"/>
      <c r="H77" s="11"/>
      <c r="J77" s="1"/>
    </row>
    <row r="78" spans="1:33" x14ac:dyDescent="0.2">
      <c r="A78" s="6" t="s">
        <v>6</v>
      </c>
      <c r="B78" s="7"/>
      <c r="H78" s="11"/>
      <c r="J78" s="1"/>
    </row>
    <row r="79" spans="1:33" x14ac:dyDescent="0.2">
      <c r="A79" s="6" t="s">
        <v>7</v>
      </c>
      <c r="B79" s="14" t="s">
        <v>1302</v>
      </c>
      <c r="H79" s="11"/>
      <c r="J79" s="1"/>
    </row>
    <row r="80" spans="1:33" x14ac:dyDescent="0.2">
      <c r="A80" s="6" t="s">
        <v>47</v>
      </c>
      <c r="B80" s="14" t="s">
        <v>1293</v>
      </c>
      <c r="H80" s="11"/>
      <c r="J80" s="1"/>
    </row>
    <row r="81" spans="1:10" x14ac:dyDescent="0.2">
      <c r="A81" s="6" t="s">
        <v>8</v>
      </c>
      <c r="B81" s="7"/>
      <c r="H81" s="11"/>
      <c r="J81" s="1"/>
    </row>
    <row r="82" spans="1:10" x14ac:dyDescent="0.2">
      <c r="H82" s="11"/>
      <c r="J82" s="1"/>
    </row>
    <row r="83" spans="1:10" x14ac:dyDescent="0.2">
      <c r="A83" s="3" t="s">
        <v>9</v>
      </c>
      <c r="B83" s="5" t="s">
        <v>10</v>
      </c>
      <c r="H83" s="11"/>
      <c r="J83" s="1"/>
    </row>
    <row r="84" spans="1:10" x14ac:dyDescent="0.2">
      <c r="A84" s="6" t="s">
        <v>11</v>
      </c>
      <c r="B84" s="7" t="s">
        <v>21</v>
      </c>
      <c r="H84" s="11"/>
      <c r="J84" s="1"/>
    </row>
    <row r="85" spans="1:10" x14ac:dyDescent="0.2">
      <c r="A85" s="6" t="s">
        <v>12</v>
      </c>
      <c r="B85" s="7" t="s">
        <v>22</v>
      </c>
      <c r="H85" s="11"/>
      <c r="J85" s="1"/>
    </row>
    <row r="86" spans="1:10" x14ac:dyDescent="0.2">
      <c r="A86" s="6" t="s">
        <v>13</v>
      </c>
      <c r="B86" s="7" t="s">
        <v>737</v>
      </c>
      <c r="H86" s="11"/>
      <c r="J86" s="1"/>
    </row>
    <row r="87" spans="1:10" x14ac:dyDescent="0.2">
      <c r="A87" s="6" t="s">
        <v>14</v>
      </c>
      <c r="B87" s="7"/>
      <c r="H87" s="11"/>
      <c r="J87" s="1"/>
    </row>
    <row r="88" spans="1:10" x14ac:dyDescent="0.2">
      <c r="A88" s="6" t="s">
        <v>15</v>
      </c>
      <c r="B88" s="7"/>
      <c r="H88" s="11"/>
      <c r="J88" s="1"/>
    </row>
    <row r="89" spans="1:10" x14ac:dyDescent="0.2">
      <c r="A89" s="6" t="s">
        <v>16</v>
      </c>
      <c r="B89" s="7" t="s">
        <v>78</v>
      </c>
      <c r="G89" s="13"/>
      <c r="H89" s="11"/>
      <c r="J89" s="1"/>
    </row>
    <row r="90" spans="1:10" x14ac:dyDescent="0.2">
      <c r="A90" s="6" t="s">
        <v>17</v>
      </c>
      <c r="B90" s="7"/>
      <c r="H90" s="11"/>
      <c r="J90" s="1"/>
    </row>
    <row r="91" spans="1:10" x14ac:dyDescent="0.2">
      <c r="H91" s="11"/>
      <c r="J91" s="1"/>
    </row>
    <row r="92" spans="1:10" x14ac:dyDescent="0.2">
      <c r="A92" s="20" t="s">
        <v>92</v>
      </c>
      <c r="B92" s="21" t="s">
        <v>93</v>
      </c>
      <c r="C92" s="21" t="s">
        <v>94</v>
      </c>
      <c r="D92" s="21" t="s">
        <v>95</v>
      </c>
      <c r="E92" s="21" t="s">
        <v>96</v>
      </c>
      <c r="F92" s="22" t="s">
        <v>97</v>
      </c>
      <c r="H92" s="11"/>
      <c r="J92" s="1"/>
    </row>
    <row r="93" spans="1:10" x14ac:dyDescent="0.2">
      <c r="H93" s="11"/>
    </row>
    <row r="94" spans="1:10" x14ac:dyDescent="0.2">
      <c r="A94" s="1" t="s">
        <v>108</v>
      </c>
      <c r="C94" s="24" t="s">
        <v>101</v>
      </c>
      <c r="D94" s="1" t="s">
        <v>106</v>
      </c>
      <c r="F94" s="1" t="s">
        <v>98</v>
      </c>
    </row>
    <row r="95" spans="1:10" x14ac:dyDescent="0.2">
      <c r="A95" s="1" t="s">
        <v>100</v>
      </c>
      <c r="C95" s="8" t="s">
        <v>101</v>
      </c>
      <c r="D95" s="1" t="s">
        <v>106</v>
      </c>
      <c r="F95" s="1" t="s">
        <v>98</v>
      </c>
    </row>
    <row r="96" spans="1:10" x14ac:dyDescent="0.2">
      <c r="A96" s="1" t="s">
        <v>109</v>
      </c>
      <c r="C96" s="23" t="s">
        <v>101</v>
      </c>
      <c r="D96" s="1" t="s">
        <v>106</v>
      </c>
      <c r="F96" s="1" t="s">
        <v>98</v>
      </c>
    </row>
    <row r="97" spans="1:6" x14ac:dyDescent="0.2">
      <c r="A97" s="1" t="s">
        <v>109</v>
      </c>
      <c r="C97" s="135" t="s">
        <v>101</v>
      </c>
      <c r="D97" s="1" t="s">
        <v>107</v>
      </c>
      <c r="F97" s="1" t="s">
        <v>99</v>
      </c>
    </row>
    <row r="98" spans="1:6" x14ac:dyDescent="0.2">
      <c r="A98" s="1" t="s">
        <v>110</v>
      </c>
      <c r="C98" s="23" t="s">
        <v>101</v>
      </c>
      <c r="D98" s="1" t="s">
        <v>106</v>
      </c>
      <c r="F98" s="1" t="s">
        <v>98</v>
      </c>
    </row>
    <row r="99" spans="1:6" x14ac:dyDescent="0.2">
      <c r="A99" s="1" t="s">
        <v>110</v>
      </c>
      <c r="C99" s="27" t="s">
        <v>101</v>
      </c>
      <c r="D99" s="1" t="s">
        <v>107</v>
      </c>
      <c r="F99" s="1" t="s">
        <v>99</v>
      </c>
    </row>
    <row r="100" spans="1:6" x14ac:dyDescent="0.2">
      <c r="C100" s="23"/>
    </row>
    <row r="102" spans="1:6" x14ac:dyDescent="0.2">
      <c r="A102" s="4" t="s">
        <v>989</v>
      </c>
      <c r="B102" s="1" t="s">
        <v>736</v>
      </c>
    </row>
    <row r="104" spans="1:6" x14ac:dyDescent="0.2">
      <c r="A104" s="3" t="s">
        <v>0</v>
      </c>
      <c r="B104" s="5" t="s">
        <v>1</v>
      </c>
    </row>
    <row r="105" spans="1:6" x14ac:dyDescent="0.2">
      <c r="A105" s="6" t="s">
        <v>2</v>
      </c>
      <c r="B105" s="14" t="s">
        <v>1289</v>
      </c>
    </row>
    <row r="106" spans="1:6" x14ac:dyDescent="0.2">
      <c r="A106" s="6" t="s">
        <v>3</v>
      </c>
      <c r="B106" s="14" t="s">
        <v>1290</v>
      </c>
    </row>
    <row r="107" spans="1:6" x14ac:dyDescent="0.2">
      <c r="A107" s="6" t="s">
        <v>4</v>
      </c>
      <c r="B107" s="14" t="s">
        <v>1303</v>
      </c>
    </row>
    <row r="108" spans="1:6" x14ac:dyDescent="0.2">
      <c r="A108" s="6" t="s">
        <v>5</v>
      </c>
      <c r="B108" s="7"/>
    </row>
    <row r="109" spans="1:6" x14ac:dyDescent="0.2">
      <c r="A109" s="6" t="s">
        <v>6</v>
      </c>
      <c r="B109" s="7"/>
    </row>
    <row r="110" spans="1:6" x14ac:dyDescent="0.2">
      <c r="A110" s="6" t="s">
        <v>7</v>
      </c>
      <c r="B110" s="7"/>
    </row>
    <row r="111" spans="1:6" x14ac:dyDescent="0.2">
      <c r="A111" s="6" t="s">
        <v>47</v>
      </c>
      <c r="B111" s="14" t="s">
        <v>1293</v>
      </c>
    </row>
    <row r="112" spans="1:6" x14ac:dyDescent="0.2">
      <c r="A112" s="6" t="s">
        <v>8</v>
      </c>
      <c r="B112" s="7"/>
    </row>
    <row r="115" spans="1:2" x14ac:dyDescent="0.2">
      <c r="A115" s="3" t="s">
        <v>23</v>
      </c>
      <c r="B115" s="5" t="s">
        <v>24</v>
      </c>
    </row>
    <row r="116" spans="1:2" x14ac:dyDescent="0.2">
      <c r="A116" s="6" t="s">
        <v>25</v>
      </c>
      <c r="B116" s="7"/>
    </row>
    <row r="117" spans="1:2" x14ac:dyDescent="0.2">
      <c r="A117" s="6" t="s">
        <v>26</v>
      </c>
      <c r="B117" s="7"/>
    </row>
    <row r="118" spans="1:2" x14ac:dyDescent="0.2">
      <c r="A118" s="6" t="s">
        <v>27</v>
      </c>
      <c r="B118" s="7"/>
    </row>
    <row r="119" spans="1:2" x14ac:dyDescent="0.2">
      <c r="A119" s="6" t="s">
        <v>28</v>
      </c>
      <c r="B119" s="7"/>
    </row>
    <row r="120" spans="1:2" x14ac:dyDescent="0.2">
      <c r="A120" s="6" t="s">
        <v>29</v>
      </c>
      <c r="B120" s="7"/>
    </row>
    <row r="121" spans="1:2" x14ac:dyDescent="0.2">
      <c r="A121" s="6" t="s">
        <v>30</v>
      </c>
      <c r="B121" s="7" t="s">
        <v>78</v>
      </c>
    </row>
    <row r="122" spans="1:2" x14ac:dyDescent="0.2">
      <c r="A122" s="6" t="s">
        <v>31</v>
      </c>
      <c r="B122" s="7" t="s">
        <v>78</v>
      </c>
    </row>
    <row r="123" spans="1:2" x14ac:dyDescent="0.2">
      <c r="A123" s="6" t="s">
        <v>32</v>
      </c>
      <c r="B123" s="7"/>
    </row>
    <row r="124" spans="1:2" x14ac:dyDescent="0.2">
      <c r="A124" s="6" t="s">
        <v>33</v>
      </c>
      <c r="B124" s="7"/>
    </row>
    <row r="125" spans="1:2" x14ac:dyDescent="0.2">
      <c r="A125" s="6" t="s">
        <v>34</v>
      </c>
      <c r="B125" s="7"/>
    </row>
    <row r="126" spans="1:2" x14ac:dyDescent="0.2">
      <c r="A126" s="6" t="s">
        <v>35</v>
      </c>
      <c r="B126" s="7"/>
    </row>
    <row r="127" spans="1:2" x14ac:dyDescent="0.2">
      <c r="A127" s="6" t="s">
        <v>36</v>
      </c>
      <c r="B127" s="7"/>
    </row>
    <row r="128" spans="1:2" x14ac:dyDescent="0.2">
      <c r="A128" s="6" t="s">
        <v>37</v>
      </c>
      <c r="B128" s="7"/>
    </row>
    <row r="129" spans="1:34" x14ac:dyDescent="0.2">
      <c r="A129" s="6" t="s">
        <v>38</v>
      </c>
      <c r="B129" s="7"/>
    </row>
    <row r="130" spans="1:34" x14ac:dyDescent="0.2">
      <c r="A130" s="6" t="s">
        <v>39</v>
      </c>
      <c r="B130" s="7"/>
    </row>
    <row r="131" spans="1:34" x14ac:dyDescent="0.2">
      <c r="A131" s="6" t="s">
        <v>40</v>
      </c>
      <c r="B131" s="7"/>
    </row>
    <row r="132" spans="1:34" x14ac:dyDescent="0.2">
      <c r="A132" s="6" t="s">
        <v>41</v>
      </c>
      <c r="B132" s="7"/>
    </row>
    <row r="133" spans="1:34" x14ac:dyDescent="0.2">
      <c r="A133" s="6" t="s">
        <v>42</v>
      </c>
      <c r="B133" s="7"/>
      <c r="I133" s="72"/>
      <c r="J133" s="1"/>
      <c r="K133" s="72"/>
      <c r="L133" s="72"/>
      <c r="M133" s="72"/>
      <c r="O133" s="72"/>
      <c r="P133" s="72"/>
      <c r="Q133" s="72"/>
      <c r="R133" s="72"/>
      <c r="S133" s="72"/>
      <c r="T133" s="72"/>
      <c r="U133" s="72"/>
      <c r="V133" s="72"/>
      <c r="W133" s="72"/>
      <c r="X133" s="72"/>
      <c r="Y133" s="72"/>
      <c r="Z133" s="72"/>
      <c r="AA133" s="72"/>
      <c r="AD133" s="72"/>
      <c r="AF133" s="72"/>
      <c r="AH133" s="72"/>
    </row>
    <row r="134" spans="1:34" x14ac:dyDescent="0.2">
      <c r="A134" s="6" t="s">
        <v>43</v>
      </c>
      <c r="B134" s="7"/>
    </row>
    <row r="135" spans="1:34" x14ac:dyDescent="0.2">
      <c r="A135" s="6" t="s">
        <v>44</v>
      </c>
      <c r="B135" s="7"/>
    </row>
    <row r="136" spans="1:34" x14ac:dyDescent="0.2">
      <c r="A136" s="6" t="s">
        <v>45</v>
      </c>
      <c r="B136" s="7"/>
    </row>
    <row r="137" spans="1:34" x14ac:dyDescent="0.2">
      <c r="A137" s="6" t="s">
        <v>46</v>
      </c>
      <c r="B137" s="7"/>
      <c r="I137" s="72"/>
      <c r="J137" s="1"/>
      <c r="K137" s="72"/>
      <c r="L137" s="72"/>
      <c r="M137" s="72"/>
      <c r="O137" s="72"/>
      <c r="P137" s="72"/>
      <c r="Q137" s="72"/>
      <c r="R137" s="72"/>
      <c r="S137" s="72"/>
      <c r="T137" s="72"/>
      <c r="U137" s="72"/>
      <c r="V137" s="72"/>
      <c r="W137" s="72"/>
      <c r="X137" s="72"/>
      <c r="Y137" s="72"/>
      <c r="Z137" s="72"/>
      <c r="AA137" s="72"/>
      <c r="AD137" s="72"/>
      <c r="AF137" s="72"/>
      <c r="AH137" s="72"/>
    </row>
    <row r="154" spans="5:5" x14ac:dyDescent="0.2">
      <c r="E154" s="72"/>
    </row>
    <row r="158" spans="5:5" x14ac:dyDescent="0.2">
      <c r="E158" s="72"/>
    </row>
    <row r="165" spans="7:7" x14ac:dyDescent="0.2">
      <c r="G165" s="72"/>
    </row>
    <row r="169" spans="7:7" x14ac:dyDescent="0.2">
      <c r="G169" s="72"/>
    </row>
  </sheetData>
  <mergeCells count="2">
    <mergeCell ref="AD31:AE31"/>
    <mergeCell ref="AG31:AH31"/>
  </mergeCells>
  <dataValidations count="2">
    <dataValidation type="list" allowBlank="1" sqref="B58 B29 B86" xr:uid="{00000000-0002-0000-4300-000000000000}">
      <formula1>"SELF,ALL,BAS,DEP,BASMEMBERS,MEMBERS,NOEXPAND,GDEP"</formula1>
    </dataValidation>
    <dataValidation type="list" allowBlank="1" sqref="B57 B85 B28" xr:uid="{00000000-0002-0000-43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18">
    <tabColor theme="9" tint="0.39997558519241921"/>
    <pageSetUpPr fitToPage="1"/>
  </sheetPr>
  <dimension ref="A1:AO192"/>
  <sheetViews>
    <sheetView topLeftCell="K25" zoomScale="85" zoomScaleNormal="85" workbookViewId="0">
      <pane xSplit="4" ySplit="8" topLeftCell="O42"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386</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_xll.EVRNG(H34:H44)</f>
        <v>#NAME?</v>
      </c>
      <c r="G19" s="16" t="str">
        <f>$B$6</f>
        <v>D1136</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
        <v>749</v>
      </c>
      <c r="H20" s="16">
        <v>900200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I21" s="1"/>
      <c r="J21" s="1"/>
    </row>
    <row r="22" spans="1:40" hidden="1" outlineLevel="1" x14ac:dyDescent="0.2">
      <c r="A22" s="6" t="s">
        <v>7</v>
      </c>
      <c r="B22" s="7" t="e">
        <f ca="1">_xll.EVRNG(A36:F39)</f>
        <v>#NAME?</v>
      </c>
      <c r="I22" s="1"/>
      <c r="J22" s="1"/>
    </row>
    <row r="23" spans="1:40" hidden="1" outlineLevel="1" x14ac:dyDescent="0.2">
      <c r="A23" s="6" t="s">
        <v>47</v>
      </c>
      <c r="B23" s="7" t="e">
        <f ca="1">_xll.EVRNG($A$115:$B$136)</f>
        <v>#NAME?</v>
      </c>
      <c r="K23" s="53"/>
      <c r="L23" s="53"/>
      <c r="M23" s="53"/>
      <c r="AD23" s="136"/>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IF(_xll.EVDES(B6,$B$1)="#NODATA","",_xll.EVDES(B6,$B$1)&amp;" Department")</f>
        <v>#NAME?</v>
      </c>
    </row>
    <row r="28" spans="1:40" ht="16" x14ac:dyDescent="0.2">
      <c r="A28" s="6" t="s">
        <v>12</v>
      </c>
      <c r="B28" s="7" t="s">
        <v>22</v>
      </c>
      <c r="N28" s="67" t="e">
        <f ca="1">"For the Period ended"&amp;" "&amp;IF(_xll.EVDES($B$10,$B$1)="#NODATA","",_xll.EVDES($B$10,$B$1))</f>
        <v>#NAME?</v>
      </c>
    </row>
    <row r="29" spans="1:40" ht="15" customHeight="1" x14ac:dyDescent="0.2">
      <c r="A29" s="6" t="s">
        <v>13</v>
      </c>
      <c r="B29" s="7" t="e">
        <f ca="1">"DEP(440000) AND "&amp;$E$6&amp;"=Y,400000"</f>
        <v>#NAME?</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748</v>
      </c>
      <c r="AK30" s="209"/>
      <c r="AL30" s="210"/>
      <c r="AM30" s="209" t="s">
        <v>750</v>
      </c>
      <c r="AN30" s="209"/>
    </row>
    <row r="31" spans="1:40" x14ac:dyDescent="0.2">
      <c r="A31" s="6" t="s">
        <v>15</v>
      </c>
      <c r="B31" s="7"/>
      <c r="G31" s="13"/>
      <c r="K31" s="11"/>
      <c r="L31" s="11"/>
      <c r="M31" s="1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69</v>
      </c>
      <c r="I33" s="11" t="e">
        <f ca="1">_xll.EVPRO($B$1,$H33,"STYLE")</f>
        <v>#NAME?</v>
      </c>
      <c r="J33" s="11" t="e">
        <f ca="1">_xll.EVPRO($B$1,$H33,"CALC")</f>
        <v>#NAME?</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0" x14ac:dyDescent="0.2">
      <c r="H34" s="10" t="s">
        <v>387</v>
      </c>
      <c r="I34" s="25" t="e">
        <f ca="1">_xll.EVPRO($B$1,$H34,"STYLE")</f>
        <v>#NAME?</v>
      </c>
      <c r="J34" s="25" t="e">
        <f ca="1">_xll.EVPRO($B$1,$H34,"CALC")</f>
        <v>#NAME?</v>
      </c>
      <c r="K34" s="64" t="e">
        <f ca="1">IF(AND(I34&gt;="T5"),"&gt;","")</f>
        <v>#NAME?</v>
      </c>
      <c r="L34" s="24" t="e">
        <f ca="1">_xll.EVPRO($B$1,H34,"JDEID")</f>
        <v>#NAME?</v>
      </c>
      <c r="M34" s="24" t="e">
        <f ca="1">IF(AND(I34="N",J34="N"),_xll.EVPRO($B$1,H34,"PSFTID"),"")</f>
        <v>#NAME?</v>
      </c>
      <c r="N34" s="24" t="e">
        <f ca="1">IF(_xll.EVDES(H34,$B$1)="#NODATA","",_xll.EVDES(H34,$B$1))</f>
        <v>#NAME?</v>
      </c>
      <c r="O34" s="19"/>
      <c r="P34" s="19"/>
      <c r="Q34" s="19"/>
      <c r="R34" s="19"/>
      <c r="S34" s="19"/>
      <c r="T34" s="19"/>
      <c r="U34" s="19"/>
      <c r="V34" s="19"/>
      <c r="W34" s="19"/>
      <c r="X34" s="19"/>
      <c r="Y34" s="19"/>
      <c r="Z34" s="19"/>
      <c r="AA34" s="283" t="e">
        <f t="shared" ref="AA34:AA44" ca="1" si="0">IF($I34="B1","",SUM(O34:Z34))</f>
        <v>#NAME?</v>
      </c>
      <c r="AB34" s="15" t="e">
        <f t="shared" ref="AB34:AB44" ca="1" si="1">IF(AA34=0,"",IFERROR(AA34/AA$19,""))</f>
        <v>#NAME?</v>
      </c>
      <c r="AD34" s="19"/>
      <c r="AE34" s="15" t="str">
        <f t="shared" ref="AE34:AE44" si="2">IF(AD34=0,"",IFERROR(AD34/AD$19,""))</f>
        <v/>
      </c>
      <c r="AF34" s="47" t="e">
        <f t="shared" ref="AF34:AF44" ca="1" si="3">IF(AND($AA34="",AD34=""),"",$AA34-AD34)</f>
        <v>#NAME?</v>
      </c>
      <c r="AG34" s="19"/>
      <c r="AH34" s="15" t="str">
        <f>IF(AG34=0,"",IFERROR(AG34/AG$19,""))</f>
        <v/>
      </c>
      <c r="AI34" s="47" t="e">
        <f ca="1">IF(AND($AA34="",AG34=""),"",$AA34-AG34)</f>
        <v>#NAME?</v>
      </c>
      <c r="AJ34" s="371">
        <f ca="1">IFERROR(AA34/AA$20,0)</f>
        <v>0</v>
      </c>
      <c r="AK34" s="372">
        <f ca="1">IFERROR(AD34/AD$20,0)</f>
        <v>0</v>
      </c>
      <c r="AL34" s="373">
        <f ca="1">IFERROR(AG34/AG$20,0)</f>
        <v>0</v>
      </c>
      <c r="AM34" s="374">
        <f ca="1">+IFERROR(ROUND(($AB34-AE34)*100,2)&amp;" pts.",0)</f>
        <v>0</v>
      </c>
      <c r="AN34" s="375">
        <f ca="1">+IFERROR(ROUND(($AB34-AH34)*100,2)&amp;" pts.",0)</f>
        <v>0</v>
      </c>
    </row>
    <row r="35" spans="1:40" x14ac:dyDescent="0.2">
      <c r="A35" s="20" t="s">
        <v>92</v>
      </c>
      <c r="B35" s="21" t="s">
        <v>93</v>
      </c>
      <c r="C35" s="21" t="s">
        <v>94</v>
      </c>
      <c r="D35" s="21" t="s">
        <v>95</v>
      </c>
      <c r="E35" s="21" t="s">
        <v>96</v>
      </c>
      <c r="F35" s="22" t="s">
        <v>97</v>
      </c>
      <c r="H35" s="10" t="s">
        <v>388</v>
      </c>
      <c r="I35" s="25" t="e">
        <f ca="1">_xll.EVPRO($B$1,$H35,"STYLE")</f>
        <v>#NAME?</v>
      </c>
      <c r="J35" s="25" t="e">
        <f ca="1">_xll.EVPRO($B$1,$H35,"CALC")</f>
        <v>#NAME?</v>
      </c>
      <c r="K35" s="64" t="e">
        <f t="shared" ref="K35:K44" ca="1" si="4">IF(AND(I35&gt;="T5"),"&gt;","")</f>
        <v>#NAME?</v>
      </c>
      <c r="L35" s="24" t="e">
        <f ca="1">_xll.EVPRO($B$1,H35,"JDEID")</f>
        <v>#NAME?</v>
      </c>
      <c r="M35" s="24" t="e">
        <f ca="1">IF(AND(I35="N",J35="N"),_xll.EVPRO($B$1,H35,"PSFTID"),"")</f>
        <v>#NAME?</v>
      </c>
      <c r="N35" s="24" t="e">
        <f ca="1">IF(_xll.EVDES(H35,$B$1)="#NODATA","",_xll.EVDES(H35,$B$1))</f>
        <v>#NAME?</v>
      </c>
      <c r="O35" s="19"/>
      <c r="P35" s="19"/>
      <c r="Q35" s="19"/>
      <c r="R35" s="19"/>
      <c r="S35" s="19"/>
      <c r="T35" s="19"/>
      <c r="U35" s="19"/>
      <c r="V35" s="19"/>
      <c r="W35" s="19"/>
      <c r="X35" s="19"/>
      <c r="Y35" s="19"/>
      <c r="Z35" s="19"/>
      <c r="AA35" s="283" t="e">
        <f t="shared" ca="1" si="0"/>
        <v>#NAME?</v>
      </c>
      <c r="AB35" s="15" t="e">
        <f t="shared" ca="1" si="1"/>
        <v>#NAME?</v>
      </c>
      <c r="AD35" s="19"/>
      <c r="AE35" s="15" t="str">
        <f t="shared" si="2"/>
        <v/>
      </c>
      <c r="AF35" s="47" t="e">
        <f t="shared" ca="1" si="3"/>
        <v>#NAME?</v>
      </c>
      <c r="AG35" s="19">
        <v>19.28</v>
      </c>
      <c r="AH35" s="15" t="str">
        <f t="shared" ref="AH35:AH44" ca="1" si="5">IF(AG35=0,"",IFERROR(AG35/AG$19,""))</f>
        <v/>
      </c>
      <c r="AI35" s="47" t="e">
        <f t="shared" ref="AI35:AI44" ca="1" si="6">IF(AND($AA35="",AG35=""),"",$AA35-AG35)</f>
        <v>#NAME?</v>
      </c>
      <c r="AJ35" s="371">
        <f t="shared" ref="AJ35:AJ44" ca="1" si="7">IFERROR(AA35/AA$20,0)</f>
        <v>0</v>
      </c>
      <c r="AK35" s="372">
        <f t="shared" ref="AK35:AK44" ca="1" si="8">IFERROR(AD35/AD$20,0)</f>
        <v>0</v>
      </c>
      <c r="AL35" s="373">
        <f t="shared" ref="AL35:AL44" ca="1" si="9">IFERROR(AG35/AG$20,0)</f>
        <v>0</v>
      </c>
      <c r="AM35" s="374">
        <f t="shared" ref="AM35:AM44" ca="1" si="10">+IFERROR(ROUND(($AB35-AE35)*100,2)&amp;" pts.",0)</f>
        <v>0</v>
      </c>
      <c r="AN35" s="375">
        <f t="shared" ref="AN35:AN44" ca="1" si="11">+IFERROR(ROUND(($AB35-AH35)*100,2)&amp;" pts.",0)</f>
        <v>0</v>
      </c>
    </row>
    <row r="36" spans="1:40" x14ac:dyDescent="0.2">
      <c r="H36" s="10" t="s">
        <v>389</v>
      </c>
      <c r="I36" s="25" t="e">
        <f ca="1">_xll.EVPRO($B$1,$H36,"STYLE")</f>
        <v>#NAME?</v>
      </c>
      <c r="J36" s="25" t="e">
        <f ca="1">_xll.EVPRO($B$1,$H36,"CALC")</f>
        <v>#NAME?</v>
      </c>
      <c r="K36" s="64" t="e">
        <f t="shared" ca="1" si="4"/>
        <v>#NAME?</v>
      </c>
      <c r="L36" s="24" t="e">
        <f ca="1">_xll.EVPRO($B$1,H36,"JDEID")</f>
        <v>#NAME?</v>
      </c>
      <c r="M36" s="24" t="e">
        <f ca="1">IF(AND(I36="N",J36="N"),_xll.EVPRO($B$1,H36,"PSFTID"),"")</f>
        <v>#NAME?</v>
      </c>
      <c r="N36" s="24" t="e">
        <f ca="1">IF(_xll.EVDES(H36,$B$1)="#NODATA","",_xll.EVDES(H36,$B$1))</f>
        <v>#NAME?</v>
      </c>
      <c r="O36" s="19"/>
      <c r="P36" s="19"/>
      <c r="Q36" s="19"/>
      <c r="R36" s="19"/>
      <c r="S36" s="19"/>
      <c r="T36" s="19"/>
      <c r="U36" s="19"/>
      <c r="V36" s="19"/>
      <c r="W36" s="19"/>
      <c r="X36" s="19"/>
      <c r="Y36" s="19"/>
      <c r="Z36" s="19"/>
      <c r="AA36" s="283" t="e">
        <f t="shared" ca="1" si="0"/>
        <v>#NAME?</v>
      </c>
      <c r="AB36" s="15" t="e">
        <f t="shared" ca="1" si="1"/>
        <v>#NAME?</v>
      </c>
      <c r="AD36" s="19"/>
      <c r="AE36" s="15" t="str">
        <f t="shared" si="2"/>
        <v/>
      </c>
      <c r="AF36" s="47" t="e">
        <f t="shared" ca="1" si="3"/>
        <v>#NAME?</v>
      </c>
      <c r="AG36" s="19"/>
      <c r="AH36" s="15" t="str">
        <f t="shared" si="5"/>
        <v/>
      </c>
      <c r="AI36" s="47" t="e">
        <f t="shared" ca="1" si="6"/>
        <v>#NAME?</v>
      </c>
      <c r="AJ36" s="371">
        <f t="shared" ca="1" si="7"/>
        <v>0</v>
      </c>
      <c r="AK36" s="372">
        <f t="shared" ca="1" si="8"/>
        <v>0</v>
      </c>
      <c r="AL36" s="373">
        <f t="shared" ca="1" si="9"/>
        <v>0</v>
      </c>
      <c r="AM36" s="374">
        <f t="shared" ca="1" si="10"/>
        <v>0</v>
      </c>
      <c r="AN36" s="375">
        <f t="shared" ca="1" si="11"/>
        <v>0</v>
      </c>
    </row>
    <row r="37" spans="1:40" x14ac:dyDescent="0.2">
      <c r="A37" s="1" t="s">
        <v>105</v>
      </c>
      <c r="C37" s="24" t="s">
        <v>101</v>
      </c>
      <c r="D37" s="1" t="s">
        <v>106</v>
      </c>
      <c r="F37" s="1" t="s">
        <v>98</v>
      </c>
      <c r="H37" s="10" t="s">
        <v>390</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19"/>
      <c r="P37" s="19"/>
      <c r="Q37" s="19"/>
      <c r="R37" s="19"/>
      <c r="S37" s="19"/>
      <c r="T37" s="19"/>
      <c r="U37" s="19"/>
      <c r="V37" s="19"/>
      <c r="W37" s="19"/>
      <c r="X37" s="19"/>
      <c r="Y37" s="19"/>
      <c r="Z37" s="19"/>
      <c r="AA37" s="283" t="e">
        <f t="shared" ca="1" si="0"/>
        <v>#NAME?</v>
      </c>
      <c r="AB37" s="15" t="e">
        <f t="shared" ca="1" si="1"/>
        <v>#NAME?</v>
      </c>
      <c r="AD37" s="19"/>
      <c r="AE37" s="15" t="str">
        <f t="shared" si="2"/>
        <v/>
      </c>
      <c r="AF37" s="47" t="e">
        <f t="shared" ca="1" si="3"/>
        <v>#NAME?</v>
      </c>
      <c r="AG37" s="19"/>
      <c r="AH37" s="15" t="str">
        <f t="shared" si="5"/>
        <v/>
      </c>
      <c r="AI37" s="47" t="e">
        <f t="shared" ca="1" si="6"/>
        <v>#NAME?</v>
      </c>
      <c r="AJ37" s="371">
        <f t="shared" ca="1" si="7"/>
        <v>0</v>
      </c>
      <c r="AK37" s="372">
        <f t="shared" ca="1" si="8"/>
        <v>0</v>
      </c>
      <c r="AL37" s="373">
        <f t="shared" ca="1" si="9"/>
        <v>0</v>
      </c>
      <c r="AM37" s="374">
        <f t="shared" ca="1" si="10"/>
        <v>0</v>
      </c>
      <c r="AN37" s="375">
        <f t="shared" ca="1" si="11"/>
        <v>0</v>
      </c>
    </row>
    <row r="38" spans="1:40" x14ac:dyDescent="0.2">
      <c r="A38" s="1" t="s">
        <v>108</v>
      </c>
      <c r="C38" s="23" t="s">
        <v>101</v>
      </c>
      <c r="D38" s="1" t="s">
        <v>106</v>
      </c>
      <c r="F38" s="1" t="s">
        <v>98</v>
      </c>
      <c r="H38" s="10" t="s">
        <v>391</v>
      </c>
      <c r="I38" s="25" t="e">
        <f ca="1">_xll.EVPRO($B$1,$H38,"STYLE")</f>
        <v>#NAME?</v>
      </c>
      <c r="J38" s="25" t="e">
        <f ca="1">_xll.EVPRO($B$1,$H38,"CALC")</f>
        <v>#NAME?</v>
      </c>
      <c r="K38" s="64" t="e">
        <f t="shared" ca="1" si="4"/>
        <v>#NAME?</v>
      </c>
      <c r="L38" s="24" t="e">
        <f ca="1">_xll.EVPRO($B$1,H38,"JDEID")</f>
        <v>#NAME?</v>
      </c>
      <c r="M38" s="24" t="e">
        <f ca="1">IF(AND(I38="N",J38="N"),_xll.EVPRO($B$1,H38,"PSFTID"),"")</f>
        <v>#NAME?</v>
      </c>
      <c r="N38" s="24" t="e">
        <f ca="1">IF(_xll.EVDES(H38,$B$1)="#NODATA","",_xll.EVDES(H38,$B$1))</f>
        <v>#NAME?</v>
      </c>
      <c r="O38" s="19"/>
      <c r="P38" s="19"/>
      <c r="Q38" s="19"/>
      <c r="R38" s="19"/>
      <c r="S38" s="19"/>
      <c r="T38" s="19"/>
      <c r="U38" s="19"/>
      <c r="V38" s="19"/>
      <c r="W38" s="19"/>
      <c r="X38" s="19"/>
      <c r="Y38" s="19"/>
      <c r="Z38" s="19"/>
      <c r="AA38" s="283" t="e">
        <f t="shared" ca="1" si="0"/>
        <v>#NAME?</v>
      </c>
      <c r="AB38" s="15" t="e">
        <f t="shared" ca="1" si="1"/>
        <v>#NAME?</v>
      </c>
      <c r="AD38" s="19"/>
      <c r="AE38" s="15" t="str">
        <f t="shared" si="2"/>
        <v/>
      </c>
      <c r="AF38" s="47" t="e">
        <f t="shared" ca="1" si="3"/>
        <v>#NAME?</v>
      </c>
      <c r="AG38" s="19"/>
      <c r="AH38" s="15" t="str">
        <f t="shared" si="5"/>
        <v/>
      </c>
      <c r="AI38" s="47" t="e">
        <f t="shared" ca="1" si="6"/>
        <v>#NAME?</v>
      </c>
      <c r="AJ38" s="371">
        <f t="shared" ca="1" si="7"/>
        <v>0</v>
      </c>
      <c r="AK38" s="372">
        <f t="shared" ca="1" si="8"/>
        <v>0</v>
      </c>
      <c r="AL38" s="373">
        <f t="shared" ca="1" si="9"/>
        <v>0</v>
      </c>
      <c r="AM38" s="374">
        <f t="shared" ca="1" si="10"/>
        <v>0</v>
      </c>
      <c r="AN38" s="375">
        <f t="shared" ca="1" si="11"/>
        <v>0</v>
      </c>
    </row>
    <row r="39" spans="1:40" x14ac:dyDescent="0.2">
      <c r="A39" s="1" t="s">
        <v>108</v>
      </c>
      <c r="C39" s="135" t="s">
        <v>101</v>
      </c>
      <c r="D39" s="1" t="s">
        <v>107</v>
      </c>
      <c r="F39" s="1" t="s">
        <v>99</v>
      </c>
      <c r="H39" s="10" t="s">
        <v>392</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19"/>
      <c r="P39" s="19"/>
      <c r="Q39" s="19"/>
      <c r="R39" s="19"/>
      <c r="S39" s="19"/>
      <c r="T39" s="19"/>
      <c r="U39" s="19"/>
      <c r="V39" s="19"/>
      <c r="W39" s="19"/>
      <c r="X39" s="19"/>
      <c r="Y39" s="19"/>
      <c r="Z39" s="19"/>
      <c r="AA39" s="283" t="e">
        <f t="shared" ca="1" si="0"/>
        <v>#NAME?</v>
      </c>
      <c r="AB39" s="15" t="e">
        <f t="shared" ca="1" si="1"/>
        <v>#NAME?</v>
      </c>
      <c r="AD39" s="19"/>
      <c r="AE39" s="15" t="str">
        <f t="shared" si="2"/>
        <v/>
      </c>
      <c r="AF39" s="47" t="e">
        <f t="shared" ca="1" si="3"/>
        <v>#NAME?</v>
      </c>
      <c r="AG39" s="19"/>
      <c r="AH39" s="15" t="str">
        <f t="shared" si="5"/>
        <v/>
      </c>
      <c r="AI39" s="47" t="e">
        <f t="shared" ca="1" si="6"/>
        <v>#NAME?</v>
      </c>
      <c r="AJ39" s="371">
        <f t="shared" ca="1" si="7"/>
        <v>0</v>
      </c>
      <c r="AK39" s="372">
        <f t="shared" ca="1" si="8"/>
        <v>0</v>
      </c>
      <c r="AL39" s="373">
        <f t="shared" ca="1" si="9"/>
        <v>0</v>
      </c>
      <c r="AM39" s="374">
        <f t="shared" ca="1" si="10"/>
        <v>0</v>
      </c>
      <c r="AN39" s="375">
        <f t="shared" ca="1" si="11"/>
        <v>0</v>
      </c>
    </row>
    <row r="40" spans="1:40" x14ac:dyDescent="0.2">
      <c r="H40" s="10" t="s">
        <v>393</v>
      </c>
      <c r="I40" s="25" t="e">
        <f ca="1">_xll.EVPRO($B$1,$H40,"STYLE")</f>
        <v>#NAME?</v>
      </c>
      <c r="J40" s="25" t="e">
        <f ca="1">_xll.EVPRO($B$1,$H40,"CALC")</f>
        <v>#NAME?</v>
      </c>
      <c r="K40" s="64" t="e">
        <f t="shared" ca="1" si="4"/>
        <v>#NAME?</v>
      </c>
      <c r="L40" s="24" t="e">
        <f ca="1">_xll.EVPRO($B$1,H40,"JDEID")</f>
        <v>#NAME?</v>
      </c>
      <c r="M40" s="24" t="e">
        <f ca="1">IF(AND(I40="N",J40="N"),_xll.EVPRO($B$1,H40,"PSFTID"),"")</f>
        <v>#NAME?</v>
      </c>
      <c r="N40" s="24" t="e">
        <f ca="1">IF(_xll.EVDES(H40,$B$1)="#NODATA","",_xll.EVDES(H40,$B$1))</f>
        <v>#NAME?</v>
      </c>
      <c r="O40" s="19"/>
      <c r="P40" s="19"/>
      <c r="Q40" s="19"/>
      <c r="R40" s="19"/>
      <c r="S40" s="19"/>
      <c r="T40" s="19"/>
      <c r="U40" s="19"/>
      <c r="V40" s="19"/>
      <c r="W40" s="19"/>
      <c r="X40" s="19"/>
      <c r="Y40" s="19"/>
      <c r="Z40" s="19"/>
      <c r="AA40" s="283" t="e">
        <f t="shared" ca="1" si="0"/>
        <v>#NAME?</v>
      </c>
      <c r="AB40" s="15" t="e">
        <f t="shared" ca="1" si="1"/>
        <v>#NAME?</v>
      </c>
      <c r="AD40" s="19"/>
      <c r="AE40" s="15" t="str">
        <f t="shared" si="2"/>
        <v/>
      </c>
      <c r="AF40" s="47" t="e">
        <f t="shared" ca="1" si="3"/>
        <v>#NAME?</v>
      </c>
      <c r="AG40" s="19"/>
      <c r="AH40" s="15" t="str">
        <f t="shared" si="5"/>
        <v/>
      </c>
      <c r="AI40" s="47" t="e">
        <f t="shared" ca="1" si="6"/>
        <v>#NAME?</v>
      </c>
      <c r="AJ40" s="371">
        <f t="shared" ca="1" si="7"/>
        <v>0</v>
      </c>
      <c r="AK40" s="372">
        <f t="shared" ca="1" si="8"/>
        <v>0</v>
      </c>
      <c r="AL40" s="373">
        <f t="shared" ca="1" si="9"/>
        <v>0</v>
      </c>
      <c r="AM40" s="374">
        <f t="shared" ca="1" si="10"/>
        <v>0</v>
      </c>
      <c r="AN40" s="375">
        <f t="shared" ca="1" si="11"/>
        <v>0</v>
      </c>
    </row>
    <row r="41" spans="1:40" x14ac:dyDescent="0.2">
      <c r="H41" s="10" t="s">
        <v>394</v>
      </c>
      <c r="I41" s="25" t="e">
        <f ca="1">_xll.EVPRO($B$1,$H41,"STYLE")</f>
        <v>#NAME?</v>
      </c>
      <c r="J41" s="25" t="e">
        <f ca="1">_xll.EVPRO($B$1,$H41,"CALC")</f>
        <v>#NAME?</v>
      </c>
      <c r="K41" s="64" t="e">
        <f t="shared" ca="1" si="4"/>
        <v>#NAME?</v>
      </c>
      <c r="L41" s="24" t="e">
        <f ca="1">_xll.EVPRO($B$1,H41,"JDEID")</f>
        <v>#NAME?</v>
      </c>
      <c r="M41" s="24" t="e">
        <f ca="1">IF(AND(I41="N",J41="N"),_xll.EVPRO($B$1,H41,"PSFTID"),"")</f>
        <v>#NAME?</v>
      </c>
      <c r="N41" s="24" t="e">
        <f ca="1">IF(_xll.EVDES(H41,$B$1)="#NODATA","",_xll.EVDES(H41,$B$1))</f>
        <v>#NAME?</v>
      </c>
      <c r="O41" s="19"/>
      <c r="P41" s="19"/>
      <c r="Q41" s="19"/>
      <c r="R41" s="19"/>
      <c r="S41" s="19"/>
      <c r="T41" s="19"/>
      <c r="U41" s="19"/>
      <c r="V41" s="19"/>
      <c r="W41" s="19"/>
      <c r="X41" s="19"/>
      <c r="Y41" s="19"/>
      <c r="Z41" s="19"/>
      <c r="AA41" s="283" t="e">
        <f t="shared" ca="1" si="0"/>
        <v>#NAME?</v>
      </c>
      <c r="AB41" s="15" t="e">
        <f t="shared" ca="1" si="1"/>
        <v>#NAME?</v>
      </c>
      <c r="AD41" s="19"/>
      <c r="AE41" s="15" t="str">
        <f t="shared" si="2"/>
        <v/>
      </c>
      <c r="AF41" s="47" t="e">
        <f t="shared" ca="1" si="3"/>
        <v>#NAME?</v>
      </c>
      <c r="AG41" s="19"/>
      <c r="AH41" s="15" t="str">
        <f t="shared" si="5"/>
        <v/>
      </c>
      <c r="AI41" s="47" t="e">
        <f t="shared" ca="1" si="6"/>
        <v>#NAME?</v>
      </c>
      <c r="AJ41" s="371">
        <f t="shared" ca="1" si="7"/>
        <v>0</v>
      </c>
      <c r="AK41" s="372">
        <f t="shared" ca="1" si="8"/>
        <v>0</v>
      </c>
      <c r="AL41" s="373">
        <f t="shared" ca="1" si="9"/>
        <v>0</v>
      </c>
      <c r="AM41" s="374">
        <f t="shared" ca="1" si="10"/>
        <v>0</v>
      </c>
      <c r="AN41" s="375">
        <f t="shared" ca="1" si="11"/>
        <v>0</v>
      </c>
    </row>
    <row r="42" spans="1:40" x14ac:dyDescent="0.2">
      <c r="A42" s="4" t="e">
        <f ca="1">_xll.EVDRE($B$1,A45:B52,A55:B61)</f>
        <v>#NAME?</v>
      </c>
      <c r="H42" s="10" t="s">
        <v>395</v>
      </c>
      <c r="I42" s="25" t="e">
        <f ca="1">_xll.EVPRO($B$1,$H42,"STYLE")</f>
        <v>#NAME?</v>
      </c>
      <c r="J42" s="25" t="e">
        <f ca="1">_xll.EVPRO($B$1,$H42,"CALC")</f>
        <v>#NAME?</v>
      </c>
      <c r="K42" s="64" t="e">
        <f t="shared" ca="1" si="4"/>
        <v>#NAME?</v>
      </c>
      <c r="L42" s="24" t="e">
        <f ca="1">_xll.EVPRO($B$1,H42,"JDEID")</f>
        <v>#NAME?</v>
      </c>
      <c r="M42" s="24" t="e">
        <f ca="1">IF(AND(I42="N",J42="N"),_xll.EVPRO($B$1,H42,"PSFTID"),"")</f>
        <v>#NAME?</v>
      </c>
      <c r="N42" s="24" t="e">
        <f ca="1">IF(_xll.EVDES(H42,$B$1)="#NODATA","",_xll.EVDES(H42,$B$1))</f>
        <v>#NAME?</v>
      </c>
      <c r="O42" s="19"/>
      <c r="P42" s="19"/>
      <c r="Q42" s="19"/>
      <c r="R42" s="19"/>
      <c r="S42" s="19"/>
      <c r="T42" s="19"/>
      <c r="U42" s="19"/>
      <c r="V42" s="19"/>
      <c r="W42" s="19"/>
      <c r="X42" s="19"/>
      <c r="Y42" s="19"/>
      <c r="Z42" s="19"/>
      <c r="AA42" s="283" t="e">
        <f t="shared" ca="1" si="0"/>
        <v>#NAME?</v>
      </c>
      <c r="AB42" s="15" t="e">
        <f t="shared" ca="1" si="1"/>
        <v>#NAME?</v>
      </c>
      <c r="AD42" s="19"/>
      <c r="AE42" s="15" t="str">
        <f t="shared" si="2"/>
        <v/>
      </c>
      <c r="AF42" s="47" t="e">
        <f t="shared" ca="1" si="3"/>
        <v>#NAME?</v>
      </c>
      <c r="AG42" s="19"/>
      <c r="AH42" s="15" t="str">
        <f t="shared" si="5"/>
        <v/>
      </c>
      <c r="AI42" s="47" t="e">
        <f t="shared" ca="1" si="6"/>
        <v>#NAME?</v>
      </c>
      <c r="AJ42" s="371">
        <f t="shared" ca="1" si="7"/>
        <v>0</v>
      </c>
      <c r="AK42" s="372">
        <f t="shared" ca="1" si="8"/>
        <v>0</v>
      </c>
      <c r="AL42" s="373">
        <f t="shared" ca="1" si="9"/>
        <v>0</v>
      </c>
      <c r="AM42" s="374">
        <f t="shared" ca="1" si="10"/>
        <v>0</v>
      </c>
      <c r="AN42" s="375">
        <f t="shared" ca="1" si="11"/>
        <v>0</v>
      </c>
    </row>
    <row r="43" spans="1:40" x14ac:dyDescent="0.2">
      <c r="H43" s="10" t="s">
        <v>396</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28"/>
      <c r="P43" s="28"/>
      <c r="Q43" s="28"/>
      <c r="R43" s="28"/>
      <c r="S43" s="28"/>
      <c r="T43" s="28"/>
      <c r="U43" s="28"/>
      <c r="V43" s="28"/>
      <c r="W43" s="28"/>
      <c r="X43" s="28"/>
      <c r="Y43" s="28"/>
      <c r="Z43" s="28"/>
      <c r="AA43" s="296" t="e">
        <f t="shared" ca="1" si="0"/>
        <v>#NAME?</v>
      </c>
      <c r="AB43" s="29" t="e">
        <f t="shared" ca="1" si="1"/>
        <v>#NAME?</v>
      </c>
      <c r="AD43" s="28"/>
      <c r="AE43" s="29" t="str">
        <f t="shared" si="2"/>
        <v/>
      </c>
      <c r="AF43" s="48" t="e">
        <f t="shared" ca="1" si="3"/>
        <v>#NAME?</v>
      </c>
      <c r="AG43" s="28"/>
      <c r="AH43" s="29" t="str">
        <f t="shared" si="5"/>
        <v/>
      </c>
      <c r="AI43" s="48" t="e">
        <f t="shared" ca="1" si="6"/>
        <v>#NAME?</v>
      </c>
      <c r="AJ43" s="381">
        <f t="shared" ca="1" si="7"/>
        <v>0</v>
      </c>
      <c r="AK43" s="382">
        <f t="shared" ca="1" si="8"/>
        <v>0</v>
      </c>
      <c r="AL43" s="383">
        <f t="shared" ca="1" si="9"/>
        <v>0</v>
      </c>
      <c r="AM43" s="384">
        <f t="shared" ca="1" si="10"/>
        <v>0</v>
      </c>
      <c r="AN43" s="385">
        <f t="shared" ca="1" si="11"/>
        <v>0</v>
      </c>
    </row>
    <row r="44" spans="1:40" x14ac:dyDescent="0.2">
      <c r="A44" s="3" t="s">
        <v>0</v>
      </c>
      <c r="B44" s="5" t="s">
        <v>1</v>
      </c>
      <c r="H44" s="10" t="s">
        <v>280</v>
      </c>
      <c r="I44" s="447" t="e">
        <f ca="1">_xll.EVPRO($B$1,$H44,"STYLE")</f>
        <v>#NAME?</v>
      </c>
      <c r="J44" s="447" t="e">
        <f ca="1">_xll.EVPRO($B$1,$H44,"CALC")</f>
        <v>#NAME?</v>
      </c>
      <c r="K44" s="448" t="e">
        <f t="shared" ca="1" si="4"/>
        <v>#NAME?</v>
      </c>
      <c r="L44" s="151" t="e">
        <f ca="1">_xll.EVPRO($B$1,H44,"JDEID")</f>
        <v>#NAME?</v>
      </c>
      <c r="M44" s="151" t="e">
        <f ca="1">IF(AND(I44="N",J44="N"),_xll.EVPRO($B$1,H44,"PSFTID"),"")</f>
        <v>#NAME?</v>
      </c>
      <c r="N44" s="151" t="e">
        <f ca="1">IF(_xll.EVDES(H44,$B$1)="#NODATA","",_xll.EVDES(H44,$B$1))</f>
        <v>#NAME?</v>
      </c>
      <c r="O44" s="120"/>
      <c r="P44" s="120"/>
      <c r="Q44" s="120"/>
      <c r="R44" s="120"/>
      <c r="S44" s="120"/>
      <c r="T44" s="120"/>
      <c r="U44" s="120"/>
      <c r="V44" s="120"/>
      <c r="W44" s="120"/>
      <c r="X44" s="120"/>
      <c r="Y44" s="120"/>
      <c r="Z44" s="120"/>
      <c r="AA44" s="120" t="e">
        <f t="shared" ca="1" si="0"/>
        <v>#NAME?</v>
      </c>
      <c r="AB44" s="121" t="e">
        <f t="shared" ca="1" si="1"/>
        <v>#NAME?</v>
      </c>
      <c r="AC44" s="123"/>
      <c r="AD44" s="120"/>
      <c r="AE44" s="121" t="str">
        <f t="shared" si="2"/>
        <v/>
      </c>
      <c r="AF44" s="122" t="e">
        <f t="shared" ca="1" si="3"/>
        <v>#NAME?</v>
      </c>
      <c r="AG44" s="120">
        <v>19.28</v>
      </c>
      <c r="AH44" s="121" t="str">
        <f t="shared" ca="1" si="5"/>
        <v/>
      </c>
      <c r="AI44" s="122" t="e">
        <f t="shared" ca="1" si="6"/>
        <v>#NAME?</v>
      </c>
      <c r="AJ44" s="332">
        <f t="shared" ca="1" si="7"/>
        <v>0</v>
      </c>
      <c r="AK44" s="333">
        <f t="shared" ca="1" si="8"/>
        <v>0</v>
      </c>
      <c r="AL44" s="335">
        <f t="shared" ca="1" si="9"/>
        <v>0</v>
      </c>
      <c r="AM44" s="377">
        <f t="shared" ca="1" si="10"/>
        <v>0</v>
      </c>
      <c r="AN44" s="378">
        <f t="shared" ca="1" si="11"/>
        <v>0</v>
      </c>
    </row>
    <row r="45" spans="1:40" x14ac:dyDescent="0.2">
      <c r="A45" s="6" t="s">
        <v>2</v>
      </c>
      <c r="B45" s="7" t="e">
        <f ca="1">_xll.EVRNG($B$2:$B$10)</f>
        <v>#NAME?</v>
      </c>
      <c r="O45" s="50"/>
      <c r="AB45" s="51"/>
      <c r="AD45" s="50"/>
      <c r="AF45" s="51"/>
      <c r="AG45" s="50"/>
      <c r="AI45" s="51"/>
    </row>
    <row r="46" spans="1:40" x14ac:dyDescent="0.2">
      <c r="A46" s="6" t="s">
        <v>3</v>
      </c>
      <c r="B46" s="7" t="e">
        <f ca="1">_xll.EVRNG($O$16:$AN$18)</f>
        <v>#NAME?</v>
      </c>
      <c r="H46" s="1" t="s">
        <v>281</v>
      </c>
      <c r="I46" s="11" t="e">
        <f ca="1">_xll.EVPRO($B$1,$H46,"STYLE")</f>
        <v>#NAME?</v>
      </c>
      <c r="J46" s="11" t="e">
        <f ca="1">_xll.EVPRO($B$1,$H46,"CALC")</f>
        <v>#NAME?</v>
      </c>
      <c r="N46" s="37" t="e">
        <f ca="1">IF(_xll.EVDES(H46,$B$1)="#NODATA","",_xll.EVDES(H46,$B$1))</f>
        <v>#NAME?</v>
      </c>
      <c r="O46" s="50"/>
      <c r="AB46" s="51"/>
      <c r="AD46" s="50"/>
      <c r="AF46" s="51"/>
      <c r="AG46" s="50"/>
      <c r="AI46" s="51"/>
    </row>
    <row r="47" spans="1:40" x14ac:dyDescent="0.2">
      <c r="A47" s="6" t="s">
        <v>4</v>
      </c>
      <c r="B47" s="7" t="e">
        <f ca="1">_xll.EVRNG(H47:H56)</f>
        <v>#NAME?</v>
      </c>
      <c r="H47" s="10" t="s">
        <v>397</v>
      </c>
      <c r="I47" s="25" t="e">
        <f ca="1">_xll.EVPRO($B$1,$H47,"STYLE")</f>
        <v>#NAME?</v>
      </c>
      <c r="J47" s="25" t="e">
        <f ca="1">_xll.EVPRO($B$1,$H47,"CALC")</f>
        <v>#NAME?</v>
      </c>
      <c r="K47" s="64" t="e">
        <f ca="1">IF(AND(I47&gt;="T5"),"&gt;","")</f>
        <v>#NAME?</v>
      </c>
      <c r="L47" s="24" t="e">
        <f ca="1">_xll.EVPRO($B$1,H47,"JDEID")</f>
        <v>#NAME?</v>
      </c>
      <c r="M47" s="24" t="e">
        <f ca="1">IF(AND(I47="N",J47="N"),_xll.EVPRO($B$1,H47,"PSFTID"),"")</f>
        <v>#NAME?</v>
      </c>
      <c r="N47" s="24" t="e">
        <f ca="1">IF(_xll.EVDES(H47,$B$1)="#NODATA","",_xll.EVDES(H47,$B$1))</f>
        <v>#NAME?</v>
      </c>
      <c r="O47" s="28"/>
      <c r="P47" s="28"/>
      <c r="Q47" s="28"/>
      <c r="R47" s="28"/>
      <c r="S47" s="28"/>
      <c r="T47" s="28"/>
      <c r="U47" s="28"/>
      <c r="V47" s="28"/>
      <c r="W47" s="28"/>
      <c r="X47" s="28"/>
      <c r="Y47" s="28"/>
      <c r="Z47" s="28"/>
      <c r="AA47" s="28" t="e">
        <f t="shared" ref="AA47:AA56" ca="1" si="12">IF($I47="B1","",SUM(O47:Z47))</f>
        <v>#NAME?</v>
      </c>
      <c r="AB47" s="29" t="e">
        <f ca="1">IF(AA47=0,"",IFERROR(AA47/_xll.EVGTS($B$1,1,_xll.EVPRO($B$1,$H47,"COSBASIS"),$B$3,$B$5,$B$6,$B$7,$B$9,AA$16,AA$17,AA$11),""))</f>
        <v>#NAME?</v>
      </c>
      <c r="AD47" s="28"/>
      <c r="AE47" s="29" t="str">
        <f>IF(AD47=0,"",IFERROR(AD47/_xll.EVGTS($B$1,1,_xll.EVPRO($B$1,$H47,"COSBASIS"),$B$3,$B$5,$B$6,$B$7,$B$9,AD$16,AD$17,AD$18),""))</f>
        <v/>
      </c>
      <c r="AF47" s="48" t="e">
        <f t="shared" ref="AF47:AF56" ca="1" si="13">IF(AND($AA47="",AD47=""),"",$AA47-AD47)</f>
        <v>#NAME?</v>
      </c>
      <c r="AG47" s="28"/>
      <c r="AH47" s="29" t="str">
        <f>IF(AG47=0,"",IFERROR(AG47/_xll.EVGTS($B$1,1,_xll.EVPRO($B$1,$H47,"COSBASIS"),$B$3,$B$5,$B$6,$B$7,$B$9,AG$16,AG$17,AG$18),""))</f>
        <v/>
      </c>
      <c r="AI47" s="48" t="e">
        <f ca="1">IF(AND($AA47="",AG47=""),"",$AA47-AG47)</f>
        <v>#NAME?</v>
      </c>
      <c r="AJ47" s="371">
        <f ca="1">IFERROR(AA47/AA$20,0)</f>
        <v>0</v>
      </c>
      <c r="AK47" s="372">
        <f ca="1">IFERROR(AD47/AD$20,0)</f>
        <v>0</v>
      </c>
      <c r="AL47" s="373">
        <f ca="1">IFERROR(AG47/AG$20,0)</f>
        <v>0</v>
      </c>
      <c r="AM47" s="374">
        <f ca="1">+IFERROR(ROUND(($AB47-AE47)*100,2)&amp;" pts.",0)</f>
        <v>0</v>
      </c>
      <c r="AN47" s="375">
        <f ca="1">+IFERROR(ROUND(($AB47-AH47)*100,2)&amp;" pts.",0)</f>
        <v>0</v>
      </c>
    </row>
    <row r="48" spans="1:40" x14ac:dyDescent="0.2">
      <c r="A48" s="6" t="s">
        <v>5</v>
      </c>
      <c r="B48" s="7"/>
      <c r="F48" s="136"/>
      <c r="H48" s="10" t="s">
        <v>398</v>
      </c>
      <c r="I48" s="25" t="e">
        <f ca="1">_xll.EVPRO($B$1,$H48,"STYLE")</f>
        <v>#NAME?</v>
      </c>
      <c r="J48" s="25" t="e">
        <f ca="1">_xll.EVPRO($B$1,$H48,"CALC")</f>
        <v>#NAME?</v>
      </c>
      <c r="K48" s="64" t="e">
        <f t="shared" ref="K48:K56" ca="1" si="14">IF(AND(I48&gt;="T5"),"&gt;","")</f>
        <v>#NAME?</v>
      </c>
      <c r="L48" s="24" t="e">
        <f ca="1">_xll.EVPRO($B$1,H48,"JDEID")</f>
        <v>#NAME?</v>
      </c>
      <c r="M48" s="24" t="e">
        <f ca="1">IF(AND(I48="N",J48="N"),_xll.EVPRO($B$1,H48,"PSFTID"),"")</f>
        <v>#NAME?</v>
      </c>
      <c r="N48" s="24" t="e">
        <f ca="1">IF(_xll.EVDES(H48,$B$1)="#NODATA","",_xll.EVDES(H48,$B$1))</f>
        <v>#NAME?</v>
      </c>
      <c r="O48" s="28"/>
      <c r="P48" s="28"/>
      <c r="Q48" s="28"/>
      <c r="R48" s="28"/>
      <c r="S48" s="28"/>
      <c r="T48" s="28"/>
      <c r="U48" s="28"/>
      <c r="V48" s="28"/>
      <c r="W48" s="28"/>
      <c r="X48" s="28"/>
      <c r="Y48" s="28"/>
      <c r="Z48" s="28"/>
      <c r="AA48" s="28" t="e">
        <f t="shared" ca="1" si="12"/>
        <v>#NAME?</v>
      </c>
      <c r="AB48" s="29" t="e">
        <f ca="1">IF(AA48=0,"",IFERROR(AA48/_xll.EVGTS($B$1,1,_xll.EVPRO($B$1,$H48,"COSBASIS"),$B$3,$B$5,$B$6,$B$7,$B$9,AA$16,AA$17,AA$11),""))</f>
        <v>#NAME?</v>
      </c>
      <c r="AD48" s="28"/>
      <c r="AE48" s="29" t="str">
        <f>IF(AD48=0,"",IFERROR(AD48/_xll.EVGTS($B$1,1,_xll.EVPRO($B$1,$H48,"COSBASIS"),$B$3,$B$5,$B$6,$B$7,$B$9,AD$16,AD$17,AD$18),""))</f>
        <v/>
      </c>
      <c r="AF48" s="48" t="e">
        <f t="shared" ca="1" si="13"/>
        <v>#NAME?</v>
      </c>
      <c r="AG48" s="28"/>
      <c r="AH48" s="29" t="str">
        <f>IF(AG48=0,"",IFERROR(AG48/_xll.EVGTS($B$1,1,_xll.EVPRO($B$1,$H48,"COSBASIS"),$B$3,$B$5,$B$6,$B$7,$B$9,AG$16,AG$17,AG$18),""))</f>
        <v/>
      </c>
      <c r="AI48" s="48" t="e">
        <f t="shared" ref="AI48:AI56" ca="1" si="15">IF(AND($AA48="",AG48=""),"",$AA48-AG48)</f>
        <v>#NAME?</v>
      </c>
      <c r="AJ48" s="371">
        <f t="shared" ref="AJ48:AJ56" ca="1" si="16">IFERROR(AA48/AA$20,0)</f>
        <v>0</v>
      </c>
      <c r="AK48" s="372">
        <f t="shared" ref="AK48:AK56" ca="1" si="17">IFERROR(AD48/AD$20,0)</f>
        <v>0</v>
      </c>
      <c r="AL48" s="373">
        <f t="shared" ref="AL48:AL56" ca="1" si="18">IFERROR(AG48/AG$20,0)</f>
        <v>0</v>
      </c>
      <c r="AM48" s="374">
        <f t="shared" ref="AM48:AM56" ca="1" si="19">+IFERROR(ROUND(($AB48-AE48)*100,2)&amp;" pts.",0)</f>
        <v>0</v>
      </c>
      <c r="AN48" s="375">
        <f t="shared" ref="AN48:AN56" ca="1" si="20">+IFERROR(ROUND(($AB48-AH48)*100,2)&amp;" pts.",0)</f>
        <v>0</v>
      </c>
    </row>
    <row r="49" spans="1:40" x14ac:dyDescent="0.2">
      <c r="A49" s="6" t="s">
        <v>6</v>
      </c>
      <c r="B49" s="7"/>
      <c r="F49" s="136"/>
      <c r="H49" s="10" t="s">
        <v>399</v>
      </c>
      <c r="I49" s="25" t="e">
        <f ca="1">_xll.EVPRO($B$1,$H49,"STYLE")</f>
        <v>#NAME?</v>
      </c>
      <c r="J49" s="25" t="e">
        <f ca="1">_xll.EVPRO($B$1,$H49,"CALC")</f>
        <v>#NAME?</v>
      </c>
      <c r="K49" s="64" t="e">
        <f t="shared" ca="1" si="14"/>
        <v>#NAME?</v>
      </c>
      <c r="L49" s="24" t="e">
        <f ca="1">_xll.EVPRO($B$1,H49,"JDEID")</f>
        <v>#NAME?</v>
      </c>
      <c r="M49" s="24" t="e">
        <f ca="1">IF(AND(I49="N",J49="N"),_xll.EVPRO($B$1,H49,"PSFTID"),"")</f>
        <v>#NAME?</v>
      </c>
      <c r="N49" s="24" t="e">
        <f ca="1">IF(_xll.EVDES(H49,$B$1)="#NODATA","",_xll.EVDES(H49,$B$1))</f>
        <v>#NAME?</v>
      </c>
      <c r="O49" s="28"/>
      <c r="P49" s="28"/>
      <c r="Q49" s="28"/>
      <c r="R49" s="28"/>
      <c r="S49" s="28"/>
      <c r="T49" s="28"/>
      <c r="U49" s="28"/>
      <c r="V49" s="28"/>
      <c r="W49" s="28"/>
      <c r="X49" s="28"/>
      <c r="Y49" s="28"/>
      <c r="Z49" s="28"/>
      <c r="AA49" s="28" t="e">
        <f t="shared" ca="1" si="12"/>
        <v>#NAME?</v>
      </c>
      <c r="AB49" s="29" t="e">
        <f ca="1">IF(AA49=0,"",IFERROR(AA49/_xll.EVGTS($B$1,1,_xll.EVPRO($B$1,$H49,"COSBASIS"),$B$3,$B$5,$B$6,$B$7,$B$9,AA$16,AA$17,AA$11),""))</f>
        <v>#NAME?</v>
      </c>
      <c r="AD49" s="28"/>
      <c r="AE49" s="29" t="str">
        <f>IF(AD49=0,"",IFERROR(AD49/_xll.EVGTS($B$1,1,_xll.EVPRO($B$1,$H49,"COSBASIS"),$B$3,$B$5,$B$6,$B$7,$B$9,AD$16,AD$17,AD$18),""))</f>
        <v/>
      </c>
      <c r="AF49" s="48" t="e">
        <f t="shared" ca="1" si="13"/>
        <v>#NAME?</v>
      </c>
      <c r="AG49" s="28"/>
      <c r="AH49" s="29" t="str">
        <f>IF(AG49=0,"",IFERROR(AG49/_xll.EVGTS($B$1,1,_xll.EVPRO($B$1,$H49,"COSBASIS"),$B$3,$B$5,$B$6,$B$7,$B$9,AG$16,AG$17,AG$18),""))</f>
        <v/>
      </c>
      <c r="AI49" s="48" t="e">
        <f t="shared" ca="1" si="15"/>
        <v>#NAME?</v>
      </c>
      <c r="AJ49" s="371">
        <f t="shared" ca="1" si="16"/>
        <v>0</v>
      </c>
      <c r="AK49" s="372">
        <f t="shared" ca="1" si="17"/>
        <v>0</v>
      </c>
      <c r="AL49" s="373">
        <f t="shared" ca="1" si="18"/>
        <v>0</v>
      </c>
      <c r="AM49" s="374">
        <f t="shared" ca="1" si="19"/>
        <v>0</v>
      </c>
      <c r="AN49" s="375">
        <f t="shared" ca="1" si="20"/>
        <v>0</v>
      </c>
    </row>
    <row r="50" spans="1:40" x14ac:dyDescent="0.2">
      <c r="A50" s="6" t="s">
        <v>7</v>
      </c>
      <c r="B50" s="7" t="e">
        <f ca="1">_xll.EVRNG(A64:F67)</f>
        <v>#NAME?</v>
      </c>
      <c r="F50" s="136"/>
      <c r="H50" s="10" t="s">
        <v>400</v>
      </c>
      <c r="I50" s="25" t="e">
        <f ca="1">_xll.EVPRO($B$1,$H50,"STYLE")</f>
        <v>#NAME?</v>
      </c>
      <c r="J50" s="25" t="e">
        <f ca="1">_xll.EVPRO($B$1,$H50,"CALC")</f>
        <v>#NAME?</v>
      </c>
      <c r="K50" s="64" t="e">
        <f t="shared" ca="1" si="14"/>
        <v>#NAME?</v>
      </c>
      <c r="L50" s="24" t="e">
        <f ca="1">_xll.EVPRO($B$1,H50,"JDEID")</f>
        <v>#NAME?</v>
      </c>
      <c r="M50" s="24" t="e">
        <f ca="1">IF(AND(I50="N",J50="N"),_xll.EVPRO($B$1,H50,"PSFTID"),"")</f>
        <v>#NAME?</v>
      </c>
      <c r="N50" s="24" t="e">
        <f ca="1">IF(_xll.EVDES(H50,$B$1)="#NODATA","",_xll.EVDES(H50,$B$1))</f>
        <v>#NAME?</v>
      </c>
      <c r="O50" s="28"/>
      <c r="P50" s="28"/>
      <c r="Q50" s="28"/>
      <c r="R50" s="28"/>
      <c r="S50" s="28"/>
      <c r="T50" s="28"/>
      <c r="U50" s="28"/>
      <c r="V50" s="28"/>
      <c r="W50" s="28"/>
      <c r="X50" s="28"/>
      <c r="Y50" s="28"/>
      <c r="Z50" s="28"/>
      <c r="AA50" s="28" t="e">
        <f t="shared" ca="1" si="12"/>
        <v>#NAME?</v>
      </c>
      <c r="AB50" s="29" t="e">
        <f ca="1">IF(AA50=0,"",IFERROR(AA50/_xll.EVGTS($B$1,1,_xll.EVPRO($B$1,$H50,"COSBASIS"),$B$3,$B$5,$B$6,$B$7,$B$9,AA$16,AA$17,AA$11),""))</f>
        <v>#NAME?</v>
      </c>
      <c r="AD50" s="28"/>
      <c r="AE50" s="29" t="str">
        <f>IF(AD50=0,"",IFERROR(AD50/_xll.EVGTS($B$1,1,_xll.EVPRO($B$1,$H50,"COSBASIS"),$B$3,$B$5,$B$6,$B$7,$B$9,AD$16,AD$17,AD$18),""))</f>
        <v/>
      </c>
      <c r="AF50" s="48" t="e">
        <f t="shared" ca="1" si="13"/>
        <v>#NAME?</v>
      </c>
      <c r="AG50" s="28"/>
      <c r="AH50" s="29" t="str">
        <f>IF(AG50=0,"",IFERROR(AG50/_xll.EVGTS($B$1,1,_xll.EVPRO($B$1,$H50,"COSBASIS"),$B$3,$B$5,$B$6,$B$7,$B$9,AG$16,AG$17,AG$18),""))</f>
        <v/>
      </c>
      <c r="AI50" s="48" t="e">
        <f t="shared" ca="1" si="15"/>
        <v>#NAME?</v>
      </c>
      <c r="AJ50" s="371">
        <f t="shared" ca="1" si="16"/>
        <v>0</v>
      </c>
      <c r="AK50" s="372">
        <f t="shared" ca="1" si="17"/>
        <v>0</v>
      </c>
      <c r="AL50" s="373">
        <f t="shared" ca="1" si="18"/>
        <v>0</v>
      </c>
      <c r="AM50" s="374">
        <f t="shared" ca="1" si="19"/>
        <v>0</v>
      </c>
      <c r="AN50" s="375">
        <f t="shared" ca="1" si="20"/>
        <v>0</v>
      </c>
    </row>
    <row r="51" spans="1:40" x14ac:dyDescent="0.2">
      <c r="A51" s="6" t="s">
        <v>47</v>
      </c>
      <c r="B51" s="7" t="e">
        <f ca="1">_xll.EVRNG($A$115:$B$136)</f>
        <v>#NAME?</v>
      </c>
      <c r="H51" s="10" t="s">
        <v>401</v>
      </c>
      <c r="I51" s="25" t="e">
        <f ca="1">_xll.EVPRO($B$1,$H51,"STYLE")</f>
        <v>#NAME?</v>
      </c>
      <c r="J51" s="25" t="e">
        <f ca="1">_xll.EVPRO($B$1,$H51,"CALC")</f>
        <v>#NAME?</v>
      </c>
      <c r="K51" s="64" t="e">
        <f t="shared" ca="1" si="14"/>
        <v>#NAME?</v>
      </c>
      <c r="L51" s="24" t="e">
        <f ca="1">_xll.EVPRO($B$1,H51,"JDEID")</f>
        <v>#NAME?</v>
      </c>
      <c r="M51" s="24" t="e">
        <f ca="1">IF(AND(I51="N",J51="N"),_xll.EVPRO($B$1,H51,"PSFTID"),"")</f>
        <v>#NAME?</v>
      </c>
      <c r="N51" s="24" t="e">
        <f ca="1">IF(_xll.EVDES(H51,$B$1)="#NODATA","",_xll.EVDES(H51,$B$1))</f>
        <v>#NAME?</v>
      </c>
      <c r="O51" s="28"/>
      <c r="P51" s="28"/>
      <c r="Q51" s="28"/>
      <c r="R51" s="28"/>
      <c r="S51" s="28"/>
      <c r="T51" s="28"/>
      <c r="U51" s="28"/>
      <c r="V51" s="28"/>
      <c r="W51" s="28"/>
      <c r="X51" s="28"/>
      <c r="Y51" s="28"/>
      <c r="Z51" s="28"/>
      <c r="AA51" s="28" t="e">
        <f t="shared" ca="1" si="12"/>
        <v>#NAME?</v>
      </c>
      <c r="AB51" s="29" t="e">
        <f ca="1">IF(AA51=0,"",IFERROR(AA51/_xll.EVGTS($B$1,1,_xll.EVPRO($B$1,$H51,"COSBASIS"),$B$3,$B$5,$B$6,$B$7,$B$9,AA$16,AA$17,AA$11),""))</f>
        <v>#NAME?</v>
      </c>
      <c r="AD51" s="28"/>
      <c r="AE51" s="29" t="str">
        <f>IF(AD51=0,"",IFERROR(AD51/_xll.EVGTS($B$1,1,_xll.EVPRO($B$1,$H51,"COSBASIS"),$B$3,$B$5,$B$6,$B$7,$B$9,AD$16,AD$17,AD$18),""))</f>
        <v/>
      </c>
      <c r="AF51" s="48" t="e">
        <f t="shared" ca="1" si="13"/>
        <v>#NAME?</v>
      </c>
      <c r="AG51" s="28"/>
      <c r="AH51" s="29" t="str">
        <f>IF(AG51=0,"",IFERROR(AG51/_xll.EVGTS($B$1,1,_xll.EVPRO($B$1,$H51,"COSBASIS"),$B$3,$B$5,$B$6,$B$7,$B$9,AG$16,AG$17,AG$18),""))</f>
        <v/>
      </c>
      <c r="AI51" s="48" t="e">
        <f t="shared" ca="1" si="15"/>
        <v>#NAME?</v>
      </c>
      <c r="AJ51" s="371">
        <f t="shared" ca="1" si="16"/>
        <v>0</v>
      </c>
      <c r="AK51" s="372">
        <f t="shared" ca="1" si="17"/>
        <v>0</v>
      </c>
      <c r="AL51" s="373">
        <f t="shared" ca="1" si="18"/>
        <v>0</v>
      </c>
      <c r="AM51" s="374">
        <f t="shared" ca="1" si="19"/>
        <v>0</v>
      </c>
      <c r="AN51" s="375">
        <f t="shared" ca="1" si="20"/>
        <v>0</v>
      </c>
    </row>
    <row r="52" spans="1:40" x14ac:dyDescent="0.2">
      <c r="A52" s="6" t="s">
        <v>8</v>
      </c>
      <c r="B52" s="7"/>
      <c r="H52" s="10" t="s">
        <v>402</v>
      </c>
      <c r="I52" s="25" t="e">
        <f ca="1">_xll.EVPRO($B$1,$H52,"STYLE")</f>
        <v>#NAME?</v>
      </c>
      <c r="J52" s="25" t="e">
        <f ca="1">_xll.EVPRO($B$1,$H52,"CALC")</f>
        <v>#NAME?</v>
      </c>
      <c r="K52" s="64" t="e">
        <f t="shared" ca="1" si="14"/>
        <v>#NAME?</v>
      </c>
      <c r="L52" s="24" t="e">
        <f ca="1">_xll.EVPRO($B$1,H52,"JDEID")</f>
        <v>#NAME?</v>
      </c>
      <c r="M52" s="24" t="e">
        <f ca="1">IF(AND(I52="N",J52="N"),_xll.EVPRO($B$1,H52,"PSFTID"),"")</f>
        <v>#NAME?</v>
      </c>
      <c r="N52" s="24" t="e">
        <f ca="1">IF(_xll.EVDES(H52,$B$1)="#NODATA","",_xll.EVDES(H52,$B$1))</f>
        <v>#NAME?</v>
      </c>
      <c r="O52" s="28"/>
      <c r="P52" s="28"/>
      <c r="Q52" s="28"/>
      <c r="R52" s="28"/>
      <c r="S52" s="28"/>
      <c r="T52" s="28"/>
      <c r="U52" s="28"/>
      <c r="V52" s="28"/>
      <c r="W52" s="28"/>
      <c r="X52" s="28"/>
      <c r="Y52" s="28"/>
      <c r="Z52" s="28"/>
      <c r="AA52" s="28" t="e">
        <f t="shared" ca="1" si="12"/>
        <v>#NAME?</v>
      </c>
      <c r="AB52" s="29" t="e">
        <f ca="1">IF(AA52=0,"",IFERROR(AA52/_xll.EVGTS($B$1,1,_xll.EVPRO($B$1,$H52,"COSBASIS"),$B$3,$B$5,$B$6,$B$7,$B$9,AA$16,AA$17,AA$11),""))</f>
        <v>#NAME?</v>
      </c>
      <c r="AD52" s="28"/>
      <c r="AE52" s="29" t="str">
        <f>IF(AD52=0,"",IFERROR(AD52/_xll.EVGTS($B$1,1,_xll.EVPRO($B$1,$H52,"COSBASIS"),$B$3,$B$5,$B$6,$B$7,$B$9,AD$16,AD$17,AD$18),""))</f>
        <v/>
      </c>
      <c r="AF52" s="48" t="e">
        <f t="shared" ca="1" si="13"/>
        <v>#NAME?</v>
      </c>
      <c r="AG52" s="28"/>
      <c r="AH52" s="29" t="str">
        <f>IF(AG52=0,"",IFERROR(AG52/_xll.EVGTS($B$1,1,_xll.EVPRO($B$1,$H52,"COSBASIS"),$B$3,$B$5,$B$6,$B$7,$B$9,AG$16,AG$17,AG$18),""))</f>
        <v/>
      </c>
      <c r="AI52" s="48" t="e">
        <f t="shared" ca="1" si="15"/>
        <v>#NAME?</v>
      </c>
      <c r="AJ52" s="371">
        <f t="shared" ca="1" si="16"/>
        <v>0</v>
      </c>
      <c r="AK52" s="372">
        <f t="shared" ca="1" si="17"/>
        <v>0</v>
      </c>
      <c r="AL52" s="373">
        <f t="shared" ca="1" si="18"/>
        <v>0</v>
      </c>
      <c r="AM52" s="374">
        <f t="shared" ca="1" si="19"/>
        <v>0</v>
      </c>
      <c r="AN52" s="375">
        <f t="shared" ca="1" si="20"/>
        <v>0</v>
      </c>
    </row>
    <row r="53" spans="1:40" x14ac:dyDescent="0.2">
      <c r="H53" s="10" t="s">
        <v>403</v>
      </c>
      <c r="I53" s="25" t="e">
        <f ca="1">_xll.EVPRO($B$1,$H53,"STYLE")</f>
        <v>#NAME?</v>
      </c>
      <c r="J53" s="25" t="e">
        <f ca="1">_xll.EVPRO($B$1,$H53,"CALC")</f>
        <v>#NAME?</v>
      </c>
      <c r="K53" s="64" t="e">
        <f t="shared" ca="1" si="14"/>
        <v>#NAME?</v>
      </c>
      <c r="L53" s="24" t="e">
        <f ca="1">_xll.EVPRO($B$1,H53,"JDEID")</f>
        <v>#NAME?</v>
      </c>
      <c r="M53" s="24" t="e">
        <f ca="1">IF(AND(I53="N",J53="N"),_xll.EVPRO($B$1,H53,"PSFTID"),"")</f>
        <v>#NAME?</v>
      </c>
      <c r="N53" s="24" t="e">
        <f ca="1">IF(_xll.EVDES(H53,$B$1)="#NODATA","",_xll.EVDES(H53,$B$1))</f>
        <v>#NAME?</v>
      </c>
      <c r="O53" s="28"/>
      <c r="P53" s="28"/>
      <c r="Q53" s="28"/>
      <c r="R53" s="28"/>
      <c r="S53" s="28"/>
      <c r="T53" s="28"/>
      <c r="U53" s="28"/>
      <c r="V53" s="28"/>
      <c r="W53" s="28"/>
      <c r="X53" s="28"/>
      <c r="Y53" s="28"/>
      <c r="Z53" s="28"/>
      <c r="AA53" s="28" t="e">
        <f t="shared" ca="1" si="12"/>
        <v>#NAME?</v>
      </c>
      <c r="AB53" s="29" t="e">
        <f ca="1">IF(AA53=0,"",IFERROR(AA53/_xll.EVGTS($B$1,1,_xll.EVPRO($B$1,$H53,"COSBASIS"),$B$3,$B$5,$B$6,$B$7,$B$9,AA$16,AA$17,AA$11),""))</f>
        <v>#NAME?</v>
      </c>
      <c r="AD53" s="28"/>
      <c r="AE53" s="29" t="str">
        <f>IF(AD53=0,"",IFERROR(AD53/_xll.EVGTS($B$1,1,_xll.EVPRO($B$1,$H53,"COSBASIS"),$B$3,$B$5,$B$6,$B$7,$B$9,AD$16,AD$17,AD$18),""))</f>
        <v/>
      </c>
      <c r="AF53" s="48" t="e">
        <f t="shared" ca="1" si="13"/>
        <v>#NAME?</v>
      </c>
      <c r="AG53" s="28"/>
      <c r="AH53" s="29" t="str">
        <f>IF(AG53=0,"",IFERROR(AG53/_xll.EVGTS($B$1,1,_xll.EVPRO($B$1,$H53,"COSBASIS"),$B$3,$B$5,$B$6,$B$7,$B$9,AG$16,AG$17,AG$18),""))</f>
        <v/>
      </c>
      <c r="AI53" s="48" t="e">
        <f t="shared" ca="1" si="15"/>
        <v>#NAME?</v>
      </c>
      <c r="AJ53" s="371">
        <f t="shared" ca="1" si="16"/>
        <v>0</v>
      </c>
      <c r="AK53" s="372">
        <f t="shared" ca="1" si="17"/>
        <v>0</v>
      </c>
      <c r="AL53" s="373">
        <f t="shared" ca="1" si="18"/>
        <v>0</v>
      </c>
      <c r="AM53" s="374">
        <f t="shared" ca="1" si="19"/>
        <v>0</v>
      </c>
      <c r="AN53" s="375">
        <f t="shared" ca="1" si="20"/>
        <v>0</v>
      </c>
    </row>
    <row r="54" spans="1:40" x14ac:dyDescent="0.2">
      <c r="A54" s="3" t="s">
        <v>9</v>
      </c>
      <c r="B54" s="5" t="s">
        <v>10</v>
      </c>
      <c r="H54" s="10" t="s">
        <v>404</v>
      </c>
      <c r="I54" s="25" t="e">
        <f ca="1">_xll.EVPRO($B$1,$H54,"STYLE")</f>
        <v>#NAME?</v>
      </c>
      <c r="J54" s="25" t="e">
        <f ca="1">_xll.EVPRO($B$1,$H54,"CALC")</f>
        <v>#NAME?</v>
      </c>
      <c r="K54" s="64" t="e">
        <f t="shared" ca="1" si="14"/>
        <v>#NAME?</v>
      </c>
      <c r="L54" s="24" t="e">
        <f ca="1">_xll.EVPRO($B$1,H54,"JDEID")</f>
        <v>#NAME?</v>
      </c>
      <c r="M54" s="24" t="e">
        <f ca="1">IF(AND(I54="N",J54="N"),_xll.EVPRO($B$1,H54,"PSFTID"),"")</f>
        <v>#NAME?</v>
      </c>
      <c r="N54" s="24" t="e">
        <f ca="1">IF(_xll.EVDES(H54,$B$1)="#NODATA","",_xll.EVDES(H54,$B$1))</f>
        <v>#NAME?</v>
      </c>
      <c r="O54" s="28"/>
      <c r="P54" s="28"/>
      <c r="Q54" s="28"/>
      <c r="R54" s="28"/>
      <c r="S54" s="28"/>
      <c r="T54" s="28"/>
      <c r="U54" s="28"/>
      <c r="V54" s="28"/>
      <c r="W54" s="28"/>
      <c r="X54" s="28"/>
      <c r="Y54" s="28"/>
      <c r="Z54" s="28"/>
      <c r="AA54" s="28" t="e">
        <f t="shared" ca="1" si="12"/>
        <v>#NAME?</v>
      </c>
      <c r="AB54" s="29" t="e">
        <f ca="1">IF(AA54=0,"",IFERROR(AA54/_xll.EVGTS($B$1,1,_xll.EVPRO($B$1,$H54,"COSBASIS"),$B$3,$B$5,$B$6,$B$7,$B$9,AA$16,AA$17,AA$11),""))</f>
        <v>#NAME?</v>
      </c>
      <c r="AD54" s="28"/>
      <c r="AE54" s="29" t="str">
        <f>IF(AD54=0,"",IFERROR(AD54/_xll.EVGTS($B$1,1,_xll.EVPRO($B$1,$H54,"COSBASIS"),$B$3,$B$5,$B$6,$B$7,$B$9,AD$16,AD$17,AD$18),""))</f>
        <v/>
      </c>
      <c r="AF54" s="48" t="e">
        <f t="shared" ca="1" si="13"/>
        <v>#NAME?</v>
      </c>
      <c r="AG54" s="28"/>
      <c r="AH54" s="29" t="str">
        <f>IF(AG54=0,"",IFERROR(AG54/_xll.EVGTS($B$1,1,_xll.EVPRO($B$1,$H54,"COSBASIS"),$B$3,$B$5,$B$6,$B$7,$B$9,AG$16,AG$17,AG$18),""))</f>
        <v/>
      </c>
      <c r="AI54" s="48" t="e">
        <f t="shared" ca="1" si="15"/>
        <v>#NAME?</v>
      </c>
      <c r="AJ54" s="371">
        <f t="shared" ca="1" si="16"/>
        <v>0</v>
      </c>
      <c r="AK54" s="372">
        <f t="shared" ca="1" si="17"/>
        <v>0</v>
      </c>
      <c r="AL54" s="373">
        <f t="shared" ca="1" si="18"/>
        <v>0</v>
      </c>
      <c r="AM54" s="374">
        <f t="shared" ca="1" si="19"/>
        <v>0</v>
      </c>
      <c r="AN54" s="375">
        <f t="shared" ca="1" si="20"/>
        <v>0</v>
      </c>
    </row>
    <row r="55" spans="1:40" x14ac:dyDescent="0.2">
      <c r="A55" s="6" t="s">
        <v>11</v>
      </c>
      <c r="B55" s="7" t="s">
        <v>21</v>
      </c>
      <c r="H55" s="10" t="s">
        <v>405</v>
      </c>
      <c r="I55" s="25" t="e">
        <f ca="1">_xll.EVPRO($B$1,$H55,"STYLE")</f>
        <v>#NAME?</v>
      </c>
      <c r="J55" s="25" t="e">
        <f ca="1">_xll.EVPRO($B$1,$H55,"CALC")</f>
        <v>#NAME?</v>
      </c>
      <c r="K55" s="64" t="e">
        <f t="shared" ca="1" si="14"/>
        <v>#NAME?</v>
      </c>
      <c r="L55" s="24" t="e">
        <f ca="1">_xll.EVPRO($B$1,H55,"JDEID")</f>
        <v>#NAME?</v>
      </c>
      <c r="M55" s="24" t="e">
        <f ca="1">IF(AND(I55="N",J55="N"),_xll.EVPRO($B$1,H55,"PSFTID"),"")</f>
        <v>#NAME?</v>
      </c>
      <c r="N55" s="24" t="e">
        <f ca="1">IF(_xll.EVDES(H55,$B$1)="#NODATA","",_xll.EVDES(H55,$B$1))</f>
        <v>#NAME?</v>
      </c>
      <c r="O55" s="28"/>
      <c r="P55" s="28"/>
      <c r="Q55" s="28"/>
      <c r="R55" s="28"/>
      <c r="S55" s="28"/>
      <c r="T55" s="28"/>
      <c r="U55" s="28"/>
      <c r="V55" s="28"/>
      <c r="W55" s="28"/>
      <c r="X55" s="28"/>
      <c r="Y55" s="28"/>
      <c r="Z55" s="28"/>
      <c r="AA55" s="28" t="e">
        <f t="shared" ca="1" si="12"/>
        <v>#NAME?</v>
      </c>
      <c r="AB55" s="29" t="e">
        <f ca="1">IF(AA55=0,"",IFERROR(AA55/_xll.EVGTS($B$1,1,_xll.EVPRO($B$1,$H55,"COSBASIS"),$B$3,$B$5,$B$6,$B$7,$B$9,AA$16,AA$17,AA$11),""))</f>
        <v>#NAME?</v>
      </c>
      <c r="AD55" s="28"/>
      <c r="AE55" s="29" t="str">
        <f>IF(AD55=0,"",IFERROR(AD55/_xll.EVGTS($B$1,1,_xll.EVPRO($B$1,$H55,"COSBASIS"),$B$3,$B$5,$B$6,$B$7,$B$9,AD$16,AD$17,AD$18),""))</f>
        <v/>
      </c>
      <c r="AF55" s="48" t="e">
        <f t="shared" ca="1" si="13"/>
        <v>#NAME?</v>
      </c>
      <c r="AG55" s="28"/>
      <c r="AH55" s="29" t="str">
        <f>IF(AG55=0,"",IFERROR(AG55/_xll.EVGTS($B$1,1,_xll.EVPRO($B$1,$H55,"COSBASIS"),$B$3,$B$5,$B$6,$B$7,$B$9,AG$16,AG$17,AG$18),""))</f>
        <v/>
      </c>
      <c r="AI55" s="48" t="e">
        <f t="shared" ca="1" si="15"/>
        <v>#NAME?</v>
      </c>
      <c r="AJ55" s="381">
        <f t="shared" ca="1" si="16"/>
        <v>0</v>
      </c>
      <c r="AK55" s="382">
        <f t="shared" ca="1" si="17"/>
        <v>0</v>
      </c>
      <c r="AL55" s="383">
        <f t="shared" ca="1" si="18"/>
        <v>0</v>
      </c>
      <c r="AM55" s="384">
        <f t="shared" ca="1" si="19"/>
        <v>0</v>
      </c>
      <c r="AN55" s="385">
        <f t="shared" ca="1" si="20"/>
        <v>0</v>
      </c>
    </row>
    <row r="56" spans="1:40" x14ac:dyDescent="0.2">
      <c r="A56" s="6" t="s">
        <v>12</v>
      </c>
      <c r="B56" s="7" t="s">
        <v>22</v>
      </c>
      <c r="G56" s="13"/>
      <c r="H56" s="10" t="s">
        <v>289</v>
      </c>
      <c r="I56" s="447" t="e">
        <f ca="1">_xll.EVPRO($B$1,$H56,"STYLE")</f>
        <v>#NAME?</v>
      </c>
      <c r="J56" s="447" t="e">
        <f ca="1">_xll.EVPRO($B$1,$H56,"CALC")</f>
        <v>#NAME?</v>
      </c>
      <c r="K56" s="448" t="e">
        <f t="shared" ca="1" si="14"/>
        <v>#NAME?</v>
      </c>
      <c r="L56" s="151" t="e">
        <f ca="1">_xll.EVPRO($B$1,H56,"JDEID")</f>
        <v>#NAME?</v>
      </c>
      <c r="M56" s="151" t="e">
        <f ca="1">IF(AND(I56="N",J56="N"),_xll.EVPRO($B$1,H56,"PSFTID"),"")</f>
        <v>#NAME?</v>
      </c>
      <c r="N56" s="151" t="e">
        <f ca="1">IF(_xll.EVDES(H56,$B$1)="#NODATA","",_xll.EVDES(H56,$B$1))</f>
        <v>#NAME?</v>
      </c>
      <c r="O56" s="120"/>
      <c r="P56" s="120"/>
      <c r="Q56" s="120"/>
      <c r="R56" s="120"/>
      <c r="S56" s="120"/>
      <c r="T56" s="120"/>
      <c r="U56" s="120"/>
      <c r="V56" s="120"/>
      <c r="W56" s="120"/>
      <c r="X56" s="120"/>
      <c r="Y56" s="120"/>
      <c r="Z56" s="120"/>
      <c r="AA56" s="120" t="e">
        <f t="shared" ca="1" si="12"/>
        <v>#NAME?</v>
      </c>
      <c r="AB56" s="121" t="e">
        <f ca="1">IF(AA56=0,"",IFERROR(AA56/_xll.EVGTS($B$1,1,_xll.EVPRO($B$1,$H56,"COSBASIS"),$B$3,$B$5,$B$6,$B$7,$B$9,AA$16,AA$17,AA$11),""))</f>
        <v>#NAME?</v>
      </c>
      <c r="AC56" s="123"/>
      <c r="AD56" s="120"/>
      <c r="AE56" s="121" t="str">
        <f>IF(AD56=0,"",IFERROR(AD56/_xll.EVGTS($B$1,1,_xll.EVPRO($B$1,$H56,"COSBASIS"),$B$3,$B$5,$B$6,$B$7,$B$9,AD$16,AD$17,AD$18),""))</f>
        <v/>
      </c>
      <c r="AF56" s="122" t="e">
        <f t="shared" ca="1" si="13"/>
        <v>#NAME?</v>
      </c>
      <c r="AG56" s="120"/>
      <c r="AH56" s="121" t="str">
        <f>IF(AG56=0,"",IFERROR(AG56/_xll.EVGTS($B$1,1,_xll.EVPRO($B$1,$H56,"COSBASIS"),$B$3,$B$5,$B$6,$B$7,$B$9,AG$16,AG$17,AG$18),""))</f>
        <v/>
      </c>
      <c r="AI56" s="122" t="e">
        <f t="shared" ca="1" si="15"/>
        <v>#NAME?</v>
      </c>
      <c r="AJ56" s="332">
        <f t="shared" ca="1" si="16"/>
        <v>0</v>
      </c>
      <c r="AK56" s="333">
        <f t="shared" ca="1" si="17"/>
        <v>0</v>
      </c>
      <c r="AL56" s="335">
        <f t="shared" ca="1" si="18"/>
        <v>0</v>
      </c>
      <c r="AM56" s="377">
        <f t="shared" ca="1" si="19"/>
        <v>0</v>
      </c>
      <c r="AN56" s="378">
        <f t="shared" ca="1" si="20"/>
        <v>0</v>
      </c>
    </row>
    <row r="57" spans="1:40" x14ac:dyDescent="0.2">
      <c r="A57" s="6" t="s">
        <v>13</v>
      </c>
      <c r="B57" s="7" t="e">
        <f ca="1">"DEP(540000) AND "&amp;$E$6&amp;"=Y,500001"</f>
        <v>#NAME?</v>
      </c>
      <c r="H57" s="133" t="s">
        <v>175</v>
      </c>
      <c r="I57" s="26" t="e">
        <f ca="1">_xll.EVPRO($B$1,$H57,"STYLE")</f>
        <v>#NAME?</v>
      </c>
      <c r="J57" s="26" t="e">
        <f ca="1">_xll.EVPRO($B$1,$H57,"CALC")</f>
        <v>#NAME?</v>
      </c>
      <c r="K57" s="65" t="e">
        <f ca="1">IF(AND(I57&gt;="T5"),"&gt;","")</f>
        <v>#NAME?</v>
      </c>
      <c r="L57" s="65"/>
      <c r="M57" s="65"/>
      <c r="N57" s="23" t="e">
        <f ca="1">IF(_xll.EVDES(H57,$B$1)="#NODATA","",_xll.EVDES(H57,$B$1))</f>
        <v>#NAME?</v>
      </c>
      <c r="O57" s="44"/>
      <c r="P57" s="44"/>
      <c r="Q57" s="44"/>
      <c r="R57" s="44"/>
      <c r="S57" s="44"/>
      <c r="T57" s="44"/>
      <c r="U57" s="44"/>
      <c r="V57" s="44"/>
      <c r="W57" s="44"/>
      <c r="X57" s="44"/>
      <c r="Y57" s="44"/>
      <c r="Z57" s="44"/>
      <c r="AA57" s="44"/>
      <c r="AB57" s="45" t="str">
        <f>IF(O57=0,"",IFERROR(O57/_xll.EVGTS($B$1,1,INDEX($C$142:$C$165,MATCH($H57,$A$142:$A$165,0)),$B$3,$B$5,$B$6,$B$7,$B$9,O$16,O$17,O$18),""))</f>
        <v/>
      </c>
      <c r="AD57" s="44"/>
      <c r="AE57" s="45" t="str">
        <f>IF(AD57=0,"",IFERROR(AD57/_xll.EVGTS($B$1,1,INDEX($C$142:$C$165,MATCH($H57,$A$142:$A$165,0)),$B$3,$B$5,$B$6,$B$7,$B$9,AD$16,AD$17,AD$18),""))</f>
        <v/>
      </c>
      <c r="AF57" s="134" t="str">
        <f t="shared" ref="AF57:AF58" si="21">IF(AND($AA57="",AD57=""),"",$AA57-AD57)</f>
        <v/>
      </c>
      <c r="AG57" s="44"/>
      <c r="AH57" s="45" t="str">
        <f>IF(AG57=0,"",IFERROR(AG57/_xll.EVGTS($B$1,1,INDEX($C$142:$C$165,MATCH($H57,$A$142:$A$165,0)),$B$3,$B$5,$B$6,$B$7,$B$9,AG$16,AG$17,AG$18),""))</f>
        <v/>
      </c>
      <c r="AI57" s="134" t="str">
        <f>IF(AND($AA57="",AG57=""),"",$AA57-AG57)</f>
        <v/>
      </c>
    </row>
    <row r="58" spans="1:40" x14ac:dyDescent="0.2">
      <c r="A58" s="6" t="s">
        <v>14</v>
      </c>
      <c r="B58" s="7"/>
      <c r="H58" s="133" t="s">
        <v>292</v>
      </c>
      <c r="I58" s="26" t="e">
        <f ca="1">_xll.EVPRO($B$1,$H58,"STYLE")</f>
        <v>#NAME?</v>
      </c>
      <c r="J58" s="26" t="e">
        <f ca="1">_xll.EVPRO($B$1,$H58,"CALC")</f>
        <v>#NAME?</v>
      </c>
      <c r="K58" s="65" t="e">
        <f ca="1">IF(AND(I58&gt;="T5"),"&gt;","")</f>
        <v>#NAME?</v>
      </c>
      <c r="L58" s="65"/>
      <c r="M58" s="65"/>
      <c r="N58" s="23" t="e">
        <f ca="1">IF(_xll.EVDES(H58,$B$1)="#NODATA","",_xll.EVDES(H58,$B$1))</f>
        <v>#NAME?</v>
      </c>
      <c r="O58" s="145">
        <f>SUMIF($H$34:$H$56,"400000",O34:O56)-SUMIF($H$34:$H$56,"500001",O34:O56)</f>
        <v>0</v>
      </c>
      <c r="P58" s="145">
        <f t="shared" ref="P58:Z58" si="22">SUMIF($H$34:$H$56,"400000",P34:P56)-SUMIF($H$34:$H$56,"500001",P34:P56)</f>
        <v>0</v>
      </c>
      <c r="Q58" s="145">
        <f t="shared" si="22"/>
        <v>0</v>
      </c>
      <c r="R58" s="145">
        <f t="shared" si="22"/>
        <v>0</v>
      </c>
      <c r="S58" s="145">
        <f t="shared" si="22"/>
        <v>0</v>
      </c>
      <c r="T58" s="145">
        <f t="shared" si="22"/>
        <v>0</v>
      </c>
      <c r="U58" s="145">
        <f t="shared" si="22"/>
        <v>0</v>
      </c>
      <c r="V58" s="145">
        <f t="shared" si="22"/>
        <v>0</v>
      </c>
      <c r="W58" s="145">
        <f t="shared" si="22"/>
        <v>0</v>
      </c>
      <c r="X58" s="145">
        <f t="shared" si="22"/>
        <v>0</v>
      </c>
      <c r="Y58" s="145">
        <f t="shared" si="22"/>
        <v>0</v>
      </c>
      <c r="Z58" s="145">
        <f t="shared" si="22"/>
        <v>0</v>
      </c>
      <c r="AA58" s="120" t="e">
        <f ca="1">IF($I58="B1","",SUM(O58:Z58))</f>
        <v>#NAME?</v>
      </c>
      <c r="AB58" s="121" t="e">
        <f ca="1">IF(AA58=0,"",IFERROR(AA58/AA$19,""))</f>
        <v>#NAME?</v>
      </c>
      <c r="AD58" s="145">
        <f>SUMIF($H$34:$H$56,"400000",AD34:AD56)-SUMIF($H$34:$H$56,"500001",AD34:AD56)</f>
        <v>0</v>
      </c>
      <c r="AE58" s="121" t="str">
        <f>IF(AD58=0,"",IFERROR(AD58/AD$19,""))</f>
        <v/>
      </c>
      <c r="AF58" s="146" t="e">
        <f t="shared" ca="1" si="21"/>
        <v>#NAME?</v>
      </c>
      <c r="AG58" s="145">
        <f>SUMIF($H$34:$H$56,"400000",AG34:AG56)-SUMIF($H$34:$H$56,"500001",AG34:AG56)</f>
        <v>19.28</v>
      </c>
      <c r="AH58" s="121" t="str">
        <f ca="1">IF(AG58=0,"",IFERROR(AG58/AG$19,""))</f>
        <v/>
      </c>
      <c r="AI58" s="146" t="e">
        <f ca="1">IF(AND($AA58="",AG58=""),"",$AA58-AG58)</f>
        <v>#NAME?</v>
      </c>
      <c r="AJ58" s="364">
        <f ca="1">IFERROR(AA58/AA$20,0)</f>
        <v>0</v>
      </c>
      <c r="AK58" s="365">
        <f ca="1">IFERROR(AD58/AD$20,0)</f>
        <v>0</v>
      </c>
      <c r="AL58" s="366">
        <f ca="1">IFERROR(AG58/AG$20,0)</f>
        <v>0</v>
      </c>
      <c r="AM58" s="367">
        <f ca="1">+IFERROR(ROUND(($AB58-AE58)*100,2)&amp;" pts.",0)</f>
        <v>0</v>
      </c>
      <c r="AN58" s="409">
        <f ca="1">+IFERROR(ROUND(($AB58-AH58)*100,2)&amp;" pts.",0)</f>
        <v>0</v>
      </c>
    </row>
    <row r="59" spans="1:40" x14ac:dyDescent="0.2">
      <c r="A59" s="6" t="s">
        <v>15</v>
      </c>
      <c r="B59" s="7"/>
      <c r="O59" s="144"/>
      <c r="P59" s="147"/>
      <c r="Q59" s="147"/>
      <c r="R59" s="147"/>
      <c r="S59" s="147"/>
      <c r="T59" s="147"/>
      <c r="U59" s="147"/>
      <c r="V59" s="147"/>
      <c r="W59" s="147"/>
      <c r="X59" s="147"/>
      <c r="Y59" s="147"/>
      <c r="Z59" s="147"/>
      <c r="AA59" s="147"/>
      <c r="AB59" s="51"/>
      <c r="AD59" s="144"/>
      <c r="AF59" s="51"/>
      <c r="AI59" s="51"/>
    </row>
    <row r="60" spans="1:40" x14ac:dyDescent="0.2">
      <c r="A60" s="6" t="s">
        <v>16</v>
      </c>
      <c r="B60" s="7"/>
      <c r="H60" s="1" t="s">
        <v>73</v>
      </c>
      <c r="I60" s="11" t="e">
        <f ca="1">_xll.EVPRO($B$1,$H60,"STYLE")</f>
        <v>#NAME?</v>
      </c>
      <c r="J60" s="11" t="e">
        <f ca="1">_xll.EVPRO($B$1,$H60,"CALC")</f>
        <v>#NAME?</v>
      </c>
      <c r="N60" s="37" t="e">
        <f ca="1">IF(_xll.EVDES(H60,$B$1)="#NODATA","",_xll.EVDES(H60,$B$1))</f>
        <v>#NAME?</v>
      </c>
      <c r="O60" s="50"/>
      <c r="AB60" s="149"/>
      <c r="AD60" s="148"/>
      <c r="AE60" s="150"/>
      <c r="AF60" s="51"/>
      <c r="AH60" s="150"/>
      <c r="AI60" s="51"/>
    </row>
    <row r="61" spans="1:40" x14ac:dyDescent="0.2">
      <c r="A61" s="6" t="s">
        <v>17</v>
      </c>
      <c r="B61" s="7"/>
      <c r="H61" s="1" t="s">
        <v>74</v>
      </c>
      <c r="I61" s="11" t="e">
        <f ca="1">_xll.EVPRO($B$1,$H61,"STYLE")</f>
        <v>#NAME?</v>
      </c>
      <c r="J61" s="11" t="e">
        <f ca="1">_xll.EVPRO($B$1,$H61,"CALC")</f>
        <v>#NAME?</v>
      </c>
      <c r="N61" s="8" t="e">
        <f ca="1">IF(_xll.EVDES(H61,$B$1)="#NODATA","",_xll.EVDES(H61,$B$1))</f>
        <v>#NAME?</v>
      </c>
      <c r="O61" s="40"/>
      <c r="P61" s="43"/>
      <c r="Q61" s="43"/>
      <c r="R61" s="43"/>
      <c r="S61" s="43"/>
      <c r="T61" s="43"/>
      <c r="U61" s="43"/>
      <c r="V61" s="43"/>
      <c r="W61" s="43"/>
      <c r="X61" s="43"/>
      <c r="Y61" s="43"/>
      <c r="Z61" s="43"/>
      <c r="AA61" s="43"/>
      <c r="AB61" s="41"/>
      <c r="AD61" s="40"/>
      <c r="AE61" s="43"/>
      <c r="AF61" s="41"/>
      <c r="AG61" s="43"/>
      <c r="AH61" s="43"/>
      <c r="AI61" s="41"/>
    </row>
    <row r="62" spans="1:40" hidden="1" x14ac:dyDescent="0.2">
      <c r="H62" s="10" t="s">
        <v>667</v>
      </c>
      <c r="I62" s="25" t="e">
        <f ca="1">_xll.EVPRO($B$1,$H62,"STYLE")</f>
        <v>#NAME?</v>
      </c>
      <c r="J62" s="25" t="e">
        <f ca="1">_xll.EVPRO($B$1,$H62,"CALC")</f>
        <v>#NAME?</v>
      </c>
      <c r="K62" s="64" t="e">
        <f ca="1">IF(AND(I62&gt;="T3"),"&gt;","")</f>
        <v>#NAME?</v>
      </c>
      <c r="L62" s="24" t="e">
        <f ca="1">_xll.EVPRO($B$1,H62,"JDEID")</f>
        <v>#NAME?</v>
      </c>
      <c r="M62" s="24" t="e">
        <f ca="1">IF(AND(I62="N",J62="N"),_xll.EVPRO($B$1,H62,"PSFTID"),"")</f>
        <v>#NAME?</v>
      </c>
      <c r="N62" s="24" t="e">
        <f ca="1">IF(_xll.EVDES(H62,$B$1)="#NODATA","",_xll.EVDES(H62,$B$1))</f>
        <v>#NAME?</v>
      </c>
      <c r="O62" s="44"/>
      <c r="P62" s="44"/>
      <c r="Q62" s="44"/>
      <c r="R62" s="44"/>
      <c r="S62" s="44"/>
      <c r="T62" s="44"/>
      <c r="U62" s="44"/>
      <c r="V62" s="44"/>
      <c r="W62" s="44"/>
      <c r="X62" s="44"/>
      <c r="Y62" s="44"/>
      <c r="Z62" s="44"/>
      <c r="AA62" s="44" t="e">
        <f ca="1">IF($I62="B1","",SUM(O62:Z62))</f>
        <v>#NAME?</v>
      </c>
      <c r="AB62" s="45" t="e">
        <f ca="1">IF(AA62=0,"",IFERROR(AA62/AA$19,""))</f>
        <v>#NAME?</v>
      </c>
      <c r="AD62" s="44"/>
      <c r="AE62" s="45" t="str">
        <f>IF(AD62=0,"",IFERROR(AD62/AD$19,""))</f>
        <v/>
      </c>
      <c r="AF62" s="134" t="e">
        <f ca="1">IF(AND($AA62="",AD62=""),"",$AA62-AD62)</f>
        <v>#NAME?</v>
      </c>
      <c r="AG62" s="44"/>
      <c r="AH62" s="45" t="str">
        <f>IF(AG62=0,"",IFERROR(AG62/AG$19,""))</f>
        <v/>
      </c>
      <c r="AI62" s="134" t="e">
        <f ca="1">IF(AND($AA62="",AG62=""),"",$AA62-AG62)</f>
        <v>#NAME?</v>
      </c>
      <c r="AJ62" s="371">
        <f ca="1">IFERROR(AA62/AA$20,0)</f>
        <v>0</v>
      </c>
      <c r="AK62" s="372">
        <f ca="1">IFERROR(AD62/AD$20,0)</f>
        <v>0</v>
      </c>
      <c r="AL62" s="373">
        <f ca="1">IFERROR(AG62/AG$20,0)</f>
        <v>0</v>
      </c>
      <c r="AM62" s="374">
        <f ca="1">+IFERROR(ROUND(($AB62-AE62)*100,2)&amp;" pts.",0)</f>
        <v>0</v>
      </c>
      <c r="AN62" s="375">
        <f ca="1">+IFERROR(ROUND(($AB62-AH62)*100,2)&amp;" pts.",0)</f>
        <v>0</v>
      </c>
    </row>
    <row r="63" spans="1:40" hidden="1" x14ac:dyDescent="0.2">
      <c r="A63" s="20" t="s">
        <v>92</v>
      </c>
      <c r="B63" s="21" t="s">
        <v>93</v>
      </c>
      <c r="C63" s="21" t="s">
        <v>94</v>
      </c>
      <c r="D63" s="21" t="s">
        <v>95</v>
      </c>
      <c r="E63" s="21" t="s">
        <v>96</v>
      </c>
      <c r="F63" s="22" t="s">
        <v>97</v>
      </c>
      <c r="H63" s="10"/>
      <c r="I63" s="25" t="e">
        <f ca="1">_xll.EVPRO($B$1,$H63,"STYLE")</f>
        <v>#NAME?</v>
      </c>
      <c r="J63" s="25" t="e">
        <f ca="1">_xll.EVPRO($B$1,$H63,"CALC")</f>
        <v>#NAME?</v>
      </c>
      <c r="K63" s="64" t="e">
        <f ca="1">IF(AND(I63&gt;="T3"),"&gt;","")</f>
        <v>#NAME?</v>
      </c>
      <c r="L63" s="24" t="e">
        <f ca="1">_xll.EVPRO($B$1,H63,"JDEID")</f>
        <v>#NAME?</v>
      </c>
      <c r="M63" s="24" t="e">
        <f ca="1">IF(AND(I63="N",J63="N"),_xll.EVPRO($B$1,H63,"PSFTID"),"")</f>
        <v>#NAME?</v>
      </c>
      <c r="N63" s="24" t="e">
        <f ca="1">IF(_xll.EVDES(H63,$B$1)="#NODATA","",_xll.EVDES(H63,$B$1))</f>
        <v>#NAME?</v>
      </c>
      <c r="O63" s="44"/>
      <c r="P63" s="44"/>
      <c r="Q63" s="44"/>
      <c r="R63" s="44"/>
      <c r="S63" s="44"/>
      <c r="T63" s="44"/>
      <c r="U63" s="44"/>
      <c r="V63" s="44"/>
      <c r="W63" s="44"/>
      <c r="X63" s="44"/>
      <c r="Y63" s="44"/>
      <c r="Z63" s="44"/>
      <c r="AA63" s="44" t="e">
        <f ca="1">IF($I63="B1","",SUM(O63:Z63))</f>
        <v>#NAME?</v>
      </c>
      <c r="AB63" s="45" t="e">
        <f ca="1">IF(AA63=0,"",IFERROR(AA63/AA$19,""))</f>
        <v>#NAME?</v>
      </c>
      <c r="AD63" s="44"/>
      <c r="AE63" s="45" t="str">
        <f>IF(AD63=0,"",IFERROR(AD63/AD$19,""))</f>
        <v/>
      </c>
      <c r="AF63" s="134" t="e">
        <f ca="1">IF(AND($AA63="",AD63=""),"",$AA63-AD63)</f>
        <v>#NAME?</v>
      </c>
      <c r="AG63" s="44"/>
      <c r="AH63" s="45" t="str">
        <f>IF(AG63=0,"",IFERROR(AG63/AG$19,""))</f>
        <v/>
      </c>
      <c r="AI63" s="134" t="e">
        <f ca="1">IF(AND($AA63="",AG63=""),"",$AA63-AG63)</f>
        <v>#NAME?</v>
      </c>
      <c r="AJ63" s="371">
        <f ca="1">IFERROR(AA63/AA$20,0)</f>
        <v>0</v>
      </c>
      <c r="AK63" s="372">
        <f ca="1">IFERROR(AD63/AD$20,0)</f>
        <v>0</v>
      </c>
      <c r="AL63" s="373">
        <f ca="1">IFERROR(AG63/AG$20,0)</f>
        <v>0</v>
      </c>
      <c r="AM63" s="374">
        <f ca="1">+IFERROR(ROUND(($AB63-AE63)*100,2)&amp;" pts.",0)</f>
        <v>0</v>
      </c>
      <c r="AN63" s="375">
        <f ca="1">+IFERROR(ROUND(($AB63-AH63)*100,2)&amp;" pts.",0)</f>
        <v>0</v>
      </c>
    </row>
    <row r="64" spans="1:40" x14ac:dyDescent="0.2">
      <c r="H64" s="10" t="s">
        <v>75</v>
      </c>
      <c r="I64" s="26" t="e">
        <f ca="1">_xll.EVPRO($B$1,$H64,"STYLE")</f>
        <v>#NAME?</v>
      </c>
      <c r="J64" s="26" t="e">
        <f ca="1">_xll.EVPRO($B$1,$H64,"CALC")</f>
        <v>#NAME?</v>
      </c>
      <c r="K64" s="65" t="e">
        <f ca="1">IF(AND(I64&gt;="T3"),"&gt;","")</f>
        <v>#NAME?</v>
      </c>
      <c r="L64" s="23" t="e">
        <f ca="1">_xll.EVPRO($B$1,H64,"JDEID")</f>
        <v>#NAME?</v>
      </c>
      <c r="M64" s="24" t="e">
        <f ca="1">IF(AND(I64="N",J64="N"),_xll.EVPRO($B$1,H64,"PSFTID"),"")</f>
        <v>#NAME?</v>
      </c>
      <c r="N64" s="23" t="e">
        <f ca="1">IF(_xll.EVDES(H64,$B$1)="#NODATA","",_xll.EVDES(H64,$B$1))</f>
        <v>#NAME?</v>
      </c>
      <c r="O64" s="35"/>
      <c r="P64" s="35"/>
      <c r="Q64" s="35"/>
      <c r="R64" s="35"/>
      <c r="S64" s="35"/>
      <c r="T64" s="35"/>
      <c r="U64" s="35"/>
      <c r="V64" s="35"/>
      <c r="W64" s="35"/>
      <c r="X64" s="35"/>
      <c r="Y64" s="35"/>
      <c r="Z64" s="35"/>
      <c r="AA64" s="35" t="e">
        <f ca="1">IF($I64="B1","",SUM(O64:Z64))</f>
        <v>#NAME?</v>
      </c>
      <c r="AB64" s="36" t="e">
        <f ca="1">IF(AA64=0,"",IFERROR(AA64/AA$19,""))</f>
        <v>#NAME?</v>
      </c>
      <c r="AD64" s="35"/>
      <c r="AE64" s="36" t="str">
        <f>IF(AD64=0,"",IFERROR(AD64/AD$19,""))</f>
        <v/>
      </c>
      <c r="AF64" s="118" t="e">
        <f ca="1">IF(AND($AA64="",AD64=""),"",$AA64-AD64)</f>
        <v>#NAME?</v>
      </c>
      <c r="AG64" s="35"/>
      <c r="AH64" s="36" t="str">
        <f>IF(AG64=0,"",IFERROR(AG64/AG$19,""))</f>
        <v/>
      </c>
      <c r="AI64" s="118" t="e">
        <f ca="1">IF(AND($AA64="",AG64=""),"",$AA64-AG64)</f>
        <v>#NAME?</v>
      </c>
      <c r="AJ64" s="371">
        <f ca="1">IFERROR(AA64/AA$20,0)</f>
        <v>0</v>
      </c>
      <c r="AK64" s="372">
        <f ca="1">IFERROR(AD64/AD$20,0)</f>
        <v>0</v>
      </c>
      <c r="AL64" s="373">
        <f ca="1">IFERROR(AG64/AG$20,0)</f>
        <v>0</v>
      </c>
      <c r="AM64" s="374">
        <f ca="1">+IFERROR(ROUND(($AB64-AE64)*100,2)&amp;" pts.",0)</f>
        <v>0</v>
      </c>
      <c r="AN64" s="375">
        <f ca="1">+IFERROR(ROUND(($AB64-AH64)*100,2)&amp;" pts.",0)</f>
        <v>0</v>
      </c>
    </row>
    <row r="65" spans="1:40" hidden="1" x14ac:dyDescent="0.2">
      <c r="A65" s="1" t="s">
        <v>105</v>
      </c>
      <c r="C65" s="24" t="s">
        <v>101</v>
      </c>
      <c r="D65" s="1" t="s">
        <v>106</v>
      </c>
      <c r="F65" s="1" t="s">
        <v>98</v>
      </c>
      <c r="H65" s="10" t="s">
        <v>667</v>
      </c>
      <c r="I65" s="25" t="e">
        <f ca="1">_xll.EVPRO($B$1,$H65,"STYLE")</f>
        <v>#NAME?</v>
      </c>
      <c r="J65" s="25" t="e">
        <f ca="1">_xll.EVPRO($B$1,$H65,"CALC")</f>
        <v>#NAME?</v>
      </c>
      <c r="K65" s="64" t="e">
        <f ca="1">IF(AND(I65&gt;="T3"),"&gt;","")</f>
        <v>#NAME?</v>
      </c>
      <c r="L65" s="24" t="e">
        <f ca="1">_xll.EVPRO($B$1,H65,"JDEID")</f>
        <v>#NAME?</v>
      </c>
      <c r="M65" s="24" t="e">
        <f ca="1">IF(AND(I65="N",J65="N"),_xll.EVPRO($B$1,H65,"PSFTID"),"")</f>
        <v>#NAME?</v>
      </c>
      <c r="N65" s="24" t="e">
        <f ca="1">IF(_xll.EVDES(H65,$B$1)="#NODATA","",_xll.EVDES(H65,$B$1))</f>
        <v>#NAME?</v>
      </c>
      <c r="O65" s="44"/>
      <c r="P65" s="44"/>
      <c r="Q65" s="44"/>
      <c r="R65" s="44"/>
      <c r="S65" s="44"/>
      <c r="T65" s="44"/>
      <c r="U65" s="44"/>
      <c r="V65" s="44"/>
      <c r="W65" s="44"/>
      <c r="X65" s="44"/>
      <c r="Y65" s="44"/>
      <c r="Z65" s="44"/>
      <c r="AA65" s="44" t="e">
        <f ca="1">IF($I65="B1","",SUM(O65:Z65))</f>
        <v>#NAME?</v>
      </c>
      <c r="AB65" s="45" t="e">
        <f ca="1">IF(AA65=0,"",IFERROR(AA65/AA$19,""))</f>
        <v>#NAME?</v>
      </c>
      <c r="AD65" s="44"/>
      <c r="AE65" s="45" t="str">
        <f>IF(AD65=0,"",IFERROR(AD65/AD$19,""))</f>
        <v/>
      </c>
      <c r="AF65" s="134" t="e">
        <f ca="1">IF(AND($AA65="",AD65=""),"",$AA65-AD65)</f>
        <v>#NAME?</v>
      </c>
      <c r="AG65" s="44"/>
      <c r="AH65" s="45" t="str">
        <f>IF(AG65=0,"",IFERROR(AG65/AG$19,""))</f>
        <v/>
      </c>
      <c r="AI65" s="134" t="e">
        <f ca="1">IF(AND($AA65="",AG65=""),"",$AA65-AG65)</f>
        <v>#NAME?</v>
      </c>
      <c r="AJ65" s="381">
        <f ca="1">IFERROR(AA65/AA$20,0)</f>
        <v>0</v>
      </c>
      <c r="AK65" s="382">
        <f ca="1">IFERROR(AD65/AD$20,0)</f>
        <v>0</v>
      </c>
      <c r="AL65" s="383">
        <f ca="1">IFERROR(AG65/AG$20,0)</f>
        <v>0</v>
      </c>
      <c r="AM65" s="384">
        <f ca="1">+IFERROR(ROUND(($AB65-AE65)*100,2)&amp;" pts.",0)</f>
        <v>0</v>
      </c>
      <c r="AN65" s="385">
        <f ca="1">+IFERROR(ROUND(($AB65-AH65)*100,2)&amp;" pts.",0)</f>
        <v>0</v>
      </c>
    </row>
    <row r="66" spans="1:40" hidden="1" x14ac:dyDescent="0.2">
      <c r="A66" s="1" t="s">
        <v>108</v>
      </c>
      <c r="C66" s="23" t="s">
        <v>101</v>
      </c>
      <c r="D66" s="1" t="s">
        <v>106</v>
      </c>
      <c r="F66" s="1" t="s">
        <v>98</v>
      </c>
      <c r="H66" s="10"/>
      <c r="I66" s="25" t="e">
        <f ca="1">_xll.EVPRO($B$1,$H66,"STYLE")</f>
        <v>#NAME?</v>
      </c>
      <c r="J66" s="25" t="e">
        <f ca="1">_xll.EVPRO($B$1,$H66,"CALC")</f>
        <v>#NAME?</v>
      </c>
      <c r="K66" s="64" t="e">
        <f ca="1">IF(AND(I66&gt;="T3"),"&gt;","")</f>
        <v>#NAME?</v>
      </c>
      <c r="L66" s="24" t="e">
        <f ca="1">_xll.EVPRO($B$1,H66,"JDEID")</f>
        <v>#NAME?</v>
      </c>
      <c r="M66" s="24" t="e">
        <f ca="1">IF(AND(I66="N",J66="N"),_xll.EVPRO($B$1,H66,"PSFTID"),"")</f>
        <v>#NAME?</v>
      </c>
      <c r="N66" s="24" t="e">
        <f ca="1">IF(_xll.EVDES(H66,$B$1)="#NODATA","",_xll.EVDES(H66,$B$1))</f>
        <v>#NAME?</v>
      </c>
      <c r="O66" s="44"/>
      <c r="P66" s="44"/>
      <c r="Q66" s="44"/>
      <c r="R66" s="44"/>
      <c r="S66" s="44"/>
      <c r="T66" s="44"/>
      <c r="U66" s="44"/>
      <c r="V66" s="44"/>
      <c r="W66" s="44"/>
      <c r="X66" s="44"/>
      <c r="Y66" s="44"/>
      <c r="Z66" s="44"/>
      <c r="AA66" s="44" t="e">
        <f ca="1">IF($I66="B1","",SUM(O66:Z66))</f>
        <v>#NAME?</v>
      </c>
      <c r="AB66" s="45" t="e">
        <f ca="1">IF(AA66=0,"",IFERROR(AA66/AA$19,""))</f>
        <v>#NAME?</v>
      </c>
      <c r="AD66" s="44"/>
      <c r="AE66" s="45" t="str">
        <f>IF(AD66=0,"",IFERROR(AD66/AD$19,""))</f>
        <v/>
      </c>
      <c r="AF66" s="134" t="e">
        <f ca="1">IF(AND($AA66="",AD66=""),"",$AA66-AD66)</f>
        <v>#NAME?</v>
      </c>
      <c r="AG66" s="44"/>
      <c r="AH66" s="45" t="str">
        <f>IF(AG66=0,"",IFERROR(AG66/AG$19,""))</f>
        <v/>
      </c>
      <c r="AI66" s="134" t="e">
        <f ca="1">IF(AND($AA66="",AG66=""),"",$AA66-AG66)</f>
        <v>#NAME?</v>
      </c>
      <c r="AJ66" s="381">
        <f ca="1">IFERROR(AA66/AA$20,0)</f>
        <v>0</v>
      </c>
      <c r="AK66" s="382">
        <f ca="1">IFERROR(AD66/AD$20,0)</f>
        <v>0</v>
      </c>
      <c r="AL66" s="383">
        <f ca="1">IFERROR(AG66/AG$20,0)</f>
        <v>0</v>
      </c>
      <c r="AM66" s="384">
        <f ca="1">+IFERROR(ROUND(($AB66-AE66)*100,2)&amp;" pts.",0)</f>
        <v>0</v>
      </c>
      <c r="AN66" s="385">
        <f ca="1">+IFERROR(ROUND(($AB66-AH66)*100,2)&amp;" pts.",0)</f>
        <v>0</v>
      </c>
    </row>
    <row r="67" spans="1:40" x14ac:dyDescent="0.2">
      <c r="A67" s="1" t="s">
        <v>108</v>
      </c>
      <c r="C67" s="135" t="s">
        <v>101</v>
      </c>
      <c r="D67" s="1" t="s">
        <v>107</v>
      </c>
      <c r="F67" s="1" t="s">
        <v>99</v>
      </c>
      <c r="O67" s="38"/>
      <c r="P67" s="42"/>
      <c r="Q67" s="42"/>
      <c r="R67" s="42"/>
      <c r="S67" s="42"/>
      <c r="T67" s="42"/>
      <c r="U67" s="42"/>
      <c r="V67" s="42"/>
      <c r="W67" s="42"/>
      <c r="X67" s="42"/>
      <c r="Y67" s="42"/>
      <c r="Z67" s="42"/>
      <c r="AA67" s="42"/>
      <c r="AB67" s="39"/>
      <c r="AD67" s="38"/>
      <c r="AE67" s="42"/>
      <c r="AF67" s="39"/>
      <c r="AG67" s="38"/>
      <c r="AH67" s="42"/>
      <c r="AI67" s="39"/>
    </row>
    <row r="68" spans="1:40" x14ac:dyDescent="0.2">
      <c r="H68" s="1" t="s">
        <v>82</v>
      </c>
      <c r="I68" s="11" t="e">
        <f ca="1">_xll.EVPRO($B$1,$H68,"STYLE")</f>
        <v>#NAME?</v>
      </c>
      <c r="J68" s="11" t="e">
        <f ca="1">_xll.EVPRO($B$1,$H68,"CALC")</f>
        <v>#NAME?</v>
      </c>
      <c r="N68" s="37" t="e">
        <f ca="1">IF(_xll.EVDES(H68,$B$1)="#NODATA","",_xll.EVDES(H68,$B$1))</f>
        <v>#NAME?</v>
      </c>
      <c r="O68" s="40"/>
      <c r="P68" s="43"/>
      <c r="Q68" s="43"/>
      <c r="R68" s="43"/>
      <c r="S68" s="43"/>
      <c r="T68" s="43"/>
      <c r="U68" s="43"/>
      <c r="V68" s="43"/>
      <c r="W68" s="43"/>
      <c r="X68" s="43"/>
      <c r="Y68" s="43"/>
      <c r="Z68" s="43"/>
      <c r="AA68" s="43"/>
      <c r="AB68" s="41"/>
      <c r="AD68" s="40"/>
      <c r="AE68" s="43"/>
      <c r="AF68" s="41"/>
      <c r="AG68" s="40"/>
      <c r="AH68" s="43"/>
      <c r="AI68" s="41"/>
    </row>
    <row r="69" spans="1:40" hidden="1" x14ac:dyDescent="0.2">
      <c r="C69" s="23"/>
      <c r="H69" s="10" t="s">
        <v>667</v>
      </c>
      <c r="I69" s="25" t="e">
        <f ca="1">_xll.EVPRO($B$1,$H69,"STYLE")</f>
        <v>#NAME?</v>
      </c>
      <c r="J69" s="25" t="e">
        <f ca="1">_xll.EVPRO($B$1,$H69,"CALC")</f>
        <v>#NAME?</v>
      </c>
      <c r="K69" s="64" t="e">
        <f ca="1">IF(AND(I69&lt;&gt;"B1",J69="Y"),"&gt;","")</f>
        <v>#NAME?</v>
      </c>
      <c r="L69" s="24" t="e">
        <f ca="1">_xll.EVPRO($B$1,H69,"JDEID")</f>
        <v>#NAME?</v>
      </c>
      <c r="M69" s="24" t="e">
        <f ca="1">IF(AND(I69="N",J69="N"),_xll.EVPRO($B$1,H69,"PSFTID"),"")</f>
        <v>#NAME?</v>
      </c>
      <c r="N69" s="24" t="e">
        <f ca="1">IF(_xll.EVDES(H69,$B$1)="#NODATA","",_xll.EVDES(H69,$B$1))</f>
        <v>#NAME?</v>
      </c>
      <c r="O69" s="19"/>
      <c r="P69" s="19"/>
      <c r="Q69" s="19"/>
      <c r="R69" s="19"/>
      <c r="S69" s="19"/>
      <c r="T69" s="19"/>
      <c r="U69" s="19"/>
      <c r="V69" s="19"/>
      <c r="W69" s="19"/>
      <c r="X69" s="19"/>
      <c r="Y69" s="19"/>
      <c r="Z69" s="19"/>
      <c r="AA69" s="19" t="e">
        <f ca="1">IF($I69="B1","",SUM(O69:Z69))</f>
        <v>#NAME?</v>
      </c>
      <c r="AB69" s="15" t="e">
        <f ca="1">IF(AA69=0,"",IFERROR(AA69/AA$19,""))</f>
        <v>#NAME?</v>
      </c>
      <c r="AD69" s="19"/>
      <c r="AE69" s="15" t="str">
        <f>IF(AD69=0,"",IFERROR(AD69/AD$19,""))</f>
        <v/>
      </c>
      <c r="AF69" s="47" t="e">
        <f ca="1">IF(AND($AA69="",AD69=""),"",$AA69-AD69)</f>
        <v>#NAME?</v>
      </c>
      <c r="AG69" s="19"/>
      <c r="AH69" s="15" t="str">
        <f>IF(AG69=0,"",IFERROR(AG69/AG$19,""))</f>
        <v/>
      </c>
      <c r="AI69" s="47" t="e">
        <f ca="1">IF(AND($AA69="",AG69=""),"",$AA69-AG69)</f>
        <v>#NAME?</v>
      </c>
      <c r="AJ69" s="371">
        <f ca="1">IFERROR(AA69/AA$20,0)</f>
        <v>0</v>
      </c>
      <c r="AK69" s="372">
        <f ca="1">IFERROR(AD69/AD$20,0)</f>
        <v>0</v>
      </c>
      <c r="AL69" s="373">
        <f ca="1">IFERROR(AG69/AG$20,0)</f>
        <v>0</v>
      </c>
      <c r="AM69" s="374">
        <f ca="1">+IFERROR(ROUND(($AB69-AE69)*100,2)&amp;" pts.",0)</f>
        <v>0</v>
      </c>
      <c r="AN69" s="375">
        <f ca="1">+IFERROR(ROUND(($AB69-AH69)*100,2)&amp;" pts.",0)</f>
        <v>0</v>
      </c>
    </row>
    <row r="70" spans="1:40" hidden="1" x14ac:dyDescent="0.2">
      <c r="A70" s="4" t="e">
        <f ca="1">_xll.EVDRE($B$1,A73:B80,A83:B89)</f>
        <v>#NAME?</v>
      </c>
      <c r="H70" s="10"/>
      <c r="I70" s="25" t="e">
        <f ca="1">_xll.EVPRO($B$1,$H70,"STYLE")</f>
        <v>#NAME?</v>
      </c>
      <c r="J70" s="25" t="e">
        <f ca="1">_xll.EVPRO($B$1,$H70,"CALC")</f>
        <v>#NAME?</v>
      </c>
      <c r="K70" s="64" t="e">
        <f ca="1">IF(AND(I70&lt;&gt;"B1",J70="Y"),"&gt;","")</f>
        <v>#NAME?</v>
      </c>
      <c r="L70" s="24" t="e">
        <f ca="1">_xll.EVPRO($B$1,H70,"JDEID")</f>
        <v>#NAME?</v>
      </c>
      <c r="M70" s="24" t="e">
        <f ca="1">IF(AND(I70="N",J70="N"),_xll.EVPRO($B$1,H70,"PSFTID"),"")</f>
        <v>#NAME?</v>
      </c>
      <c r="N70" s="24" t="e">
        <f ca="1">IF(_xll.EVDES(H70,$B$1)="#NODATA","",_xll.EVDES(H70,$B$1))</f>
        <v>#NAME?</v>
      </c>
      <c r="O70" s="19"/>
      <c r="P70" s="19"/>
      <c r="Q70" s="19"/>
      <c r="R70" s="19"/>
      <c r="S70" s="19"/>
      <c r="T70" s="19"/>
      <c r="U70" s="19"/>
      <c r="V70" s="19"/>
      <c r="W70" s="19"/>
      <c r="X70" s="19"/>
      <c r="Y70" s="19"/>
      <c r="Z70" s="19"/>
      <c r="AA70" s="19" t="e">
        <f ca="1">IF($I70="B1","",SUM(O70:Z70))</f>
        <v>#NAME?</v>
      </c>
      <c r="AB70" s="15" t="e">
        <f ca="1">IF(AA70=0,"",IFERROR(AA70/AA$19,""))</f>
        <v>#NAME?</v>
      </c>
      <c r="AD70" s="19"/>
      <c r="AE70" s="15" t="str">
        <f>IF(AD70=0,"",IFERROR(AD70/AD$19,""))</f>
        <v/>
      </c>
      <c r="AF70" s="47" t="e">
        <f ca="1">IF(AND($AA70="",AD70=""),"",$AA70-AD70)</f>
        <v>#NAME?</v>
      </c>
      <c r="AG70" s="19"/>
      <c r="AH70" s="15" t="str">
        <f>IF(AG70=0,"",IFERROR(AG70/AG$19,""))</f>
        <v/>
      </c>
      <c r="AI70" s="47" t="e">
        <f ca="1">IF(AND($AA70="",AG70=""),"",$AA70-AG70)</f>
        <v>#NAME?</v>
      </c>
      <c r="AJ70" s="371">
        <f ca="1">IFERROR(AA70/AA$20,0)</f>
        <v>0</v>
      </c>
      <c r="AK70" s="372">
        <f ca="1">IFERROR(AD70/AD$20,0)</f>
        <v>0</v>
      </c>
      <c r="AL70" s="373">
        <f ca="1">IFERROR(AG70/AG$20,0)</f>
        <v>0</v>
      </c>
      <c r="AM70" s="374">
        <f ca="1">+IFERROR(ROUND(($AB70-AE70)*100,2)&amp;" pts.",0)</f>
        <v>0</v>
      </c>
      <c r="AN70" s="375">
        <f ca="1">+IFERROR(ROUND(($AB70-AH70)*100,2)&amp;" pts.",0)</f>
        <v>0</v>
      </c>
    </row>
    <row r="71" spans="1:40" x14ac:dyDescent="0.2">
      <c r="H71" s="10" t="s">
        <v>79</v>
      </c>
      <c r="I71" s="25" t="e">
        <f ca="1">_xll.EVPRO($B$1,$H71,"STYLE")</f>
        <v>#NAME?</v>
      </c>
      <c r="J71" s="25" t="e">
        <f ca="1">_xll.EVPRO($B$1,$H71,"CALC")</f>
        <v>#NAME?</v>
      </c>
      <c r="K71" s="24"/>
      <c r="L71" s="24"/>
      <c r="M71" s="24"/>
      <c r="N71" s="23" t="e">
        <f ca="1">IF(_xll.EVDES(H71,$B$1)="#NODATA","",_xll.EVDES(H71,$B$1))</f>
        <v>#NAME?</v>
      </c>
      <c r="O71" s="30"/>
      <c r="P71" s="30"/>
      <c r="Q71" s="30"/>
      <c r="R71" s="30"/>
      <c r="S71" s="30"/>
      <c r="T71" s="30"/>
      <c r="U71" s="30"/>
      <c r="V71" s="30"/>
      <c r="W71" s="30"/>
      <c r="X71" s="30"/>
      <c r="Y71" s="30"/>
      <c r="Z71" s="30"/>
      <c r="AA71" s="30" t="e">
        <f ca="1">IF($I71="B1","",SUM(O71:Z71))</f>
        <v>#NAME?</v>
      </c>
      <c r="AB71" s="31" t="e">
        <f ca="1">IF(AA71=0,"",IFERROR(AA71/AA$19,""))</f>
        <v>#NAME?</v>
      </c>
      <c r="AD71" s="30"/>
      <c r="AE71" s="31" t="str">
        <f>IF(AD71=0,"",IFERROR(AD71/AD$19,""))</f>
        <v/>
      </c>
      <c r="AF71" s="49" t="e">
        <f ca="1">IF(AND($AA71="",AD71=""),"",$AA71-AD71)</f>
        <v>#NAME?</v>
      </c>
      <c r="AG71" s="30"/>
      <c r="AH71" s="31" t="str">
        <f>IF(AG71=0,"",IFERROR(AG71/AG$19,""))</f>
        <v/>
      </c>
      <c r="AI71" s="49" t="e">
        <f ca="1">IF(AND($AA71="",AG71=""),"",$AA71-AG71)</f>
        <v>#NAME?</v>
      </c>
      <c r="AJ71" s="387">
        <f ca="1">IFERROR(AA71/AA$20,0)</f>
        <v>0</v>
      </c>
      <c r="AK71" s="388">
        <f ca="1">IFERROR(AD71/AD$20,0)</f>
        <v>0</v>
      </c>
      <c r="AL71" s="389">
        <f ca="1">IFERROR(AG71/AG$20,0)</f>
        <v>0</v>
      </c>
      <c r="AM71" s="390">
        <f ca="1">+IFERROR(ROUND(($AB71-AE71)*100,2)&amp;" pts.",0)</f>
        <v>0</v>
      </c>
      <c r="AN71" s="408">
        <f ca="1">+IFERROR(ROUND(($AB71-AH71)*100,2)&amp;" pts.",0)</f>
        <v>0</v>
      </c>
    </row>
    <row r="72" spans="1:40" x14ac:dyDescent="0.2">
      <c r="A72" s="3" t="s">
        <v>0</v>
      </c>
      <c r="B72" s="5" t="s">
        <v>1</v>
      </c>
    </row>
    <row r="73" spans="1:40" x14ac:dyDescent="0.2">
      <c r="A73" s="6" t="s">
        <v>2</v>
      </c>
      <c r="B73" s="7" t="e">
        <f ca="1">_xll.EVRNG($B$2:$B$10)</f>
        <v>#NAME?</v>
      </c>
      <c r="H73" s="10" t="s">
        <v>80</v>
      </c>
      <c r="I73" s="25" t="e">
        <f ca="1">_xll.EVPRO($B$1,$H73,"STYLE")</f>
        <v>#NAME?</v>
      </c>
      <c r="J73" s="25" t="e">
        <f ca="1">_xll.EVPRO($B$1,$H73,"CALC")</f>
        <v>#NAME?</v>
      </c>
      <c r="K73" s="23"/>
      <c r="L73" s="23"/>
      <c r="M73" s="23"/>
      <c r="N73" s="23" t="e">
        <f ca="1">IF(_xll.EVDES(H73,$B$1)="#NODATA","",_xll.EVDES(H73,$B$1))</f>
        <v>#NAME?</v>
      </c>
      <c r="O73" s="33"/>
      <c r="P73" s="33"/>
      <c r="Q73" s="33"/>
      <c r="R73" s="33"/>
      <c r="S73" s="33"/>
      <c r="T73" s="33"/>
      <c r="U73" s="33"/>
      <c r="V73" s="33"/>
      <c r="W73" s="33"/>
      <c r="X73" s="33"/>
      <c r="Y73" s="33"/>
      <c r="Z73" s="33"/>
      <c r="AA73" s="33" t="e">
        <f ca="1">IF($I73="B1","",SUM(O73:Z73))</f>
        <v>#NAME?</v>
      </c>
      <c r="AB73" s="34" t="e">
        <f ca="1">IF(AA73=0,"",IFERROR(AA73/AA$19,""))</f>
        <v>#NAME?</v>
      </c>
      <c r="AD73" s="33"/>
      <c r="AE73" s="34" t="str">
        <f>IF(AD73=0,"",IFERROR(AD73/AD$19,""))</f>
        <v/>
      </c>
      <c r="AF73" s="55" t="e">
        <f ca="1">IF(AND($AA73="",AD73=""),"",$AA73-AD73)</f>
        <v>#NAME?</v>
      </c>
      <c r="AG73" s="56"/>
      <c r="AH73" s="57" t="str">
        <f>IF(AG73=0,"",IFERROR(AG73/AG$19,""))</f>
        <v/>
      </c>
      <c r="AI73" s="55" t="e">
        <f ca="1">IF(AND($AA73="",AG73=""),"",$AA73-AG73)</f>
        <v>#NAME?</v>
      </c>
      <c r="AJ73" s="364">
        <f ca="1">IFERROR(AA73/AA$20,0)</f>
        <v>0</v>
      </c>
      <c r="AK73" s="365">
        <f ca="1">IFERROR(AD73/AD$20,0)</f>
        <v>0</v>
      </c>
      <c r="AL73" s="366">
        <f ca="1">IFERROR(AG73/AG$20,0)</f>
        <v>0</v>
      </c>
      <c r="AM73" s="367">
        <f ca="1">+IFERROR(ROUND(($AB73-AE73)*100,2)&amp;" pts.",0)</f>
        <v>0</v>
      </c>
      <c r="AN73" s="409">
        <f ca="1">+IFERROR(ROUND(($AB73-AH73)*100,2)&amp;" pts.",0)</f>
        <v>0</v>
      </c>
    </row>
    <row r="74" spans="1:40" ht="16" thickBot="1" x14ac:dyDescent="0.25">
      <c r="A74" s="6" t="s">
        <v>3</v>
      </c>
      <c r="B74" s="7" t="e">
        <f ca="1">_xll.EVRNG($O$16:$AN$18)</f>
        <v>#NAME?</v>
      </c>
      <c r="H74" s="10" t="s">
        <v>81</v>
      </c>
      <c r="I74" s="25" t="e">
        <f ca="1">_xll.EVPRO($B$1,$H74,"STYLE")</f>
        <v>#NAME?</v>
      </c>
      <c r="J74" s="25" t="e">
        <f ca="1">_xll.EVPRO($B$1,$H74,"CALC")</f>
        <v>#NAME?</v>
      </c>
      <c r="K74" s="23"/>
      <c r="L74" s="23"/>
      <c r="M74" s="23"/>
      <c r="N74" s="23" t="e">
        <f ca="1">IF(_xll.EVDES(H74,$B$1)="#NODATA","",_xll.EVDES(H74,$B$1))</f>
        <v>#NAME?</v>
      </c>
      <c r="O74" s="58"/>
      <c r="P74" s="58"/>
      <c r="Q74" s="58"/>
      <c r="R74" s="58"/>
      <c r="S74" s="58"/>
      <c r="T74" s="58"/>
      <c r="U74" s="58"/>
      <c r="V74" s="58"/>
      <c r="W74" s="58"/>
      <c r="X74" s="58"/>
      <c r="Y74" s="58"/>
      <c r="Z74" s="58"/>
      <c r="AA74" s="58" t="e">
        <f ca="1">IF($I74="B1","",SUM(O74:Z74))</f>
        <v>#NAME?</v>
      </c>
      <c r="AB74" s="59" t="e">
        <f ca="1">IF(AA74=0,"",IFERROR(AA74/AA$19,""))</f>
        <v>#NAME?</v>
      </c>
      <c r="AD74" s="58"/>
      <c r="AE74" s="59" t="str">
        <f>IF(AD74=0,"",IFERROR(AD74/AD$19,""))</f>
        <v/>
      </c>
      <c r="AF74" s="60" t="e">
        <f ca="1">IF(AND($AA74="",AD74=""),"",$AA74-AD74)</f>
        <v>#NAME?</v>
      </c>
      <c r="AG74" s="58">
        <v>19.28</v>
      </c>
      <c r="AH74" s="59" t="str">
        <f ca="1">IF(AG74=0,"",IFERROR(AG74/AG$19,""))</f>
        <v/>
      </c>
      <c r="AI74" s="60" t="e">
        <f ca="1">IF(AND($AA74="",AG74=""),"",$AA74-AG74)</f>
        <v>#NAME?</v>
      </c>
      <c r="AJ74" s="402">
        <f ca="1">IFERROR(AA74/AA$20,0)</f>
        <v>0</v>
      </c>
      <c r="AK74" s="403">
        <f ca="1">IFERROR(AD74/AD$20,0)</f>
        <v>0</v>
      </c>
      <c r="AL74" s="404">
        <f ca="1">IFERROR(AG74/AG$20,0)</f>
        <v>0</v>
      </c>
      <c r="AM74" s="405">
        <f ca="1">+IFERROR(ROUND(($AB74-AE74)*100,2)&amp;" pts.",0)</f>
        <v>0</v>
      </c>
      <c r="AN74" s="410">
        <f ca="1">+IFERROR(ROUND(($AB74-AH74)*100,2)&amp;" pts.",0)</f>
        <v>0</v>
      </c>
    </row>
    <row r="75" spans="1:40" ht="16" thickTop="1" x14ac:dyDescent="0.2">
      <c r="A75" s="6" t="s">
        <v>4</v>
      </c>
      <c r="B75" s="7" t="e">
        <f ca="1">_xll.EVRNG(H62:H63,H65:H66,H69:H70)</f>
        <v>#NAME?</v>
      </c>
    </row>
    <row r="76" spans="1:40" x14ac:dyDescent="0.2">
      <c r="A76" s="6" t="s">
        <v>5</v>
      </c>
      <c r="B76" s="7"/>
      <c r="N76" s="24" t="e">
        <f ca="1">N73&amp;" - Check"</f>
        <v>#NAME?</v>
      </c>
      <c r="O76" s="124">
        <f t="shared" ref="O76:AA76" si="23">SUMIF($H$34:$H$74,"600000",O$34:O$74)+SUMIF($H$34:$H$74,"700000",O$34:O$74)-SUMIF($H$34:$H$74,"TOTDEPTEXP",O$34:O$74)</f>
        <v>0</v>
      </c>
      <c r="P76" s="124">
        <f t="shared" si="23"/>
        <v>0</v>
      </c>
      <c r="Q76" s="124">
        <f t="shared" si="23"/>
        <v>0</v>
      </c>
      <c r="R76" s="124">
        <f t="shared" si="23"/>
        <v>0</v>
      </c>
      <c r="S76" s="124">
        <f t="shared" si="23"/>
        <v>0</v>
      </c>
      <c r="T76" s="124">
        <f t="shared" si="23"/>
        <v>0</v>
      </c>
      <c r="U76" s="124">
        <f t="shared" si="23"/>
        <v>0</v>
      </c>
      <c r="V76" s="124">
        <f t="shared" si="23"/>
        <v>0</v>
      </c>
      <c r="W76" s="124">
        <f t="shared" si="23"/>
        <v>0</v>
      </c>
      <c r="X76" s="124">
        <f t="shared" si="23"/>
        <v>0</v>
      </c>
      <c r="Y76" s="124">
        <f t="shared" si="23"/>
        <v>0</v>
      </c>
      <c r="Z76" s="124">
        <f t="shared" si="23"/>
        <v>0</v>
      </c>
      <c r="AA76" s="124" t="e">
        <f t="shared" ca="1" si="23"/>
        <v>#NAME?</v>
      </c>
      <c r="AB76" s="15"/>
      <c r="AD76" s="124">
        <f>SUMIF($H$34:$H$74,"600000",AD$34:AD$74)+SUMIF($H$34:$H$74,"700000",AD$34:AD$74)-SUMIF($H$34:$H$74,"TOTDEPTEXP",AD$34:AD$74)</f>
        <v>0</v>
      </c>
      <c r="AE76" s="15"/>
      <c r="AF76" s="19"/>
      <c r="AG76" s="124">
        <f>SUMIF($H$34:$H$74,"600000",AG$34:AG$74)+SUMIF($H$34:$H$74,"700000",AG$34:AG$74)-SUMIF($H$34:$H$74,"TOTDEPTEXP",AG$34:AG$74)</f>
        <v>0</v>
      </c>
      <c r="AH76" s="15"/>
      <c r="AI76" s="19"/>
    </row>
    <row r="77" spans="1:40" x14ac:dyDescent="0.2">
      <c r="A77" s="6" t="s">
        <v>6</v>
      </c>
      <c r="B77" s="7"/>
      <c r="N77" s="24" t="e">
        <f ca="1">N74&amp;" - Check"</f>
        <v>#NAME?</v>
      </c>
      <c r="O77" s="124">
        <f t="shared" ref="O77:AA77" si="24">SUMIF($H$34:$H$74,"KPI_GP",O$34:O$74)-SUMIF($H$34:$H$74,"TOTDEPTEXP",O$34:O$74)-SUMIF($H$34:$H$74,"TOTDEPTPL",O$34:O$74)</f>
        <v>0</v>
      </c>
      <c r="P77" s="124">
        <f t="shared" si="24"/>
        <v>0</v>
      </c>
      <c r="Q77" s="124">
        <f t="shared" si="24"/>
        <v>0</v>
      </c>
      <c r="R77" s="124">
        <f t="shared" si="24"/>
        <v>0</v>
      </c>
      <c r="S77" s="124">
        <f t="shared" si="24"/>
        <v>0</v>
      </c>
      <c r="T77" s="124">
        <f t="shared" si="24"/>
        <v>0</v>
      </c>
      <c r="U77" s="124">
        <f t="shared" si="24"/>
        <v>0</v>
      </c>
      <c r="V77" s="124">
        <f t="shared" si="24"/>
        <v>0</v>
      </c>
      <c r="W77" s="124">
        <f t="shared" si="24"/>
        <v>0</v>
      </c>
      <c r="X77" s="124">
        <f t="shared" si="24"/>
        <v>0</v>
      </c>
      <c r="Y77" s="124">
        <f t="shared" si="24"/>
        <v>0</v>
      </c>
      <c r="Z77" s="124">
        <f t="shared" si="24"/>
        <v>0</v>
      </c>
      <c r="AA77" s="124" t="e">
        <f t="shared" ca="1" si="24"/>
        <v>#NAME?</v>
      </c>
      <c r="AB77" s="15"/>
      <c r="AD77" s="124">
        <f>SUMIF($H$34:$H$74,"KPI_GP",AD$34:AD$74)-SUMIF($H$34:$H$74,"TOTDEPTEXP",AD$34:AD$74)-SUMIF($H$34:$H$74,"TOTDEPTPL",AD$34:AD$74)</f>
        <v>0</v>
      </c>
      <c r="AE77" s="15"/>
      <c r="AF77" s="19"/>
      <c r="AG77" s="124">
        <f>SUMIF($H$34:$H$74,"KPI_GP",AG$34:AG$74)-SUMIF($H$34:$H$74,"TOTDEPTEXP",AG$34:AG$74)-SUMIF($H$34:$H$74,"TOTDEPTPL",AG$34:AG$74)</f>
        <v>0</v>
      </c>
      <c r="AH77" s="15"/>
      <c r="AI77" s="19"/>
    </row>
    <row r="78" spans="1:40" x14ac:dyDescent="0.2">
      <c r="A78" s="6" t="s">
        <v>7</v>
      </c>
      <c r="B78" s="7" t="e">
        <f ca="1">_xll.EVRNG(A92:F98)</f>
        <v>#NAME?</v>
      </c>
    </row>
    <row r="79" spans="1:40" x14ac:dyDescent="0.2">
      <c r="A79" s="6" t="s">
        <v>47</v>
      </c>
      <c r="B79" s="7" t="e">
        <f ca="1">_xll.EVRNG($A$115:$B$136)</f>
        <v>#NAME?</v>
      </c>
      <c r="O79" s="147"/>
      <c r="P79" s="147"/>
      <c r="Q79" s="147"/>
      <c r="R79" s="147"/>
      <c r="S79" s="147"/>
      <c r="T79" s="147"/>
      <c r="U79" s="147"/>
      <c r="V79" s="147"/>
      <c r="W79" s="147"/>
      <c r="X79" s="147"/>
      <c r="Y79" s="147"/>
      <c r="Z79" s="147"/>
      <c r="AA79" s="147"/>
      <c r="AD79" s="147"/>
      <c r="AG79" s="147"/>
    </row>
    <row r="80" spans="1:40" x14ac:dyDescent="0.2">
      <c r="A80" s="6" t="s">
        <v>8</v>
      </c>
      <c r="B80" s="7"/>
    </row>
    <row r="81" spans="1:33" x14ac:dyDescent="0.2">
      <c r="O81" s="147"/>
      <c r="P81" s="147"/>
      <c r="Q81" s="147"/>
      <c r="R81" s="147"/>
      <c r="S81" s="147"/>
      <c r="T81" s="147"/>
      <c r="U81" s="147"/>
      <c r="V81" s="147"/>
      <c r="W81" s="147"/>
      <c r="X81" s="147"/>
      <c r="Y81" s="147"/>
      <c r="Z81" s="147"/>
      <c r="AA81" s="147"/>
      <c r="AD81" s="147"/>
      <c r="AG81" s="147"/>
    </row>
    <row r="82" spans="1:33" x14ac:dyDescent="0.2">
      <c r="A82" s="3" t="s">
        <v>9</v>
      </c>
      <c r="B82" s="5" t="s">
        <v>10</v>
      </c>
    </row>
    <row r="83" spans="1:33" x14ac:dyDescent="0.2">
      <c r="A83" s="6" t="s">
        <v>11</v>
      </c>
      <c r="B83" s="7" t="s">
        <v>21</v>
      </c>
    </row>
    <row r="84" spans="1:33" x14ac:dyDescent="0.2">
      <c r="A84" s="6" t="s">
        <v>12</v>
      </c>
      <c r="B84" s="7" t="s">
        <v>22</v>
      </c>
      <c r="H84" s="11"/>
      <c r="J84" s="1"/>
    </row>
    <row r="85" spans="1:33" x14ac:dyDescent="0.2">
      <c r="A85" s="6" t="s">
        <v>13</v>
      </c>
      <c r="B85" s="7" t="s">
        <v>737</v>
      </c>
      <c r="H85" s="11"/>
      <c r="J85" s="1"/>
    </row>
    <row r="86" spans="1:33" x14ac:dyDescent="0.2">
      <c r="A86" s="6" t="s">
        <v>14</v>
      </c>
      <c r="B86" s="7"/>
      <c r="H86" s="11"/>
      <c r="J86" s="1"/>
    </row>
    <row r="87" spans="1:33" x14ac:dyDescent="0.2">
      <c r="A87" s="6" t="s">
        <v>15</v>
      </c>
      <c r="B87" s="7"/>
      <c r="H87" s="11"/>
      <c r="J87" s="1"/>
    </row>
    <row r="88" spans="1:33" x14ac:dyDescent="0.2">
      <c r="A88" s="6" t="s">
        <v>16</v>
      </c>
      <c r="B88" s="7" t="s">
        <v>78</v>
      </c>
      <c r="H88" s="11"/>
      <c r="J88" s="1"/>
    </row>
    <row r="89" spans="1:33" x14ac:dyDescent="0.2">
      <c r="A89" s="6" t="s">
        <v>17</v>
      </c>
      <c r="B89" s="7"/>
      <c r="G89" s="13"/>
      <c r="H89" s="11"/>
      <c r="J89" s="1"/>
    </row>
    <row r="90" spans="1:33" x14ac:dyDescent="0.2">
      <c r="H90" s="11"/>
      <c r="J90" s="1"/>
    </row>
    <row r="91" spans="1:33" x14ac:dyDescent="0.2">
      <c r="A91" s="20" t="s">
        <v>92</v>
      </c>
      <c r="B91" s="21" t="s">
        <v>93</v>
      </c>
      <c r="C91" s="21" t="s">
        <v>94</v>
      </c>
      <c r="D91" s="21" t="s">
        <v>95</v>
      </c>
      <c r="E91" s="21" t="s">
        <v>96</v>
      </c>
      <c r="F91" s="22" t="s">
        <v>97</v>
      </c>
      <c r="H91" s="11"/>
      <c r="J91" s="1"/>
    </row>
    <row r="92" spans="1:33" x14ac:dyDescent="0.2">
      <c r="H92" s="11"/>
      <c r="J92" s="1"/>
    </row>
    <row r="93" spans="1:33" x14ac:dyDescent="0.2">
      <c r="A93" s="1" t="s">
        <v>108</v>
      </c>
      <c r="C93" s="24" t="s">
        <v>101</v>
      </c>
      <c r="D93" s="1" t="s">
        <v>106</v>
      </c>
      <c r="F93" s="1" t="s">
        <v>98</v>
      </c>
      <c r="H93" s="11"/>
      <c r="J93" s="1"/>
    </row>
    <row r="94" spans="1:33" x14ac:dyDescent="0.2">
      <c r="A94" s="1" t="s">
        <v>100</v>
      </c>
      <c r="C94" s="8" t="s">
        <v>101</v>
      </c>
      <c r="D94" s="1" t="s">
        <v>106</v>
      </c>
      <c r="F94" s="1" t="s">
        <v>98</v>
      </c>
      <c r="H94" s="11"/>
      <c r="J94" s="1"/>
    </row>
    <row r="95" spans="1:33" x14ac:dyDescent="0.2">
      <c r="A95" s="1" t="s">
        <v>109</v>
      </c>
      <c r="C95" s="23" t="s">
        <v>101</v>
      </c>
      <c r="D95" s="1" t="s">
        <v>106</v>
      </c>
      <c r="F95" s="1" t="s">
        <v>98</v>
      </c>
      <c r="H95" s="11"/>
      <c r="J95" s="1"/>
    </row>
    <row r="96" spans="1:33" x14ac:dyDescent="0.2">
      <c r="A96" s="1" t="s">
        <v>109</v>
      </c>
      <c r="C96" s="135" t="s">
        <v>101</v>
      </c>
      <c r="D96" s="1" t="s">
        <v>107</v>
      </c>
      <c r="F96" s="1" t="s">
        <v>99</v>
      </c>
      <c r="H96" s="11"/>
      <c r="J96" s="1"/>
    </row>
    <row r="97" spans="1:10" x14ac:dyDescent="0.2">
      <c r="A97" s="1" t="s">
        <v>110</v>
      </c>
      <c r="C97" s="23" t="s">
        <v>101</v>
      </c>
      <c r="D97" s="1" t="s">
        <v>106</v>
      </c>
      <c r="F97" s="1" t="s">
        <v>98</v>
      </c>
      <c r="H97" s="11"/>
      <c r="J97" s="1"/>
    </row>
    <row r="98" spans="1:10" x14ac:dyDescent="0.2">
      <c r="A98" s="1" t="s">
        <v>110</v>
      </c>
      <c r="C98" s="27" t="s">
        <v>101</v>
      </c>
      <c r="D98" s="1" t="s">
        <v>107</v>
      </c>
      <c r="F98" s="1" t="s">
        <v>99</v>
      </c>
      <c r="H98" s="11"/>
      <c r="J98" s="1"/>
    </row>
    <row r="99" spans="1:10" x14ac:dyDescent="0.2">
      <c r="C99" s="23"/>
      <c r="H99" s="11"/>
      <c r="J99" s="1"/>
    </row>
    <row r="100" spans="1:10" x14ac:dyDescent="0.2">
      <c r="H100" s="11"/>
      <c r="J100" s="1"/>
    </row>
    <row r="101" spans="1:10" x14ac:dyDescent="0.2">
      <c r="A101" s="4" t="e">
        <f ca="1">_xll.EVDRE($B$1,A104:B111)</f>
        <v>#NAME?</v>
      </c>
      <c r="B101" s="1" t="s">
        <v>736</v>
      </c>
      <c r="H101" s="11"/>
      <c r="J101" s="1"/>
    </row>
    <row r="102" spans="1:10" x14ac:dyDescent="0.2">
      <c r="H102" s="11"/>
      <c r="J102" s="1"/>
    </row>
    <row r="103" spans="1:10" x14ac:dyDescent="0.2">
      <c r="A103" s="3" t="s">
        <v>0</v>
      </c>
      <c r="B103" s="5" t="s">
        <v>1</v>
      </c>
      <c r="G103" s="13"/>
      <c r="H103" s="11"/>
      <c r="J103" s="1"/>
    </row>
    <row r="104" spans="1:10" x14ac:dyDescent="0.2">
      <c r="A104" s="6" t="s">
        <v>2</v>
      </c>
      <c r="B104" s="7" t="e">
        <f ca="1">_xll.EVRNG($B$2:$B$10)</f>
        <v>#NAME?</v>
      </c>
      <c r="H104" s="11"/>
      <c r="J104" s="1"/>
    </row>
    <row r="105" spans="1:10" x14ac:dyDescent="0.2">
      <c r="A105" s="6" t="s">
        <v>3</v>
      </c>
      <c r="B105" s="7" t="e">
        <f ca="1">_xll.EVRNG($O$16:$AN$18)</f>
        <v>#NAME?</v>
      </c>
      <c r="H105" s="11"/>
      <c r="J105" s="1"/>
    </row>
    <row r="106" spans="1:10" x14ac:dyDescent="0.2">
      <c r="A106" s="6" t="s">
        <v>4</v>
      </c>
      <c r="B106" s="7" t="e">
        <f ca="1">_xll.EVRNG(H71:H74)</f>
        <v>#NAME?</v>
      </c>
      <c r="H106" s="11"/>
      <c r="J106" s="1"/>
    </row>
    <row r="107" spans="1:10" x14ac:dyDescent="0.2">
      <c r="A107" s="6" t="s">
        <v>5</v>
      </c>
      <c r="B107" s="7"/>
    </row>
    <row r="108" spans="1:10" x14ac:dyDescent="0.2">
      <c r="A108" s="6" t="s">
        <v>6</v>
      </c>
      <c r="B108" s="7"/>
    </row>
    <row r="109" spans="1:10" x14ac:dyDescent="0.2">
      <c r="A109" s="6" t="s">
        <v>7</v>
      </c>
      <c r="B109" s="7"/>
      <c r="G109" s="13"/>
    </row>
    <row r="110" spans="1:10" x14ac:dyDescent="0.2">
      <c r="A110" s="6" t="s">
        <v>47</v>
      </c>
      <c r="B110" s="7" t="e">
        <f ca="1">_xll.EVRNG($A$115:$B$136)</f>
        <v>#NAME?</v>
      </c>
    </row>
    <row r="111" spans="1:10" x14ac:dyDescent="0.2">
      <c r="A111" s="6" t="s">
        <v>8</v>
      </c>
      <c r="B111" s="7"/>
    </row>
    <row r="114" spans="1:2" x14ac:dyDescent="0.2">
      <c r="A114" s="3" t="s">
        <v>23</v>
      </c>
      <c r="B114" s="5" t="s">
        <v>24</v>
      </c>
    </row>
    <row r="115" spans="1:2" x14ac:dyDescent="0.2">
      <c r="A115" s="6" t="s">
        <v>25</v>
      </c>
      <c r="B115" s="7"/>
    </row>
    <row r="116" spans="1:2" x14ac:dyDescent="0.2">
      <c r="A116" s="6" t="s">
        <v>26</v>
      </c>
      <c r="B116" s="7"/>
    </row>
    <row r="117" spans="1:2" x14ac:dyDescent="0.2">
      <c r="A117" s="6" t="s">
        <v>27</v>
      </c>
      <c r="B117" s="7"/>
    </row>
    <row r="118" spans="1:2" x14ac:dyDescent="0.2">
      <c r="A118" s="6" t="s">
        <v>28</v>
      </c>
      <c r="B118" s="7"/>
    </row>
    <row r="119" spans="1:2" x14ac:dyDescent="0.2">
      <c r="A119" s="6" t="s">
        <v>29</v>
      </c>
      <c r="B119" s="7"/>
    </row>
    <row r="120" spans="1:2" x14ac:dyDescent="0.2">
      <c r="A120" s="6" t="s">
        <v>30</v>
      </c>
      <c r="B120" s="7" t="s">
        <v>78</v>
      </c>
    </row>
    <row r="121" spans="1:2" x14ac:dyDescent="0.2">
      <c r="A121" s="6" t="s">
        <v>31</v>
      </c>
      <c r="B121" s="7" t="s">
        <v>78</v>
      </c>
    </row>
    <row r="122" spans="1:2" x14ac:dyDescent="0.2">
      <c r="A122" s="6" t="s">
        <v>32</v>
      </c>
      <c r="B122" s="7"/>
    </row>
    <row r="123" spans="1:2" x14ac:dyDescent="0.2">
      <c r="A123" s="6" t="s">
        <v>33</v>
      </c>
      <c r="B123" s="7"/>
    </row>
    <row r="124" spans="1:2" x14ac:dyDescent="0.2">
      <c r="A124" s="6" t="s">
        <v>34</v>
      </c>
      <c r="B124" s="7"/>
    </row>
    <row r="125" spans="1:2" x14ac:dyDescent="0.2">
      <c r="A125" s="6" t="s">
        <v>35</v>
      </c>
      <c r="B125" s="7"/>
    </row>
    <row r="126" spans="1:2" x14ac:dyDescent="0.2">
      <c r="A126" s="6" t="s">
        <v>36</v>
      </c>
      <c r="B126" s="7"/>
    </row>
    <row r="127" spans="1:2" x14ac:dyDescent="0.2">
      <c r="A127" s="6" t="s">
        <v>37</v>
      </c>
      <c r="B127" s="7"/>
    </row>
    <row r="128" spans="1:2" x14ac:dyDescent="0.2">
      <c r="A128" s="6" t="s">
        <v>38</v>
      </c>
      <c r="B128" s="7"/>
    </row>
    <row r="129" spans="1:2" x14ac:dyDescent="0.2">
      <c r="A129" s="6" t="s">
        <v>39</v>
      </c>
      <c r="B129" s="7"/>
    </row>
    <row r="130" spans="1:2" x14ac:dyDescent="0.2">
      <c r="A130" s="6" t="s">
        <v>40</v>
      </c>
      <c r="B130" s="7"/>
    </row>
    <row r="131" spans="1:2" x14ac:dyDescent="0.2">
      <c r="A131" s="6" t="s">
        <v>41</v>
      </c>
      <c r="B131" s="7"/>
    </row>
    <row r="132" spans="1:2" x14ac:dyDescent="0.2">
      <c r="A132" s="6" t="s">
        <v>42</v>
      </c>
      <c r="B132" s="7"/>
    </row>
    <row r="133" spans="1:2" x14ac:dyDescent="0.2">
      <c r="A133" s="6" t="s">
        <v>43</v>
      </c>
      <c r="B133" s="7"/>
    </row>
    <row r="134" spans="1:2" x14ac:dyDescent="0.2">
      <c r="A134" s="6" t="s">
        <v>44</v>
      </c>
      <c r="B134" s="7"/>
    </row>
    <row r="135" spans="1:2" x14ac:dyDescent="0.2">
      <c r="A135" s="6" t="s">
        <v>45</v>
      </c>
      <c r="B135" s="7"/>
    </row>
    <row r="136" spans="1:2" x14ac:dyDescent="0.2">
      <c r="A136" s="6" t="s">
        <v>46</v>
      </c>
      <c r="B136" s="7"/>
    </row>
    <row r="147" spans="5:34" x14ac:dyDescent="0.2">
      <c r="I147" s="72"/>
      <c r="J147" s="1"/>
      <c r="K147" s="72"/>
      <c r="L147" s="72"/>
      <c r="M147" s="72"/>
      <c r="O147" s="72"/>
      <c r="P147" s="72"/>
      <c r="Q147" s="72"/>
      <c r="R147" s="72"/>
      <c r="S147" s="72"/>
      <c r="T147" s="72"/>
      <c r="U147" s="72"/>
      <c r="V147" s="72"/>
      <c r="W147" s="72"/>
      <c r="X147" s="72"/>
      <c r="Y147" s="72"/>
      <c r="Z147" s="72"/>
      <c r="AA147" s="72"/>
      <c r="AD147" s="72"/>
      <c r="AF147" s="72"/>
      <c r="AH147" s="72"/>
    </row>
    <row r="151" spans="5:34" x14ac:dyDescent="0.2">
      <c r="I151" s="72"/>
      <c r="J151" s="1"/>
      <c r="K151" s="72"/>
      <c r="L151" s="72"/>
      <c r="M151" s="72"/>
      <c r="O151" s="72"/>
      <c r="P151" s="72"/>
      <c r="Q151" s="72"/>
      <c r="R151" s="72"/>
      <c r="S151" s="72"/>
      <c r="T151" s="72"/>
      <c r="U151" s="72"/>
      <c r="V151" s="72"/>
      <c r="W151" s="72"/>
      <c r="X151" s="72"/>
      <c r="Y151" s="72"/>
      <c r="Z151" s="72"/>
      <c r="AA151" s="72"/>
      <c r="AD151" s="72"/>
      <c r="AF151" s="72"/>
      <c r="AH151" s="72"/>
    </row>
    <row r="153" spans="5:34" x14ac:dyDescent="0.2">
      <c r="E153" s="72"/>
    </row>
    <row r="157" spans="5:34" x14ac:dyDescent="0.2">
      <c r="E157" s="72"/>
    </row>
    <row r="188" spans="7:7" x14ac:dyDescent="0.2">
      <c r="G188" s="72"/>
    </row>
    <row r="192" spans="7:7" x14ac:dyDescent="0.2">
      <c r="G192" s="72"/>
    </row>
  </sheetData>
  <mergeCells count="2">
    <mergeCell ref="AD31:AE31"/>
    <mergeCell ref="AG31:AH31"/>
  </mergeCells>
  <dataValidations disablePrompts="1" count="2">
    <dataValidation type="list" allowBlank="1" sqref="B85 B29 B57" xr:uid="{00000000-0002-0000-4400-000000000000}">
      <formula1>"SELF,ALL,BAS,DEP,BASMEMBERS,MEMBERS,NOEXPAND,GDEP"</formula1>
    </dataValidation>
    <dataValidation type="list" allowBlank="1" sqref="B56 B28 B84" xr:uid="{00000000-0002-0000-44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84">
    <tabColor theme="9" tint="0.39997558519241921"/>
    <pageSetUpPr fitToPage="1"/>
  </sheetPr>
  <dimension ref="A1:AO192"/>
  <sheetViews>
    <sheetView topLeftCell="K25" zoomScale="85" zoomScaleNormal="85" workbookViewId="0">
      <pane xSplit="4" ySplit="8" topLeftCell="O42"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s">
        <v>980</v>
      </c>
      <c r="I1" s="1"/>
      <c r="J1" s="1"/>
    </row>
    <row r="2" spans="1:35" hidden="1" outlineLevel="1" x14ac:dyDescent="0.2">
      <c r="A2" s="8" t="s">
        <v>22</v>
      </c>
      <c r="B2" s="12" t="s">
        <v>56</v>
      </c>
      <c r="C2" s="1" t="s">
        <v>981</v>
      </c>
      <c r="I2" s="1"/>
      <c r="J2" s="1"/>
    </row>
    <row r="3" spans="1:35" hidden="1" outlineLevel="1" x14ac:dyDescent="0.2">
      <c r="A3" s="8" t="s">
        <v>50</v>
      </c>
      <c r="B3" s="9" t="s">
        <v>979</v>
      </c>
      <c r="C3" s="1" t="s">
        <v>982</v>
      </c>
      <c r="I3" s="1"/>
      <c r="J3" s="1"/>
    </row>
    <row r="4" spans="1:35" hidden="1" outlineLevel="1" x14ac:dyDescent="0.2">
      <c r="A4" s="8" t="s">
        <v>19</v>
      </c>
      <c r="B4" s="9" t="str">
        <f>SetUp!$D$6</f>
        <v>CURRENT</v>
      </c>
      <c r="C4" s="1" t="s">
        <v>960</v>
      </c>
      <c r="E4" s="46">
        <v>20250100</v>
      </c>
      <c r="F4" s="46">
        <v>20250100</v>
      </c>
    </row>
    <row r="5" spans="1:35" hidden="1" outlineLevel="1" x14ac:dyDescent="0.2">
      <c r="A5" s="8" t="s">
        <v>51</v>
      </c>
      <c r="B5" s="12" t="s">
        <v>59</v>
      </c>
      <c r="C5" s="1" t="s">
        <v>59</v>
      </c>
    </row>
    <row r="6" spans="1:35" hidden="1" outlineLevel="1" x14ac:dyDescent="0.2">
      <c r="A6" s="8" t="s">
        <v>52</v>
      </c>
      <c r="B6" s="12" t="s">
        <v>386</v>
      </c>
      <c r="C6" s="1" t="s">
        <v>1243</v>
      </c>
      <c r="E6" s="46" t="s">
        <v>386</v>
      </c>
      <c r="F6" s="1" t="s">
        <v>278</v>
      </c>
    </row>
    <row r="7" spans="1:35" hidden="1" outlineLevel="1" x14ac:dyDescent="0.2">
      <c r="A7" s="8" t="s">
        <v>53</v>
      </c>
      <c r="B7" s="12" t="s">
        <v>61</v>
      </c>
      <c r="C7" s="1" t="s">
        <v>984</v>
      </c>
    </row>
    <row r="8" spans="1:35" hidden="1" outlineLevel="1" x14ac:dyDescent="0.2">
      <c r="A8" s="8" t="s">
        <v>20</v>
      </c>
      <c r="B8" s="12" t="s">
        <v>63</v>
      </c>
      <c r="C8" s="1" t="s">
        <v>985</v>
      </c>
    </row>
    <row r="9" spans="1:35" hidden="1" outlineLevel="1" x14ac:dyDescent="0.2">
      <c r="A9" s="8" t="s">
        <v>54</v>
      </c>
      <c r="B9" s="9" t="str">
        <f>SetUp!$D$10</f>
        <v>LC</v>
      </c>
      <c r="C9" s="1" t="s">
        <v>986</v>
      </c>
    </row>
    <row r="10" spans="1:35" hidden="1" outlineLevel="1" x14ac:dyDescent="0.2">
      <c r="A10" s="8" t="s">
        <v>18</v>
      </c>
      <c r="B10" s="9" t="str">
        <f>SetUp!$D$7</f>
        <v>2024.TOTAL</v>
      </c>
      <c r="C10" s="1" t="s">
        <v>987</v>
      </c>
      <c r="D10" s="212" t="s">
        <v>988</v>
      </c>
    </row>
    <row r="11" spans="1:35" hidden="1" outlineLevel="1" x14ac:dyDescent="0.2">
      <c r="B11" s="8"/>
      <c r="M11" s="46" t="str">
        <f>IF(LEFT(SetUp!$D$6,3)="ALT","Y","N")</f>
        <v>N</v>
      </c>
      <c r="N11" s="1" t="s">
        <v>800</v>
      </c>
      <c r="O11" s="2" t="s">
        <v>682</v>
      </c>
      <c r="P11" s="2" t="s">
        <v>682</v>
      </c>
      <c r="Q11" s="2" t="s">
        <v>682</v>
      </c>
      <c r="R11" s="2" t="s">
        <v>682</v>
      </c>
      <c r="S11" s="2" t="s">
        <v>682</v>
      </c>
      <c r="T11" s="2" t="s">
        <v>682</v>
      </c>
      <c r="U11" s="2" t="s">
        <v>682</v>
      </c>
      <c r="V11" s="2" t="s">
        <v>682</v>
      </c>
      <c r="W11" s="2" t="s">
        <v>682</v>
      </c>
      <c r="X11" s="2" t="s">
        <v>682</v>
      </c>
      <c r="Y11" s="2" t="s">
        <v>682</v>
      </c>
      <c r="Z11" s="2" t="s">
        <v>682</v>
      </c>
      <c r="AA11" s="2" t="str">
        <f>IF(SetUp!$O$1=TRUE,"TRAILING12",IF(AA17="CURRENT","ROLLINGFORECAST","PERIODIC"))</f>
        <v>PERIODIC</v>
      </c>
    </row>
    <row r="12" spans="1:35" hidden="1" outlineLevel="1" x14ac:dyDescent="0.2">
      <c r="A12" s="1" t="s">
        <v>115</v>
      </c>
      <c r="B12" s="46">
        <v>2024</v>
      </c>
      <c r="M12" s="11"/>
      <c r="N12" s="1" t="s">
        <v>597</v>
      </c>
      <c r="O12" s="213" t="s">
        <v>78</v>
      </c>
      <c r="P12" s="213" t="s">
        <v>78</v>
      </c>
      <c r="Q12" s="213" t="s">
        <v>78</v>
      </c>
      <c r="R12" s="213" t="s">
        <v>78</v>
      </c>
      <c r="S12" s="213" t="s">
        <v>78</v>
      </c>
      <c r="T12" s="213" t="s">
        <v>78</v>
      </c>
      <c r="U12" s="213" t="s">
        <v>78</v>
      </c>
      <c r="V12" s="213" t="s">
        <v>78</v>
      </c>
      <c r="W12" s="213" t="s">
        <v>78</v>
      </c>
      <c r="X12" s="213" t="s">
        <v>78</v>
      </c>
      <c r="Y12" s="213" t="s">
        <v>78</v>
      </c>
      <c r="Z12" s="213" t="s">
        <v>78</v>
      </c>
      <c r="AA12" s="213"/>
      <c r="AD12" s="213"/>
      <c r="AG12" s="213"/>
    </row>
    <row r="13" spans="1:35" hidden="1" outlineLevel="1" x14ac:dyDescent="0.2">
      <c r="A13" s="1" t="s">
        <v>602</v>
      </c>
      <c r="B13" s="46">
        <v>2024</v>
      </c>
      <c r="M13" s="11"/>
      <c r="N13" s="1" t="s">
        <v>598</v>
      </c>
      <c r="O13" s="53">
        <v>20240100</v>
      </c>
      <c r="P13" s="53">
        <v>20240200</v>
      </c>
      <c r="Q13" s="53">
        <v>20240300</v>
      </c>
      <c r="R13" s="53">
        <v>20240400</v>
      </c>
      <c r="S13" s="53">
        <v>20240500</v>
      </c>
      <c r="T13" s="53">
        <v>20240600</v>
      </c>
      <c r="U13" s="53">
        <v>20240700</v>
      </c>
      <c r="V13" s="53">
        <v>20240800</v>
      </c>
      <c r="W13" s="53">
        <v>20240900</v>
      </c>
      <c r="X13" s="53">
        <v>20241000</v>
      </c>
      <c r="Y13" s="53">
        <v>20241100</v>
      </c>
      <c r="Z13" s="53">
        <v>20241200</v>
      </c>
      <c r="AA13" s="53">
        <v>10000193</v>
      </c>
      <c r="AD13" s="53">
        <v>10000193</v>
      </c>
      <c r="AG13" s="53">
        <v>10000183</v>
      </c>
    </row>
    <row r="14" spans="1:35" hidden="1" outlineLevel="1" x14ac:dyDescent="0.2">
      <c r="A14" s="4" t="s">
        <v>989</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s">
        <v>990</v>
      </c>
      <c r="P16" s="2" t="s">
        <v>991</v>
      </c>
      <c r="Q16" s="2" t="s">
        <v>992</v>
      </c>
      <c r="R16" s="2" t="s">
        <v>993</v>
      </c>
      <c r="S16" s="2" t="s">
        <v>994</v>
      </c>
      <c r="T16" s="2" t="s">
        <v>995</v>
      </c>
      <c r="U16" s="2" t="s">
        <v>996</v>
      </c>
      <c r="V16" s="2" t="s">
        <v>997</v>
      </c>
      <c r="W16" s="2" t="s">
        <v>998</v>
      </c>
      <c r="X16" s="2" t="s">
        <v>999</v>
      </c>
      <c r="Y16" s="2" t="s">
        <v>1000</v>
      </c>
      <c r="Z16" s="2" t="str">
        <f>IF(SetUp!$O$1=TRUE,SetUp!$Q$6,IF($D$10="FY",LEFT($B$10,6)&amp;"."&amp;Z15,$B$12&amp;"."&amp;Z14))</f>
        <v>2024.DEC</v>
      </c>
      <c r="AA16" s="2" t="str">
        <f>IF($D$10="FY",LEFT($B$10,6)&amp;"."&amp;AA15,$B$12&amp;"."&amp;AA14)</f>
        <v>2024.TOTAL</v>
      </c>
      <c r="AB16" s="10"/>
      <c r="AC16" s="10"/>
      <c r="AD16" s="2" t="str">
        <f>IF(SetUp!$O$1=TRUE,SetUp!$Q$6,SetUp!$G$7)</f>
        <v>2024.TOTAL</v>
      </c>
      <c r="AE16" s="10"/>
      <c r="AF16" s="10"/>
      <c r="AG16" s="2" t="s">
        <v>955</v>
      </c>
      <c r="AH16" s="10"/>
      <c r="AI16" s="10"/>
    </row>
    <row r="17" spans="1:40" hidden="1" outlineLevel="1" x14ac:dyDescent="0.2">
      <c r="A17" s="6" t="s">
        <v>2</v>
      </c>
      <c r="B17" s="14" t="s">
        <v>1304</v>
      </c>
      <c r="M17" s="11"/>
      <c r="N17" s="1" t="s">
        <v>19</v>
      </c>
      <c r="O17" s="2" t="s">
        <v>682</v>
      </c>
      <c r="P17" s="2" t="s">
        <v>682</v>
      </c>
      <c r="Q17" s="2" t="s">
        <v>682</v>
      </c>
      <c r="R17" s="2" t="s">
        <v>682</v>
      </c>
      <c r="S17" s="2" t="s">
        <v>682</v>
      </c>
      <c r="T17" s="2" t="s">
        <v>682</v>
      </c>
      <c r="U17" s="2" t="s">
        <v>682</v>
      </c>
      <c r="V17" s="2" t="s">
        <v>682</v>
      </c>
      <c r="W17" s="2" t="s">
        <v>682</v>
      </c>
      <c r="X17" s="2" t="s">
        <v>682</v>
      </c>
      <c r="Y17" s="2" t="s">
        <v>682</v>
      </c>
      <c r="Z17" s="2" t="s">
        <v>682</v>
      </c>
      <c r="AA17" s="2" t="str">
        <f>Z17</f>
        <v>ACTUAL_CON</v>
      </c>
      <c r="AB17" s="10"/>
      <c r="AC17" s="10"/>
      <c r="AD17" s="2" t="str">
        <f>SetUp!$G$6</f>
        <v>BUDGET</v>
      </c>
      <c r="AE17" s="10"/>
      <c r="AF17" s="10"/>
      <c r="AG17" s="2" t="str">
        <f>SetUp!$J$6</f>
        <v>ACTUAL_CON</v>
      </c>
      <c r="AH17" s="10"/>
      <c r="AI17" s="10"/>
    </row>
    <row r="18" spans="1:40" hidden="1" outlineLevel="1" x14ac:dyDescent="0.2">
      <c r="A18" s="6" t="s">
        <v>3</v>
      </c>
      <c r="B18" s="14" t="s">
        <v>1305</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str">
        <f>IF(SetUp!$O$1=TRUE,"TRAILING12",IF(AD17="CURRENT","ROLLINGFORECAST","PERIODIC"))</f>
        <v>PERIODIC</v>
      </c>
      <c r="AE18" s="10"/>
      <c r="AF18" s="10"/>
      <c r="AG18" s="2" t="str">
        <f>IF(SetUp!$O$1=TRUE,"TRAILING12",IF(AG17="CURRENT","ROLLINGFORECAST","PERIODIC"))</f>
        <v>PERIODIC</v>
      </c>
      <c r="AH18" s="10"/>
      <c r="AI18" s="10"/>
    </row>
    <row r="19" spans="1:40" hidden="1" outlineLevel="1" x14ac:dyDescent="0.2">
      <c r="A19" s="6" t="s">
        <v>4</v>
      </c>
      <c r="B19" s="14" t="s">
        <v>1306</v>
      </c>
      <c r="G19" s="16" t="str">
        <f>$B$6</f>
        <v>D1136</v>
      </c>
      <c r="H19" s="16">
        <v>400000</v>
      </c>
      <c r="I19" s="17"/>
      <c r="J19" s="17"/>
      <c r="K19" s="16"/>
      <c r="L19" s="16"/>
      <c r="M19" s="16"/>
      <c r="N19" s="16" t="s">
        <v>1001</v>
      </c>
      <c r="O19" s="18">
        <v>0</v>
      </c>
      <c r="P19" s="18">
        <v>0</v>
      </c>
      <c r="Q19" s="18">
        <v>0</v>
      </c>
      <c r="R19" s="18">
        <v>0</v>
      </c>
      <c r="S19" s="18">
        <v>0</v>
      </c>
      <c r="T19" s="18">
        <v>0</v>
      </c>
      <c r="U19" s="18">
        <v>0</v>
      </c>
      <c r="V19" s="18">
        <v>0</v>
      </c>
      <c r="W19" s="18">
        <v>0</v>
      </c>
      <c r="X19" s="18">
        <v>0</v>
      </c>
      <c r="Y19" s="18">
        <v>0</v>
      </c>
      <c r="Z19" s="18">
        <v>0</v>
      </c>
      <c r="AA19" s="18">
        <f>SUM(O19:Z19)</f>
        <v>0</v>
      </c>
      <c r="AB19" s="16"/>
      <c r="AC19" s="16"/>
      <c r="AD19" s="18">
        <v>0</v>
      </c>
      <c r="AE19" s="16"/>
      <c r="AF19" s="16"/>
      <c r="AG19" s="18">
        <v>19.28</v>
      </c>
      <c r="AH19" s="16"/>
      <c r="AI19" s="16"/>
    </row>
    <row r="20" spans="1:40" hidden="1" outlineLevel="1" x14ac:dyDescent="0.2">
      <c r="A20" s="6" t="s">
        <v>5</v>
      </c>
      <c r="B20" s="7"/>
      <c r="G20" s="16" t="s">
        <v>749</v>
      </c>
      <c r="H20" s="16">
        <v>900200</v>
      </c>
      <c r="I20" s="17"/>
      <c r="J20" s="17"/>
      <c r="K20" s="16"/>
      <c r="L20" s="17"/>
      <c r="M20" s="17"/>
      <c r="N20" s="16" t="s">
        <v>1047</v>
      </c>
      <c r="O20" s="18">
        <v>3694</v>
      </c>
      <c r="P20" s="18">
        <v>3593</v>
      </c>
      <c r="Q20" s="18">
        <v>3831</v>
      </c>
      <c r="R20" s="18">
        <v>3720</v>
      </c>
      <c r="S20" s="18">
        <v>3473</v>
      </c>
      <c r="T20" s="18">
        <v>3105</v>
      </c>
      <c r="U20" s="18">
        <v>3034</v>
      </c>
      <c r="V20" s="18">
        <v>3033</v>
      </c>
      <c r="W20" s="18">
        <v>2632</v>
      </c>
      <c r="X20" s="18">
        <v>3186</v>
      </c>
      <c r="Y20" s="18">
        <v>3534</v>
      </c>
      <c r="Z20" s="18">
        <v>3635</v>
      </c>
      <c r="AA20" s="18">
        <f>SUM(O20:Z20)</f>
        <v>40470</v>
      </c>
      <c r="AB20" s="16"/>
      <c r="AC20" s="16"/>
      <c r="AD20" s="18">
        <v>40231</v>
      </c>
      <c r="AE20" s="16"/>
      <c r="AF20" s="16"/>
      <c r="AG20" s="18">
        <v>39886</v>
      </c>
      <c r="AH20" s="16"/>
      <c r="AI20" s="16"/>
    </row>
    <row r="21" spans="1:40" hidden="1" outlineLevel="1" x14ac:dyDescent="0.2">
      <c r="A21" s="6" t="s">
        <v>6</v>
      </c>
      <c r="B21" s="7"/>
      <c r="I21" s="1"/>
      <c r="J21" s="1"/>
    </row>
    <row r="22" spans="1:40" hidden="1" outlineLevel="1" x14ac:dyDescent="0.2">
      <c r="A22" s="6" t="s">
        <v>7</v>
      </c>
      <c r="B22" s="14" t="s">
        <v>1307</v>
      </c>
      <c r="I22" s="1"/>
      <c r="J22" s="1"/>
    </row>
    <row r="23" spans="1:40" hidden="1" outlineLevel="1" x14ac:dyDescent="0.2">
      <c r="A23" s="6" t="s">
        <v>47</v>
      </c>
      <c r="B23" s="14" t="s">
        <v>1308</v>
      </c>
      <c r="K23" s="53"/>
      <c r="L23" s="53"/>
      <c r="M23" s="53"/>
      <c r="AD23" s="136"/>
    </row>
    <row r="24" spans="1:40" hidden="1" outlineLevel="1" x14ac:dyDescent="0.2">
      <c r="A24" s="6" t="s">
        <v>8</v>
      </c>
      <c r="B24" s="7"/>
    </row>
    <row r="25" spans="1:40" collapsed="1" x14ac:dyDescent="0.2"/>
    <row r="26" spans="1:40" ht="23" x14ac:dyDescent="0.25">
      <c r="A26" s="3" t="s">
        <v>9</v>
      </c>
      <c r="B26" s="5" t="s">
        <v>10</v>
      </c>
      <c r="N26" s="61" t="s">
        <v>982</v>
      </c>
    </row>
    <row r="27" spans="1:40" ht="18" x14ac:dyDescent="0.2">
      <c r="A27" s="6" t="s">
        <v>11</v>
      </c>
      <c r="B27" s="7" t="s">
        <v>21</v>
      </c>
      <c r="N27" s="66" t="s">
        <v>1309</v>
      </c>
    </row>
    <row r="28" spans="1:40" ht="16" x14ac:dyDescent="0.2">
      <c r="A28" s="6" t="s">
        <v>12</v>
      </c>
      <c r="B28" s="7" t="s">
        <v>22</v>
      </c>
      <c r="N28" s="67" t="s">
        <v>1002</v>
      </c>
    </row>
    <row r="29" spans="1:40" ht="15" customHeight="1" x14ac:dyDescent="0.2">
      <c r="A29" s="6" t="s">
        <v>13</v>
      </c>
      <c r="B29" s="7" t="str">
        <f>"DEP(440000) AND "&amp;$E$6&amp;"=Y,400000"</f>
        <v>DEP(440000) AND D1136=Y,400000</v>
      </c>
      <c r="N29" s="67" t="s">
        <v>986</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748</v>
      </c>
      <c r="AK30" s="209"/>
      <c r="AL30" s="210"/>
      <c r="AM30" s="209" t="s">
        <v>750</v>
      </c>
      <c r="AN30" s="209"/>
    </row>
    <row r="31" spans="1:40" x14ac:dyDescent="0.2">
      <c r="A31" s="6" t="s">
        <v>15</v>
      </c>
      <c r="B31" s="7"/>
      <c r="G31" s="13"/>
      <c r="K31" s="11"/>
      <c r="L31" s="11"/>
      <c r="M31" s="11"/>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tr">
        <f>AA14</f>
        <v>TOTAL</v>
      </c>
      <c r="AB31" s="207"/>
      <c r="AD31" s="540" t="s">
        <v>987</v>
      </c>
      <c r="AE31" s="541"/>
      <c r="AF31" s="211" t="s">
        <v>631</v>
      </c>
      <c r="AG31" s="540" t="s">
        <v>1003</v>
      </c>
      <c r="AH31" s="541"/>
      <c r="AI31" s="211" t="s">
        <v>631</v>
      </c>
      <c r="AJ31" s="211">
        <v>2024</v>
      </c>
      <c r="AK31" s="238">
        <v>2024</v>
      </c>
      <c r="AL31" s="238">
        <v>2023</v>
      </c>
      <c r="AM31" s="211" t="str">
        <f>"vs "&amp;AK31</f>
        <v>vs 2024</v>
      </c>
      <c r="AN31" s="211" t="str">
        <f>"vs "&amp;AL31</f>
        <v>vs 2023</v>
      </c>
    </row>
    <row r="32" spans="1:40" s="232" customFormat="1" ht="30" customHeight="1" x14ac:dyDescent="0.2">
      <c r="A32" s="230" t="s">
        <v>16</v>
      </c>
      <c r="B32" s="231"/>
      <c r="G32" s="317"/>
      <c r="H32" s="233"/>
      <c r="I32" s="234"/>
      <c r="J32" s="234"/>
      <c r="K32" s="235" t="s">
        <v>117</v>
      </c>
      <c r="L32" s="235"/>
      <c r="M32" s="235"/>
      <c r="N32" s="236" t="s">
        <v>120</v>
      </c>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c r="AD32" s="237" t="s">
        <v>959</v>
      </c>
      <c r="AE32" s="238" t="s">
        <v>58</v>
      </c>
      <c r="AF32" s="237" t="s">
        <v>57</v>
      </c>
      <c r="AG32" s="237" t="s">
        <v>957</v>
      </c>
      <c r="AH32" s="238" t="s">
        <v>58</v>
      </c>
      <c r="AI32" s="237" t="s">
        <v>57</v>
      </c>
      <c r="AJ32" s="237" t="str">
        <f>Z32</f>
        <v>Actual</v>
      </c>
      <c r="AK32" s="238" t="str">
        <f>AD32</f>
        <v>Budget</v>
      </c>
      <c r="AL32" s="237" t="str">
        <f>AG32</f>
        <v>Actual</v>
      </c>
      <c r="AM32" s="211" t="s">
        <v>747</v>
      </c>
      <c r="AN32" s="211" t="s">
        <v>747</v>
      </c>
    </row>
    <row r="33" spans="1:40" x14ac:dyDescent="0.2">
      <c r="A33" s="6" t="s">
        <v>17</v>
      </c>
      <c r="B33" s="7"/>
      <c r="H33" s="1" t="s">
        <v>69</v>
      </c>
      <c r="I33" s="11" t="s">
        <v>1006</v>
      </c>
      <c r="J33" s="11" t="s">
        <v>78</v>
      </c>
      <c r="N33" s="37" t="s">
        <v>1013</v>
      </c>
      <c r="O33" s="38"/>
      <c r="P33" s="42"/>
      <c r="Q33" s="42"/>
      <c r="R33" s="42"/>
      <c r="S33" s="42"/>
      <c r="T33" s="42"/>
      <c r="U33" s="42"/>
      <c r="V33" s="42"/>
      <c r="W33" s="42"/>
      <c r="X33" s="42"/>
      <c r="Y33" s="42"/>
      <c r="Z33" s="42"/>
      <c r="AA33" s="42"/>
      <c r="AB33" s="39"/>
      <c r="AD33" s="38"/>
      <c r="AE33" s="42"/>
      <c r="AF33" s="39"/>
      <c r="AG33" s="38"/>
      <c r="AH33" s="42"/>
      <c r="AI33" s="39"/>
    </row>
    <row r="34" spans="1:40" x14ac:dyDescent="0.2">
      <c r="H34" s="10" t="s">
        <v>387</v>
      </c>
      <c r="I34" s="25" t="s">
        <v>1004</v>
      </c>
      <c r="J34" s="25" t="s">
        <v>1004</v>
      </c>
      <c r="K34" s="64" t="str">
        <f t="shared" ref="K34:K44" si="0">IF(AND(I34&gt;="T5"),"&gt;","")</f>
        <v/>
      </c>
      <c r="L34" s="24">
        <v>440100</v>
      </c>
      <c r="M34" s="24">
        <v>206036</v>
      </c>
      <c r="N34" s="24" t="s">
        <v>1310</v>
      </c>
      <c r="O34" s="19"/>
      <c r="P34" s="19"/>
      <c r="Q34" s="19"/>
      <c r="R34" s="19"/>
      <c r="S34" s="19"/>
      <c r="T34" s="19"/>
      <c r="U34" s="19"/>
      <c r="V34" s="19"/>
      <c r="W34" s="19"/>
      <c r="X34" s="19"/>
      <c r="Y34" s="19"/>
      <c r="Z34" s="19"/>
      <c r="AA34" s="283">
        <f t="shared" ref="AA34:AA44" si="1">IF($I34="B1","",SUM(O34:Z34))</f>
        <v>0</v>
      </c>
      <c r="AB34" s="15" t="str">
        <f t="shared" ref="AB34:AB44" si="2">IF(AA34=0,"",IFERROR(AA34/AA$19,""))</f>
        <v/>
      </c>
      <c r="AD34" s="19"/>
      <c r="AE34" s="15" t="str">
        <f t="shared" ref="AE34:AE44" si="3">IF(AD34=0,"",IFERROR(AD34/AD$19,""))</f>
        <v/>
      </c>
      <c r="AF34" s="47">
        <f t="shared" ref="AF34:AF44" si="4">IF(AND($AA34="",AD34=""),"",$AA34-AD34)</f>
        <v>0</v>
      </c>
      <c r="AG34" s="19"/>
      <c r="AH34" s="15" t="str">
        <f t="shared" ref="AH34:AH44" si="5">IF(AG34=0,"",IFERROR(AG34/AG$19,""))</f>
        <v/>
      </c>
      <c r="AI34" s="47">
        <f t="shared" ref="AI34:AI44" si="6">IF(AND($AA34="",AG34=""),"",$AA34-AG34)</f>
        <v>0</v>
      </c>
      <c r="AJ34" s="371">
        <f t="shared" ref="AJ34:AJ44" si="7">IFERROR(AA34/AA$20,0)</f>
        <v>0</v>
      </c>
      <c r="AK34" s="372">
        <f t="shared" ref="AK34:AK44" si="8">IFERROR(AD34/AD$20,0)</f>
        <v>0</v>
      </c>
      <c r="AL34" s="373">
        <f t="shared" ref="AL34:AL44" si="9">IFERROR(AG34/AG$20,0)</f>
        <v>0</v>
      </c>
      <c r="AM34" s="374">
        <f t="shared" ref="AM34:AM44" si="10">+IFERROR(ROUND(($AB34-AE34)*100,2)&amp;" pts.",0)</f>
        <v>0</v>
      </c>
      <c r="AN34" s="375">
        <f t="shared" ref="AN34:AN44" si="11">+IFERROR(ROUND(($AB34-AH34)*100,2)&amp;" pts.",0)</f>
        <v>0</v>
      </c>
    </row>
    <row r="35" spans="1:40" x14ac:dyDescent="0.2">
      <c r="A35" s="20" t="s">
        <v>92</v>
      </c>
      <c r="B35" s="21" t="s">
        <v>93</v>
      </c>
      <c r="C35" s="21" t="s">
        <v>94</v>
      </c>
      <c r="D35" s="21" t="s">
        <v>95</v>
      </c>
      <c r="E35" s="21" t="s">
        <v>96</v>
      </c>
      <c r="F35" s="22" t="s">
        <v>97</v>
      </c>
      <c r="H35" s="10" t="s">
        <v>388</v>
      </c>
      <c r="I35" s="25" t="s">
        <v>1004</v>
      </c>
      <c r="J35" s="25" t="s">
        <v>1004</v>
      </c>
      <c r="K35" s="64" t="str">
        <f t="shared" si="0"/>
        <v/>
      </c>
      <c r="L35" s="24">
        <v>440200</v>
      </c>
      <c r="M35" s="24">
        <v>206037</v>
      </c>
      <c r="N35" s="24" t="s">
        <v>1311</v>
      </c>
      <c r="O35" s="19"/>
      <c r="P35" s="19"/>
      <c r="Q35" s="19"/>
      <c r="R35" s="19"/>
      <c r="S35" s="19"/>
      <c r="T35" s="19"/>
      <c r="U35" s="19"/>
      <c r="V35" s="19"/>
      <c r="W35" s="19"/>
      <c r="X35" s="19"/>
      <c r="Y35" s="19"/>
      <c r="Z35" s="19"/>
      <c r="AA35" s="283">
        <f t="shared" si="1"/>
        <v>0</v>
      </c>
      <c r="AB35" s="15" t="str">
        <f t="shared" si="2"/>
        <v/>
      </c>
      <c r="AD35" s="19"/>
      <c r="AE35" s="15" t="str">
        <f t="shared" si="3"/>
        <v/>
      </c>
      <c r="AF35" s="47">
        <f t="shared" si="4"/>
        <v>0</v>
      </c>
      <c r="AG35" s="19">
        <v>19.28</v>
      </c>
      <c r="AH35" s="15">
        <f t="shared" si="5"/>
        <v>1</v>
      </c>
      <c r="AI35" s="47">
        <f t="shared" si="6"/>
        <v>-19.28</v>
      </c>
      <c r="AJ35" s="371">
        <f t="shared" si="7"/>
        <v>0</v>
      </c>
      <c r="AK35" s="372">
        <f t="shared" si="8"/>
        <v>0</v>
      </c>
      <c r="AL35" s="373">
        <f t="shared" si="9"/>
        <v>4.8337762623476912E-4</v>
      </c>
      <c r="AM35" s="374">
        <f t="shared" si="10"/>
        <v>0</v>
      </c>
      <c r="AN35" s="375">
        <f t="shared" si="11"/>
        <v>0</v>
      </c>
    </row>
    <row r="36" spans="1:40" x14ac:dyDescent="0.2">
      <c r="H36" s="10" t="s">
        <v>389</v>
      </c>
      <c r="I36" s="25" t="s">
        <v>1004</v>
      </c>
      <c r="J36" s="25" t="s">
        <v>1004</v>
      </c>
      <c r="K36" s="64" t="str">
        <f t="shared" si="0"/>
        <v/>
      </c>
      <c r="L36" s="24">
        <v>440300</v>
      </c>
      <c r="M36" s="24">
        <v>206038</v>
      </c>
      <c r="N36" s="24" t="s">
        <v>1312</v>
      </c>
      <c r="O36" s="19"/>
      <c r="P36" s="19"/>
      <c r="Q36" s="19"/>
      <c r="R36" s="19"/>
      <c r="S36" s="19"/>
      <c r="T36" s="19"/>
      <c r="U36" s="19"/>
      <c r="V36" s="19"/>
      <c r="W36" s="19"/>
      <c r="X36" s="19"/>
      <c r="Y36" s="19"/>
      <c r="Z36" s="19"/>
      <c r="AA36" s="283">
        <f t="shared" si="1"/>
        <v>0</v>
      </c>
      <c r="AB36" s="15" t="str">
        <f t="shared" si="2"/>
        <v/>
      </c>
      <c r="AD36" s="19"/>
      <c r="AE36" s="15" t="str">
        <f t="shared" si="3"/>
        <v/>
      </c>
      <c r="AF36" s="47">
        <f t="shared" si="4"/>
        <v>0</v>
      </c>
      <c r="AG36" s="19"/>
      <c r="AH36" s="15" t="str">
        <f t="shared" si="5"/>
        <v/>
      </c>
      <c r="AI36" s="47">
        <f t="shared" si="6"/>
        <v>0</v>
      </c>
      <c r="AJ36" s="371">
        <f t="shared" si="7"/>
        <v>0</v>
      </c>
      <c r="AK36" s="372">
        <f t="shared" si="8"/>
        <v>0</v>
      </c>
      <c r="AL36" s="373">
        <f t="shared" si="9"/>
        <v>0</v>
      </c>
      <c r="AM36" s="374">
        <f t="shared" si="10"/>
        <v>0</v>
      </c>
      <c r="AN36" s="375">
        <f t="shared" si="11"/>
        <v>0</v>
      </c>
    </row>
    <row r="37" spans="1:40" x14ac:dyDescent="0.2">
      <c r="A37" s="1" t="s">
        <v>105</v>
      </c>
      <c r="C37" s="24" t="s">
        <v>101</v>
      </c>
      <c r="D37" s="1" t="s">
        <v>106</v>
      </c>
      <c r="F37" s="1" t="s">
        <v>98</v>
      </c>
      <c r="H37" s="10" t="s">
        <v>390</v>
      </c>
      <c r="I37" s="25" t="s">
        <v>1004</v>
      </c>
      <c r="J37" s="25" t="s">
        <v>1004</v>
      </c>
      <c r="K37" s="64" t="str">
        <f t="shared" si="0"/>
        <v/>
      </c>
      <c r="L37" s="24">
        <v>440400</v>
      </c>
      <c r="M37" s="24">
        <v>206039</v>
      </c>
      <c r="N37" s="24" t="s">
        <v>1313</v>
      </c>
      <c r="O37" s="19"/>
      <c r="P37" s="19"/>
      <c r="Q37" s="19"/>
      <c r="R37" s="19"/>
      <c r="S37" s="19"/>
      <c r="T37" s="19"/>
      <c r="U37" s="19"/>
      <c r="V37" s="19"/>
      <c r="W37" s="19"/>
      <c r="X37" s="19"/>
      <c r="Y37" s="19"/>
      <c r="Z37" s="19"/>
      <c r="AA37" s="283">
        <f t="shared" si="1"/>
        <v>0</v>
      </c>
      <c r="AB37" s="15" t="str">
        <f t="shared" si="2"/>
        <v/>
      </c>
      <c r="AD37" s="19"/>
      <c r="AE37" s="15" t="str">
        <f t="shared" si="3"/>
        <v/>
      </c>
      <c r="AF37" s="47">
        <f t="shared" si="4"/>
        <v>0</v>
      </c>
      <c r="AG37" s="19"/>
      <c r="AH37" s="15" t="str">
        <f t="shared" si="5"/>
        <v/>
      </c>
      <c r="AI37" s="47">
        <f t="shared" si="6"/>
        <v>0</v>
      </c>
      <c r="AJ37" s="371">
        <f t="shared" si="7"/>
        <v>0</v>
      </c>
      <c r="AK37" s="372">
        <f t="shared" si="8"/>
        <v>0</v>
      </c>
      <c r="AL37" s="373">
        <f t="shared" si="9"/>
        <v>0</v>
      </c>
      <c r="AM37" s="374">
        <f t="shared" si="10"/>
        <v>0</v>
      </c>
      <c r="AN37" s="375">
        <f t="shared" si="11"/>
        <v>0</v>
      </c>
    </row>
    <row r="38" spans="1:40" x14ac:dyDescent="0.2">
      <c r="A38" s="1" t="s">
        <v>108</v>
      </c>
      <c r="C38" s="23" t="s">
        <v>101</v>
      </c>
      <c r="D38" s="1" t="s">
        <v>106</v>
      </c>
      <c r="F38" s="1" t="s">
        <v>98</v>
      </c>
      <c r="H38" s="10" t="s">
        <v>391</v>
      </c>
      <c r="I38" s="25" t="s">
        <v>1004</v>
      </c>
      <c r="J38" s="25" t="s">
        <v>1004</v>
      </c>
      <c r="K38" s="64" t="str">
        <f t="shared" si="0"/>
        <v/>
      </c>
      <c r="L38" s="24">
        <v>440500</v>
      </c>
      <c r="M38" s="24">
        <v>206041</v>
      </c>
      <c r="N38" s="24" t="s">
        <v>1314</v>
      </c>
      <c r="O38" s="19"/>
      <c r="P38" s="19"/>
      <c r="Q38" s="19"/>
      <c r="R38" s="19"/>
      <c r="S38" s="19"/>
      <c r="T38" s="19"/>
      <c r="U38" s="19"/>
      <c r="V38" s="19"/>
      <c r="W38" s="19"/>
      <c r="X38" s="19"/>
      <c r="Y38" s="19"/>
      <c r="Z38" s="19"/>
      <c r="AA38" s="283">
        <f t="shared" si="1"/>
        <v>0</v>
      </c>
      <c r="AB38" s="15" t="str">
        <f t="shared" si="2"/>
        <v/>
      </c>
      <c r="AD38" s="19"/>
      <c r="AE38" s="15" t="str">
        <f t="shared" si="3"/>
        <v/>
      </c>
      <c r="AF38" s="47">
        <f t="shared" si="4"/>
        <v>0</v>
      </c>
      <c r="AG38" s="19"/>
      <c r="AH38" s="15" t="str">
        <f t="shared" si="5"/>
        <v/>
      </c>
      <c r="AI38" s="47">
        <f t="shared" si="6"/>
        <v>0</v>
      </c>
      <c r="AJ38" s="371">
        <f t="shared" si="7"/>
        <v>0</v>
      </c>
      <c r="AK38" s="372">
        <f t="shared" si="8"/>
        <v>0</v>
      </c>
      <c r="AL38" s="373">
        <f t="shared" si="9"/>
        <v>0</v>
      </c>
      <c r="AM38" s="374">
        <f t="shared" si="10"/>
        <v>0</v>
      </c>
      <c r="AN38" s="375">
        <f t="shared" si="11"/>
        <v>0</v>
      </c>
    </row>
    <row r="39" spans="1:40" x14ac:dyDescent="0.2">
      <c r="A39" s="1" t="s">
        <v>108</v>
      </c>
      <c r="C39" s="135" t="s">
        <v>101</v>
      </c>
      <c r="D39" s="1" t="s">
        <v>107</v>
      </c>
      <c r="F39" s="1" t="s">
        <v>99</v>
      </c>
      <c r="H39" s="10" t="s">
        <v>392</v>
      </c>
      <c r="I39" s="25" t="s">
        <v>1004</v>
      </c>
      <c r="J39" s="25" t="s">
        <v>1004</v>
      </c>
      <c r="K39" s="64" t="str">
        <f t="shared" si="0"/>
        <v/>
      </c>
      <c r="L39" s="24">
        <v>440600</v>
      </c>
      <c r="M39" s="24">
        <v>206042</v>
      </c>
      <c r="N39" s="24" t="s">
        <v>1315</v>
      </c>
      <c r="O39" s="19"/>
      <c r="P39" s="19"/>
      <c r="Q39" s="19"/>
      <c r="R39" s="19"/>
      <c r="S39" s="19"/>
      <c r="T39" s="19"/>
      <c r="U39" s="19"/>
      <c r="V39" s="19"/>
      <c r="W39" s="19"/>
      <c r="X39" s="19"/>
      <c r="Y39" s="19"/>
      <c r="Z39" s="19"/>
      <c r="AA39" s="283">
        <f t="shared" si="1"/>
        <v>0</v>
      </c>
      <c r="AB39" s="15" t="str">
        <f t="shared" si="2"/>
        <v/>
      </c>
      <c r="AD39" s="19"/>
      <c r="AE39" s="15" t="str">
        <f t="shared" si="3"/>
        <v/>
      </c>
      <c r="AF39" s="47">
        <f t="shared" si="4"/>
        <v>0</v>
      </c>
      <c r="AG39" s="19"/>
      <c r="AH39" s="15" t="str">
        <f t="shared" si="5"/>
        <v/>
      </c>
      <c r="AI39" s="47">
        <f t="shared" si="6"/>
        <v>0</v>
      </c>
      <c r="AJ39" s="371">
        <f t="shared" si="7"/>
        <v>0</v>
      </c>
      <c r="AK39" s="372">
        <f t="shared" si="8"/>
        <v>0</v>
      </c>
      <c r="AL39" s="373">
        <f t="shared" si="9"/>
        <v>0</v>
      </c>
      <c r="AM39" s="374">
        <f t="shared" si="10"/>
        <v>0</v>
      </c>
      <c r="AN39" s="375">
        <f t="shared" si="11"/>
        <v>0</v>
      </c>
    </row>
    <row r="40" spans="1:40" x14ac:dyDescent="0.2">
      <c r="H40" s="10" t="s">
        <v>393</v>
      </c>
      <c r="I40" s="25" t="s">
        <v>1004</v>
      </c>
      <c r="J40" s="25" t="s">
        <v>1004</v>
      </c>
      <c r="K40" s="64" t="str">
        <f t="shared" si="0"/>
        <v/>
      </c>
      <c r="L40" s="24">
        <v>440700</v>
      </c>
      <c r="M40" s="24">
        <v>206043</v>
      </c>
      <c r="N40" s="24" t="s">
        <v>1316</v>
      </c>
      <c r="O40" s="19"/>
      <c r="P40" s="19"/>
      <c r="Q40" s="19"/>
      <c r="R40" s="19"/>
      <c r="S40" s="19"/>
      <c r="T40" s="19"/>
      <c r="U40" s="19"/>
      <c r="V40" s="19"/>
      <c r="W40" s="19"/>
      <c r="X40" s="19"/>
      <c r="Y40" s="19"/>
      <c r="Z40" s="19"/>
      <c r="AA40" s="283">
        <f t="shared" si="1"/>
        <v>0</v>
      </c>
      <c r="AB40" s="15" t="str">
        <f t="shared" si="2"/>
        <v/>
      </c>
      <c r="AD40" s="19"/>
      <c r="AE40" s="15" t="str">
        <f t="shared" si="3"/>
        <v/>
      </c>
      <c r="AF40" s="47">
        <f t="shared" si="4"/>
        <v>0</v>
      </c>
      <c r="AG40" s="19"/>
      <c r="AH40" s="15" t="str">
        <f t="shared" si="5"/>
        <v/>
      </c>
      <c r="AI40" s="47">
        <f t="shared" si="6"/>
        <v>0</v>
      </c>
      <c r="AJ40" s="371">
        <f t="shared" si="7"/>
        <v>0</v>
      </c>
      <c r="AK40" s="372">
        <f t="shared" si="8"/>
        <v>0</v>
      </c>
      <c r="AL40" s="373">
        <f t="shared" si="9"/>
        <v>0</v>
      </c>
      <c r="AM40" s="374">
        <f t="shared" si="10"/>
        <v>0</v>
      </c>
      <c r="AN40" s="375">
        <f t="shared" si="11"/>
        <v>0</v>
      </c>
    </row>
    <row r="41" spans="1:40" x14ac:dyDescent="0.2">
      <c r="H41" s="10" t="s">
        <v>394</v>
      </c>
      <c r="I41" s="25" t="s">
        <v>1004</v>
      </c>
      <c r="J41" s="25" t="s">
        <v>1004</v>
      </c>
      <c r="K41" s="64" t="str">
        <f t="shared" si="0"/>
        <v/>
      </c>
      <c r="L41" s="24">
        <v>440800</v>
      </c>
      <c r="M41" s="24">
        <v>206044</v>
      </c>
      <c r="N41" s="24" t="s">
        <v>1317</v>
      </c>
      <c r="O41" s="19"/>
      <c r="P41" s="19"/>
      <c r="Q41" s="19"/>
      <c r="R41" s="19"/>
      <c r="S41" s="19"/>
      <c r="T41" s="19"/>
      <c r="U41" s="19"/>
      <c r="V41" s="19"/>
      <c r="W41" s="19"/>
      <c r="X41" s="19"/>
      <c r="Y41" s="19"/>
      <c r="Z41" s="19"/>
      <c r="AA41" s="283">
        <f t="shared" si="1"/>
        <v>0</v>
      </c>
      <c r="AB41" s="15" t="str">
        <f t="shared" si="2"/>
        <v/>
      </c>
      <c r="AD41" s="19"/>
      <c r="AE41" s="15" t="str">
        <f t="shared" si="3"/>
        <v/>
      </c>
      <c r="AF41" s="47">
        <f t="shared" si="4"/>
        <v>0</v>
      </c>
      <c r="AG41" s="19"/>
      <c r="AH41" s="15" t="str">
        <f t="shared" si="5"/>
        <v/>
      </c>
      <c r="AI41" s="47">
        <f t="shared" si="6"/>
        <v>0</v>
      </c>
      <c r="AJ41" s="371">
        <f t="shared" si="7"/>
        <v>0</v>
      </c>
      <c r="AK41" s="372">
        <f t="shared" si="8"/>
        <v>0</v>
      </c>
      <c r="AL41" s="373">
        <f t="shared" si="9"/>
        <v>0</v>
      </c>
      <c r="AM41" s="374">
        <f t="shared" si="10"/>
        <v>0</v>
      </c>
      <c r="AN41" s="375">
        <f t="shared" si="11"/>
        <v>0</v>
      </c>
    </row>
    <row r="42" spans="1:40" x14ac:dyDescent="0.2">
      <c r="A42" s="4" t="s">
        <v>989</v>
      </c>
      <c r="H42" s="10" t="s">
        <v>395</v>
      </c>
      <c r="I42" s="25" t="s">
        <v>1004</v>
      </c>
      <c r="J42" s="25" t="s">
        <v>1004</v>
      </c>
      <c r="K42" s="64" t="str">
        <f t="shared" si="0"/>
        <v/>
      </c>
      <c r="L42" s="24">
        <v>440900</v>
      </c>
      <c r="M42" s="24">
        <v>206021</v>
      </c>
      <c r="N42" s="24" t="s">
        <v>1318</v>
      </c>
      <c r="O42" s="19"/>
      <c r="P42" s="19"/>
      <c r="Q42" s="19"/>
      <c r="R42" s="19"/>
      <c r="S42" s="19"/>
      <c r="T42" s="19"/>
      <c r="U42" s="19"/>
      <c r="V42" s="19"/>
      <c r="W42" s="19"/>
      <c r="X42" s="19"/>
      <c r="Y42" s="19"/>
      <c r="Z42" s="19"/>
      <c r="AA42" s="283">
        <f t="shared" si="1"/>
        <v>0</v>
      </c>
      <c r="AB42" s="15" t="str">
        <f t="shared" si="2"/>
        <v/>
      </c>
      <c r="AD42" s="19"/>
      <c r="AE42" s="15" t="str">
        <f t="shared" si="3"/>
        <v/>
      </c>
      <c r="AF42" s="47">
        <f t="shared" si="4"/>
        <v>0</v>
      </c>
      <c r="AG42" s="19"/>
      <c r="AH42" s="15" t="str">
        <f t="shared" si="5"/>
        <v/>
      </c>
      <c r="AI42" s="47">
        <f t="shared" si="6"/>
        <v>0</v>
      </c>
      <c r="AJ42" s="371">
        <f t="shared" si="7"/>
        <v>0</v>
      </c>
      <c r="AK42" s="372">
        <f t="shared" si="8"/>
        <v>0</v>
      </c>
      <c r="AL42" s="373">
        <f t="shared" si="9"/>
        <v>0</v>
      </c>
      <c r="AM42" s="374">
        <f t="shared" si="10"/>
        <v>0</v>
      </c>
      <c r="AN42" s="375">
        <f t="shared" si="11"/>
        <v>0</v>
      </c>
    </row>
    <row r="43" spans="1:40" x14ac:dyDescent="0.2">
      <c r="H43" s="10" t="s">
        <v>396</v>
      </c>
      <c r="I43" s="25" t="s">
        <v>1004</v>
      </c>
      <c r="J43" s="25" t="s">
        <v>1004</v>
      </c>
      <c r="K43" s="64" t="str">
        <f t="shared" si="0"/>
        <v/>
      </c>
      <c r="L43" s="24">
        <v>440990</v>
      </c>
      <c r="M43" s="24" t="s">
        <v>1319</v>
      </c>
      <c r="N43" s="24" t="s">
        <v>1320</v>
      </c>
      <c r="O43" s="28"/>
      <c r="P43" s="28"/>
      <c r="Q43" s="28"/>
      <c r="R43" s="28"/>
      <c r="S43" s="28"/>
      <c r="T43" s="28"/>
      <c r="U43" s="28"/>
      <c r="V43" s="28"/>
      <c r="W43" s="28"/>
      <c r="X43" s="28"/>
      <c r="Y43" s="28"/>
      <c r="Z43" s="28"/>
      <c r="AA43" s="296">
        <f t="shared" si="1"/>
        <v>0</v>
      </c>
      <c r="AB43" s="29" t="str">
        <f t="shared" si="2"/>
        <v/>
      </c>
      <c r="AD43" s="28"/>
      <c r="AE43" s="29" t="str">
        <f t="shared" si="3"/>
        <v/>
      </c>
      <c r="AF43" s="48">
        <f t="shared" si="4"/>
        <v>0</v>
      </c>
      <c r="AG43" s="28"/>
      <c r="AH43" s="29" t="str">
        <f t="shared" si="5"/>
        <v/>
      </c>
      <c r="AI43" s="48">
        <f t="shared" si="6"/>
        <v>0</v>
      </c>
      <c r="AJ43" s="381">
        <f t="shared" si="7"/>
        <v>0</v>
      </c>
      <c r="AK43" s="382">
        <f t="shared" si="8"/>
        <v>0</v>
      </c>
      <c r="AL43" s="383">
        <f t="shared" si="9"/>
        <v>0</v>
      </c>
      <c r="AM43" s="384">
        <f t="shared" si="10"/>
        <v>0</v>
      </c>
      <c r="AN43" s="385">
        <f t="shared" si="11"/>
        <v>0</v>
      </c>
    </row>
    <row r="44" spans="1:40" x14ac:dyDescent="0.2">
      <c r="A44" s="3" t="s">
        <v>0</v>
      </c>
      <c r="B44" s="5" t="s">
        <v>1</v>
      </c>
      <c r="H44" s="10" t="s">
        <v>280</v>
      </c>
      <c r="I44" s="447" t="s">
        <v>1007</v>
      </c>
      <c r="J44" s="447" t="s">
        <v>78</v>
      </c>
      <c r="K44" s="448" t="str">
        <f t="shared" si="0"/>
        <v/>
      </c>
      <c r="L44" s="151">
        <v>400000</v>
      </c>
      <c r="M44" s="151"/>
      <c r="N44" s="151" t="s">
        <v>1001</v>
      </c>
      <c r="O44" s="120"/>
      <c r="P44" s="120"/>
      <c r="Q44" s="120"/>
      <c r="R44" s="120"/>
      <c r="S44" s="120"/>
      <c r="T44" s="120"/>
      <c r="U44" s="120"/>
      <c r="V44" s="120"/>
      <c r="W44" s="120"/>
      <c r="X44" s="120"/>
      <c r="Y44" s="120"/>
      <c r="Z44" s="120"/>
      <c r="AA44" s="120">
        <f t="shared" si="1"/>
        <v>0</v>
      </c>
      <c r="AB44" s="121" t="str">
        <f t="shared" si="2"/>
        <v/>
      </c>
      <c r="AC44" s="123"/>
      <c r="AD44" s="120"/>
      <c r="AE44" s="121" t="str">
        <f t="shared" si="3"/>
        <v/>
      </c>
      <c r="AF44" s="122">
        <f t="shared" si="4"/>
        <v>0</v>
      </c>
      <c r="AG44" s="120">
        <v>19.28</v>
      </c>
      <c r="AH44" s="121">
        <f t="shared" si="5"/>
        <v>1</v>
      </c>
      <c r="AI44" s="122">
        <f t="shared" si="6"/>
        <v>-19.28</v>
      </c>
      <c r="AJ44" s="332">
        <f t="shared" si="7"/>
        <v>0</v>
      </c>
      <c r="AK44" s="333">
        <f t="shared" si="8"/>
        <v>0</v>
      </c>
      <c r="AL44" s="335">
        <f t="shared" si="9"/>
        <v>4.8337762623476912E-4</v>
      </c>
      <c r="AM44" s="377">
        <f t="shared" si="10"/>
        <v>0</v>
      </c>
      <c r="AN44" s="378">
        <f t="shared" si="11"/>
        <v>0</v>
      </c>
    </row>
    <row r="45" spans="1:40" x14ac:dyDescent="0.2">
      <c r="A45" s="6" t="s">
        <v>2</v>
      </c>
      <c r="B45" s="14" t="s">
        <v>1304</v>
      </c>
      <c r="O45" s="50"/>
      <c r="AB45" s="51"/>
      <c r="AD45" s="50"/>
      <c r="AF45" s="51"/>
      <c r="AG45" s="50"/>
      <c r="AI45" s="51"/>
    </row>
    <row r="46" spans="1:40" x14ac:dyDescent="0.2">
      <c r="A46" s="6" t="s">
        <v>3</v>
      </c>
      <c r="B46" s="14" t="s">
        <v>1305</v>
      </c>
      <c r="H46" s="1" t="s">
        <v>281</v>
      </c>
      <c r="I46" s="11" t="s">
        <v>1006</v>
      </c>
      <c r="J46" s="11" t="s">
        <v>78</v>
      </c>
      <c r="N46" s="37" t="s">
        <v>1210</v>
      </c>
      <c r="O46" s="50"/>
      <c r="AB46" s="51"/>
      <c r="AD46" s="50"/>
      <c r="AF46" s="51"/>
      <c r="AG46" s="50"/>
      <c r="AI46" s="51"/>
    </row>
    <row r="47" spans="1:40" x14ac:dyDescent="0.2">
      <c r="A47" s="6" t="s">
        <v>4</v>
      </c>
      <c r="B47" s="14" t="s">
        <v>1321</v>
      </c>
      <c r="H47" s="10" t="s">
        <v>397</v>
      </c>
      <c r="I47" s="25" t="s">
        <v>1004</v>
      </c>
      <c r="J47" s="25" t="s">
        <v>1004</v>
      </c>
      <c r="K47" s="64" t="str">
        <f t="shared" ref="K47:K58" si="12">IF(AND(I47&gt;="T5"),"&gt;","")</f>
        <v/>
      </c>
      <c r="L47" s="24">
        <v>540100</v>
      </c>
      <c r="M47" s="24">
        <v>306036</v>
      </c>
      <c r="N47" s="24" t="s">
        <v>1323</v>
      </c>
      <c r="O47" s="28"/>
      <c r="P47" s="28"/>
      <c r="Q47" s="28"/>
      <c r="R47" s="28"/>
      <c r="S47" s="28"/>
      <c r="T47" s="28"/>
      <c r="U47" s="28"/>
      <c r="V47" s="28"/>
      <c r="W47" s="28"/>
      <c r="X47" s="28"/>
      <c r="Y47" s="28"/>
      <c r="Z47" s="28"/>
      <c r="AA47" s="28">
        <f t="shared" ref="AA47:AA56" si="13">IF($I47="B1","",SUM(O47:Z47))</f>
        <v>0</v>
      </c>
      <c r="AB47" s="29"/>
      <c r="AD47" s="28"/>
      <c r="AE47" s="29"/>
      <c r="AF47" s="48">
        <f t="shared" ref="AF47:AF58" si="14">IF(AND($AA47="",AD47=""),"",$AA47-AD47)</f>
        <v>0</v>
      </c>
      <c r="AG47" s="28"/>
      <c r="AH47" s="29"/>
      <c r="AI47" s="48">
        <f t="shared" ref="AI47:AI58" si="15">IF(AND($AA47="",AG47=""),"",$AA47-AG47)</f>
        <v>0</v>
      </c>
      <c r="AJ47" s="371">
        <f t="shared" ref="AJ47:AJ56" si="16">IFERROR(AA47/AA$20,0)</f>
        <v>0</v>
      </c>
      <c r="AK47" s="372">
        <f t="shared" ref="AK47:AK56" si="17">IFERROR(AD47/AD$20,0)</f>
        <v>0</v>
      </c>
      <c r="AL47" s="373">
        <f t="shared" ref="AL47:AL56" si="18">IFERROR(AG47/AG$20,0)</f>
        <v>0</v>
      </c>
      <c r="AM47" s="374" t="str">
        <f t="shared" ref="AM47:AM56" si="19">+IFERROR(ROUND(($AB47-AE47)*100,2)&amp;" pts.",0)</f>
        <v>0 pts.</v>
      </c>
      <c r="AN47" s="375" t="str">
        <f t="shared" ref="AN47:AN56" si="20">+IFERROR(ROUND(($AB47-AH47)*100,2)&amp;" pts.",0)</f>
        <v>0 pts.</v>
      </c>
    </row>
    <row r="48" spans="1:40" x14ac:dyDescent="0.2">
      <c r="A48" s="6" t="s">
        <v>5</v>
      </c>
      <c r="B48" s="7"/>
      <c r="F48" s="136"/>
      <c r="H48" s="10" t="s">
        <v>398</v>
      </c>
      <c r="I48" s="25" t="s">
        <v>1004</v>
      </c>
      <c r="J48" s="25" t="s">
        <v>1004</v>
      </c>
      <c r="K48" s="64" t="str">
        <f t="shared" si="12"/>
        <v/>
      </c>
      <c r="L48" s="24">
        <v>540200</v>
      </c>
      <c r="M48" s="24">
        <v>306037</v>
      </c>
      <c r="N48" s="24" t="s">
        <v>1324</v>
      </c>
      <c r="O48" s="28"/>
      <c r="P48" s="28"/>
      <c r="Q48" s="28"/>
      <c r="R48" s="28"/>
      <c r="S48" s="28"/>
      <c r="T48" s="28"/>
      <c r="U48" s="28"/>
      <c r="V48" s="28"/>
      <c r="W48" s="28"/>
      <c r="X48" s="28"/>
      <c r="Y48" s="28"/>
      <c r="Z48" s="28"/>
      <c r="AA48" s="28">
        <f t="shared" si="13"/>
        <v>0</v>
      </c>
      <c r="AB48" s="29"/>
      <c r="AD48" s="28"/>
      <c r="AE48" s="29"/>
      <c r="AF48" s="48">
        <f t="shared" si="14"/>
        <v>0</v>
      </c>
      <c r="AG48" s="28"/>
      <c r="AH48" s="29"/>
      <c r="AI48" s="48">
        <f t="shared" si="15"/>
        <v>0</v>
      </c>
      <c r="AJ48" s="371">
        <f t="shared" si="16"/>
        <v>0</v>
      </c>
      <c r="AK48" s="372">
        <f t="shared" si="17"/>
        <v>0</v>
      </c>
      <c r="AL48" s="373">
        <f t="shared" si="18"/>
        <v>0</v>
      </c>
      <c r="AM48" s="374" t="str">
        <f t="shared" si="19"/>
        <v>0 pts.</v>
      </c>
      <c r="AN48" s="375" t="str">
        <f t="shared" si="20"/>
        <v>0 pts.</v>
      </c>
    </row>
    <row r="49" spans="1:40" x14ac:dyDescent="0.2">
      <c r="A49" s="6" t="s">
        <v>6</v>
      </c>
      <c r="B49" s="7"/>
      <c r="F49" s="136"/>
      <c r="H49" s="10" t="s">
        <v>399</v>
      </c>
      <c r="I49" s="25" t="s">
        <v>1004</v>
      </c>
      <c r="J49" s="25" t="s">
        <v>1004</v>
      </c>
      <c r="K49" s="64" t="str">
        <f t="shared" si="12"/>
        <v/>
      </c>
      <c r="L49" s="24">
        <v>540300</v>
      </c>
      <c r="M49" s="24">
        <v>306038</v>
      </c>
      <c r="N49" s="24" t="s">
        <v>1325</v>
      </c>
      <c r="O49" s="28"/>
      <c r="P49" s="28"/>
      <c r="Q49" s="28"/>
      <c r="R49" s="28"/>
      <c r="S49" s="28"/>
      <c r="T49" s="28"/>
      <c r="U49" s="28"/>
      <c r="V49" s="28"/>
      <c r="W49" s="28"/>
      <c r="X49" s="28"/>
      <c r="Y49" s="28"/>
      <c r="Z49" s="28"/>
      <c r="AA49" s="28">
        <f t="shared" si="13"/>
        <v>0</v>
      </c>
      <c r="AB49" s="29"/>
      <c r="AD49" s="28"/>
      <c r="AE49" s="29"/>
      <c r="AF49" s="48">
        <f t="shared" si="14"/>
        <v>0</v>
      </c>
      <c r="AG49" s="28"/>
      <c r="AH49" s="29"/>
      <c r="AI49" s="48">
        <f t="shared" si="15"/>
        <v>0</v>
      </c>
      <c r="AJ49" s="371">
        <f t="shared" si="16"/>
        <v>0</v>
      </c>
      <c r="AK49" s="372">
        <f t="shared" si="17"/>
        <v>0</v>
      </c>
      <c r="AL49" s="373">
        <f t="shared" si="18"/>
        <v>0</v>
      </c>
      <c r="AM49" s="374" t="str">
        <f t="shared" si="19"/>
        <v>0 pts.</v>
      </c>
      <c r="AN49" s="375" t="str">
        <f t="shared" si="20"/>
        <v>0 pts.</v>
      </c>
    </row>
    <row r="50" spans="1:40" x14ac:dyDescent="0.2">
      <c r="A50" s="6" t="s">
        <v>7</v>
      </c>
      <c r="B50" s="14" t="s">
        <v>1322</v>
      </c>
      <c r="F50" s="136"/>
      <c r="H50" s="10" t="s">
        <v>400</v>
      </c>
      <c r="I50" s="25" t="s">
        <v>1004</v>
      </c>
      <c r="J50" s="25" t="s">
        <v>1004</v>
      </c>
      <c r="K50" s="64" t="str">
        <f t="shared" si="12"/>
        <v/>
      </c>
      <c r="L50" s="24">
        <v>540400</v>
      </c>
      <c r="M50" s="24">
        <v>306039</v>
      </c>
      <c r="N50" s="24" t="s">
        <v>1326</v>
      </c>
      <c r="O50" s="28"/>
      <c r="P50" s="28"/>
      <c r="Q50" s="28"/>
      <c r="R50" s="28"/>
      <c r="S50" s="28"/>
      <c r="T50" s="28"/>
      <c r="U50" s="28"/>
      <c r="V50" s="28"/>
      <c r="W50" s="28"/>
      <c r="X50" s="28"/>
      <c r="Y50" s="28"/>
      <c r="Z50" s="28"/>
      <c r="AA50" s="28">
        <f t="shared" si="13"/>
        <v>0</v>
      </c>
      <c r="AB50" s="29"/>
      <c r="AD50" s="28"/>
      <c r="AE50" s="29"/>
      <c r="AF50" s="48">
        <f t="shared" si="14"/>
        <v>0</v>
      </c>
      <c r="AG50" s="28"/>
      <c r="AH50" s="29"/>
      <c r="AI50" s="48">
        <f t="shared" si="15"/>
        <v>0</v>
      </c>
      <c r="AJ50" s="371">
        <f t="shared" si="16"/>
        <v>0</v>
      </c>
      <c r="AK50" s="372">
        <f t="shared" si="17"/>
        <v>0</v>
      </c>
      <c r="AL50" s="373">
        <f t="shared" si="18"/>
        <v>0</v>
      </c>
      <c r="AM50" s="374" t="str">
        <f t="shared" si="19"/>
        <v>0 pts.</v>
      </c>
      <c r="AN50" s="375" t="str">
        <f t="shared" si="20"/>
        <v>0 pts.</v>
      </c>
    </row>
    <row r="51" spans="1:40" x14ac:dyDescent="0.2">
      <c r="A51" s="6" t="s">
        <v>47</v>
      </c>
      <c r="B51" s="14" t="s">
        <v>1308</v>
      </c>
      <c r="H51" s="10" t="s">
        <v>401</v>
      </c>
      <c r="I51" s="25" t="s">
        <v>1004</v>
      </c>
      <c r="J51" s="25" t="s">
        <v>1004</v>
      </c>
      <c r="K51" s="64" t="str">
        <f t="shared" si="12"/>
        <v/>
      </c>
      <c r="L51" s="24">
        <v>540500</v>
      </c>
      <c r="M51" s="24">
        <v>306055</v>
      </c>
      <c r="N51" s="24" t="s">
        <v>1327</v>
      </c>
      <c r="O51" s="28"/>
      <c r="P51" s="28"/>
      <c r="Q51" s="28"/>
      <c r="R51" s="28"/>
      <c r="S51" s="28"/>
      <c r="T51" s="28"/>
      <c r="U51" s="28"/>
      <c r="V51" s="28"/>
      <c r="W51" s="28"/>
      <c r="X51" s="28"/>
      <c r="Y51" s="28"/>
      <c r="Z51" s="28"/>
      <c r="AA51" s="28">
        <f t="shared" si="13"/>
        <v>0</v>
      </c>
      <c r="AB51" s="29"/>
      <c r="AD51" s="28"/>
      <c r="AE51" s="29"/>
      <c r="AF51" s="48">
        <f t="shared" si="14"/>
        <v>0</v>
      </c>
      <c r="AG51" s="28"/>
      <c r="AH51" s="29"/>
      <c r="AI51" s="48">
        <f t="shared" si="15"/>
        <v>0</v>
      </c>
      <c r="AJ51" s="371">
        <f t="shared" si="16"/>
        <v>0</v>
      </c>
      <c r="AK51" s="372">
        <f t="shared" si="17"/>
        <v>0</v>
      </c>
      <c r="AL51" s="373">
        <f t="shared" si="18"/>
        <v>0</v>
      </c>
      <c r="AM51" s="374" t="str">
        <f t="shared" si="19"/>
        <v>0 pts.</v>
      </c>
      <c r="AN51" s="375" t="str">
        <f t="shared" si="20"/>
        <v>0 pts.</v>
      </c>
    </row>
    <row r="52" spans="1:40" x14ac:dyDescent="0.2">
      <c r="A52" s="6" t="s">
        <v>8</v>
      </c>
      <c r="B52" s="7"/>
      <c r="H52" s="10" t="s">
        <v>402</v>
      </c>
      <c r="I52" s="25" t="s">
        <v>1004</v>
      </c>
      <c r="J52" s="25" t="s">
        <v>1004</v>
      </c>
      <c r="K52" s="64" t="str">
        <f t="shared" si="12"/>
        <v/>
      </c>
      <c r="L52" s="24">
        <v>540600</v>
      </c>
      <c r="M52" s="24">
        <v>306055</v>
      </c>
      <c r="N52" s="24" t="s">
        <v>1328</v>
      </c>
      <c r="O52" s="28"/>
      <c r="P52" s="28"/>
      <c r="Q52" s="28"/>
      <c r="R52" s="28"/>
      <c r="S52" s="28"/>
      <c r="T52" s="28"/>
      <c r="U52" s="28"/>
      <c r="V52" s="28"/>
      <c r="W52" s="28"/>
      <c r="X52" s="28"/>
      <c r="Y52" s="28"/>
      <c r="Z52" s="28"/>
      <c r="AA52" s="28">
        <f t="shared" si="13"/>
        <v>0</v>
      </c>
      <c r="AB52" s="29"/>
      <c r="AD52" s="28"/>
      <c r="AE52" s="29"/>
      <c r="AF52" s="48">
        <f t="shared" si="14"/>
        <v>0</v>
      </c>
      <c r="AG52" s="28"/>
      <c r="AH52" s="29"/>
      <c r="AI52" s="48">
        <f t="shared" si="15"/>
        <v>0</v>
      </c>
      <c r="AJ52" s="371">
        <f t="shared" si="16"/>
        <v>0</v>
      </c>
      <c r="AK52" s="372">
        <f t="shared" si="17"/>
        <v>0</v>
      </c>
      <c r="AL52" s="373">
        <f t="shared" si="18"/>
        <v>0</v>
      </c>
      <c r="AM52" s="374" t="str">
        <f t="shared" si="19"/>
        <v>0 pts.</v>
      </c>
      <c r="AN52" s="375" t="str">
        <f t="shared" si="20"/>
        <v>0 pts.</v>
      </c>
    </row>
    <row r="53" spans="1:40" x14ac:dyDescent="0.2">
      <c r="H53" s="10" t="s">
        <v>403</v>
      </c>
      <c r="I53" s="25" t="s">
        <v>1004</v>
      </c>
      <c r="J53" s="25" t="s">
        <v>1004</v>
      </c>
      <c r="K53" s="64" t="str">
        <f t="shared" si="12"/>
        <v/>
      </c>
      <c r="L53" s="24">
        <v>540700</v>
      </c>
      <c r="M53" s="24">
        <v>306055</v>
      </c>
      <c r="N53" s="24" t="s">
        <v>1329</v>
      </c>
      <c r="O53" s="28"/>
      <c r="P53" s="28"/>
      <c r="Q53" s="28"/>
      <c r="R53" s="28"/>
      <c r="S53" s="28"/>
      <c r="T53" s="28"/>
      <c r="U53" s="28"/>
      <c r="V53" s="28"/>
      <c r="W53" s="28"/>
      <c r="X53" s="28"/>
      <c r="Y53" s="28"/>
      <c r="Z53" s="28"/>
      <c r="AA53" s="28">
        <f t="shared" si="13"/>
        <v>0</v>
      </c>
      <c r="AB53" s="29"/>
      <c r="AD53" s="28"/>
      <c r="AE53" s="29"/>
      <c r="AF53" s="48">
        <f t="shared" si="14"/>
        <v>0</v>
      </c>
      <c r="AG53" s="28"/>
      <c r="AH53" s="29"/>
      <c r="AI53" s="48">
        <f t="shared" si="15"/>
        <v>0</v>
      </c>
      <c r="AJ53" s="371">
        <f t="shared" si="16"/>
        <v>0</v>
      </c>
      <c r="AK53" s="372">
        <f t="shared" si="17"/>
        <v>0</v>
      </c>
      <c r="AL53" s="373">
        <f t="shared" si="18"/>
        <v>0</v>
      </c>
      <c r="AM53" s="374" t="str">
        <f t="shared" si="19"/>
        <v>0 pts.</v>
      </c>
      <c r="AN53" s="375" t="str">
        <f t="shared" si="20"/>
        <v>0 pts.</v>
      </c>
    </row>
    <row r="54" spans="1:40" x14ac:dyDescent="0.2">
      <c r="A54" s="3" t="s">
        <v>9</v>
      </c>
      <c r="B54" s="5" t="s">
        <v>10</v>
      </c>
      <c r="H54" s="10" t="s">
        <v>404</v>
      </c>
      <c r="I54" s="25" t="s">
        <v>1004</v>
      </c>
      <c r="J54" s="25" t="s">
        <v>1004</v>
      </c>
      <c r="K54" s="64" t="str">
        <f t="shared" si="12"/>
        <v/>
      </c>
      <c r="L54" s="24">
        <v>540800</v>
      </c>
      <c r="M54" s="24">
        <v>304044</v>
      </c>
      <c r="N54" s="24" t="s">
        <v>1330</v>
      </c>
      <c r="O54" s="28"/>
      <c r="P54" s="28"/>
      <c r="Q54" s="28"/>
      <c r="R54" s="28"/>
      <c r="S54" s="28"/>
      <c r="T54" s="28"/>
      <c r="U54" s="28"/>
      <c r="V54" s="28"/>
      <c r="W54" s="28"/>
      <c r="X54" s="28"/>
      <c r="Y54" s="28"/>
      <c r="Z54" s="28"/>
      <c r="AA54" s="28">
        <f t="shared" si="13"/>
        <v>0</v>
      </c>
      <c r="AB54" s="29"/>
      <c r="AD54" s="28"/>
      <c r="AE54" s="29"/>
      <c r="AF54" s="48">
        <f t="shared" si="14"/>
        <v>0</v>
      </c>
      <c r="AG54" s="28"/>
      <c r="AH54" s="29"/>
      <c r="AI54" s="48">
        <f t="shared" si="15"/>
        <v>0</v>
      </c>
      <c r="AJ54" s="371">
        <f t="shared" si="16"/>
        <v>0</v>
      </c>
      <c r="AK54" s="372">
        <f t="shared" si="17"/>
        <v>0</v>
      </c>
      <c r="AL54" s="373">
        <f t="shared" si="18"/>
        <v>0</v>
      </c>
      <c r="AM54" s="374" t="str">
        <f t="shared" si="19"/>
        <v>0 pts.</v>
      </c>
      <c r="AN54" s="375" t="str">
        <f t="shared" si="20"/>
        <v>0 pts.</v>
      </c>
    </row>
    <row r="55" spans="1:40" x14ac:dyDescent="0.2">
      <c r="A55" s="6" t="s">
        <v>11</v>
      </c>
      <c r="B55" s="7" t="s">
        <v>21</v>
      </c>
      <c r="H55" s="10" t="s">
        <v>405</v>
      </c>
      <c r="I55" s="25" t="s">
        <v>1004</v>
      </c>
      <c r="J55" s="25" t="s">
        <v>1004</v>
      </c>
      <c r="K55" s="64" t="str">
        <f t="shared" si="12"/>
        <v/>
      </c>
      <c r="L55" s="24">
        <v>540900</v>
      </c>
      <c r="M55" s="24">
        <v>306099</v>
      </c>
      <c r="N55" s="24" t="s">
        <v>1331</v>
      </c>
      <c r="O55" s="28"/>
      <c r="P55" s="28"/>
      <c r="Q55" s="28"/>
      <c r="R55" s="28"/>
      <c r="S55" s="28"/>
      <c r="T55" s="28"/>
      <c r="U55" s="28"/>
      <c r="V55" s="28"/>
      <c r="W55" s="28"/>
      <c r="X55" s="28"/>
      <c r="Y55" s="28"/>
      <c r="Z55" s="28"/>
      <c r="AA55" s="28">
        <f t="shared" si="13"/>
        <v>0</v>
      </c>
      <c r="AB55" s="29"/>
      <c r="AD55" s="28"/>
      <c r="AE55" s="29"/>
      <c r="AF55" s="48">
        <f t="shared" si="14"/>
        <v>0</v>
      </c>
      <c r="AG55" s="28"/>
      <c r="AH55" s="29"/>
      <c r="AI55" s="48">
        <f t="shared" si="15"/>
        <v>0</v>
      </c>
      <c r="AJ55" s="381">
        <f t="shared" si="16"/>
        <v>0</v>
      </c>
      <c r="AK55" s="382">
        <f t="shared" si="17"/>
        <v>0</v>
      </c>
      <c r="AL55" s="383">
        <f t="shared" si="18"/>
        <v>0</v>
      </c>
      <c r="AM55" s="384" t="str">
        <f t="shared" si="19"/>
        <v>0 pts.</v>
      </c>
      <c r="AN55" s="385" t="str">
        <f t="shared" si="20"/>
        <v>0 pts.</v>
      </c>
    </row>
    <row r="56" spans="1:40" x14ac:dyDescent="0.2">
      <c r="A56" s="6" t="s">
        <v>12</v>
      </c>
      <c r="B56" s="7" t="s">
        <v>22</v>
      </c>
      <c r="G56" s="13"/>
      <c r="H56" s="10" t="s">
        <v>289</v>
      </c>
      <c r="I56" s="447" t="s">
        <v>1007</v>
      </c>
      <c r="J56" s="447" t="s">
        <v>78</v>
      </c>
      <c r="K56" s="448" t="str">
        <f t="shared" si="12"/>
        <v/>
      </c>
      <c r="L56" s="151">
        <v>500001</v>
      </c>
      <c r="M56" s="151"/>
      <c r="N56" s="151" t="s">
        <v>1219</v>
      </c>
      <c r="O56" s="120"/>
      <c r="P56" s="120"/>
      <c r="Q56" s="120"/>
      <c r="R56" s="120"/>
      <c r="S56" s="120"/>
      <c r="T56" s="120"/>
      <c r="U56" s="120"/>
      <c r="V56" s="120"/>
      <c r="W56" s="120"/>
      <c r="X56" s="120"/>
      <c r="Y56" s="120"/>
      <c r="Z56" s="120"/>
      <c r="AA56" s="120">
        <f t="shared" si="13"/>
        <v>0</v>
      </c>
      <c r="AB56" s="121"/>
      <c r="AC56" s="123"/>
      <c r="AD56" s="120"/>
      <c r="AE56" s="121"/>
      <c r="AF56" s="122">
        <f t="shared" si="14"/>
        <v>0</v>
      </c>
      <c r="AG56" s="120"/>
      <c r="AH56" s="121"/>
      <c r="AI56" s="122">
        <f t="shared" si="15"/>
        <v>0</v>
      </c>
      <c r="AJ56" s="332">
        <f t="shared" si="16"/>
        <v>0</v>
      </c>
      <c r="AK56" s="333">
        <f t="shared" si="17"/>
        <v>0</v>
      </c>
      <c r="AL56" s="335">
        <f t="shared" si="18"/>
        <v>0</v>
      </c>
      <c r="AM56" s="377" t="str">
        <f t="shared" si="19"/>
        <v>0 pts.</v>
      </c>
      <c r="AN56" s="378" t="str">
        <f t="shared" si="20"/>
        <v>0 pts.</v>
      </c>
    </row>
    <row r="57" spans="1:40" x14ac:dyDescent="0.2">
      <c r="A57" s="6" t="s">
        <v>13</v>
      </c>
      <c r="B57" s="7" t="str">
        <f>"DEP(540000) AND "&amp;$E$6&amp;"=Y,500001"</f>
        <v>DEP(540000) AND D1136=Y,500001</v>
      </c>
      <c r="H57" s="133" t="s">
        <v>175</v>
      </c>
      <c r="I57" s="26" t="s">
        <v>1006</v>
      </c>
      <c r="J57" s="26" t="s">
        <v>78</v>
      </c>
      <c r="K57" s="65" t="str">
        <f t="shared" si="12"/>
        <v/>
      </c>
      <c r="L57" s="65"/>
      <c r="M57" s="65"/>
      <c r="N57" s="23" t="s">
        <v>175</v>
      </c>
      <c r="O57" s="44"/>
      <c r="P57" s="44"/>
      <c r="Q57" s="44"/>
      <c r="R57" s="44"/>
      <c r="S57" s="44"/>
      <c r="T57" s="44"/>
      <c r="U57" s="44"/>
      <c r="V57" s="44"/>
      <c r="W57" s="44"/>
      <c r="X57" s="44"/>
      <c r="Y57" s="44"/>
      <c r="Z57" s="44"/>
      <c r="AA57" s="44"/>
      <c r="AB57" s="45"/>
      <c r="AD57" s="44"/>
      <c r="AE57" s="45"/>
      <c r="AF57" s="134" t="str">
        <f t="shared" si="14"/>
        <v/>
      </c>
      <c r="AG57" s="44"/>
      <c r="AH57" s="45"/>
      <c r="AI57" s="134" t="str">
        <f t="shared" si="15"/>
        <v/>
      </c>
    </row>
    <row r="58" spans="1:40" x14ac:dyDescent="0.2">
      <c r="A58" s="6" t="s">
        <v>14</v>
      </c>
      <c r="B58" s="7"/>
      <c r="H58" s="133" t="s">
        <v>292</v>
      </c>
      <c r="I58" s="26" t="s">
        <v>1007</v>
      </c>
      <c r="J58" s="26" t="s">
        <v>78</v>
      </c>
      <c r="K58" s="65" t="str">
        <f t="shared" si="12"/>
        <v/>
      </c>
      <c r="L58" s="65"/>
      <c r="M58" s="65"/>
      <c r="N58" s="23" t="s">
        <v>1220</v>
      </c>
      <c r="O58" s="145">
        <f t="shared" ref="O58:Z58" si="21">SUMIF($H$34:$H$56,"400000",O34:O56)-SUMIF($H$34:$H$56,"500001",O34:O56)</f>
        <v>0</v>
      </c>
      <c r="P58" s="145">
        <f t="shared" si="21"/>
        <v>0</v>
      </c>
      <c r="Q58" s="145">
        <f t="shared" si="21"/>
        <v>0</v>
      </c>
      <c r="R58" s="145">
        <f t="shared" si="21"/>
        <v>0</v>
      </c>
      <c r="S58" s="145">
        <f t="shared" si="21"/>
        <v>0</v>
      </c>
      <c r="T58" s="145">
        <f t="shared" si="21"/>
        <v>0</v>
      </c>
      <c r="U58" s="145">
        <f t="shared" si="21"/>
        <v>0</v>
      </c>
      <c r="V58" s="145">
        <f t="shared" si="21"/>
        <v>0</v>
      </c>
      <c r="W58" s="145">
        <f t="shared" si="21"/>
        <v>0</v>
      </c>
      <c r="X58" s="145">
        <f t="shared" si="21"/>
        <v>0</v>
      </c>
      <c r="Y58" s="145">
        <f t="shared" si="21"/>
        <v>0</v>
      </c>
      <c r="Z58" s="145">
        <f t="shared" si="21"/>
        <v>0</v>
      </c>
      <c r="AA58" s="120">
        <f>IF($I58="B1","",SUM(O58:Z58))</f>
        <v>0</v>
      </c>
      <c r="AB58" s="121" t="str">
        <f>IF(AA58=0,"",IFERROR(AA58/AA$19,""))</f>
        <v/>
      </c>
      <c r="AD58" s="145">
        <f>SUMIF($H$34:$H$56,"400000",AD34:AD56)-SUMIF($H$34:$H$56,"500001",AD34:AD56)</f>
        <v>0</v>
      </c>
      <c r="AE58" s="121" t="str">
        <f>IF(AD58=0,"",IFERROR(AD58/AD$19,""))</f>
        <v/>
      </c>
      <c r="AF58" s="146">
        <f t="shared" si="14"/>
        <v>0</v>
      </c>
      <c r="AG58" s="145">
        <f>SUMIF($H$34:$H$56,"400000",AG34:AG56)-SUMIF($H$34:$H$56,"500001",AG34:AG56)</f>
        <v>19.28</v>
      </c>
      <c r="AH58" s="121">
        <f>IF(AG58=0,"",IFERROR(AG58/AG$19,""))</f>
        <v>1</v>
      </c>
      <c r="AI58" s="146">
        <f t="shared" si="15"/>
        <v>-19.28</v>
      </c>
      <c r="AJ58" s="364">
        <f>IFERROR(AA58/AA$20,0)</f>
        <v>0</v>
      </c>
      <c r="AK58" s="365">
        <f>IFERROR(AD58/AD$20,0)</f>
        <v>0</v>
      </c>
      <c r="AL58" s="366">
        <f>IFERROR(AG58/AG$20,0)</f>
        <v>4.8337762623476912E-4</v>
      </c>
      <c r="AM58" s="367">
        <f>+IFERROR(ROUND(($AB58-AE58)*100,2)&amp;" pts.",0)</f>
        <v>0</v>
      </c>
      <c r="AN58" s="409">
        <f>+IFERROR(ROUND(($AB58-AH58)*100,2)&amp;" pts.",0)</f>
        <v>0</v>
      </c>
    </row>
    <row r="59" spans="1:40" x14ac:dyDescent="0.2">
      <c r="A59" s="6" t="s">
        <v>15</v>
      </c>
      <c r="B59" s="7"/>
      <c r="O59" s="144"/>
      <c r="P59" s="147"/>
      <c r="Q59" s="147"/>
      <c r="R59" s="147"/>
      <c r="S59" s="147"/>
      <c r="T59" s="147"/>
      <c r="U59" s="147"/>
      <c r="V59" s="147"/>
      <c r="W59" s="147"/>
      <c r="X59" s="147"/>
      <c r="Y59" s="147"/>
      <c r="Z59" s="147"/>
      <c r="AA59" s="147"/>
      <c r="AB59" s="51"/>
      <c r="AD59" s="144"/>
      <c r="AF59" s="51"/>
      <c r="AI59" s="51"/>
    </row>
    <row r="60" spans="1:40" x14ac:dyDescent="0.2">
      <c r="A60" s="6" t="s">
        <v>16</v>
      </c>
      <c r="B60" s="7"/>
      <c r="H60" s="1" t="s">
        <v>73</v>
      </c>
      <c r="I60" s="11" t="s">
        <v>1006</v>
      </c>
      <c r="J60" s="11" t="s">
        <v>78</v>
      </c>
      <c r="N60" s="37" t="s">
        <v>1073</v>
      </c>
      <c r="O60" s="50"/>
      <c r="AB60" s="149"/>
      <c r="AD60" s="148"/>
      <c r="AE60" s="150"/>
      <c r="AF60" s="51"/>
      <c r="AH60" s="150"/>
      <c r="AI60" s="51"/>
    </row>
    <row r="61" spans="1:40" x14ac:dyDescent="0.2">
      <c r="A61" s="6" t="s">
        <v>17</v>
      </c>
      <c r="B61" s="7"/>
      <c r="H61" s="1" t="s">
        <v>74</v>
      </c>
      <c r="I61" s="11" t="s">
        <v>1006</v>
      </c>
      <c r="J61" s="11" t="s">
        <v>78</v>
      </c>
      <c r="N61" s="8" t="s">
        <v>1074</v>
      </c>
      <c r="O61" s="40"/>
      <c r="P61" s="43"/>
      <c r="Q61" s="43"/>
      <c r="R61" s="43"/>
      <c r="S61" s="43"/>
      <c r="T61" s="43"/>
      <c r="U61" s="43"/>
      <c r="V61" s="43"/>
      <c r="W61" s="43"/>
      <c r="X61" s="43"/>
      <c r="Y61" s="43"/>
      <c r="Z61" s="43"/>
      <c r="AA61" s="43"/>
      <c r="AB61" s="41"/>
      <c r="AD61" s="40"/>
      <c r="AE61" s="43"/>
      <c r="AF61" s="41"/>
      <c r="AG61" s="43"/>
      <c r="AH61" s="43"/>
      <c r="AI61" s="41"/>
    </row>
    <row r="62" spans="1:40" hidden="1" x14ac:dyDescent="0.2">
      <c r="H62" s="10" t="s">
        <v>667</v>
      </c>
      <c r="I62" s="25"/>
      <c r="J62" s="25"/>
      <c r="K62" s="64" t="str">
        <f>IF(AND(I62&gt;="T3"),"&gt;","")</f>
        <v/>
      </c>
      <c r="L62" s="24"/>
      <c r="M62" s="24"/>
      <c r="N62" s="24"/>
      <c r="O62" s="44"/>
      <c r="P62" s="44"/>
      <c r="Q62" s="44"/>
      <c r="R62" s="44"/>
      <c r="S62" s="44"/>
      <c r="T62" s="44"/>
      <c r="U62" s="44"/>
      <c r="V62" s="44"/>
      <c r="W62" s="44"/>
      <c r="X62" s="44"/>
      <c r="Y62" s="44"/>
      <c r="Z62" s="44"/>
      <c r="AA62" s="44">
        <f>IF($I62="B1","",SUM(O62:Z62))</f>
        <v>0</v>
      </c>
      <c r="AB62" s="45" t="str">
        <f>IF(AA62=0,"",IFERROR(AA62/AA$19,""))</f>
        <v/>
      </c>
      <c r="AD62" s="44"/>
      <c r="AE62" s="45" t="str">
        <f>IF(AD62=0,"",IFERROR(AD62/AD$19,""))</f>
        <v/>
      </c>
      <c r="AF62" s="134">
        <f>IF(AND($AA62="",AD62=""),"",$AA62-AD62)</f>
        <v>0</v>
      </c>
      <c r="AG62" s="44"/>
      <c r="AH62" s="45" t="str">
        <f>IF(AG62=0,"",IFERROR(AG62/AG$19,""))</f>
        <v/>
      </c>
      <c r="AI62" s="134">
        <f>IF(AND($AA62="",AG62=""),"",$AA62-AG62)</f>
        <v>0</v>
      </c>
      <c r="AJ62" s="371">
        <f>IFERROR(AA62/AA$20,0)</f>
        <v>0</v>
      </c>
      <c r="AK62" s="372">
        <f>IFERROR(AD62/AD$20,0)</f>
        <v>0</v>
      </c>
      <c r="AL62" s="373">
        <f>IFERROR(AG62/AG$20,0)</f>
        <v>0</v>
      </c>
      <c r="AM62" s="374">
        <f>+IFERROR(ROUND(($AB62-AE62)*100,2)&amp;" pts.",0)</f>
        <v>0</v>
      </c>
      <c r="AN62" s="375">
        <f>+IFERROR(ROUND(($AB62-AH62)*100,2)&amp;" pts.",0)</f>
        <v>0</v>
      </c>
    </row>
    <row r="63" spans="1:40" hidden="1" x14ac:dyDescent="0.2">
      <c r="A63" s="20" t="s">
        <v>92</v>
      </c>
      <c r="B63" s="21" t="s">
        <v>93</v>
      </c>
      <c r="C63" s="21" t="s">
        <v>94</v>
      </c>
      <c r="D63" s="21" t="s">
        <v>95</v>
      </c>
      <c r="E63" s="21" t="s">
        <v>96</v>
      </c>
      <c r="F63" s="22" t="s">
        <v>97</v>
      </c>
      <c r="H63" s="10"/>
      <c r="I63" s="25"/>
      <c r="J63" s="25"/>
      <c r="K63" s="64" t="str">
        <f>IF(AND(I63&gt;="T3"),"&gt;","")</f>
        <v/>
      </c>
      <c r="L63" s="24"/>
      <c r="M63" s="24"/>
      <c r="N63" s="24"/>
      <c r="O63" s="44"/>
      <c r="P63" s="44"/>
      <c r="Q63" s="44"/>
      <c r="R63" s="44"/>
      <c r="S63" s="44"/>
      <c r="T63" s="44"/>
      <c r="U63" s="44"/>
      <c r="V63" s="44"/>
      <c r="W63" s="44"/>
      <c r="X63" s="44"/>
      <c r="Y63" s="44"/>
      <c r="Z63" s="44"/>
      <c r="AA63" s="44">
        <f>IF($I63="B1","",SUM(O63:Z63))</f>
        <v>0</v>
      </c>
      <c r="AB63" s="45" t="str">
        <f>IF(AA63=0,"",IFERROR(AA63/AA$19,""))</f>
        <v/>
      </c>
      <c r="AD63" s="44"/>
      <c r="AE63" s="45" t="str">
        <f>IF(AD63=0,"",IFERROR(AD63/AD$19,""))</f>
        <v/>
      </c>
      <c r="AF63" s="134">
        <f>IF(AND($AA63="",AD63=""),"",$AA63-AD63)</f>
        <v>0</v>
      </c>
      <c r="AG63" s="44"/>
      <c r="AH63" s="45" t="str">
        <f>IF(AG63=0,"",IFERROR(AG63/AG$19,""))</f>
        <v/>
      </c>
      <c r="AI63" s="134">
        <f>IF(AND($AA63="",AG63=""),"",$AA63-AG63)</f>
        <v>0</v>
      </c>
      <c r="AJ63" s="371">
        <f>IFERROR(AA63/AA$20,0)</f>
        <v>0</v>
      </c>
      <c r="AK63" s="372">
        <f>IFERROR(AD63/AD$20,0)</f>
        <v>0</v>
      </c>
      <c r="AL63" s="373">
        <f>IFERROR(AG63/AG$20,0)</f>
        <v>0</v>
      </c>
      <c r="AM63" s="374">
        <f>+IFERROR(ROUND(($AB63-AE63)*100,2)&amp;" pts.",0)</f>
        <v>0</v>
      </c>
      <c r="AN63" s="375">
        <f>+IFERROR(ROUND(($AB63-AH63)*100,2)&amp;" pts.",0)</f>
        <v>0</v>
      </c>
    </row>
    <row r="64" spans="1:40" x14ac:dyDescent="0.2">
      <c r="H64" s="10" t="s">
        <v>75</v>
      </c>
      <c r="I64" s="26" t="s">
        <v>1006</v>
      </c>
      <c r="J64" s="26" t="s">
        <v>78</v>
      </c>
      <c r="K64" s="65" t="str">
        <f>IF(AND(I64&gt;="T3"),"&gt;","")</f>
        <v/>
      </c>
      <c r="L64" s="23"/>
      <c r="M64" s="24"/>
      <c r="N64" s="23" t="s">
        <v>1076</v>
      </c>
      <c r="O64" s="35"/>
      <c r="P64" s="35"/>
      <c r="Q64" s="35"/>
      <c r="R64" s="35"/>
      <c r="S64" s="35"/>
      <c r="T64" s="35"/>
      <c r="U64" s="35"/>
      <c r="V64" s="35"/>
      <c r="W64" s="35"/>
      <c r="X64" s="35"/>
      <c r="Y64" s="35"/>
      <c r="Z64" s="35"/>
      <c r="AA64" s="35" t="str">
        <f>IF($I64="B1","",SUM(O64:Z64))</f>
        <v/>
      </c>
      <c r="AB64" s="36" t="str">
        <f>IF(AA64=0,"",IFERROR(AA64/AA$19,""))</f>
        <v/>
      </c>
      <c r="AD64" s="35"/>
      <c r="AE64" s="36" t="str">
        <f>IF(AD64=0,"",IFERROR(AD64/AD$19,""))</f>
        <v/>
      </c>
      <c r="AF64" s="118" t="str">
        <f>IF(AND($AA64="",AD64=""),"",$AA64-AD64)</f>
        <v/>
      </c>
      <c r="AG64" s="35"/>
      <c r="AH64" s="36" t="str">
        <f>IF(AG64=0,"",IFERROR(AG64/AG$19,""))</f>
        <v/>
      </c>
      <c r="AI64" s="118" t="str">
        <f>IF(AND($AA64="",AG64=""),"",$AA64-AG64)</f>
        <v/>
      </c>
      <c r="AJ64" s="371">
        <f>IFERROR(AA64/AA$20,0)</f>
        <v>0</v>
      </c>
      <c r="AK64" s="372">
        <f>IFERROR(AD64/AD$20,0)</f>
        <v>0</v>
      </c>
      <c r="AL64" s="373">
        <f>IFERROR(AG64/AG$20,0)</f>
        <v>0</v>
      </c>
      <c r="AM64" s="374">
        <f>+IFERROR(ROUND(($AB64-AE64)*100,2)&amp;" pts.",0)</f>
        <v>0</v>
      </c>
      <c r="AN64" s="375">
        <f>+IFERROR(ROUND(($AB64-AH64)*100,2)&amp;" pts.",0)</f>
        <v>0</v>
      </c>
    </row>
    <row r="65" spans="1:40" hidden="1" x14ac:dyDescent="0.2">
      <c r="A65" s="1" t="s">
        <v>105</v>
      </c>
      <c r="C65" s="24" t="s">
        <v>101</v>
      </c>
      <c r="D65" s="1" t="s">
        <v>106</v>
      </c>
      <c r="F65" s="1" t="s">
        <v>98</v>
      </c>
      <c r="H65" s="10" t="s">
        <v>667</v>
      </c>
      <c r="I65" s="25"/>
      <c r="J65" s="25"/>
      <c r="K65" s="64" t="str">
        <f>IF(AND(I65&gt;="T3"),"&gt;","")</f>
        <v/>
      </c>
      <c r="L65" s="24"/>
      <c r="M65" s="24"/>
      <c r="N65" s="24"/>
      <c r="O65" s="44"/>
      <c r="P65" s="44"/>
      <c r="Q65" s="44"/>
      <c r="R65" s="44"/>
      <c r="S65" s="44"/>
      <c r="T65" s="44"/>
      <c r="U65" s="44"/>
      <c r="V65" s="44"/>
      <c r="W65" s="44"/>
      <c r="X65" s="44"/>
      <c r="Y65" s="44"/>
      <c r="Z65" s="44"/>
      <c r="AA65" s="44">
        <f>IF($I65="B1","",SUM(O65:Z65))</f>
        <v>0</v>
      </c>
      <c r="AB65" s="45" t="str">
        <f>IF(AA65=0,"",IFERROR(AA65/AA$19,""))</f>
        <v/>
      </c>
      <c r="AD65" s="44"/>
      <c r="AE65" s="45" t="str">
        <f>IF(AD65=0,"",IFERROR(AD65/AD$19,""))</f>
        <v/>
      </c>
      <c r="AF65" s="134">
        <f>IF(AND($AA65="",AD65=""),"",$AA65-AD65)</f>
        <v>0</v>
      </c>
      <c r="AG65" s="44"/>
      <c r="AH65" s="45" t="str">
        <f>IF(AG65=0,"",IFERROR(AG65/AG$19,""))</f>
        <v/>
      </c>
      <c r="AI65" s="134">
        <f>IF(AND($AA65="",AG65=""),"",$AA65-AG65)</f>
        <v>0</v>
      </c>
      <c r="AJ65" s="381">
        <f>IFERROR(AA65/AA$20,0)</f>
        <v>0</v>
      </c>
      <c r="AK65" s="382">
        <f>IFERROR(AD65/AD$20,0)</f>
        <v>0</v>
      </c>
      <c r="AL65" s="383">
        <f>IFERROR(AG65/AG$20,0)</f>
        <v>0</v>
      </c>
      <c r="AM65" s="384">
        <f>+IFERROR(ROUND(($AB65-AE65)*100,2)&amp;" pts.",0)</f>
        <v>0</v>
      </c>
      <c r="AN65" s="385">
        <f>+IFERROR(ROUND(($AB65-AH65)*100,2)&amp;" pts.",0)</f>
        <v>0</v>
      </c>
    </row>
    <row r="66" spans="1:40" hidden="1" x14ac:dyDescent="0.2">
      <c r="A66" s="1" t="s">
        <v>108</v>
      </c>
      <c r="C66" s="23" t="s">
        <v>101</v>
      </c>
      <c r="D66" s="1" t="s">
        <v>106</v>
      </c>
      <c r="F66" s="1" t="s">
        <v>98</v>
      </c>
      <c r="H66" s="10"/>
      <c r="I66" s="25"/>
      <c r="J66" s="25"/>
      <c r="K66" s="64" t="str">
        <f>IF(AND(I66&gt;="T3"),"&gt;","")</f>
        <v/>
      </c>
      <c r="L66" s="24"/>
      <c r="M66" s="24"/>
      <c r="N66" s="24"/>
      <c r="O66" s="44"/>
      <c r="P66" s="44"/>
      <c r="Q66" s="44"/>
      <c r="R66" s="44"/>
      <c r="S66" s="44"/>
      <c r="T66" s="44"/>
      <c r="U66" s="44"/>
      <c r="V66" s="44"/>
      <c r="W66" s="44"/>
      <c r="X66" s="44"/>
      <c r="Y66" s="44"/>
      <c r="Z66" s="44"/>
      <c r="AA66" s="44">
        <f>IF($I66="B1","",SUM(O66:Z66))</f>
        <v>0</v>
      </c>
      <c r="AB66" s="45" t="str">
        <f>IF(AA66=0,"",IFERROR(AA66/AA$19,""))</f>
        <v/>
      </c>
      <c r="AD66" s="44"/>
      <c r="AE66" s="45" t="str">
        <f>IF(AD66=0,"",IFERROR(AD66/AD$19,""))</f>
        <v/>
      </c>
      <c r="AF66" s="134">
        <f>IF(AND($AA66="",AD66=""),"",$AA66-AD66)</f>
        <v>0</v>
      </c>
      <c r="AG66" s="44"/>
      <c r="AH66" s="45" t="str">
        <f>IF(AG66=0,"",IFERROR(AG66/AG$19,""))</f>
        <v/>
      </c>
      <c r="AI66" s="134">
        <f>IF(AND($AA66="",AG66=""),"",$AA66-AG66)</f>
        <v>0</v>
      </c>
      <c r="AJ66" s="381">
        <f>IFERROR(AA66/AA$20,0)</f>
        <v>0</v>
      </c>
      <c r="AK66" s="382">
        <f>IFERROR(AD66/AD$20,0)</f>
        <v>0</v>
      </c>
      <c r="AL66" s="383">
        <f>IFERROR(AG66/AG$20,0)</f>
        <v>0</v>
      </c>
      <c r="AM66" s="384">
        <f>+IFERROR(ROUND(($AB66-AE66)*100,2)&amp;" pts.",0)</f>
        <v>0</v>
      </c>
      <c r="AN66" s="385">
        <f>+IFERROR(ROUND(($AB66-AH66)*100,2)&amp;" pts.",0)</f>
        <v>0</v>
      </c>
    </row>
    <row r="67" spans="1:40" x14ac:dyDescent="0.2">
      <c r="A67" s="1" t="s">
        <v>108</v>
      </c>
      <c r="C67" s="135" t="s">
        <v>101</v>
      </c>
      <c r="D67" s="1" t="s">
        <v>107</v>
      </c>
      <c r="F67" s="1" t="s">
        <v>99</v>
      </c>
      <c r="O67" s="38"/>
      <c r="P67" s="42"/>
      <c r="Q67" s="42"/>
      <c r="R67" s="42"/>
      <c r="S67" s="42"/>
      <c r="T67" s="42"/>
      <c r="U67" s="42"/>
      <c r="V67" s="42"/>
      <c r="W67" s="42"/>
      <c r="X67" s="42"/>
      <c r="Y67" s="42"/>
      <c r="Z67" s="42"/>
      <c r="AA67" s="42"/>
      <c r="AB67" s="39"/>
      <c r="AD67" s="38"/>
      <c r="AE67" s="42"/>
      <c r="AF67" s="39"/>
      <c r="AG67" s="38"/>
      <c r="AH67" s="42"/>
      <c r="AI67" s="39"/>
    </row>
    <row r="68" spans="1:40" x14ac:dyDescent="0.2">
      <c r="H68" s="1" t="s">
        <v>82</v>
      </c>
      <c r="I68" s="11" t="s">
        <v>1006</v>
      </c>
      <c r="J68" s="11" t="s">
        <v>78</v>
      </c>
      <c r="N68" s="37" t="s">
        <v>1087</v>
      </c>
      <c r="O68" s="40"/>
      <c r="P68" s="43"/>
      <c r="Q68" s="43"/>
      <c r="R68" s="43"/>
      <c r="S68" s="43"/>
      <c r="T68" s="43"/>
      <c r="U68" s="43"/>
      <c r="V68" s="43"/>
      <c r="W68" s="43"/>
      <c r="X68" s="43"/>
      <c r="Y68" s="43"/>
      <c r="Z68" s="43"/>
      <c r="AA68" s="43"/>
      <c r="AB68" s="41"/>
      <c r="AD68" s="40"/>
      <c r="AE68" s="43"/>
      <c r="AF68" s="41"/>
      <c r="AG68" s="40"/>
      <c r="AH68" s="43"/>
      <c r="AI68" s="41"/>
    </row>
    <row r="69" spans="1:40" hidden="1" x14ac:dyDescent="0.2">
      <c r="C69" s="23"/>
      <c r="H69" s="10" t="s">
        <v>667</v>
      </c>
      <c r="I69" s="25"/>
      <c r="J69" s="25"/>
      <c r="K69" s="64" t="str">
        <f>IF(AND(I69&lt;&gt;"B1",J69="Y"),"&gt;","")</f>
        <v/>
      </c>
      <c r="L69" s="24"/>
      <c r="M69" s="24"/>
      <c r="N69" s="24"/>
      <c r="O69" s="19"/>
      <c r="P69" s="19"/>
      <c r="Q69" s="19"/>
      <c r="R69" s="19"/>
      <c r="S69" s="19"/>
      <c r="T69" s="19"/>
      <c r="U69" s="19"/>
      <c r="V69" s="19"/>
      <c r="W69" s="19"/>
      <c r="X69" s="19"/>
      <c r="Y69" s="19"/>
      <c r="Z69" s="19"/>
      <c r="AA69" s="19">
        <f>IF($I69="B1","",SUM(O69:Z69))</f>
        <v>0</v>
      </c>
      <c r="AB69" s="15" t="str">
        <f>IF(AA69=0,"",IFERROR(AA69/AA$19,""))</f>
        <v/>
      </c>
      <c r="AD69" s="19"/>
      <c r="AE69" s="15" t="str">
        <f>IF(AD69=0,"",IFERROR(AD69/AD$19,""))</f>
        <v/>
      </c>
      <c r="AF69" s="47">
        <f>IF(AND($AA69="",AD69=""),"",$AA69-AD69)</f>
        <v>0</v>
      </c>
      <c r="AG69" s="19"/>
      <c r="AH69" s="15" t="str">
        <f>IF(AG69=0,"",IFERROR(AG69/AG$19,""))</f>
        <v/>
      </c>
      <c r="AI69" s="47">
        <f>IF(AND($AA69="",AG69=""),"",$AA69-AG69)</f>
        <v>0</v>
      </c>
      <c r="AJ69" s="371">
        <f>IFERROR(AA69/AA$20,0)</f>
        <v>0</v>
      </c>
      <c r="AK69" s="372">
        <f>IFERROR(AD69/AD$20,0)</f>
        <v>0</v>
      </c>
      <c r="AL69" s="373">
        <f>IFERROR(AG69/AG$20,0)</f>
        <v>0</v>
      </c>
      <c r="AM69" s="374">
        <f>+IFERROR(ROUND(($AB69-AE69)*100,2)&amp;" pts.",0)</f>
        <v>0</v>
      </c>
      <c r="AN69" s="375">
        <f>+IFERROR(ROUND(($AB69-AH69)*100,2)&amp;" pts.",0)</f>
        <v>0</v>
      </c>
    </row>
    <row r="70" spans="1:40" hidden="1" x14ac:dyDescent="0.2">
      <c r="A70" s="4" t="s">
        <v>989</v>
      </c>
      <c r="H70" s="10"/>
      <c r="I70" s="25"/>
      <c r="J70" s="25"/>
      <c r="K70" s="64" t="str">
        <f>IF(AND(I70&lt;&gt;"B1",J70="Y"),"&gt;","")</f>
        <v/>
      </c>
      <c r="L70" s="24"/>
      <c r="M70" s="24"/>
      <c r="N70" s="24"/>
      <c r="O70" s="19"/>
      <c r="P70" s="19"/>
      <c r="Q70" s="19"/>
      <c r="R70" s="19"/>
      <c r="S70" s="19"/>
      <c r="T70" s="19"/>
      <c r="U70" s="19"/>
      <c r="V70" s="19"/>
      <c r="W70" s="19"/>
      <c r="X70" s="19"/>
      <c r="Y70" s="19"/>
      <c r="Z70" s="19"/>
      <c r="AA70" s="19">
        <f>IF($I70="B1","",SUM(O70:Z70))</f>
        <v>0</v>
      </c>
      <c r="AB70" s="15" t="str">
        <f>IF(AA70=0,"",IFERROR(AA70/AA$19,""))</f>
        <v/>
      </c>
      <c r="AD70" s="19"/>
      <c r="AE70" s="15" t="str">
        <f>IF(AD70=0,"",IFERROR(AD70/AD$19,""))</f>
        <v/>
      </c>
      <c r="AF70" s="47">
        <f>IF(AND($AA70="",AD70=""),"",$AA70-AD70)</f>
        <v>0</v>
      </c>
      <c r="AG70" s="19"/>
      <c r="AH70" s="15" t="str">
        <f>IF(AG70=0,"",IFERROR(AG70/AG$19,""))</f>
        <v/>
      </c>
      <c r="AI70" s="47">
        <f>IF(AND($AA70="",AG70=""),"",$AA70-AG70)</f>
        <v>0</v>
      </c>
      <c r="AJ70" s="371">
        <f>IFERROR(AA70/AA$20,0)</f>
        <v>0</v>
      </c>
      <c r="AK70" s="372">
        <f>IFERROR(AD70/AD$20,0)</f>
        <v>0</v>
      </c>
      <c r="AL70" s="373">
        <f>IFERROR(AG70/AG$20,0)</f>
        <v>0</v>
      </c>
      <c r="AM70" s="374">
        <f>+IFERROR(ROUND(($AB70-AE70)*100,2)&amp;" pts.",0)</f>
        <v>0</v>
      </c>
      <c r="AN70" s="375">
        <f>+IFERROR(ROUND(($AB70-AH70)*100,2)&amp;" pts.",0)</f>
        <v>0</v>
      </c>
    </row>
    <row r="71" spans="1:40" x14ac:dyDescent="0.2">
      <c r="H71" s="10" t="s">
        <v>79</v>
      </c>
      <c r="I71" s="25" t="s">
        <v>1007</v>
      </c>
      <c r="J71" s="25" t="s">
        <v>78</v>
      </c>
      <c r="K71" s="24"/>
      <c r="L71" s="24"/>
      <c r="M71" s="24"/>
      <c r="N71" s="23" t="s">
        <v>1111</v>
      </c>
      <c r="O71" s="30"/>
      <c r="P71" s="30"/>
      <c r="Q71" s="30"/>
      <c r="R71" s="30"/>
      <c r="S71" s="30"/>
      <c r="T71" s="30"/>
      <c r="U71" s="30"/>
      <c r="V71" s="30"/>
      <c r="W71" s="30"/>
      <c r="X71" s="30"/>
      <c r="Y71" s="30"/>
      <c r="Z71" s="30"/>
      <c r="AA71" s="30">
        <f>IF($I71="B1","",SUM(O71:Z71))</f>
        <v>0</v>
      </c>
      <c r="AB71" s="31" t="str">
        <f>IF(AA71=0,"",IFERROR(AA71/AA$19,""))</f>
        <v/>
      </c>
      <c r="AD71" s="30"/>
      <c r="AE71" s="31" t="str">
        <f>IF(AD71=0,"",IFERROR(AD71/AD$19,""))</f>
        <v/>
      </c>
      <c r="AF71" s="49">
        <f>IF(AND($AA71="",AD71=""),"",$AA71-AD71)</f>
        <v>0</v>
      </c>
      <c r="AG71" s="30"/>
      <c r="AH71" s="31" t="str">
        <f>IF(AG71=0,"",IFERROR(AG71/AG$19,""))</f>
        <v/>
      </c>
      <c r="AI71" s="49">
        <f>IF(AND($AA71="",AG71=""),"",$AA71-AG71)</f>
        <v>0</v>
      </c>
      <c r="AJ71" s="387">
        <f>IFERROR(AA71/AA$20,0)</f>
        <v>0</v>
      </c>
      <c r="AK71" s="388">
        <f>IFERROR(AD71/AD$20,0)</f>
        <v>0</v>
      </c>
      <c r="AL71" s="389">
        <f>IFERROR(AG71/AG$20,0)</f>
        <v>0</v>
      </c>
      <c r="AM71" s="390">
        <f>+IFERROR(ROUND(($AB71-AE71)*100,2)&amp;" pts.",0)</f>
        <v>0</v>
      </c>
      <c r="AN71" s="408">
        <f>+IFERROR(ROUND(($AB71-AH71)*100,2)&amp;" pts.",0)</f>
        <v>0</v>
      </c>
    </row>
    <row r="72" spans="1:40" x14ac:dyDescent="0.2">
      <c r="A72" s="3" t="s">
        <v>0</v>
      </c>
      <c r="B72" s="5" t="s">
        <v>1</v>
      </c>
    </row>
    <row r="73" spans="1:40" x14ac:dyDescent="0.2">
      <c r="A73" s="6" t="s">
        <v>2</v>
      </c>
      <c r="B73" s="14" t="s">
        <v>1304</v>
      </c>
      <c r="H73" s="10" t="s">
        <v>80</v>
      </c>
      <c r="I73" s="25" t="s">
        <v>1007</v>
      </c>
      <c r="J73" s="25" t="s">
        <v>78</v>
      </c>
      <c r="K73" s="23"/>
      <c r="L73" s="23"/>
      <c r="M73" s="23"/>
      <c r="N73" s="23" t="s">
        <v>1112</v>
      </c>
      <c r="O73" s="33"/>
      <c r="P73" s="33"/>
      <c r="Q73" s="33"/>
      <c r="R73" s="33"/>
      <c r="S73" s="33"/>
      <c r="T73" s="33"/>
      <c r="U73" s="33"/>
      <c r="V73" s="33"/>
      <c r="W73" s="33"/>
      <c r="X73" s="33"/>
      <c r="Y73" s="33"/>
      <c r="Z73" s="33"/>
      <c r="AA73" s="33">
        <f>IF($I73="B1","",SUM(O73:Z73))</f>
        <v>0</v>
      </c>
      <c r="AB73" s="34" t="str">
        <f>IF(AA73=0,"",IFERROR(AA73/AA$19,""))</f>
        <v/>
      </c>
      <c r="AD73" s="33"/>
      <c r="AE73" s="34" t="str">
        <f>IF(AD73=0,"",IFERROR(AD73/AD$19,""))</f>
        <v/>
      </c>
      <c r="AF73" s="55">
        <f>IF(AND($AA73="",AD73=""),"",$AA73-AD73)</f>
        <v>0</v>
      </c>
      <c r="AG73" s="56"/>
      <c r="AH73" s="57" t="str">
        <f>IF(AG73=0,"",IFERROR(AG73/AG$19,""))</f>
        <v/>
      </c>
      <c r="AI73" s="55">
        <f>IF(AND($AA73="",AG73=""),"",$AA73-AG73)</f>
        <v>0</v>
      </c>
      <c r="AJ73" s="364">
        <f>IFERROR(AA73/AA$20,0)</f>
        <v>0</v>
      </c>
      <c r="AK73" s="365">
        <f>IFERROR(AD73/AD$20,0)</f>
        <v>0</v>
      </c>
      <c r="AL73" s="366">
        <f>IFERROR(AG73/AG$20,0)</f>
        <v>0</v>
      </c>
      <c r="AM73" s="367">
        <f>+IFERROR(ROUND(($AB73-AE73)*100,2)&amp;" pts.",0)</f>
        <v>0</v>
      </c>
      <c r="AN73" s="409">
        <f>+IFERROR(ROUND(($AB73-AH73)*100,2)&amp;" pts.",0)</f>
        <v>0</v>
      </c>
    </row>
    <row r="74" spans="1:40" ht="16" thickBot="1" x14ac:dyDescent="0.25">
      <c r="A74" s="6" t="s">
        <v>3</v>
      </c>
      <c r="B74" s="14" t="s">
        <v>1305</v>
      </c>
      <c r="H74" s="10" t="s">
        <v>81</v>
      </c>
      <c r="I74" s="25" t="s">
        <v>1007</v>
      </c>
      <c r="J74" s="25" t="s">
        <v>78</v>
      </c>
      <c r="K74" s="23"/>
      <c r="L74" s="23"/>
      <c r="M74" s="23"/>
      <c r="N74" s="23" t="s">
        <v>1113</v>
      </c>
      <c r="O74" s="58"/>
      <c r="P74" s="58"/>
      <c r="Q74" s="58"/>
      <c r="R74" s="58"/>
      <c r="S74" s="58"/>
      <c r="T74" s="58"/>
      <c r="U74" s="58"/>
      <c r="V74" s="58"/>
      <c r="W74" s="58"/>
      <c r="X74" s="58"/>
      <c r="Y74" s="58"/>
      <c r="Z74" s="58"/>
      <c r="AA74" s="58">
        <f>IF($I74="B1","",SUM(O74:Z74))</f>
        <v>0</v>
      </c>
      <c r="AB74" s="59" t="str">
        <f>IF(AA74=0,"",IFERROR(AA74/AA$19,""))</f>
        <v/>
      </c>
      <c r="AD74" s="58"/>
      <c r="AE74" s="59" t="str">
        <f>IF(AD74=0,"",IFERROR(AD74/AD$19,""))</f>
        <v/>
      </c>
      <c r="AF74" s="60">
        <f>IF(AND($AA74="",AD74=""),"",$AA74-AD74)</f>
        <v>0</v>
      </c>
      <c r="AG74" s="58">
        <v>19.28</v>
      </c>
      <c r="AH74" s="59">
        <f>IF(AG74=0,"",IFERROR(AG74/AG$19,""))</f>
        <v>1</v>
      </c>
      <c r="AI74" s="60">
        <f>IF(AND($AA74="",AG74=""),"",$AA74-AG74)</f>
        <v>-19.28</v>
      </c>
      <c r="AJ74" s="402">
        <f>IFERROR(AA74/AA$20,0)</f>
        <v>0</v>
      </c>
      <c r="AK74" s="403">
        <f>IFERROR(AD74/AD$20,0)</f>
        <v>0</v>
      </c>
      <c r="AL74" s="404">
        <f>IFERROR(AG74/AG$20,0)</f>
        <v>4.8337762623476912E-4</v>
      </c>
      <c r="AM74" s="405">
        <f>+IFERROR(ROUND(($AB74-AE74)*100,2)&amp;" pts.",0)</f>
        <v>0</v>
      </c>
      <c r="AN74" s="410">
        <f>+IFERROR(ROUND(($AB74-AH74)*100,2)&amp;" pts.",0)</f>
        <v>0</v>
      </c>
    </row>
    <row r="75" spans="1:40" ht="16" thickTop="1" x14ac:dyDescent="0.2">
      <c r="A75" s="6" t="s">
        <v>4</v>
      </c>
      <c r="B75" s="14" t="s">
        <v>1332</v>
      </c>
    </row>
    <row r="76" spans="1:40" x14ac:dyDescent="0.2">
      <c r="A76" s="6" t="s">
        <v>5</v>
      </c>
      <c r="B76" s="7"/>
      <c r="N76" s="24" t="str">
        <f>N73&amp;" - Check"</f>
        <v>Total Expenses - Check</v>
      </c>
      <c r="O76" s="124">
        <f t="shared" ref="O76:AA76" si="22">SUMIF($H$34:$H$74,"600000",O$34:O$74)+SUMIF($H$34:$H$74,"700000",O$34:O$74)-SUMIF($H$34:$H$74,"TOTDEPTEXP",O$34:O$74)</f>
        <v>0</v>
      </c>
      <c r="P76" s="124">
        <f t="shared" si="22"/>
        <v>0</v>
      </c>
      <c r="Q76" s="124">
        <f t="shared" si="22"/>
        <v>0</v>
      </c>
      <c r="R76" s="124">
        <f t="shared" si="22"/>
        <v>0</v>
      </c>
      <c r="S76" s="124">
        <f t="shared" si="22"/>
        <v>0</v>
      </c>
      <c r="T76" s="124">
        <f t="shared" si="22"/>
        <v>0</v>
      </c>
      <c r="U76" s="124">
        <f t="shared" si="22"/>
        <v>0</v>
      </c>
      <c r="V76" s="124">
        <f t="shared" si="22"/>
        <v>0</v>
      </c>
      <c r="W76" s="124">
        <f t="shared" si="22"/>
        <v>0</v>
      </c>
      <c r="X76" s="124">
        <f t="shared" si="22"/>
        <v>0</v>
      </c>
      <c r="Y76" s="124">
        <f t="shared" si="22"/>
        <v>0</v>
      </c>
      <c r="Z76" s="124">
        <f t="shared" si="22"/>
        <v>0</v>
      </c>
      <c r="AA76" s="124">
        <f t="shared" si="22"/>
        <v>0</v>
      </c>
      <c r="AB76" s="15"/>
      <c r="AD76" s="124">
        <f>SUMIF($H$34:$H$74,"600000",AD$34:AD$74)+SUMIF($H$34:$H$74,"700000",AD$34:AD$74)-SUMIF($H$34:$H$74,"TOTDEPTEXP",AD$34:AD$74)</f>
        <v>0</v>
      </c>
      <c r="AE76" s="15"/>
      <c r="AF76" s="19"/>
      <c r="AG76" s="124">
        <f>SUMIF($H$34:$H$74,"600000",AG$34:AG$74)+SUMIF($H$34:$H$74,"700000",AG$34:AG$74)-SUMIF($H$34:$H$74,"TOTDEPTEXP",AG$34:AG$74)</f>
        <v>0</v>
      </c>
      <c r="AH76" s="15"/>
      <c r="AI76" s="19"/>
    </row>
    <row r="77" spans="1:40" x14ac:dyDescent="0.2">
      <c r="A77" s="6" t="s">
        <v>6</v>
      </c>
      <c r="B77" s="7"/>
      <c r="N77" s="24" t="str">
        <f>N74&amp;" - Check"</f>
        <v>Department Profit (Loss) - Check</v>
      </c>
      <c r="O77" s="124">
        <f t="shared" ref="O77:AA77" si="23">SUMIF($H$34:$H$74,"KPI_GP",O$34:O$74)-SUMIF($H$34:$H$74,"TOTDEPTEXP",O$34:O$74)-SUMIF($H$34:$H$74,"TOTDEPTPL",O$34:O$74)</f>
        <v>0</v>
      </c>
      <c r="P77" s="124">
        <f t="shared" si="23"/>
        <v>0</v>
      </c>
      <c r="Q77" s="124">
        <f t="shared" si="23"/>
        <v>0</v>
      </c>
      <c r="R77" s="124">
        <f t="shared" si="23"/>
        <v>0</v>
      </c>
      <c r="S77" s="124">
        <f t="shared" si="23"/>
        <v>0</v>
      </c>
      <c r="T77" s="124">
        <f t="shared" si="23"/>
        <v>0</v>
      </c>
      <c r="U77" s="124">
        <f t="shared" si="23"/>
        <v>0</v>
      </c>
      <c r="V77" s="124">
        <f t="shared" si="23"/>
        <v>0</v>
      </c>
      <c r="W77" s="124">
        <f t="shared" si="23"/>
        <v>0</v>
      </c>
      <c r="X77" s="124">
        <f t="shared" si="23"/>
        <v>0</v>
      </c>
      <c r="Y77" s="124">
        <f t="shared" si="23"/>
        <v>0</v>
      </c>
      <c r="Z77" s="124">
        <f t="shared" si="23"/>
        <v>0</v>
      </c>
      <c r="AA77" s="124">
        <f t="shared" si="23"/>
        <v>0</v>
      </c>
      <c r="AB77" s="15"/>
      <c r="AD77" s="124">
        <f>SUMIF($H$34:$H$74,"KPI_GP",AD$34:AD$74)-SUMIF($H$34:$H$74,"TOTDEPTEXP",AD$34:AD$74)-SUMIF($H$34:$H$74,"TOTDEPTPL",AD$34:AD$74)</f>
        <v>0</v>
      </c>
      <c r="AE77" s="15"/>
      <c r="AF77" s="19"/>
      <c r="AG77" s="124">
        <f>SUMIF($H$34:$H$74,"KPI_GP",AG$34:AG$74)-SUMIF($H$34:$H$74,"TOTDEPTEXP",AG$34:AG$74)-SUMIF($H$34:$H$74,"TOTDEPTPL",AG$34:AG$74)</f>
        <v>0</v>
      </c>
      <c r="AH77" s="15"/>
      <c r="AI77" s="19"/>
    </row>
    <row r="78" spans="1:40" x14ac:dyDescent="0.2">
      <c r="A78" s="6" t="s">
        <v>7</v>
      </c>
      <c r="B78" s="14" t="s">
        <v>1333</v>
      </c>
    </row>
    <row r="79" spans="1:40" x14ac:dyDescent="0.2">
      <c r="A79" s="6" t="s">
        <v>47</v>
      </c>
      <c r="B79" s="14" t="s">
        <v>1308</v>
      </c>
      <c r="O79" s="147"/>
      <c r="P79" s="147"/>
      <c r="Q79" s="147"/>
      <c r="R79" s="147"/>
      <c r="S79" s="147"/>
      <c r="T79" s="147"/>
      <c r="U79" s="147"/>
      <c r="V79" s="147"/>
      <c r="W79" s="147"/>
      <c r="X79" s="147"/>
      <c r="Y79" s="147"/>
      <c r="Z79" s="147"/>
      <c r="AA79" s="147"/>
      <c r="AD79" s="147"/>
      <c r="AG79" s="147"/>
    </row>
    <row r="80" spans="1:40" x14ac:dyDescent="0.2">
      <c r="A80" s="6" t="s">
        <v>8</v>
      </c>
      <c r="B80" s="7"/>
    </row>
    <row r="81" spans="1:33" x14ac:dyDescent="0.2">
      <c r="O81" s="147"/>
      <c r="P81" s="147"/>
      <c r="Q81" s="147"/>
      <c r="R81" s="147"/>
      <c r="S81" s="147"/>
      <c r="T81" s="147"/>
      <c r="U81" s="147"/>
      <c r="V81" s="147"/>
      <c r="W81" s="147"/>
      <c r="X81" s="147"/>
      <c r="Y81" s="147"/>
      <c r="Z81" s="147"/>
      <c r="AA81" s="147"/>
      <c r="AD81" s="147"/>
      <c r="AG81" s="147"/>
    </row>
    <row r="82" spans="1:33" x14ac:dyDescent="0.2">
      <c r="A82" s="3" t="s">
        <v>9</v>
      </c>
      <c r="B82" s="5" t="s">
        <v>10</v>
      </c>
    </row>
    <row r="83" spans="1:33" x14ac:dyDescent="0.2">
      <c r="A83" s="6" t="s">
        <v>11</v>
      </c>
      <c r="B83" s="7" t="s">
        <v>21</v>
      </c>
    </row>
    <row r="84" spans="1:33" x14ac:dyDescent="0.2">
      <c r="A84" s="6" t="s">
        <v>12</v>
      </c>
      <c r="B84" s="7" t="s">
        <v>22</v>
      </c>
      <c r="H84" s="11"/>
      <c r="J84" s="1"/>
    </row>
    <row r="85" spans="1:33" x14ac:dyDescent="0.2">
      <c r="A85" s="6" t="s">
        <v>13</v>
      </c>
      <c r="B85" s="7" t="s">
        <v>737</v>
      </c>
      <c r="H85" s="11"/>
      <c r="J85" s="1"/>
    </row>
    <row r="86" spans="1:33" x14ac:dyDescent="0.2">
      <c r="A86" s="6" t="s">
        <v>14</v>
      </c>
      <c r="B86" s="7"/>
      <c r="H86" s="11"/>
      <c r="J86" s="1"/>
    </row>
    <row r="87" spans="1:33" x14ac:dyDescent="0.2">
      <c r="A87" s="6" t="s">
        <v>15</v>
      </c>
      <c r="B87" s="7"/>
      <c r="H87" s="11"/>
      <c r="J87" s="1"/>
    </row>
    <row r="88" spans="1:33" x14ac:dyDescent="0.2">
      <c r="A88" s="6" t="s">
        <v>16</v>
      </c>
      <c r="B88" s="7" t="s">
        <v>78</v>
      </c>
      <c r="H88" s="11"/>
      <c r="J88" s="1"/>
    </row>
    <row r="89" spans="1:33" x14ac:dyDescent="0.2">
      <c r="A89" s="6" t="s">
        <v>17</v>
      </c>
      <c r="B89" s="7"/>
      <c r="G89" s="13"/>
      <c r="H89" s="11"/>
      <c r="J89" s="1"/>
    </row>
    <row r="90" spans="1:33" x14ac:dyDescent="0.2">
      <c r="H90" s="11"/>
      <c r="J90" s="1"/>
    </row>
    <row r="91" spans="1:33" x14ac:dyDescent="0.2">
      <c r="A91" s="20" t="s">
        <v>92</v>
      </c>
      <c r="B91" s="21" t="s">
        <v>93</v>
      </c>
      <c r="C91" s="21" t="s">
        <v>94</v>
      </c>
      <c r="D91" s="21" t="s">
        <v>95</v>
      </c>
      <c r="E91" s="21" t="s">
        <v>96</v>
      </c>
      <c r="F91" s="22" t="s">
        <v>97</v>
      </c>
      <c r="H91" s="11"/>
      <c r="J91" s="1"/>
    </row>
    <row r="92" spans="1:33" x14ac:dyDescent="0.2">
      <c r="H92" s="11"/>
      <c r="J92" s="1"/>
    </row>
    <row r="93" spans="1:33" x14ac:dyDescent="0.2">
      <c r="A93" s="1" t="s">
        <v>108</v>
      </c>
      <c r="C93" s="24" t="s">
        <v>101</v>
      </c>
      <c r="D93" s="1" t="s">
        <v>106</v>
      </c>
      <c r="F93" s="1" t="s">
        <v>98</v>
      </c>
      <c r="H93" s="11"/>
      <c r="J93" s="1"/>
    </row>
    <row r="94" spans="1:33" x14ac:dyDescent="0.2">
      <c r="A94" s="1" t="s">
        <v>100</v>
      </c>
      <c r="C94" s="8" t="s">
        <v>101</v>
      </c>
      <c r="D94" s="1" t="s">
        <v>106</v>
      </c>
      <c r="F94" s="1" t="s">
        <v>98</v>
      </c>
      <c r="H94" s="11"/>
      <c r="J94" s="1"/>
    </row>
    <row r="95" spans="1:33" x14ac:dyDescent="0.2">
      <c r="A95" s="1" t="s">
        <v>109</v>
      </c>
      <c r="C95" s="23" t="s">
        <v>101</v>
      </c>
      <c r="D95" s="1" t="s">
        <v>106</v>
      </c>
      <c r="F95" s="1" t="s">
        <v>98</v>
      </c>
      <c r="H95" s="11"/>
      <c r="J95" s="1"/>
    </row>
    <row r="96" spans="1:33" x14ac:dyDescent="0.2">
      <c r="A96" s="1" t="s">
        <v>109</v>
      </c>
      <c r="C96" s="135" t="s">
        <v>101</v>
      </c>
      <c r="D96" s="1" t="s">
        <v>107</v>
      </c>
      <c r="F96" s="1" t="s">
        <v>99</v>
      </c>
      <c r="H96" s="11"/>
      <c r="J96" s="1"/>
    </row>
    <row r="97" spans="1:10" x14ac:dyDescent="0.2">
      <c r="A97" s="1" t="s">
        <v>110</v>
      </c>
      <c r="C97" s="23" t="s">
        <v>101</v>
      </c>
      <c r="D97" s="1" t="s">
        <v>106</v>
      </c>
      <c r="F97" s="1" t="s">
        <v>98</v>
      </c>
      <c r="H97" s="11"/>
      <c r="J97" s="1"/>
    </row>
    <row r="98" spans="1:10" x14ac:dyDescent="0.2">
      <c r="A98" s="1" t="s">
        <v>110</v>
      </c>
      <c r="C98" s="27" t="s">
        <v>101</v>
      </c>
      <c r="D98" s="1" t="s">
        <v>107</v>
      </c>
      <c r="F98" s="1" t="s">
        <v>99</v>
      </c>
      <c r="H98" s="11"/>
      <c r="J98" s="1"/>
    </row>
    <row r="99" spans="1:10" x14ac:dyDescent="0.2">
      <c r="C99" s="23"/>
      <c r="H99" s="11"/>
      <c r="J99" s="1"/>
    </row>
    <row r="100" spans="1:10" x14ac:dyDescent="0.2">
      <c r="H100" s="11"/>
      <c r="J100" s="1"/>
    </row>
    <row r="101" spans="1:10" x14ac:dyDescent="0.2">
      <c r="A101" s="4" t="s">
        <v>989</v>
      </c>
      <c r="B101" s="1" t="s">
        <v>736</v>
      </c>
      <c r="H101" s="11"/>
      <c r="J101" s="1"/>
    </row>
    <row r="102" spans="1:10" x14ac:dyDescent="0.2">
      <c r="H102" s="11"/>
      <c r="J102" s="1"/>
    </row>
    <row r="103" spans="1:10" x14ac:dyDescent="0.2">
      <c r="A103" s="3" t="s">
        <v>0</v>
      </c>
      <c r="B103" s="5" t="s">
        <v>1</v>
      </c>
      <c r="G103" s="13"/>
      <c r="H103" s="11"/>
      <c r="J103" s="1"/>
    </row>
    <row r="104" spans="1:10" x14ac:dyDescent="0.2">
      <c r="A104" s="6" t="s">
        <v>2</v>
      </c>
      <c r="B104" s="14" t="s">
        <v>1304</v>
      </c>
      <c r="H104" s="11"/>
      <c r="J104" s="1"/>
    </row>
    <row r="105" spans="1:10" x14ac:dyDescent="0.2">
      <c r="A105" s="6" t="s">
        <v>3</v>
      </c>
      <c r="B105" s="14" t="s">
        <v>1305</v>
      </c>
      <c r="H105" s="11"/>
      <c r="J105" s="1"/>
    </row>
    <row r="106" spans="1:10" x14ac:dyDescent="0.2">
      <c r="A106" s="6" t="s">
        <v>4</v>
      </c>
      <c r="B106" s="14" t="s">
        <v>1334</v>
      </c>
      <c r="H106" s="11"/>
      <c r="J106" s="1"/>
    </row>
    <row r="107" spans="1:10" x14ac:dyDescent="0.2">
      <c r="A107" s="6" t="s">
        <v>5</v>
      </c>
      <c r="B107" s="7"/>
    </row>
    <row r="108" spans="1:10" x14ac:dyDescent="0.2">
      <c r="A108" s="6" t="s">
        <v>6</v>
      </c>
      <c r="B108" s="7"/>
    </row>
    <row r="109" spans="1:10" x14ac:dyDescent="0.2">
      <c r="A109" s="6" t="s">
        <v>7</v>
      </c>
      <c r="B109" s="7"/>
      <c r="G109" s="13"/>
    </row>
    <row r="110" spans="1:10" x14ac:dyDescent="0.2">
      <c r="A110" s="6" t="s">
        <v>47</v>
      </c>
      <c r="B110" s="14" t="s">
        <v>1308</v>
      </c>
    </row>
    <row r="111" spans="1:10" x14ac:dyDescent="0.2">
      <c r="A111" s="6" t="s">
        <v>8</v>
      </c>
      <c r="B111" s="7"/>
    </row>
    <row r="114" spans="1:2" x14ac:dyDescent="0.2">
      <c r="A114" s="3" t="s">
        <v>23</v>
      </c>
      <c r="B114" s="5" t="s">
        <v>24</v>
      </c>
    </row>
    <row r="115" spans="1:2" x14ac:dyDescent="0.2">
      <c r="A115" s="6" t="s">
        <v>25</v>
      </c>
      <c r="B115" s="7"/>
    </row>
    <row r="116" spans="1:2" x14ac:dyDescent="0.2">
      <c r="A116" s="6" t="s">
        <v>26</v>
      </c>
      <c r="B116" s="7"/>
    </row>
    <row r="117" spans="1:2" x14ac:dyDescent="0.2">
      <c r="A117" s="6" t="s">
        <v>27</v>
      </c>
      <c r="B117" s="7"/>
    </row>
    <row r="118" spans="1:2" x14ac:dyDescent="0.2">
      <c r="A118" s="6" t="s">
        <v>28</v>
      </c>
      <c r="B118" s="7"/>
    </row>
    <row r="119" spans="1:2" x14ac:dyDescent="0.2">
      <c r="A119" s="6" t="s">
        <v>29</v>
      </c>
      <c r="B119" s="7"/>
    </row>
    <row r="120" spans="1:2" x14ac:dyDescent="0.2">
      <c r="A120" s="6" t="s">
        <v>30</v>
      </c>
      <c r="B120" s="7" t="s">
        <v>78</v>
      </c>
    </row>
    <row r="121" spans="1:2" x14ac:dyDescent="0.2">
      <c r="A121" s="6" t="s">
        <v>31</v>
      </c>
      <c r="B121" s="7" t="s">
        <v>78</v>
      </c>
    </row>
    <row r="122" spans="1:2" x14ac:dyDescent="0.2">
      <c r="A122" s="6" t="s">
        <v>32</v>
      </c>
      <c r="B122" s="7"/>
    </row>
    <row r="123" spans="1:2" x14ac:dyDescent="0.2">
      <c r="A123" s="6" t="s">
        <v>33</v>
      </c>
      <c r="B123" s="7"/>
    </row>
    <row r="124" spans="1:2" x14ac:dyDescent="0.2">
      <c r="A124" s="6" t="s">
        <v>34</v>
      </c>
      <c r="B124" s="7"/>
    </row>
    <row r="125" spans="1:2" x14ac:dyDescent="0.2">
      <c r="A125" s="6" t="s">
        <v>35</v>
      </c>
      <c r="B125" s="7"/>
    </row>
    <row r="126" spans="1:2" x14ac:dyDescent="0.2">
      <c r="A126" s="6" t="s">
        <v>36</v>
      </c>
      <c r="B126" s="7"/>
    </row>
    <row r="127" spans="1:2" x14ac:dyDescent="0.2">
      <c r="A127" s="6" t="s">
        <v>37</v>
      </c>
      <c r="B127" s="7"/>
    </row>
    <row r="128" spans="1:2" x14ac:dyDescent="0.2">
      <c r="A128" s="6" t="s">
        <v>38</v>
      </c>
      <c r="B128" s="7"/>
    </row>
    <row r="129" spans="1:2" x14ac:dyDescent="0.2">
      <c r="A129" s="6" t="s">
        <v>39</v>
      </c>
      <c r="B129" s="7"/>
    </row>
    <row r="130" spans="1:2" x14ac:dyDescent="0.2">
      <c r="A130" s="6" t="s">
        <v>40</v>
      </c>
      <c r="B130" s="7"/>
    </row>
    <row r="131" spans="1:2" x14ac:dyDescent="0.2">
      <c r="A131" s="6" t="s">
        <v>41</v>
      </c>
      <c r="B131" s="7"/>
    </row>
    <row r="132" spans="1:2" x14ac:dyDescent="0.2">
      <c r="A132" s="6" t="s">
        <v>42</v>
      </c>
      <c r="B132" s="7"/>
    </row>
    <row r="133" spans="1:2" x14ac:dyDescent="0.2">
      <c r="A133" s="6" t="s">
        <v>43</v>
      </c>
      <c r="B133" s="7"/>
    </row>
    <row r="134" spans="1:2" x14ac:dyDescent="0.2">
      <c r="A134" s="6" t="s">
        <v>44</v>
      </c>
      <c r="B134" s="7"/>
    </row>
    <row r="135" spans="1:2" x14ac:dyDescent="0.2">
      <c r="A135" s="6" t="s">
        <v>45</v>
      </c>
      <c r="B135" s="7"/>
    </row>
    <row r="136" spans="1:2" x14ac:dyDescent="0.2">
      <c r="A136" s="6" t="s">
        <v>46</v>
      </c>
      <c r="B136" s="7"/>
    </row>
    <row r="147" spans="5:34" x14ac:dyDescent="0.2">
      <c r="I147" s="72"/>
      <c r="J147" s="1"/>
      <c r="K147" s="72"/>
      <c r="L147" s="72"/>
      <c r="M147" s="72"/>
      <c r="O147" s="72"/>
      <c r="P147" s="72"/>
      <c r="Q147" s="72"/>
      <c r="R147" s="72"/>
      <c r="S147" s="72"/>
      <c r="T147" s="72"/>
      <c r="U147" s="72"/>
      <c r="V147" s="72"/>
      <c r="W147" s="72"/>
      <c r="X147" s="72"/>
      <c r="Y147" s="72"/>
      <c r="Z147" s="72"/>
      <c r="AA147" s="72"/>
      <c r="AD147" s="72"/>
      <c r="AF147" s="72"/>
      <c r="AH147" s="72"/>
    </row>
    <row r="151" spans="5:34" x14ac:dyDescent="0.2">
      <c r="I151" s="72"/>
      <c r="J151" s="1"/>
      <c r="K151" s="72"/>
      <c r="L151" s="72"/>
      <c r="M151" s="72"/>
      <c r="O151" s="72"/>
      <c r="P151" s="72"/>
      <c r="Q151" s="72"/>
      <c r="R151" s="72"/>
      <c r="S151" s="72"/>
      <c r="T151" s="72"/>
      <c r="U151" s="72"/>
      <c r="V151" s="72"/>
      <c r="W151" s="72"/>
      <c r="X151" s="72"/>
      <c r="Y151" s="72"/>
      <c r="Z151" s="72"/>
      <c r="AA151" s="72"/>
      <c r="AD151" s="72"/>
      <c r="AF151" s="72"/>
      <c r="AH151" s="72"/>
    </row>
    <row r="153" spans="5:34" x14ac:dyDescent="0.2">
      <c r="E153" s="72"/>
    </row>
    <row r="157" spans="5:34" x14ac:dyDescent="0.2">
      <c r="E157" s="72"/>
    </row>
    <row r="188" spans="7:7" x14ac:dyDescent="0.2">
      <c r="G188" s="72"/>
    </row>
    <row r="192" spans="7:7" x14ac:dyDescent="0.2">
      <c r="G192" s="72"/>
    </row>
  </sheetData>
  <mergeCells count="2">
    <mergeCell ref="AD31:AE31"/>
    <mergeCell ref="AG31:AH31"/>
  </mergeCells>
  <dataValidations count="2">
    <dataValidation type="list" allowBlank="1" sqref="B56 B28 B84" xr:uid="{00000000-0002-0000-4500-000000000000}">
      <formula1>"ACCOUNT,BUSINESSUNIT,CATEGORY,DATASRC,DEPARTMENT,INTCO,MEASURES,RPTCURRENCY,TIME"</formula1>
    </dataValidation>
    <dataValidation type="list" allowBlank="1" sqref="B85 B29 B57" xr:uid="{00000000-0002-0000-45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19">
    <tabColor theme="9" tint="0.39997558519241921"/>
    <pageSetUpPr fitToPage="1"/>
  </sheetPr>
  <dimension ref="A1:AO192"/>
  <sheetViews>
    <sheetView topLeftCell="K25" zoomScale="85" zoomScaleNormal="85" workbookViewId="0">
      <pane xSplit="4" ySplit="8" topLeftCell="O42" activePane="bottomRight" state="frozen"/>
      <selection activeCell="K25" sqref="K25"/>
      <selection pane="topRight" activeCell="O25" sqref="O25"/>
      <selection pane="bottomLeft" activeCell="K33" sqref="K33"/>
      <selection pane="bottomRight" activeCell="O75" sqref="O75"/>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406</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c r="AA11" s="2" t="e">
        <f ca="1">IF('29kbtUVTfkeuWbdEUFpQfA=='!$O$1=TRUE,"TRAILING12",IF(AA17="CURRENT","ROLLINGFORECAST","PERIODIC"))</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t="e">
        <f ca="1">Z17</f>
        <v>#NAME?</v>
      </c>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_xll.EVRNG(H34:H43)</f>
        <v>#NAME?</v>
      </c>
      <c r="G19" s="16" t="str">
        <f>$B$6</f>
        <v>D2149</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
        <v>749</v>
      </c>
      <c r="H20" s="16">
        <v>900200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I21" s="1"/>
      <c r="J21" s="1"/>
    </row>
    <row r="22" spans="1:40" hidden="1" outlineLevel="1" x14ac:dyDescent="0.2">
      <c r="A22" s="6" t="s">
        <v>7</v>
      </c>
      <c r="B22" s="7" t="e">
        <f ca="1">_xll.EVRNG(A36:F40)</f>
        <v>#NAME?</v>
      </c>
      <c r="I22" s="1"/>
      <c r="J22" s="1"/>
    </row>
    <row r="23" spans="1:40" hidden="1" outlineLevel="1" x14ac:dyDescent="0.2">
      <c r="A23" s="6" t="s">
        <v>47</v>
      </c>
      <c r="B23" s="7" t="e">
        <f ca="1">_xll.EVRNG($A$116:$B$137)</f>
        <v>#NAME?</v>
      </c>
      <c r="K23" s="53"/>
      <c r="L23" s="53"/>
      <c r="M23" s="53"/>
      <c r="AD23" s="136"/>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IF(_xll.EVDES(B6,$B$1)="#NODATA","",_xll.EVDES(B6,$B$1)&amp;" Department")</f>
        <v>#NAME?</v>
      </c>
    </row>
    <row r="28" spans="1:40" ht="16" x14ac:dyDescent="0.2">
      <c r="A28" s="6" t="s">
        <v>12</v>
      </c>
      <c r="B28" s="7" t="s">
        <v>22</v>
      </c>
      <c r="N28" s="67" t="e">
        <f ca="1">"For the Period ended"&amp;" "&amp;IF(_xll.EVDES($B$10,$B$1)="#NODATA","",_xll.EVDES($B$10,$B$1))</f>
        <v>#NAME?</v>
      </c>
    </row>
    <row r="29" spans="1:40" ht="15" customHeight="1" x14ac:dyDescent="0.2">
      <c r="A29" s="6" t="s">
        <v>13</v>
      </c>
      <c r="B29" s="7" t="e">
        <f ca="1">"DEP(469000) AND "&amp;$E$6&amp;"=Y,400000"</f>
        <v>#NAME?</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748</v>
      </c>
      <c r="AK30" s="209"/>
      <c r="AL30" s="210"/>
      <c r="AM30" s="209" t="s">
        <v>750</v>
      </c>
      <c r="AN30" s="209"/>
    </row>
    <row r="31" spans="1:40" x14ac:dyDescent="0.2">
      <c r="A31" s="6" t="s">
        <v>15</v>
      </c>
      <c r="B31" s="7"/>
      <c r="G31" s="13"/>
      <c r="K31" s="11"/>
      <c r="L31" s="11"/>
      <c r="M31" s="1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69</v>
      </c>
      <c r="I33" s="11" t="e">
        <f ca="1">_xll.EVPRO($B$1,$H33,"STYLE")</f>
        <v>#NAME?</v>
      </c>
      <c r="J33" s="11" t="e">
        <f ca="1">_xll.EVPRO($B$1,$H33,"CALC")</f>
        <v>#NAME?</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0" x14ac:dyDescent="0.2">
      <c r="H34" s="10" t="s">
        <v>407</v>
      </c>
      <c r="I34" s="25" t="e">
        <f ca="1">_xll.EVPRO($B$1,$H34,"STYLE")</f>
        <v>#NAME?</v>
      </c>
      <c r="J34" s="25" t="e">
        <f ca="1">_xll.EVPRO($B$1,$H34,"CALC")</f>
        <v>#NAME?</v>
      </c>
      <c r="K34" s="64" t="e">
        <f ca="1">IF(AND(I34&gt;="T5"),"&gt;","")</f>
        <v>#NAME?</v>
      </c>
      <c r="L34" s="24" t="e">
        <f ca="1">_xll.EVPRO($B$1,H34,"JDEID")</f>
        <v>#NAME?</v>
      </c>
      <c r="M34" s="24" t="e">
        <f ca="1">IF(AND(I34="N",J34="N"),_xll.EVPRO($B$1,H34,"PSFTID"),"")</f>
        <v>#NAME?</v>
      </c>
      <c r="N34" s="24" t="e">
        <f ca="1">IF(_xll.EVDES(H34,$B$1)="#NODATA","",_xll.EVDES(H34,$B$1))</f>
        <v>#NAME?</v>
      </c>
      <c r="O34" s="19"/>
      <c r="P34" s="19"/>
      <c r="Q34" s="19"/>
      <c r="R34" s="19"/>
      <c r="S34" s="19"/>
      <c r="T34" s="19"/>
      <c r="U34" s="19"/>
      <c r="V34" s="19"/>
      <c r="W34" s="19"/>
      <c r="X34" s="19"/>
      <c r="Y34" s="19"/>
      <c r="Z34" s="19"/>
      <c r="AA34" s="283" t="e">
        <f t="shared" ref="AA34:AA43" ca="1" si="0">IF($I34="B1","",SUM(O34:Z34))</f>
        <v>#NAME?</v>
      </c>
      <c r="AB34" s="15" t="e">
        <f t="shared" ref="AB34:AB43" ca="1" si="1">IF(AA34=0,"",IFERROR(AA34/AA$19,""))</f>
        <v>#NAME?</v>
      </c>
      <c r="AD34" s="19"/>
      <c r="AE34" s="15" t="str">
        <f t="shared" ref="AE34:AE43" si="2">IF(AD34=0,"",IFERROR(AD34/AD$19,""))</f>
        <v/>
      </c>
      <c r="AF34" s="47" t="e">
        <f t="shared" ref="AF34:AF43" ca="1" si="3">IF(AND($AA34="",AD34=""),"",$AA34-AD34)</f>
        <v>#NAME?</v>
      </c>
      <c r="AG34" s="19"/>
      <c r="AH34" s="15" t="str">
        <f>IF(AG34=0,"",IFERROR(AG34/AG$19,""))</f>
        <v/>
      </c>
      <c r="AI34" s="47" t="e">
        <f ca="1">IF(AND($AA34="",AG34=""),"",$AA34-AG34)</f>
        <v>#NAME?</v>
      </c>
      <c r="AJ34" s="371">
        <f ca="1">IFERROR(AA34/AA$20,0)</f>
        <v>0</v>
      </c>
      <c r="AK34" s="372">
        <f ca="1">IFERROR(AD34/AD$20,0)</f>
        <v>0</v>
      </c>
      <c r="AL34" s="373">
        <f ca="1">IFERROR(AG34/AG$20,0)</f>
        <v>0</v>
      </c>
      <c r="AM34" s="374">
        <f ca="1">+IFERROR(ROUND(($AB34-AE34)*100,2)&amp;" pts.",0)</f>
        <v>0</v>
      </c>
      <c r="AN34" s="375">
        <f ca="1">+IFERROR(ROUND(($AB34-AH34)*100,2)&amp;" pts.",0)</f>
        <v>0</v>
      </c>
    </row>
    <row r="35" spans="1:40" x14ac:dyDescent="0.2">
      <c r="A35" s="20" t="s">
        <v>92</v>
      </c>
      <c r="B35" s="21" t="s">
        <v>93</v>
      </c>
      <c r="C35" s="21" t="s">
        <v>94</v>
      </c>
      <c r="D35" s="21" t="s">
        <v>95</v>
      </c>
      <c r="E35" s="21" t="s">
        <v>96</v>
      </c>
      <c r="F35" s="22" t="s">
        <v>97</v>
      </c>
      <c r="H35" s="10" t="s">
        <v>408</v>
      </c>
      <c r="I35" s="25" t="e">
        <f ca="1">_xll.EVPRO($B$1,$H35,"STYLE")</f>
        <v>#NAME?</v>
      </c>
      <c r="J35" s="25" t="e">
        <f ca="1">_xll.EVPRO($B$1,$H35,"CALC")</f>
        <v>#NAME?</v>
      </c>
      <c r="K35" s="64" t="e">
        <f t="shared" ref="K35:K43" ca="1" si="4">IF(AND(I35&gt;="T5"),"&gt;","")</f>
        <v>#NAME?</v>
      </c>
      <c r="L35" s="24" t="e">
        <f ca="1">_xll.EVPRO($B$1,H35,"JDEID")</f>
        <v>#NAME?</v>
      </c>
      <c r="M35" s="24" t="e">
        <f ca="1">IF(AND(I35="N",J35="N"),_xll.EVPRO($B$1,H35,"PSFTID"),"")</f>
        <v>#NAME?</v>
      </c>
      <c r="N35" s="24" t="e">
        <f ca="1">IF(_xll.EVDES(H35,$B$1)="#NODATA","",_xll.EVDES(H35,$B$1))</f>
        <v>#NAME?</v>
      </c>
      <c r="O35" s="19"/>
      <c r="P35" s="19"/>
      <c r="Q35" s="19"/>
      <c r="R35" s="19"/>
      <c r="S35" s="19"/>
      <c r="T35" s="19"/>
      <c r="U35" s="19"/>
      <c r="V35" s="19"/>
      <c r="W35" s="19"/>
      <c r="X35" s="19"/>
      <c r="Y35" s="19"/>
      <c r="Z35" s="19"/>
      <c r="AA35" s="283" t="e">
        <f t="shared" ca="1" si="0"/>
        <v>#NAME?</v>
      </c>
      <c r="AB35" s="15" t="e">
        <f t="shared" ca="1" si="1"/>
        <v>#NAME?</v>
      </c>
      <c r="AD35" s="19"/>
      <c r="AE35" s="15" t="str">
        <f t="shared" si="2"/>
        <v/>
      </c>
      <c r="AF35" s="47" t="e">
        <f t="shared" ca="1" si="3"/>
        <v>#NAME?</v>
      </c>
      <c r="AG35" s="19"/>
      <c r="AH35" s="15" t="str">
        <f t="shared" ref="AH35:AH43" si="5">IF(AG35=0,"",IFERROR(AG35/AG$19,""))</f>
        <v/>
      </c>
      <c r="AI35" s="47" t="e">
        <f t="shared" ref="AI35:AI43" ca="1" si="6">IF(AND($AA35="",AG35=""),"",$AA35-AG35)</f>
        <v>#NAME?</v>
      </c>
      <c r="AJ35" s="371">
        <f t="shared" ref="AJ35:AJ43" ca="1" si="7">IFERROR(AA35/AA$20,0)</f>
        <v>0</v>
      </c>
      <c r="AK35" s="372">
        <f t="shared" ref="AK35:AK43" ca="1" si="8">IFERROR(AD35/AD$20,0)</f>
        <v>0</v>
      </c>
      <c r="AL35" s="373">
        <f t="shared" ref="AL35:AL43" ca="1" si="9">IFERROR(AG35/AG$20,0)</f>
        <v>0</v>
      </c>
      <c r="AM35" s="374">
        <f t="shared" ref="AM35:AM43" ca="1" si="10">+IFERROR(ROUND(($AB35-AE35)*100,2)&amp;" pts.",0)</f>
        <v>0</v>
      </c>
      <c r="AN35" s="375">
        <f t="shared" ref="AN35:AN43" ca="1" si="11">+IFERROR(ROUND(($AB35-AH35)*100,2)&amp;" pts.",0)</f>
        <v>0</v>
      </c>
    </row>
    <row r="36" spans="1:40" x14ac:dyDescent="0.2">
      <c r="H36" s="10" t="s">
        <v>409</v>
      </c>
      <c r="I36" s="25" t="e">
        <f ca="1">_xll.EVPRO($B$1,$H36,"STYLE")</f>
        <v>#NAME?</v>
      </c>
      <c r="J36" s="25" t="e">
        <f ca="1">_xll.EVPRO($B$1,$H36,"CALC")</f>
        <v>#NAME?</v>
      </c>
      <c r="K36" s="64" t="e">
        <f t="shared" ca="1" si="4"/>
        <v>#NAME?</v>
      </c>
      <c r="L36" s="24" t="e">
        <f ca="1">_xll.EVPRO($B$1,H36,"JDEID")</f>
        <v>#NAME?</v>
      </c>
      <c r="M36" s="24" t="e">
        <f ca="1">IF(AND(I36="N",J36="N"),_xll.EVPRO($B$1,H36,"PSFTID"),"")</f>
        <v>#NAME?</v>
      </c>
      <c r="N36" s="24" t="e">
        <f ca="1">IF(_xll.EVDES(H36,$B$1)="#NODATA","",_xll.EVDES(H36,$B$1))</f>
        <v>#NAME?</v>
      </c>
      <c r="O36" s="19"/>
      <c r="P36" s="19"/>
      <c r="Q36" s="19"/>
      <c r="R36" s="19"/>
      <c r="S36" s="19"/>
      <c r="T36" s="19"/>
      <c r="U36" s="19"/>
      <c r="V36" s="19"/>
      <c r="W36" s="19"/>
      <c r="X36" s="19"/>
      <c r="Y36" s="19"/>
      <c r="Z36" s="19"/>
      <c r="AA36" s="283" t="e">
        <f t="shared" ca="1" si="0"/>
        <v>#NAME?</v>
      </c>
      <c r="AB36" s="15" t="e">
        <f t="shared" ca="1" si="1"/>
        <v>#NAME?</v>
      </c>
      <c r="AD36" s="19"/>
      <c r="AE36" s="15" t="str">
        <f t="shared" si="2"/>
        <v/>
      </c>
      <c r="AF36" s="47" t="e">
        <f t="shared" ca="1" si="3"/>
        <v>#NAME?</v>
      </c>
      <c r="AG36" s="19"/>
      <c r="AH36" s="15" t="str">
        <f t="shared" si="5"/>
        <v/>
      </c>
      <c r="AI36" s="47" t="e">
        <f t="shared" ca="1" si="6"/>
        <v>#NAME?</v>
      </c>
      <c r="AJ36" s="371">
        <f t="shared" ca="1" si="7"/>
        <v>0</v>
      </c>
      <c r="AK36" s="372">
        <f t="shared" ca="1" si="8"/>
        <v>0</v>
      </c>
      <c r="AL36" s="373">
        <f t="shared" ca="1" si="9"/>
        <v>0</v>
      </c>
      <c r="AM36" s="374">
        <f t="shared" ca="1" si="10"/>
        <v>0</v>
      </c>
      <c r="AN36" s="375">
        <f t="shared" ca="1" si="11"/>
        <v>0</v>
      </c>
    </row>
    <row r="37" spans="1:40" x14ac:dyDescent="0.2">
      <c r="A37" s="1" t="s">
        <v>105</v>
      </c>
      <c r="C37" s="24" t="s">
        <v>101</v>
      </c>
      <c r="D37" s="1" t="s">
        <v>106</v>
      </c>
      <c r="F37" s="1" t="s">
        <v>98</v>
      </c>
      <c r="H37" s="10" t="s">
        <v>410</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19"/>
      <c r="P37" s="19"/>
      <c r="Q37" s="19"/>
      <c r="R37" s="19"/>
      <c r="S37" s="19"/>
      <c r="T37" s="19"/>
      <c r="U37" s="19"/>
      <c r="V37" s="19"/>
      <c r="W37" s="19"/>
      <c r="X37" s="19"/>
      <c r="Y37" s="19"/>
      <c r="Z37" s="19"/>
      <c r="AA37" s="283" t="e">
        <f t="shared" ca="1" si="0"/>
        <v>#NAME?</v>
      </c>
      <c r="AB37" s="15" t="e">
        <f t="shared" ca="1" si="1"/>
        <v>#NAME?</v>
      </c>
      <c r="AD37" s="19"/>
      <c r="AE37" s="15" t="str">
        <f t="shared" si="2"/>
        <v/>
      </c>
      <c r="AF37" s="47" t="e">
        <f t="shared" ca="1" si="3"/>
        <v>#NAME?</v>
      </c>
      <c r="AG37" s="19"/>
      <c r="AH37" s="15" t="str">
        <f t="shared" si="5"/>
        <v/>
      </c>
      <c r="AI37" s="47" t="e">
        <f t="shared" ca="1" si="6"/>
        <v>#NAME?</v>
      </c>
      <c r="AJ37" s="371">
        <f t="shared" ca="1" si="7"/>
        <v>0</v>
      </c>
      <c r="AK37" s="372">
        <f t="shared" ca="1" si="8"/>
        <v>0</v>
      </c>
      <c r="AL37" s="373">
        <f t="shared" ca="1" si="9"/>
        <v>0</v>
      </c>
      <c r="AM37" s="374">
        <f t="shared" ca="1" si="10"/>
        <v>0</v>
      </c>
      <c r="AN37" s="375">
        <f t="shared" ca="1" si="11"/>
        <v>0</v>
      </c>
    </row>
    <row r="38" spans="1:40" x14ac:dyDescent="0.2">
      <c r="A38" s="1" t="s">
        <v>104</v>
      </c>
      <c r="C38" s="24" t="s">
        <v>101</v>
      </c>
      <c r="D38" s="1" t="s">
        <v>106</v>
      </c>
      <c r="F38" s="1" t="s">
        <v>98</v>
      </c>
      <c r="H38" s="10" t="s">
        <v>411</v>
      </c>
      <c r="I38" s="25" t="e">
        <f ca="1">_xll.EVPRO($B$1,$H38,"STYLE")</f>
        <v>#NAME?</v>
      </c>
      <c r="J38" s="25" t="e">
        <f ca="1">_xll.EVPRO($B$1,$H38,"CALC")</f>
        <v>#NAME?</v>
      </c>
      <c r="K38" s="64" t="e">
        <f t="shared" ca="1" si="4"/>
        <v>#NAME?</v>
      </c>
      <c r="L38" s="24" t="e">
        <f ca="1">_xll.EVPRO($B$1,H38,"JDEID")</f>
        <v>#NAME?</v>
      </c>
      <c r="M38" s="24" t="e">
        <f ca="1">IF(AND(I38="N",J38="N"),_xll.EVPRO($B$1,H38,"PSFTID"),"")</f>
        <v>#NAME?</v>
      </c>
      <c r="N38" s="24" t="e">
        <f ca="1">IF(_xll.EVDES(H38,$B$1)="#NODATA","",_xll.EVDES(H38,$B$1))</f>
        <v>#NAME?</v>
      </c>
      <c r="O38" s="19"/>
      <c r="P38" s="19"/>
      <c r="Q38" s="19"/>
      <c r="R38" s="19"/>
      <c r="S38" s="19"/>
      <c r="T38" s="19"/>
      <c r="U38" s="19"/>
      <c r="V38" s="19"/>
      <c r="W38" s="19"/>
      <c r="X38" s="19"/>
      <c r="Y38" s="19"/>
      <c r="Z38" s="19"/>
      <c r="AA38" s="283" t="e">
        <f t="shared" ca="1" si="0"/>
        <v>#NAME?</v>
      </c>
      <c r="AB38" s="15" t="e">
        <f t="shared" ca="1" si="1"/>
        <v>#NAME?</v>
      </c>
      <c r="AD38" s="19"/>
      <c r="AE38" s="15" t="str">
        <f t="shared" si="2"/>
        <v/>
      </c>
      <c r="AF38" s="47" t="e">
        <f t="shared" ca="1" si="3"/>
        <v>#NAME?</v>
      </c>
      <c r="AG38" s="19"/>
      <c r="AH38" s="15" t="str">
        <f t="shared" si="5"/>
        <v/>
      </c>
      <c r="AI38" s="47" t="e">
        <f t="shared" ca="1" si="6"/>
        <v>#NAME?</v>
      </c>
      <c r="AJ38" s="371">
        <f t="shared" ca="1" si="7"/>
        <v>0</v>
      </c>
      <c r="AK38" s="372">
        <f t="shared" ca="1" si="8"/>
        <v>0</v>
      </c>
      <c r="AL38" s="373">
        <f t="shared" ca="1" si="9"/>
        <v>0</v>
      </c>
      <c r="AM38" s="374">
        <f t="shared" ca="1" si="10"/>
        <v>0</v>
      </c>
      <c r="AN38" s="375">
        <f t="shared" ca="1" si="11"/>
        <v>0</v>
      </c>
    </row>
    <row r="39" spans="1:40" x14ac:dyDescent="0.2">
      <c r="A39" s="1" t="s">
        <v>108</v>
      </c>
      <c r="C39" s="23" t="s">
        <v>101</v>
      </c>
      <c r="D39" s="1" t="s">
        <v>106</v>
      </c>
      <c r="F39" s="1" t="s">
        <v>98</v>
      </c>
      <c r="H39" s="10" t="s">
        <v>412</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19"/>
      <c r="P39" s="19"/>
      <c r="Q39" s="19"/>
      <c r="R39" s="19"/>
      <c r="S39" s="19"/>
      <c r="T39" s="19"/>
      <c r="U39" s="19"/>
      <c r="V39" s="19"/>
      <c r="W39" s="19"/>
      <c r="X39" s="19"/>
      <c r="Y39" s="19"/>
      <c r="Z39" s="19"/>
      <c r="AA39" s="283" t="e">
        <f t="shared" ca="1" si="0"/>
        <v>#NAME?</v>
      </c>
      <c r="AB39" s="15" t="e">
        <f t="shared" ca="1" si="1"/>
        <v>#NAME?</v>
      </c>
      <c r="AD39" s="19"/>
      <c r="AE39" s="15" t="str">
        <f t="shared" si="2"/>
        <v/>
      </c>
      <c r="AF39" s="47" t="e">
        <f t="shared" ca="1" si="3"/>
        <v>#NAME?</v>
      </c>
      <c r="AG39" s="19"/>
      <c r="AH39" s="15" t="str">
        <f t="shared" si="5"/>
        <v/>
      </c>
      <c r="AI39" s="47" t="e">
        <f t="shared" ca="1" si="6"/>
        <v>#NAME?</v>
      </c>
      <c r="AJ39" s="371">
        <f t="shared" ca="1" si="7"/>
        <v>0</v>
      </c>
      <c r="AK39" s="372">
        <f t="shared" ca="1" si="8"/>
        <v>0</v>
      </c>
      <c r="AL39" s="373">
        <f t="shared" ca="1" si="9"/>
        <v>0</v>
      </c>
      <c r="AM39" s="374">
        <f t="shared" ca="1" si="10"/>
        <v>0</v>
      </c>
      <c r="AN39" s="375">
        <f t="shared" ca="1" si="11"/>
        <v>0</v>
      </c>
    </row>
    <row r="40" spans="1:40" x14ac:dyDescent="0.2">
      <c r="A40" s="1" t="s">
        <v>108</v>
      </c>
      <c r="C40" s="135" t="s">
        <v>101</v>
      </c>
      <c r="D40" s="1" t="s">
        <v>107</v>
      </c>
      <c r="F40" s="1" t="s">
        <v>99</v>
      </c>
      <c r="H40" s="10" t="s">
        <v>413</v>
      </c>
      <c r="I40" s="25" t="e">
        <f ca="1">_xll.EVPRO($B$1,$H40,"STYLE")</f>
        <v>#NAME?</v>
      </c>
      <c r="J40" s="25" t="e">
        <f ca="1">_xll.EVPRO($B$1,$H40,"CALC")</f>
        <v>#NAME?</v>
      </c>
      <c r="K40" s="64" t="e">
        <f t="shared" ca="1" si="4"/>
        <v>#NAME?</v>
      </c>
      <c r="L40" s="24" t="e">
        <f ca="1">_xll.EVPRO($B$1,H40,"JDEID")</f>
        <v>#NAME?</v>
      </c>
      <c r="M40" s="24" t="e">
        <f ca="1">IF(AND(I40="N",J40="N"),_xll.EVPRO($B$1,H40,"PSFTID"),"")</f>
        <v>#NAME?</v>
      </c>
      <c r="N40" s="24" t="e">
        <f ca="1">IF(_xll.EVDES(H40,$B$1)="#NODATA","",_xll.EVDES(H40,$B$1))</f>
        <v>#NAME?</v>
      </c>
      <c r="O40" s="19"/>
      <c r="P40" s="19"/>
      <c r="Q40" s="19"/>
      <c r="R40" s="19"/>
      <c r="S40" s="19"/>
      <c r="T40" s="19"/>
      <c r="U40" s="19"/>
      <c r="V40" s="19"/>
      <c r="W40" s="19"/>
      <c r="X40" s="19"/>
      <c r="Y40" s="19"/>
      <c r="Z40" s="19"/>
      <c r="AA40" s="283" t="e">
        <f t="shared" ca="1" si="0"/>
        <v>#NAME?</v>
      </c>
      <c r="AB40" s="15" t="e">
        <f t="shared" ca="1" si="1"/>
        <v>#NAME?</v>
      </c>
      <c r="AD40" s="19"/>
      <c r="AE40" s="15" t="str">
        <f t="shared" si="2"/>
        <v/>
      </c>
      <c r="AF40" s="47" t="e">
        <f t="shared" ca="1" si="3"/>
        <v>#NAME?</v>
      </c>
      <c r="AG40" s="19"/>
      <c r="AH40" s="15" t="str">
        <f t="shared" si="5"/>
        <v/>
      </c>
      <c r="AI40" s="47" t="e">
        <f t="shared" ca="1" si="6"/>
        <v>#NAME?</v>
      </c>
      <c r="AJ40" s="371">
        <f t="shared" ca="1" si="7"/>
        <v>0</v>
      </c>
      <c r="AK40" s="372">
        <f t="shared" ca="1" si="8"/>
        <v>0</v>
      </c>
      <c r="AL40" s="373">
        <f t="shared" ca="1" si="9"/>
        <v>0</v>
      </c>
      <c r="AM40" s="374">
        <f t="shared" ca="1" si="10"/>
        <v>0</v>
      </c>
      <c r="AN40" s="375">
        <f t="shared" ca="1" si="11"/>
        <v>0</v>
      </c>
    </row>
    <row r="41" spans="1:40" x14ac:dyDescent="0.2">
      <c r="H41" s="10" t="s">
        <v>414</v>
      </c>
      <c r="I41" s="25" t="e">
        <f ca="1">_xll.EVPRO($B$1,$H41,"STYLE")</f>
        <v>#NAME?</v>
      </c>
      <c r="J41" s="25" t="e">
        <f ca="1">_xll.EVPRO($B$1,$H41,"CALC")</f>
        <v>#NAME?</v>
      </c>
      <c r="K41" s="64" t="e">
        <f t="shared" ca="1" si="4"/>
        <v>#NAME?</v>
      </c>
      <c r="L41" s="24" t="e">
        <f ca="1">_xll.EVPRO($B$1,H41,"JDEID")</f>
        <v>#NAME?</v>
      </c>
      <c r="M41" s="24" t="e">
        <f ca="1">IF(AND(I41="N",J41="N"),_xll.EVPRO($B$1,H41,"PSFTID"),"")</f>
        <v>#NAME?</v>
      </c>
      <c r="N41" s="24" t="e">
        <f ca="1">IF(_xll.EVDES(H41,$B$1)="#NODATA","",_xll.EVDES(H41,$B$1))</f>
        <v>#NAME?</v>
      </c>
      <c r="O41" s="19"/>
      <c r="P41" s="19"/>
      <c r="Q41" s="19"/>
      <c r="R41" s="19"/>
      <c r="S41" s="19"/>
      <c r="T41" s="19"/>
      <c r="U41" s="19"/>
      <c r="V41" s="19"/>
      <c r="W41" s="19"/>
      <c r="X41" s="19"/>
      <c r="Y41" s="19"/>
      <c r="Z41" s="19"/>
      <c r="AA41" s="283" t="e">
        <f t="shared" ca="1" si="0"/>
        <v>#NAME?</v>
      </c>
      <c r="AB41" s="15" t="e">
        <f t="shared" ca="1" si="1"/>
        <v>#NAME?</v>
      </c>
      <c r="AD41" s="19"/>
      <c r="AE41" s="15" t="str">
        <f t="shared" si="2"/>
        <v/>
      </c>
      <c r="AF41" s="47" t="e">
        <f t="shared" ca="1" si="3"/>
        <v>#NAME?</v>
      </c>
      <c r="AG41" s="19"/>
      <c r="AH41" s="15" t="str">
        <f t="shared" si="5"/>
        <v/>
      </c>
      <c r="AI41" s="47" t="e">
        <f t="shared" ca="1" si="6"/>
        <v>#NAME?</v>
      </c>
      <c r="AJ41" s="371">
        <f t="shared" ca="1" si="7"/>
        <v>0</v>
      </c>
      <c r="AK41" s="372">
        <f t="shared" ca="1" si="8"/>
        <v>0</v>
      </c>
      <c r="AL41" s="373">
        <f t="shared" ca="1" si="9"/>
        <v>0</v>
      </c>
      <c r="AM41" s="374">
        <f t="shared" ca="1" si="10"/>
        <v>0</v>
      </c>
      <c r="AN41" s="375">
        <f t="shared" ca="1" si="11"/>
        <v>0</v>
      </c>
    </row>
    <row r="42" spans="1:40" x14ac:dyDescent="0.2">
      <c r="H42" s="10" t="s">
        <v>474</v>
      </c>
      <c r="I42" s="25" t="e">
        <f ca="1">_xll.EVPRO($B$1,$H42,"STYLE")</f>
        <v>#NAME?</v>
      </c>
      <c r="J42" s="25" t="e">
        <f ca="1">_xll.EVPRO($B$1,$H42,"CALC")</f>
        <v>#NAME?</v>
      </c>
      <c r="K42" s="64" t="e">
        <f t="shared" ca="1" si="4"/>
        <v>#NAME?</v>
      </c>
      <c r="L42" s="24" t="e">
        <f ca="1">_xll.EVPRO($B$1,H42,"JDEID")</f>
        <v>#NAME?</v>
      </c>
      <c r="M42" s="24" t="e">
        <f ca="1">IF(AND(I42="N",J42="N"),_xll.EVPRO($B$1,H42,"PSFTID"),"")</f>
        <v>#NAME?</v>
      </c>
      <c r="N42" s="24" t="e">
        <f ca="1">IF(_xll.EVDES(H42,$B$1)="#NODATA","",_xll.EVDES(H42,$B$1))</f>
        <v>#NAME?</v>
      </c>
      <c r="O42" s="28"/>
      <c r="P42" s="28"/>
      <c r="Q42" s="28"/>
      <c r="R42" s="28"/>
      <c r="S42" s="28"/>
      <c r="T42" s="28"/>
      <c r="U42" s="28"/>
      <c r="V42" s="28"/>
      <c r="W42" s="28"/>
      <c r="X42" s="28"/>
      <c r="Y42" s="28"/>
      <c r="Z42" s="28"/>
      <c r="AA42" s="296" t="e">
        <f t="shared" ca="1" si="0"/>
        <v>#NAME?</v>
      </c>
      <c r="AB42" s="29" t="e">
        <f t="shared" ca="1" si="1"/>
        <v>#NAME?</v>
      </c>
      <c r="AD42" s="28"/>
      <c r="AE42" s="29" t="str">
        <f t="shared" si="2"/>
        <v/>
      </c>
      <c r="AF42" s="48" t="e">
        <f t="shared" ca="1" si="3"/>
        <v>#NAME?</v>
      </c>
      <c r="AG42" s="28"/>
      <c r="AH42" s="29" t="str">
        <f t="shared" si="5"/>
        <v/>
      </c>
      <c r="AI42" s="48" t="e">
        <f t="shared" ca="1" si="6"/>
        <v>#NAME?</v>
      </c>
      <c r="AJ42" s="381">
        <f t="shared" ca="1" si="7"/>
        <v>0</v>
      </c>
      <c r="AK42" s="382">
        <f t="shared" ca="1" si="8"/>
        <v>0</v>
      </c>
      <c r="AL42" s="383">
        <f t="shared" ca="1" si="9"/>
        <v>0</v>
      </c>
      <c r="AM42" s="384">
        <f t="shared" ca="1" si="10"/>
        <v>0</v>
      </c>
      <c r="AN42" s="385">
        <f t="shared" ca="1" si="11"/>
        <v>0</v>
      </c>
    </row>
    <row r="43" spans="1:40" x14ac:dyDescent="0.2">
      <c r="A43" s="4" t="e">
        <f ca="1">_xll.EVDRE($B$1,A46:B53,A56:B62)</f>
        <v>#NAME?</v>
      </c>
      <c r="H43" s="10" t="s">
        <v>280</v>
      </c>
      <c r="I43" s="447" t="e">
        <f ca="1">_xll.EVPRO($B$1,$H43,"STYLE")</f>
        <v>#NAME?</v>
      </c>
      <c r="J43" s="447" t="e">
        <f ca="1">_xll.EVPRO($B$1,$H43,"CALC")</f>
        <v>#NAME?</v>
      </c>
      <c r="K43" s="448" t="e">
        <f t="shared" ca="1" si="4"/>
        <v>#NAME?</v>
      </c>
      <c r="L43" s="151" t="e">
        <f ca="1">_xll.EVPRO($B$1,H43,"JDEID")</f>
        <v>#NAME?</v>
      </c>
      <c r="M43" s="151" t="e">
        <f ca="1">IF(AND(I43="N",J43="N"),_xll.EVPRO($B$1,H43,"PSFTID"),"")</f>
        <v>#NAME?</v>
      </c>
      <c r="N43" s="151" t="e">
        <f ca="1">IF(_xll.EVDES(H43,$B$1)="#NODATA","",_xll.EVDES(H43,$B$1))</f>
        <v>#NAME?</v>
      </c>
      <c r="O43" s="120"/>
      <c r="P43" s="120"/>
      <c r="Q43" s="120"/>
      <c r="R43" s="120"/>
      <c r="S43" s="120"/>
      <c r="T43" s="120"/>
      <c r="U43" s="120"/>
      <c r="V43" s="120"/>
      <c r="W43" s="120"/>
      <c r="X43" s="120"/>
      <c r="Y43" s="120"/>
      <c r="Z43" s="120"/>
      <c r="AA43" s="120" t="e">
        <f t="shared" ca="1" si="0"/>
        <v>#NAME?</v>
      </c>
      <c r="AB43" s="121" t="e">
        <f t="shared" ca="1" si="1"/>
        <v>#NAME?</v>
      </c>
      <c r="AC43" s="123"/>
      <c r="AD43" s="120"/>
      <c r="AE43" s="121" t="str">
        <f t="shared" si="2"/>
        <v/>
      </c>
      <c r="AF43" s="122" t="e">
        <f t="shared" ca="1" si="3"/>
        <v>#NAME?</v>
      </c>
      <c r="AG43" s="120"/>
      <c r="AH43" s="121" t="str">
        <f t="shared" si="5"/>
        <v/>
      </c>
      <c r="AI43" s="122" t="e">
        <f t="shared" ca="1" si="6"/>
        <v>#NAME?</v>
      </c>
      <c r="AJ43" s="332">
        <f t="shared" ca="1" si="7"/>
        <v>0</v>
      </c>
      <c r="AK43" s="333">
        <f t="shared" ca="1" si="8"/>
        <v>0</v>
      </c>
      <c r="AL43" s="335">
        <f t="shared" ca="1" si="9"/>
        <v>0</v>
      </c>
      <c r="AM43" s="377">
        <f t="shared" ca="1" si="10"/>
        <v>0</v>
      </c>
      <c r="AN43" s="378">
        <f t="shared" ca="1" si="11"/>
        <v>0</v>
      </c>
    </row>
    <row r="44" spans="1:40" x14ac:dyDescent="0.2">
      <c r="O44" s="50"/>
      <c r="AB44" s="51"/>
      <c r="AD44" s="50"/>
      <c r="AF44" s="51"/>
      <c r="AG44" s="50"/>
      <c r="AI44" s="51"/>
    </row>
    <row r="45" spans="1:40" x14ac:dyDescent="0.2">
      <c r="A45" s="3" t="s">
        <v>0</v>
      </c>
      <c r="B45" s="5" t="s">
        <v>1</v>
      </c>
      <c r="H45" s="1" t="s">
        <v>281</v>
      </c>
      <c r="I45" s="11" t="e">
        <f ca="1">_xll.EVPRO($B$1,$H45,"STYLE")</f>
        <v>#NAME?</v>
      </c>
      <c r="J45" s="11" t="e">
        <f ca="1">_xll.EVPRO($B$1,$H45,"CALC")</f>
        <v>#NAME?</v>
      </c>
      <c r="N45" s="37" t="e">
        <f ca="1">IF(_xll.EVDES(H45,$B$1)="#NODATA","",_xll.EVDES(H45,$B$1))</f>
        <v>#NAME?</v>
      </c>
      <c r="O45" s="50"/>
      <c r="AB45" s="51"/>
      <c r="AD45" s="50"/>
      <c r="AF45" s="51"/>
      <c r="AG45" s="50"/>
      <c r="AI45" s="51"/>
    </row>
    <row r="46" spans="1:40" x14ac:dyDescent="0.2">
      <c r="A46" s="6" t="s">
        <v>2</v>
      </c>
      <c r="B46" s="7" t="e">
        <f ca="1">_xll.EVRNG($B$2:$B$10)</f>
        <v>#NAME?</v>
      </c>
      <c r="H46" s="10" t="s">
        <v>415</v>
      </c>
      <c r="I46" s="25" t="e">
        <f ca="1">_xll.EVPRO($B$1,$H46,"STYLE")</f>
        <v>#NAME?</v>
      </c>
      <c r="J46" s="25" t="e">
        <f ca="1">_xll.EVPRO($B$1,$H46,"CALC")</f>
        <v>#NAME?</v>
      </c>
      <c r="K46" s="64" t="e">
        <f ca="1">IF(AND(I46&gt;="T5"),"&gt;","")</f>
        <v>#NAME?</v>
      </c>
      <c r="L46" s="24" t="e">
        <f ca="1">_xll.EVPRO($B$1,H46,"JDEID")</f>
        <v>#NAME?</v>
      </c>
      <c r="M46" s="24" t="e">
        <f ca="1">IF(AND(I46="N",J46="N"),_xll.EVPRO($B$1,H46,"PSFTID"),"")</f>
        <v>#NAME?</v>
      </c>
      <c r="N46" s="24" t="e">
        <f ca="1">IF(_xll.EVDES(H46,$B$1)="#NODATA","",_xll.EVDES(H46,$B$1))</f>
        <v>#NAME?</v>
      </c>
      <c r="O46" s="19"/>
      <c r="P46" s="19"/>
      <c r="Q46" s="19"/>
      <c r="R46" s="19"/>
      <c r="S46" s="19"/>
      <c r="T46" s="19"/>
      <c r="U46" s="19"/>
      <c r="V46" s="19"/>
      <c r="W46" s="19"/>
      <c r="X46" s="19"/>
      <c r="Y46" s="19"/>
      <c r="Z46" s="19"/>
      <c r="AA46" s="19" t="e">
        <f t="shared" ref="AA46:AA54" ca="1" si="12">IF($I46="B1","",SUM(O46:Z46))</f>
        <v>#NAME?</v>
      </c>
      <c r="AB46" s="15" t="e">
        <f ca="1">IF(AA46=0,"",IFERROR(AA46/_xll.EVGTS($B$1,1,_xll.EVPRO($B$1,$H46,"COSBASIS"),$B$3,$B$5,$B$6,$B$7,$B$9,AA$16,AA$17,AA$11),""))</f>
        <v>#NAME?</v>
      </c>
      <c r="AD46" s="19"/>
      <c r="AE46" s="15" t="str">
        <f>IF(AD46=0,"",IFERROR(AD46/_xll.EVGTS($B$1,1,_xll.EVPRO($B$1,$H46,"COSBASIS"),$B$3,$B$5,$B$6,$B$7,$B$9,AD$16,AD$17,AD$18),""))</f>
        <v/>
      </c>
      <c r="AF46" s="47" t="e">
        <f t="shared" ref="AF46:AF54" ca="1" si="13">IF(AND($AA46="",AD46=""),"",$AA46-AD46)</f>
        <v>#NAME?</v>
      </c>
      <c r="AG46" s="19"/>
      <c r="AH46" s="15" t="str">
        <f>IF(AG46=0,"",IFERROR(AG46/_xll.EVGTS($B$1,1,_xll.EVPRO($B$1,$H46,"COSBASIS"),$B$3,$B$5,$B$6,$B$7,$B$9,AG$16,AG$17,AG$18),""))</f>
        <v/>
      </c>
      <c r="AI46" s="47" t="e">
        <f ca="1">IF(AND($AA46="",AG46=""),"",$AA46-AG46)</f>
        <v>#NAME?</v>
      </c>
      <c r="AJ46" s="371">
        <f ca="1">IFERROR(AA46/AA$20,0)</f>
        <v>0</v>
      </c>
      <c r="AK46" s="372">
        <f ca="1">IFERROR(AD46/AD$20,0)</f>
        <v>0</v>
      </c>
      <c r="AL46" s="373">
        <f ca="1">IFERROR(AG46/AG$20,0)</f>
        <v>0</v>
      </c>
      <c r="AM46" s="374">
        <f ca="1">+IFERROR(ROUND(($AB46-AE46)*100,2)&amp;" pts.",0)</f>
        <v>0</v>
      </c>
      <c r="AN46" s="375">
        <f ca="1">+IFERROR(ROUND(($AB46-AH46)*100,2)&amp;" pts.",0)</f>
        <v>0</v>
      </c>
    </row>
    <row r="47" spans="1:40" x14ac:dyDescent="0.2">
      <c r="A47" s="6" t="s">
        <v>3</v>
      </c>
      <c r="B47" s="7" t="e">
        <f ca="1">_xll.EVRNG($O$16:$AN$18)</f>
        <v>#NAME?</v>
      </c>
      <c r="H47" s="10" t="s">
        <v>416</v>
      </c>
      <c r="I47" s="25" t="e">
        <f ca="1">_xll.EVPRO($B$1,$H47,"STYLE")</f>
        <v>#NAME?</v>
      </c>
      <c r="J47" s="25" t="e">
        <f ca="1">_xll.EVPRO($B$1,$H47,"CALC")</f>
        <v>#NAME?</v>
      </c>
      <c r="K47" s="64" t="e">
        <f t="shared" ref="K47:K54" ca="1" si="14">IF(AND(I47&gt;="T5"),"&gt;","")</f>
        <v>#NAME?</v>
      </c>
      <c r="L47" s="24" t="e">
        <f ca="1">_xll.EVPRO($B$1,H47,"JDEID")</f>
        <v>#NAME?</v>
      </c>
      <c r="M47" s="24" t="e">
        <f ca="1">IF(AND(I47="N",J47="N"),_xll.EVPRO($B$1,H47,"PSFTID"),"")</f>
        <v>#NAME?</v>
      </c>
      <c r="N47" s="24" t="e">
        <f ca="1">IF(_xll.EVDES(H47,$B$1)="#NODATA","",_xll.EVDES(H47,$B$1))</f>
        <v>#NAME?</v>
      </c>
      <c r="O47" s="19"/>
      <c r="P47" s="19"/>
      <c r="Q47" s="19"/>
      <c r="R47" s="19"/>
      <c r="S47" s="19"/>
      <c r="T47" s="19"/>
      <c r="U47" s="19"/>
      <c r="V47" s="19"/>
      <c r="W47" s="19"/>
      <c r="X47" s="19"/>
      <c r="Y47" s="19"/>
      <c r="Z47" s="19"/>
      <c r="AA47" s="19" t="e">
        <f t="shared" ca="1" si="12"/>
        <v>#NAME?</v>
      </c>
      <c r="AB47" s="15" t="e">
        <f ca="1">IF(AA47=0,"",IFERROR(AA47/_xll.EVGTS($B$1,1,_xll.EVPRO($B$1,$H47,"COSBASIS"),$B$3,$B$5,$B$6,$B$7,$B$9,AA$16,AA$17,AA$11),""))</f>
        <v>#NAME?</v>
      </c>
      <c r="AD47" s="19"/>
      <c r="AE47" s="15" t="str">
        <f>IF(AD47=0,"",IFERROR(AD47/_xll.EVGTS($B$1,1,_xll.EVPRO($B$1,$H47,"COSBASIS"),$B$3,$B$5,$B$6,$B$7,$B$9,AD$16,AD$17,AD$18),""))</f>
        <v/>
      </c>
      <c r="AF47" s="47" t="e">
        <f t="shared" ca="1" si="13"/>
        <v>#NAME?</v>
      </c>
      <c r="AG47" s="19"/>
      <c r="AH47" s="15" t="str">
        <f>IF(AG47=0,"",IFERROR(AG47/_xll.EVGTS($B$1,1,_xll.EVPRO($B$1,$H47,"COSBASIS"),$B$3,$B$5,$B$6,$B$7,$B$9,AG$16,AG$17,AG$18),""))</f>
        <v/>
      </c>
      <c r="AI47" s="47" t="e">
        <f t="shared" ref="AI47:AI54" ca="1" si="15">IF(AND($AA47="",AG47=""),"",$AA47-AG47)</f>
        <v>#NAME?</v>
      </c>
      <c r="AJ47" s="371">
        <f t="shared" ref="AJ47:AJ54" ca="1" si="16">IFERROR(AA47/AA$20,0)</f>
        <v>0</v>
      </c>
      <c r="AK47" s="372">
        <f t="shared" ref="AK47:AK54" ca="1" si="17">IFERROR(AD47/AD$20,0)</f>
        <v>0</v>
      </c>
      <c r="AL47" s="373">
        <f t="shared" ref="AL47:AL54" ca="1" si="18">IFERROR(AG47/AG$20,0)</f>
        <v>0</v>
      </c>
      <c r="AM47" s="374">
        <f t="shared" ref="AM47:AM54" ca="1" si="19">+IFERROR(ROUND(($AB47-AE47)*100,2)&amp;" pts.",0)</f>
        <v>0</v>
      </c>
      <c r="AN47" s="375">
        <f t="shared" ref="AN47:AN54" ca="1" si="20">+IFERROR(ROUND(($AB47-AH47)*100,2)&amp;" pts.",0)</f>
        <v>0</v>
      </c>
    </row>
    <row r="48" spans="1:40" x14ac:dyDescent="0.2">
      <c r="A48" s="6" t="s">
        <v>4</v>
      </c>
      <c r="B48" s="7" t="e">
        <f ca="1">_xll.EVRNG(H46:H54)</f>
        <v>#NAME?</v>
      </c>
      <c r="H48" s="10" t="s">
        <v>417</v>
      </c>
      <c r="I48" s="25" t="e">
        <f ca="1">_xll.EVPRO($B$1,$H48,"STYLE")</f>
        <v>#NAME?</v>
      </c>
      <c r="J48" s="25" t="e">
        <f ca="1">_xll.EVPRO($B$1,$H48,"CALC")</f>
        <v>#NAME?</v>
      </c>
      <c r="K48" s="64" t="e">
        <f t="shared" ca="1" si="14"/>
        <v>#NAME?</v>
      </c>
      <c r="L48" s="24" t="e">
        <f ca="1">_xll.EVPRO($B$1,H48,"JDEID")</f>
        <v>#NAME?</v>
      </c>
      <c r="M48" s="24" t="e">
        <f ca="1">IF(AND(I48="N",J48="N"),_xll.EVPRO($B$1,H48,"PSFTID"),"")</f>
        <v>#NAME?</v>
      </c>
      <c r="N48" s="24" t="e">
        <f ca="1">IF(_xll.EVDES(H48,$B$1)="#NODATA","",_xll.EVDES(H48,$B$1))</f>
        <v>#NAME?</v>
      </c>
      <c r="O48" s="19"/>
      <c r="P48" s="19"/>
      <c r="Q48" s="19"/>
      <c r="R48" s="19"/>
      <c r="S48" s="19"/>
      <c r="T48" s="19"/>
      <c r="U48" s="19"/>
      <c r="V48" s="19"/>
      <c r="W48" s="19"/>
      <c r="X48" s="19"/>
      <c r="Y48" s="19"/>
      <c r="Z48" s="19"/>
      <c r="AA48" s="19" t="e">
        <f t="shared" ca="1" si="12"/>
        <v>#NAME?</v>
      </c>
      <c r="AB48" s="15" t="e">
        <f ca="1">IF(AA48=0,"",IFERROR(AA48/_xll.EVGTS($B$1,1,_xll.EVPRO($B$1,$H48,"COSBASIS"),$B$3,$B$5,$B$6,$B$7,$B$9,AA$16,AA$17,AA$11),""))</f>
        <v>#NAME?</v>
      </c>
      <c r="AD48" s="19"/>
      <c r="AE48" s="15" t="str">
        <f>IF(AD48=0,"",IFERROR(AD48/_xll.EVGTS($B$1,1,_xll.EVPRO($B$1,$H48,"COSBASIS"),$B$3,$B$5,$B$6,$B$7,$B$9,AD$16,AD$17,AD$18),""))</f>
        <v/>
      </c>
      <c r="AF48" s="47" t="e">
        <f t="shared" ca="1" si="13"/>
        <v>#NAME?</v>
      </c>
      <c r="AG48" s="19"/>
      <c r="AH48" s="15" t="str">
        <f>IF(AG48=0,"",IFERROR(AG48/_xll.EVGTS($B$1,1,_xll.EVPRO($B$1,$H48,"COSBASIS"),$B$3,$B$5,$B$6,$B$7,$B$9,AG$16,AG$17,AG$18),""))</f>
        <v/>
      </c>
      <c r="AI48" s="47" t="e">
        <f t="shared" ca="1" si="15"/>
        <v>#NAME?</v>
      </c>
      <c r="AJ48" s="371">
        <f t="shared" ca="1" si="16"/>
        <v>0</v>
      </c>
      <c r="AK48" s="372">
        <f t="shared" ca="1" si="17"/>
        <v>0</v>
      </c>
      <c r="AL48" s="373">
        <f t="shared" ca="1" si="18"/>
        <v>0</v>
      </c>
      <c r="AM48" s="374">
        <f t="shared" ca="1" si="19"/>
        <v>0</v>
      </c>
      <c r="AN48" s="375">
        <f t="shared" ca="1" si="20"/>
        <v>0</v>
      </c>
    </row>
    <row r="49" spans="1:40" x14ac:dyDescent="0.2">
      <c r="A49" s="6" t="s">
        <v>5</v>
      </c>
      <c r="B49" s="7"/>
      <c r="F49" s="136"/>
      <c r="H49" s="10" t="s">
        <v>418</v>
      </c>
      <c r="I49" s="25" t="e">
        <f ca="1">_xll.EVPRO($B$1,$H49,"STYLE")</f>
        <v>#NAME?</v>
      </c>
      <c r="J49" s="25" t="e">
        <f ca="1">_xll.EVPRO($B$1,$H49,"CALC")</f>
        <v>#NAME?</v>
      </c>
      <c r="K49" s="64" t="e">
        <f t="shared" ca="1" si="14"/>
        <v>#NAME?</v>
      </c>
      <c r="L49" s="24" t="e">
        <f ca="1">_xll.EVPRO($B$1,H49,"JDEID")</f>
        <v>#NAME?</v>
      </c>
      <c r="M49" s="24" t="e">
        <f ca="1">IF(AND(I49="N",J49="N"),_xll.EVPRO($B$1,H49,"PSFTID"),"")</f>
        <v>#NAME?</v>
      </c>
      <c r="N49" s="24" t="e">
        <f ca="1">IF(_xll.EVDES(H49,$B$1)="#NODATA","",_xll.EVDES(H49,$B$1))</f>
        <v>#NAME?</v>
      </c>
      <c r="O49" s="19"/>
      <c r="P49" s="19"/>
      <c r="Q49" s="19"/>
      <c r="R49" s="19"/>
      <c r="S49" s="19"/>
      <c r="T49" s="19"/>
      <c r="U49" s="19"/>
      <c r="V49" s="19"/>
      <c r="W49" s="19"/>
      <c r="X49" s="19"/>
      <c r="Y49" s="19"/>
      <c r="Z49" s="19"/>
      <c r="AA49" s="19" t="e">
        <f t="shared" ca="1" si="12"/>
        <v>#NAME?</v>
      </c>
      <c r="AB49" s="15" t="e">
        <f ca="1">IF(AA49=0,"",IFERROR(AA49/_xll.EVGTS($B$1,1,_xll.EVPRO($B$1,$H49,"COSBASIS"),$B$3,$B$5,$B$6,$B$7,$B$9,AA$16,AA$17,AA$11),""))</f>
        <v>#NAME?</v>
      </c>
      <c r="AD49" s="19"/>
      <c r="AE49" s="15" t="str">
        <f>IF(AD49=0,"",IFERROR(AD49/_xll.EVGTS($B$1,1,_xll.EVPRO($B$1,$H49,"COSBASIS"),$B$3,$B$5,$B$6,$B$7,$B$9,AD$16,AD$17,AD$18),""))</f>
        <v/>
      </c>
      <c r="AF49" s="47" t="e">
        <f t="shared" ca="1" si="13"/>
        <v>#NAME?</v>
      </c>
      <c r="AG49" s="19"/>
      <c r="AH49" s="15" t="str">
        <f>IF(AG49=0,"",IFERROR(AG49/_xll.EVGTS($B$1,1,_xll.EVPRO($B$1,$H49,"COSBASIS"),$B$3,$B$5,$B$6,$B$7,$B$9,AG$16,AG$17,AG$18),""))</f>
        <v/>
      </c>
      <c r="AI49" s="47" t="e">
        <f t="shared" ca="1" si="15"/>
        <v>#NAME?</v>
      </c>
      <c r="AJ49" s="371">
        <f t="shared" ca="1" si="16"/>
        <v>0</v>
      </c>
      <c r="AK49" s="372">
        <f t="shared" ca="1" si="17"/>
        <v>0</v>
      </c>
      <c r="AL49" s="373">
        <f t="shared" ca="1" si="18"/>
        <v>0</v>
      </c>
      <c r="AM49" s="374">
        <f t="shared" ca="1" si="19"/>
        <v>0</v>
      </c>
      <c r="AN49" s="375">
        <f t="shared" ca="1" si="20"/>
        <v>0</v>
      </c>
    </row>
    <row r="50" spans="1:40" x14ac:dyDescent="0.2">
      <c r="A50" s="6" t="s">
        <v>6</v>
      </c>
      <c r="B50" s="7"/>
      <c r="F50" s="136"/>
      <c r="H50" s="10" t="s">
        <v>419</v>
      </c>
      <c r="I50" s="25" t="e">
        <f ca="1">_xll.EVPRO($B$1,$H50,"STYLE")</f>
        <v>#NAME?</v>
      </c>
      <c r="J50" s="25" t="e">
        <f ca="1">_xll.EVPRO($B$1,$H50,"CALC")</f>
        <v>#NAME?</v>
      </c>
      <c r="K50" s="64" t="e">
        <f t="shared" ca="1" si="14"/>
        <v>#NAME?</v>
      </c>
      <c r="L50" s="24" t="e">
        <f ca="1">_xll.EVPRO($B$1,H50,"JDEID")</f>
        <v>#NAME?</v>
      </c>
      <c r="M50" s="24" t="e">
        <f ca="1">IF(AND(I50="N",J50="N"),_xll.EVPRO($B$1,H50,"PSFTID"),"")</f>
        <v>#NAME?</v>
      </c>
      <c r="N50" s="24" t="e">
        <f ca="1">IF(_xll.EVDES(H50,$B$1)="#NODATA","",_xll.EVDES(H50,$B$1))</f>
        <v>#NAME?</v>
      </c>
      <c r="O50" s="19"/>
      <c r="P50" s="19"/>
      <c r="Q50" s="19"/>
      <c r="R50" s="19"/>
      <c r="S50" s="19"/>
      <c r="T50" s="19"/>
      <c r="U50" s="19"/>
      <c r="V50" s="19"/>
      <c r="W50" s="19"/>
      <c r="X50" s="19"/>
      <c r="Y50" s="19"/>
      <c r="Z50" s="19"/>
      <c r="AA50" s="19" t="e">
        <f t="shared" ca="1" si="12"/>
        <v>#NAME?</v>
      </c>
      <c r="AB50" s="15" t="e">
        <f ca="1">IF(AA50=0,"",IFERROR(AA50/_xll.EVGTS($B$1,1,_xll.EVPRO($B$1,$H50,"COSBASIS"),$B$3,$B$5,$B$6,$B$7,$B$9,AA$16,AA$17,AA$11),""))</f>
        <v>#NAME?</v>
      </c>
      <c r="AD50" s="19"/>
      <c r="AE50" s="15" t="str">
        <f>IF(AD50=0,"",IFERROR(AD50/_xll.EVGTS($B$1,1,_xll.EVPRO($B$1,$H50,"COSBASIS"),$B$3,$B$5,$B$6,$B$7,$B$9,AD$16,AD$17,AD$18),""))</f>
        <v/>
      </c>
      <c r="AF50" s="47" t="e">
        <f t="shared" ca="1" si="13"/>
        <v>#NAME?</v>
      </c>
      <c r="AG50" s="19"/>
      <c r="AH50" s="15" t="str">
        <f>IF(AG50=0,"",IFERROR(AG50/_xll.EVGTS($B$1,1,_xll.EVPRO($B$1,$H50,"COSBASIS"),$B$3,$B$5,$B$6,$B$7,$B$9,AG$16,AG$17,AG$18),""))</f>
        <v/>
      </c>
      <c r="AI50" s="47" t="e">
        <f t="shared" ca="1" si="15"/>
        <v>#NAME?</v>
      </c>
      <c r="AJ50" s="371">
        <f t="shared" ca="1" si="16"/>
        <v>0</v>
      </c>
      <c r="AK50" s="372">
        <f t="shared" ca="1" si="17"/>
        <v>0</v>
      </c>
      <c r="AL50" s="373">
        <f t="shared" ca="1" si="18"/>
        <v>0</v>
      </c>
      <c r="AM50" s="374">
        <f t="shared" ca="1" si="19"/>
        <v>0</v>
      </c>
      <c r="AN50" s="375">
        <f t="shared" ca="1" si="20"/>
        <v>0</v>
      </c>
    </row>
    <row r="51" spans="1:40" x14ac:dyDescent="0.2">
      <c r="A51" s="6" t="s">
        <v>7</v>
      </c>
      <c r="B51" s="7" t="e">
        <f ca="1">_xll.EVRNG(A65:F68)</f>
        <v>#NAME?</v>
      </c>
      <c r="F51" s="136"/>
      <c r="H51" s="10" t="s">
        <v>420</v>
      </c>
      <c r="I51" s="25" t="e">
        <f ca="1">_xll.EVPRO($B$1,$H51,"STYLE")</f>
        <v>#NAME?</v>
      </c>
      <c r="J51" s="25" t="e">
        <f ca="1">_xll.EVPRO($B$1,$H51,"CALC")</f>
        <v>#NAME?</v>
      </c>
      <c r="K51" s="64" t="e">
        <f t="shared" ca="1" si="14"/>
        <v>#NAME?</v>
      </c>
      <c r="L51" s="24" t="e">
        <f ca="1">_xll.EVPRO($B$1,H51,"JDEID")</f>
        <v>#NAME?</v>
      </c>
      <c r="M51" s="24" t="e">
        <f ca="1">IF(AND(I51="N",J51="N"),_xll.EVPRO($B$1,H51,"PSFTID"),"")</f>
        <v>#NAME?</v>
      </c>
      <c r="N51" s="24" t="e">
        <f ca="1">IF(_xll.EVDES(H51,$B$1)="#NODATA","",_xll.EVDES(H51,$B$1))</f>
        <v>#NAME?</v>
      </c>
      <c r="O51" s="19"/>
      <c r="P51" s="19"/>
      <c r="Q51" s="19"/>
      <c r="R51" s="19"/>
      <c r="S51" s="19"/>
      <c r="T51" s="19"/>
      <c r="U51" s="19"/>
      <c r="V51" s="19"/>
      <c r="W51" s="19"/>
      <c r="X51" s="19"/>
      <c r="Y51" s="19"/>
      <c r="Z51" s="19"/>
      <c r="AA51" s="19" t="e">
        <f t="shared" ca="1" si="12"/>
        <v>#NAME?</v>
      </c>
      <c r="AB51" s="15" t="e">
        <f ca="1">IF(AA51=0,"",IFERROR(AA51/_xll.EVGTS($B$1,1,_xll.EVPRO($B$1,$H51,"COSBASIS"),$B$3,$B$5,$B$6,$B$7,$B$9,AA$16,AA$17,AA$11),""))</f>
        <v>#NAME?</v>
      </c>
      <c r="AD51" s="19"/>
      <c r="AE51" s="15" t="str">
        <f>IF(AD51=0,"",IFERROR(AD51/_xll.EVGTS($B$1,1,_xll.EVPRO($B$1,$H51,"COSBASIS"),$B$3,$B$5,$B$6,$B$7,$B$9,AD$16,AD$17,AD$18),""))</f>
        <v/>
      </c>
      <c r="AF51" s="47" t="e">
        <f t="shared" ca="1" si="13"/>
        <v>#NAME?</v>
      </c>
      <c r="AG51" s="19"/>
      <c r="AH51" s="15" t="str">
        <f>IF(AG51=0,"",IFERROR(AG51/_xll.EVGTS($B$1,1,_xll.EVPRO($B$1,$H51,"COSBASIS"),$B$3,$B$5,$B$6,$B$7,$B$9,AG$16,AG$17,AG$18),""))</f>
        <v/>
      </c>
      <c r="AI51" s="47" t="e">
        <f t="shared" ca="1" si="15"/>
        <v>#NAME?</v>
      </c>
      <c r="AJ51" s="371">
        <f t="shared" ca="1" si="16"/>
        <v>0</v>
      </c>
      <c r="AK51" s="372">
        <f t="shared" ca="1" si="17"/>
        <v>0</v>
      </c>
      <c r="AL51" s="373">
        <f t="shared" ca="1" si="18"/>
        <v>0</v>
      </c>
      <c r="AM51" s="374">
        <f t="shared" ca="1" si="19"/>
        <v>0</v>
      </c>
      <c r="AN51" s="375">
        <f t="shared" ca="1" si="20"/>
        <v>0</v>
      </c>
    </row>
    <row r="52" spans="1:40" x14ac:dyDescent="0.2">
      <c r="A52" s="6" t="s">
        <v>47</v>
      </c>
      <c r="B52" s="7" t="e">
        <f ca="1">_xll.EVRNG($A$116:$B$137)</f>
        <v>#NAME?</v>
      </c>
      <c r="H52" s="10" t="s">
        <v>421</v>
      </c>
      <c r="I52" s="25" t="e">
        <f ca="1">_xll.EVPRO($B$1,$H52,"STYLE")</f>
        <v>#NAME?</v>
      </c>
      <c r="J52" s="25" t="e">
        <f ca="1">_xll.EVPRO($B$1,$H52,"CALC")</f>
        <v>#NAME?</v>
      </c>
      <c r="K52" s="64" t="e">
        <f t="shared" ca="1" si="14"/>
        <v>#NAME?</v>
      </c>
      <c r="L52" s="24" t="e">
        <f ca="1">_xll.EVPRO($B$1,H52,"JDEID")</f>
        <v>#NAME?</v>
      </c>
      <c r="M52" s="24" t="e">
        <f ca="1">IF(AND(I52="N",J52="N"),_xll.EVPRO($B$1,H52,"PSFTID"),"")</f>
        <v>#NAME?</v>
      </c>
      <c r="N52" s="24" t="e">
        <f ca="1">IF(_xll.EVDES(H52,$B$1)="#NODATA","",_xll.EVDES(H52,$B$1))</f>
        <v>#NAME?</v>
      </c>
      <c r="O52" s="19"/>
      <c r="P52" s="19"/>
      <c r="Q52" s="19"/>
      <c r="R52" s="19"/>
      <c r="S52" s="19"/>
      <c r="T52" s="19"/>
      <c r="U52" s="19"/>
      <c r="V52" s="19"/>
      <c r="W52" s="19"/>
      <c r="X52" s="19"/>
      <c r="Y52" s="19"/>
      <c r="Z52" s="19"/>
      <c r="AA52" s="19" t="e">
        <f t="shared" ca="1" si="12"/>
        <v>#NAME?</v>
      </c>
      <c r="AB52" s="15" t="e">
        <f ca="1">IF(AA52=0,"",IFERROR(AA52/_xll.EVGTS($B$1,1,_xll.EVPRO($B$1,$H52,"COSBASIS"),$B$3,$B$5,$B$6,$B$7,$B$9,AA$16,AA$17,AA$11),""))</f>
        <v>#NAME?</v>
      </c>
      <c r="AD52" s="19"/>
      <c r="AE52" s="15" t="str">
        <f>IF(AD52=0,"",IFERROR(AD52/_xll.EVGTS($B$1,1,_xll.EVPRO($B$1,$H52,"COSBASIS"),$B$3,$B$5,$B$6,$B$7,$B$9,AD$16,AD$17,AD$18),""))</f>
        <v/>
      </c>
      <c r="AF52" s="47" t="e">
        <f t="shared" ca="1" si="13"/>
        <v>#NAME?</v>
      </c>
      <c r="AG52" s="19"/>
      <c r="AH52" s="15" t="str">
        <f>IF(AG52=0,"",IFERROR(AG52/_xll.EVGTS($B$1,1,_xll.EVPRO($B$1,$H52,"COSBASIS"),$B$3,$B$5,$B$6,$B$7,$B$9,AG$16,AG$17,AG$18),""))</f>
        <v/>
      </c>
      <c r="AI52" s="47" t="e">
        <f t="shared" ca="1" si="15"/>
        <v>#NAME?</v>
      </c>
      <c r="AJ52" s="371">
        <f t="shared" ca="1" si="16"/>
        <v>0</v>
      </c>
      <c r="AK52" s="372">
        <f t="shared" ca="1" si="17"/>
        <v>0</v>
      </c>
      <c r="AL52" s="373">
        <f t="shared" ca="1" si="18"/>
        <v>0</v>
      </c>
      <c r="AM52" s="374">
        <f t="shared" ca="1" si="19"/>
        <v>0</v>
      </c>
      <c r="AN52" s="375">
        <f t="shared" ca="1" si="20"/>
        <v>0</v>
      </c>
    </row>
    <row r="53" spans="1:40" x14ac:dyDescent="0.2">
      <c r="A53" s="6" t="s">
        <v>8</v>
      </c>
      <c r="B53" s="7"/>
      <c r="H53" s="10" t="s">
        <v>422</v>
      </c>
      <c r="I53" s="25" t="e">
        <f ca="1">_xll.EVPRO($B$1,$H53,"STYLE")</f>
        <v>#NAME?</v>
      </c>
      <c r="J53" s="25" t="e">
        <f ca="1">_xll.EVPRO($B$1,$H53,"CALC")</f>
        <v>#NAME?</v>
      </c>
      <c r="K53" s="64" t="e">
        <f t="shared" ca="1" si="14"/>
        <v>#NAME?</v>
      </c>
      <c r="L53" s="24" t="e">
        <f ca="1">_xll.EVPRO($B$1,H53,"JDEID")</f>
        <v>#NAME?</v>
      </c>
      <c r="M53" s="24" t="e">
        <f ca="1">IF(AND(I53="N",J53="N"),_xll.EVPRO($B$1,H53,"PSFTID"),"")</f>
        <v>#NAME?</v>
      </c>
      <c r="N53" s="24" t="e">
        <f ca="1">IF(_xll.EVDES(H53,$B$1)="#NODATA","",_xll.EVDES(H53,$B$1))</f>
        <v>#NAME?</v>
      </c>
      <c r="O53" s="28"/>
      <c r="P53" s="28"/>
      <c r="Q53" s="28"/>
      <c r="R53" s="28"/>
      <c r="S53" s="28"/>
      <c r="T53" s="28"/>
      <c r="U53" s="28"/>
      <c r="V53" s="28"/>
      <c r="W53" s="28"/>
      <c r="X53" s="28"/>
      <c r="Y53" s="28"/>
      <c r="Z53" s="28"/>
      <c r="AA53" s="28" t="e">
        <f t="shared" ca="1" si="12"/>
        <v>#NAME?</v>
      </c>
      <c r="AB53" s="29" t="e">
        <f ca="1">IF(AA53=0,"",IFERROR(AA53/_xll.EVGTS($B$1,1,_xll.EVPRO($B$1,$H53,"COSBASIS"),$B$3,$B$5,$B$6,$B$7,$B$9,AA$16,AA$17,AA$11),""))</f>
        <v>#NAME?</v>
      </c>
      <c r="AD53" s="28"/>
      <c r="AE53" s="29" t="str">
        <f>IF(AD53=0,"",IFERROR(AD53/_xll.EVGTS($B$1,1,_xll.EVPRO($B$1,$H53,"COSBASIS"),$B$3,$B$5,$B$6,$B$7,$B$9,AD$16,AD$17,AD$18),""))</f>
        <v/>
      </c>
      <c r="AF53" s="48" t="e">
        <f t="shared" ca="1" si="13"/>
        <v>#NAME?</v>
      </c>
      <c r="AG53" s="28"/>
      <c r="AH53" s="29" t="str">
        <f>IF(AG53=0,"",IFERROR(AG53/_xll.EVGTS($B$1,1,_xll.EVPRO($B$1,$H53,"COSBASIS"),$B$3,$B$5,$B$6,$B$7,$B$9,AG$16,AG$17,AG$18),""))</f>
        <v/>
      </c>
      <c r="AI53" s="48" t="e">
        <f t="shared" ca="1" si="15"/>
        <v>#NAME?</v>
      </c>
      <c r="AJ53" s="381">
        <f t="shared" ca="1" si="16"/>
        <v>0</v>
      </c>
      <c r="AK53" s="382">
        <f t="shared" ca="1" si="17"/>
        <v>0</v>
      </c>
      <c r="AL53" s="383">
        <f t="shared" ca="1" si="18"/>
        <v>0</v>
      </c>
      <c r="AM53" s="384">
        <f t="shared" ca="1" si="19"/>
        <v>0</v>
      </c>
      <c r="AN53" s="385">
        <f t="shared" ca="1" si="20"/>
        <v>0</v>
      </c>
    </row>
    <row r="54" spans="1:40" x14ac:dyDescent="0.2">
      <c r="H54" s="10" t="s">
        <v>289</v>
      </c>
      <c r="I54" s="447" t="e">
        <f ca="1">_xll.EVPRO($B$1,$H54,"STYLE")</f>
        <v>#NAME?</v>
      </c>
      <c r="J54" s="447" t="e">
        <f ca="1">_xll.EVPRO($B$1,$H54,"CALC")</f>
        <v>#NAME?</v>
      </c>
      <c r="K54" s="448" t="e">
        <f t="shared" ca="1" si="14"/>
        <v>#NAME?</v>
      </c>
      <c r="L54" s="151" t="e">
        <f ca="1">_xll.EVPRO($B$1,H54,"JDEID")</f>
        <v>#NAME?</v>
      </c>
      <c r="M54" s="151" t="e">
        <f ca="1">IF(AND(I54="N",J54="N"),_xll.EVPRO($B$1,H54,"PSFTID"),"")</f>
        <v>#NAME?</v>
      </c>
      <c r="N54" s="151" t="e">
        <f ca="1">IF(_xll.EVDES(H54,$B$1)="#NODATA","",_xll.EVDES(H54,$B$1))</f>
        <v>#NAME?</v>
      </c>
      <c r="O54" s="120"/>
      <c r="P54" s="120"/>
      <c r="Q54" s="120"/>
      <c r="R54" s="120"/>
      <c r="S54" s="120"/>
      <c r="T54" s="120"/>
      <c r="U54" s="120"/>
      <c r="V54" s="120"/>
      <c r="W54" s="120"/>
      <c r="X54" s="120"/>
      <c r="Y54" s="120"/>
      <c r="Z54" s="120"/>
      <c r="AA54" s="120" t="e">
        <f t="shared" ca="1" si="12"/>
        <v>#NAME?</v>
      </c>
      <c r="AB54" s="121" t="e">
        <f ca="1">IF(AA54=0,"",IFERROR(AA54/_xll.EVGTS($B$1,1,_xll.EVPRO($B$1,$H54,"COSBASIS"),$B$3,$B$5,$B$6,$B$7,$B$9,AA$16,AA$17,AA$11),""))</f>
        <v>#NAME?</v>
      </c>
      <c r="AC54" s="123"/>
      <c r="AD54" s="120"/>
      <c r="AE54" s="121" t="str">
        <f>IF(AD54=0,"",IFERROR(AD54/_xll.EVGTS($B$1,1,_xll.EVPRO($B$1,$H54,"COSBASIS"),$B$3,$B$5,$B$6,$B$7,$B$9,AD$16,AD$17,AD$18),""))</f>
        <v/>
      </c>
      <c r="AF54" s="122" t="e">
        <f t="shared" ca="1" si="13"/>
        <v>#NAME?</v>
      </c>
      <c r="AG54" s="120"/>
      <c r="AH54" s="121" t="str">
        <f>IF(AG54=0,"",IFERROR(AG54/_xll.EVGTS($B$1,1,_xll.EVPRO($B$1,$H54,"COSBASIS"),$B$3,$B$5,$B$6,$B$7,$B$9,AG$16,AG$17,AG$18),""))</f>
        <v/>
      </c>
      <c r="AI54" s="122" t="e">
        <f t="shared" ca="1" si="15"/>
        <v>#NAME?</v>
      </c>
      <c r="AJ54" s="332">
        <f t="shared" ca="1" si="16"/>
        <v>0</v>
      </c>
      <c r="AK54" s="333">
        <f t="shared" ca="1" si="17"/>
        <v>0</v>
      </c>
      <c r="AL54" s="335">
        <f t="shared" ca="1" si="18"/>
        <v>0</v>
      </c>
      <c r="AM54" s="377">
        <f t="shared" ca="1" si="19"/>
        <v>0</v>
      </c>
      <c r="AN54" s="378">
        <f t="shared" ca="1" si="20"/>
        <v>0</v>
      </c>
    </row>
    <row r="55" spans="1:40" x14ac:dyDescent="0.2">
      <c r="A55" s="3" t="s">
        <v>9</v>
      </c>
      <c r="B55" s="5" t="s">
        <v>10</v>
      </c>
      <c r="H55" s="133" t="s">
        <v>175</v>
      </c>
      <c r="I55" s="26" t="e">
        <f ca="1">_xll.EVPRO($B$1,$H55,"STYLE")</f>
        <v>#NAME?</v>
      </c>
      <c r="J55" s="26" t="e">
        <f ca="1">_xll.EVPRO($B$1,$H55,"CALC")</f>
        <v>#NAME?</v>
      </c>
      <c r="K55" s="65" t="e">
        <f ca="1">IF(AND(I55&gt;="T5"),"&gt;","")</f>
        <v>#NAME?</v>
      </c>
      <c r="L55" s="65"/>
      <c r="M55" s="65"/>
      <c r="N55" s="23" t="e">
        <f ca="1">IF(_xll.EVDES(H55,$B$1)="#NODATA","",_xll.EVDES(H55,$B$1))</f>
        <v>#NAME?</v>
      </c>
      <c r="O55" s="44"/>
      <c r="P55" s="44"/>
      <c r="Q55" s="44"/>
      <c r="R55" s="44"/>
      <c r="S55" s="44"/>
      <c r="T55" s="44"/>
      <c r="U55" s="44"/>
      <c r="V55" s="44"/>
      <c r="W55" s="44"/>
      <c r="X55" s="44"/>
      <c r="Y55" s="44"/>
      <c r="Z55" s="44"/>
      <c r="AA55" s="44"/>
      <c r="AB55" s="45" t="str">
        <f>IF(O55=0,"",IFERROR(O55/_xll.EVGTS($B$1,1,INDEX($C$143:$C$166,MATCH($H55,$A$143:$A$166,0)),$B$3,$B$5,$B$6,$B$7,$B$9,O$16,O$17,O$18),""))</f>
        <v/>
      </c>
      <c r="AD55" s="44"/>
      <c r="AE55" s="45" t="str">
        <f>IF(AD55=0,"",IFERROR(AD55/_xll.EVGTS($B$1,1,INDEX($C$143:$C$166,MATCH($H55,$A$143:$A$166,0)),$B$3,$B$5,$B$6,$B$7,$B$9,AD$16,AD$17,AD$18),""))</f>
        <v/>
      </c>
      <c r="AF55" s="134" t="str">
        <f t="shared" ref="AF55:AF56" si="21">IF(AND($AA55="",AD55=""),"",$AA55-AD55)</f>
        <v/>
      </c>
      <c r="AG55" s="44"/>
      <c r="AH55" s="45" t="str">
        <f>IF(AG55=0,"",IFERROR(AG55/_xll.EVGTS($B$1,1,INDEX($C$143:$C$166,MATCH($H55,$A$143:$A$166,0)),$B$3,$B$5,$B$6,$B$7,$B$9,AG$16,AG$17,AG$18),""))</f>
        <v/>
      </c>
      <c r="AI55" s="134" t="str">
        <f>IF(AND($AA55="",AG55=""),"",$AA55-AG55)</f>
        <v/>
      </c>
      <c r="AJ55" s="392">
        <f ca="1">IFERROR(AA55/AA$20,0)</f>
        <v>0</v>
      </c>
      <c r="AK55" s="393">
        <f ca="1">IFERROR(AD55/AD$20,0)</f>
        <v>0</v>
      </c>
      <c r="AL55" s="394">
        <f ca="1">IFERROR(AG55/AG$20,0)</f>
        <v>0</v>
      </c>
      <c r="AM55" s="395">
        <f>+IFERROR(ROUND(($AB55-AE55)*100,2)&amp;" pts.",0)</f>
        <v>0</v>
      </c>
      <c r="AN55" s="396">
        <f>+IFERROR(ROUND(($AB55-AH55)*100,2)&amp;" pts.",0)</f>
        <v>0</v>
      </c>
    </row>
    <row r="56" spans="1:40" x14ac:dyDescent="0.2">
      <c r="A56" s="6" t="s">
        <v>11</v>
      </c>
      <c r="B56" s="7" t="s">
        <v>21</v>
      </c>
      <c r="G56" s="13"/>
      <c r="H56" s="133" t="s">
        <v>292</v>
      </c>
      <c r="I56" s="26" t="e">
        <f ca="1">_xll.EVPRO($B$1,$H56,"STYLE")</f>
        <v>#NAME?</v>
      </c>
      <c r="J56" s="26" t="e">
        <f ca="1">_xll.EVPRO($B$1,$H56,"CALC")</f>
        <v>#NAME?</v>
      </c>
      <c r="K56" s="65" t="e">
        <f ca="1">IF(AND(I56&gt;="T5"),"&gt;","")</f>
        <v>#NAME?</v>
      </c>
      <c r="L56" s="65"/>
      <c r="M56" s="65"/>
      <c r="N56" s="23" t="e">
        <f ca="1">IF(_xll.EVDES(H56,$B$1)="#NODATA","",_xll.EVDES(H56,$B$1))</f>
        <v>#NAME?</v>
      </c>
      <c r="O56" s="145">
        <f>SUMIF($H$34:$H$54,"400000",O34:O54)-SUMIF($H$34:$H$54,"500001",O34:O54)</f>
        <v>0</v>
      </c>
      <c r="P56" s="145">
        <f t="shared" ref="P56:Z56" si="22">SUMIF($H$34:$H$54,"400000",P34:P54)-SUMIF($H$34:$H$54,"500001",P34:P54)</f>
        <v>0</v>
      </c>
      <c r="Q56" s="145">
        <f t="shared" si="22"/>
        <v>0</v>
      </c>
      <c r="R56" s="145">
        <f t="shared" si="22"/>
        <v>0</v>
      </c>
      <c r="S56" s="145">
        <f t="shared" si="22"/>
        <v>0</v>
      </c>
      <c r="T56" s="145">
        <f t="shared" si="22"/>
        <v>0</v>
      </c>
      <c r="U56" s="145">
        <f t="shared" si="22"/>
        <v>0</v>
      </c>
      <c r="V56" s="145">
        <f t="shared" si="22"/>
        <v>0</v>
      </c>
      <c r="W56" s="145">
        <f t="shared" si="22"/>
        <v>0</v>
      </c>
      <c r="X56" s="145">
        <f t="shared" si="22"/>
        <v>0</v>
      </c>
      <c r="Y56" s="145">
        <f t="shared" si="22"/>
        <v>0</v>
      </c>
      <c r="Z56" s="145">
        <f t="shared" si="22"/>
        <v>0</v>
      </c>
      <c r="AA56" s="145" t="e">
        <f ca="1">IF($I56="B1","",SUM(O56:Z56))</f>
        <v>#NAME?</v>
      </c>
      <c r="AB56" s="121" t="e">
        <f ca="1">IF(AA56=0,"",IFERROR(AA56/AA$19,""))</f>
        <v>#NAME?</v>
      </c>
      <c r="AD56" s="145">
        <f>SUMIF($H$34:$H$54,"400000",AD34:AD54)-SUMIF($H$34:$H$54,"500001",AD34:AD54)</f>
        <v>0</v>
      </c>
      <c r="AE56" s="121" t="str">
        <f>IF(AD56=0,"",IFERROR(AD56/AD$19,""))</f>
        <v/>
      </c>
      <c r="AF56" s="146" t="e">
        <f t="shared" ca="1" si="21"/>
        <v>#NAME?</v>
      </c>
      <c r="AG56" s="145">
        <f>SUMIF($H$34:$H$54,"400000",AG34:AG54)-SUMIF($H$34:$H$54,"500001",AG34:AG54)</f>
        <v>0</v>
      </c>
      <c r="AH56" s="121" t="str">
        <f>IF(AG56=0,"",IFERROR(AG56/AG$19,""))</f>
        <v/>
      </c>
      <c r="AI56" s="146" t="e">
        <f ca="1">IF(AND($AA56="",AG56=""),"",$AA56-AG56)</f>
        <v>#NAME?</v>
      </c>
      <c r="AJ56" s="364">
        <f ca="1">IFERROR(AA56/AA$20,0)</f>
        <v>0</v>
      </c>
      <c r="AK56" s="365">
        <f ca="1">IFERROR(AD56/AD$20,0)</f>
        <v>0</v>
      </c>
      <c r="AL56" s="366">
        <f ca="1">IFERROR(AG56/AG$20,0)</f>
        <v>0</v>
      </c>
      <c r="AM56" s="367">
        <f ca="1">+IFERROR(ROUND(($AB56-AE56)*100,2)&amp;" pts.",0)</f>
        <v>0</v>
      </c>
      <c r="AN56" s="409">
        <f ca="1">+IFERROR(ROUND(($AB56-AH56)*100,2)&amp;" pts.",0)</f>
        <v>0</v>
      </c>
    </row>
    <row r="57" spans="1:40" x14ac:dyDescent="0.2">
      <c r="A57" s="6" t="s">
        <v>12</v>
      </c>
      <c r="B57" s="7" t="s">
        <v>22</v>
      </c>
      <c r="O57" s="144"/>
      <c r="P57" s="147"/>
      <c r="Q57" s="147"/>
      <c r="R57" s="147"/>
      <c r="S57" s="147"/>
      <c r="T57" s="147"/>
      <c r="U57" s="147"/>
      <c r="V57" s="147"/>
      <c r="W57" s="147"/>
      <c r="X57" s="147"/>
      <c r="Y57" s="147"/>
      <c r="Z57" s="147"/>
      <c r="AA57" s="147"/>
      <c r="AB57" s="51"/>
      <c r="AD57" s="144"/>
      <c r="AF57" s="51"/>
      <c r="AI57" s="51"/>
    </row>
    <row r="58" spans="1:40" x14ac:dyDescent="0.2">
      <c r="A58" s="6" t="s">
        <v>13</v>
      </c>
      <c r="B58" s="7" t="e">
        <f ca="1">"DEP(569000) AND "&amp;$E$6&amp;"=Y,500001"</f>
        <v>#NAME?</v>
      </c>
      <c r="H58" s="1" t="s">
        <v>73</v>
      </c>
      <c r="I58" s="11" t="e">
        <f ca="1">_xll.EVPRO($B$1,$H58,"STYLE")</f>
        <v>#NAME?</v>
      </c>
      <c r="J58" s="11" t="e">
        <f ca="1">_xll.EVPRO($B$1,$H58,"CALC")</f>
        <v>#NAME?</v>
      </c>
      <c r="N58" s="37" t="e">
        <f ca="1">IF(_xll.EVDES(H58,$B$1)="#NODATA","",_xll.EVDES(H58,$B$1))</f>
        <v>#NAME?</v>
      </c>
      <c r="O58" s="50"/>
      <c r="AB58" s="149"/>
      <c r="AD58" s="148"/>
      <c r="AE58" s="150"/>
      <c r="AF58" s="51"/>
      <c r="AH58" s="150"/>
      <c r="AI58" s="51"/>
    </row>
    <row r="59" spans="1:40" x14ac:dyDescent="0.2">
      <c r="A59" s="6" t="s">
        <v>14</v>
      </c>
      <c r="B59" s="7"/>
      <c r="H59" s="1" t="s">
        <v>74</v>
      </c>
      <c r="I59" s="11" t="e">
        <f ca="1">_xll.EVPRO($B$1,$H59,"STYLE")</f>
        <v>#NAME?</v>
      </c>
      <c r="J59" s="11" t="e">
        <f ca="1">_xll.EVPRO($B$1,$H59,"CALC")</f>
        <v>#NAME?</v>
      </c>
      <c r="N59" s="8" t="e">
        <f ca="1">IF(_xll.EVDES(H59,$B$1)="#NODATA","",_xll.EVDES(H59,$B$1))</f>
        <v>#NAME?</v>
      </c>
      <c r="O59" s="40"/>
      <c r="P59" s="43"/>
      <c r="Q59" s="43"/>
      <c r="R59" s="43"/>
      <c r="S59" s="43"/>
      <c r="T59" s="43"/>
      <c r="U59" s="43"/>
      <c r="V59" s="43"/>
      <c r="W59" s="43"/>
      <c r="X59" s="43"/>
      <c r="Y59" s="43"/>
      <c r="Z59" s="43"/>
      <c r="AA59" s="43"/>
      <c r="AB59" s="41"/>
      <c r="AD59" s="40"/>
      <c r="AE59" s="43"/>
      <c r="AF59" s="41"/>
      <c r="AG59" s="43"/>
      <c r="AH59" s="43"/>
      <c r="AI59" s="41"/>
    </row>
    <row r="60" spans="1:40" hidden="1" x14ac:dyDescent="0.2">
      <c r="A60" s="6" t="s">
        <v>15</v>
      </c>
      <c r="B60" s="7"/>
      <c r="H60" s="10" t="s">
        <v>667</v>
      </c>
      <c r="I60" s="25" t="e">
        <f ca="1">_xll.EVPRO($B$1,$H60,"STYLE")</f>
        <v>#NAME?</v>
      </c>
      <c r="J60" s="25" t="e">
        <f ca="1">_xll.EVPRO($B$1,$H60,"CALC")</f>
        <v>#NAME?</v>
      </c>
      <c r="K60" s="64" t="e">
        <f ca="1">IF(AND(I60&gt;="T3"),"&gt;","")</f>
        <v>#NAME?</v>
      </c>
      <c r="L60" s="24" t="e">
        <f ca="1">_xll.EVPRO($B$1,H60,"JDEID")</f>
        <v>#NAME?</v>
      </c>
      <c r="M60" s="24" t="e">
        <f ca="1">IF(AND(I60="N",J60="N"),_xll.EVPRO($B$1,H60,"PSFTID"),"")</f>
        <v>#NAME?</v>
      </c>
      <c r="N60" s="24" t="e">
        <f ca="1">IF(_xll.EVDES(H60,$B$1)="#NODATA","",_xll.EVDES(H60,$B$1))</f>
        <v>#NAME?</v>
      </c>
      <c r="O60" s="35"/>
      <c r="P60" s="35"/>
      <c r="Q60" s="35"/>
      <c r="R60" s="35"/>
      <c r="S60" s="35"/>
      <c r="T60" s="35"/>
      <c r="U60" s="35"/>
      <c r="V60" s="35"/>
      <c r="W60" s="35"/>
      <c r="X60" s="35"/>
      <c r="Y60" s="35"/>
      <c r="Z60" s="35"/>
      <c r="AA60" s="35" t="e">
        <f ca="1">IF($I60="B1","",SUM(O60:Z60))</f>
        <v>#NAME?</v>
      </c>
      <c r="AB60" s="36" t="e">
        <f ca="1">IF(AA60=0,"",IFERROR(AA60/AA$19,""))</f>
        <v>#NAME?</v>
      </c>
      <c r="AD60" s="35"/>
      <c r="AE60" s="36" t="str">
        <f>IF(AD60=0,"",IFERROR(AD60/AD$19,""))</f>
        <v/>
      </c>
      <c r="AF60" s="118" t="e">
        <f ca="1">IF(AND($AA60="",AD60=""),"",$AA60-AD60)</f>
        <v>#NAME?</v>
      </c>
      <c r="AG60" s="35"/>
      <c r="AH60" s="36" t="str">
        <f>IF(AG60=0,"",IFERROR(AG60/AG$19,""))</f>
        <v/>
      </c>
      <c r="AI60" s="118" t="e">
        <f ca="1">IF(AND($AA60="",AG60=""),"",$AA60-AG60)</f>
        <v>#NAME?</v>
      </c>
      <c r="AJ60" s="371">
        <f ca="1">IFERROR(AA60/AA$20,0)</f>
        <v>0</v>
      </c>
      <c r="AK60" s="372">
        <f ca="1">IFERROR(AD60/AD$20,0)</f>
        <v>0</v>
      </c>
      <c r="AL60" s="373">
        <f ca="1">IFERROR(AG60/AG$20,0)</f>
        <v>0</v>
      </c>
      <c r="AM60" s="374">
        <f ca="1">+IFERROR(ROUND(($AB60-AE60)*100,2)&amp;" pts.",0)</f>
        <v>0</v>
      </c>
      <c r="AN60" s="375">
        <f ca="1">+IFERROR(ROUND(($AB60-AH60)*100,2)&amp;" pts.",0)</f>
        <v>0</v>
      </c>
    </row>
    <row r="61" spans="1:40" hidden="1" x14ac:dyDescent="0.2">
      <c r="A61" s="6" t="s">
        <v>16</v>
      </c>
      <c r="B61" s="7"/>
      <c r="H61" s="10"/>
      <c r="I61" s="25" t="e">
        <f ca="1">_xll.EVPRO($B$1,$H61,"STYLE")</f>
        <v>#NAME?</v>
      </c>
      <c r="J61" s="25" t="e">
        <f ca="1">_xll.EVPRO($B$1,$H61,"CALC")</f>
        <v>#NAME?</v>
      </c>
      <c r="K61" s="64" t="e">
        <f ca="1">IF(AND(I61&gt;="T3"),"&gt;","")</f>
        <v>#NAME?</v>
      </c>
      <c r="L61" s="24" t="e">
        <f ca="1">_xll.EVPRO($B$1,H61,"JDEID")</f>
        <v>#NAME?</v>
      </c>
      <c r="M61" s="24" t="e">
        <f ca="1">IF(AND(I61="N",J61="N"),_xll.EVPRO($B$1,H61,"PSFTID"),"")</f>
        <v>#NAME?</v>
      </c>
      <c r="N61" s="24" t="e">
        <f ca="1">IF(_xll.EVDES(H61,$B$1)="#NODATA","",_xll.EVDES(H61,$B$1))</f>
        <v>#NAME?</v>
      </c>
      <c r="O61" s="35"/>
      <c r="P61" s="35"/>
      <c r="Q61" s="35"/>
      <c r="R61" s="35"/>
      <c r="S61" s="35"/>
      <c r="T61" s="35"/>
      <c r="U61" s="35"/>
      <c r="V61" s="35"/>
      <c r="W61" s="35"/>
      <c r="X61" s="35"/>
      <c r="Y61" s="35"/>
      <c r="Z61" s="35"/>
      <c r="AA61" s="35" t="e">
        <f ca="1">IF($I61="B1","",SUM(O61:Z61))</f>
        <v>#NAME?</v>
      </c>
      <c r="AB61" s="36" t="e">
        <f ca="1">IF(AA61=0,"",IFERROR(AA61/AA$19,""))</f>
        <v>#NAME?</v>
      </c>
      <c r="AD61" s="35"/>
      <c r="AE61" s="36" t="str">
        <f>IF(AD61=0,"",IFERROR(AD61/AD$19,""))</f>
        <v/>
      </c>
      <c r="AF61" s="118" t="e">
        <f ca="1">IF(AND($AA61="",AD61=""),"",$AA61-AD61)</f>
        <v>#NAME?</v>
      </c>
      <c r="AG61" s="35"/>
      <c r="AH61" s="36" t="str">
        <f>IF(AG61=0,"",IFERROR(AG61/AG$19,""))</f>
        <v/>
      </c>
      <c r="AI61" s="118" t="e">
        <f ca="1">IF(AND($AA61="",AG61=""),"",$AA61-AG61)</f>
        <v>#NAME?</v>
      </c>
      <c r="AJ61" s="371">
        <f ca="1">IFERROR(AA61/AA$20,0)</f>
        <v>0</v>
      </c>
      <c r="AK61" s="372">
        <f ca="1">IFERROR(AD61/AD$20,0)</f>
        <v>0</v>
      </c>
      <c r="AL61" s="373">
        <f ca="1">IFERROR(AG61/AG$20,0)</f>
        <v>0</v>
      </c>
      <c r="AM61" s="374">
        <f ca="1">+IFERROR(ROUND(($AB61-AE61)*100,2)&amp;" pts.",0)</f>
        <v>0</v>
      </c>
      <c r="AN61" s="375">
        <f ca="1">+IFERROR(ROUND(($AB61-AH61)*100,2)&amp;" pts.",0)</f>
        <v>0</v>
      </c>
    </row>
    <row r="62" spans="1:40" x14ac:dyDescent="0.2">
      <c r="A62" s="6" t="s">
        <v>17</v>
      </c>
      <c r="B62" s="7"/>
      <c r="H62" s="10" t="s">
        <v>75</v>
      </c>
      <c r="I62" s="26" t="e">
        <f ca="1">_xll.EVPRO($B$1,$H62,"STYLE")</f>
        <v>#NAME?</v>
      </c>
      <c r="J62" s="26" t="e">
        <f ca="1">_xll.EVPRO($B$1,$H62,"CALC")</f>
        <v>#NAME?</v>
      </c>
      <c r="K62" s="65" t="e">
        <f ca="1">IF(AND(I62&gt;="T3"),"&gt;","")</f>
        <v>#NAME?</v>
      </c>
      <c r="L62" s="23" t="e">
        <f ca="1">_xll.EVPRO($B$1,H62,"JDEID")</f>
        <v>#NAME?</v>
      </c>
      <c r="M62" s="24" t="e">
        <f ca="1">IF(AND(I62="N",J62="N"),_xll.EVPRO($B$1,H62,"PSFTID"),"")</f>
        <v>#NAME?</v>
      </c>
      <c r="N62" s="23" t="e">
        <f ca="1">IF(_xll.EVDES(H62,$B$1)="#NODATA","",_xll.EVDES(H62,$B$1))</f>
        <v>#NAME?</v>
      </c>
      <c r="O62" s="35"/>
      <c r="P62" s="35"/>
      <c r="Q62" s="35"/>
      <c r="R62" s="35"/>
      <c r="S62" s="35"/>
      <c r="T62" s="35"/>
      <c r="U62" s="35"/>
      <c r="V62" s="35"/>
      <c r="W62" s="35"/>
      <c r="X62" s="35"/>
      <c r="Y62" s="35"/>
      <c r="Z62" s="35"/>
      <c r="AA62" s="35" t="e">
        <f ca="1">IF($I62="B1","",SUM(O62:Z62))</f>
        <v>#NAME?</v>
      </c>
      <c r="AB62" s="36" t="e">
        <f ca="1">IF(AA62=0,"",IFERROR(AA62/AA$19,""))</f>
        <v>#NAME?</v>
      </c>
      <c r="AD62" s="35"/>
      <c r="AE62" s="36" t="str">
        <f>IF(AD62=0,"",IFERROR(AD62/AD$19,""))</f>
        <v/>
      </c>
      <c r="AF62" s="118" t="e">
        <f ca="1">IF(AND($AA62="",AD62=""),"",$AA62-AD62)</f>
        <v>#NAME?</v>
      </c>
      <c r="AG62" s="35"/>
      <c r="AH62" s="36" t="str">
        <f>IF(AG62=0,"",IFERROR(AG62/AG$19,""))</f>
        <v/>
      </c>
      <c r="AI62" s="118" t="e">
        <f ca="1">IF(AND($AA62="",AG62=""),"",$AA62-AG62)</f>
        <v>#NAME?</v>
      </c>
      <c r="AJ62" s="371">
        <f ca="1">IFERROR(AA62/AA$20,0)</f>
        <v>0</v>
      </c>
      <c r="AK62" s="372">
        <f ca="1">IFERROR(AD62/AD$20,0)</f>
        <v>0</v>
      </c>
      <c r="AL62" s="373">
        <f ca="1">IFERROR(AG62/AG$20,0)</f>
        <v>0</v>
      </c>
      <c r="AM62" s="374">
        <f ca="1">+IFERROR(ROUND(($AB62-AE62)*100,2)&amp;" pts.",0)</f>
        <v>0</v>
      </c>
      <c r="AN62" s="375">
        <f ca="1">+IFERROR(ROUND(($AB62-AH62)*100,2)&amp;" pts.",0)</f>
        <v>0</v>
      </c>
    </row>
    <row r="63" spans="1:40" hidden="1" x14ac:dyDescent="0.2">
      <c r="H63" s="10" t="s">
        <v>667</v>
      </c>
      <c r="I63" s="25" t="e">
        <f ca="1">_xll.EVPRO($B$1,$H63,"STYLE")</f>
        <v>#NAME?</v>
      </c>
      <c r="J63" s="25" t="e">
        <f ca="1">_xll.EVPRO($B$1,$H63,"CALC")</f>
        <v>#NAME?</v>
      </c>
      <c r="K63" s="64" t="e">
        <f ca="1">IF(AND(I63&gt;="T3"),"&gt;","")</f>
        <v>#NAME?</v>
      </c>
      <c r="L63" s="24" t="e">
        <f ca="1">_xll.EVPRO($B$1,H63,"JDEID")</f>
        <v>#NAME?</v>
      </c>
      <c r="M63" s="24" t="e">
        <f ca="1">IF(AND(I63="N",J63="N"),_xll.EVPRO($B$1,H63,"PSFTID"),"")</f>
        <v>#NAME?</v>
      </c>
      <c r="N63" s="24" t="e">
        <f ca="1">IF(_xll.EVDES(H63,$B$1)="#NODATA","",_xll.EVDES(H63,$B$1))</f>
        <v>#NAME?</v>
      </c>
      <c r="O63" s="44"/>
      <c r="P63" s="44"/>
      <c r="Q63" s="44"/>
      <c r="R63" s="44"/>
      <c r="S63" s="44"/>
      <c r="T63" s="44"/>
      <c r="U63" s="44"/>
      <c r="V63" s="44"/>
      <c r="W63" s="44"/>
      <c r="X63" s="44"/>
      <c r="Y63" s="44"/>
      <c r="Z63" s="44"/>
      <c r="AA63" s="44" t="e">
        <f ca="1">IF($I63="B1","",SUM(O63:Z63))</f>
        <v>#NAME?</v>
      </c>
      <c r="AB63" s="45" t="e">
        <f ca="1">IF(AA63=0,"",IFERROR(AA63/AA$19,""))</f>
        <v>#NAME?</v>
      </c>
      <c r="AD63" s="44"/>
      <c r="AE63" s="45" t="str">
        <f>IF(AD63=0,"",IFERROR(AD63/AD$19,""))</f>
        <v/>
      </c>
      <c r="AF63" s="134" t="e">
        <f ca="1">IF(AND($AA63="",AD63=""),"",$AA63-AD63)</f>
        <v>#NAME?</v>
      </c>
      <c r="AG63" s="44"/>
      <c r="AH63" s="45" t="str">
        <f>IF(AG63=0,"",IFERROR(AG63/AG$19,""))</f>
        <v/>
      </c>
      <c r="AI63" s="134" t="e">
        <f ca="1">IF(AND($AA63="",AG63=""),"",$AA63-AG63)</f>
        <v>#NAME?</v>
      </c>
      <c r="AJ63" s="371">
        <f ca="1">IFERROR(AA63/AA$20,0)</f>
        <v>0</v>
      </c>
      <c r="AK63" s="372">
        <f ca="1">IFERROR(AD63/AD$20,0)</f>
        <v>0</v>
      </c>
      <c r="AL63" s="373">
        <f ca="1">IFERROR(AG63/AG$20,0)</f>
        <v>0</v>
      </c>
      <c r="AM63" s="374">
        <f ca="1">+IFERROR(ROUND(($AB63-AE63)*100,2)&amp;" pts.",0)</f>
        <v>0</v>
      </c>
      <c r="AN63" s="375">
        <f ca="1">+IFERROR(ROUND(($AB63-AH63)*100,2)&amp;" pts.",0)</f>
        <v>0</v>
      </c>
    </row>
    <row r="64" spans="1:40" hidden="1" x14ac:dyDescent="0.2">
      <c r="A64" s="20" t="s">
        <v>92</v>
      </c>
      <c r="B64" s="21" t="s">
        <v>93</v>
      </c>
      <c r="C64" s="21" t="s">
        <v>94</v>
      </c>
      <c r="D64" s="21" t="s">
        <v>95</v>
      </c>
      <c r="E64" s="21" t="s">
        <v>96</v>
      </c>
      <c r="F64" s="22" t="s">
        <v>97</v>
      </c>
      <c r="H64" s="10"/>
      <c r="I64" s="25" t="e">
        <f ca="1">_xll.EVPRO($B$1,$H64,"STYLE")</f>
        <v>#NAME?</v>
      </c>
      <c r="J64" s="25" t="e">
        <f ca="1">_xll.EVPRO($B$1,$H64,"CALC")</f>
        <v>#NAME?</v>
      </c>
      <c r="K64" s="64" t="e">
        <f ca="1">IF(AND(I64&gt;="T3"),"&gt;","")</f>
        <v>#NAME?</v>
      </c>
      <c r="L64" s="24" t="e">
        <f ca="1">_xll.EVPRO($B$1,H64,"JDEID")</f>
        <v>#NAME?</v>
      </c>
      <c r="M64" s="24" t="e">
        <f ca="1">IF(AND(I64="N",J64="N"),_xll.EVPRO($B$1,H64,"PSFTID"),"")</f>
        <v>#NAME?</v>
      </c>
      <c r="N64" s="24" t="e">
        <f ca="1">IF(_xll.EVDES(H64,$B$1)="#NODATA","",_xll.EVDES(H64,$B$1))</f>
        <v>#NAME?</v>
      </c>
      <c r="O64" s="44"/>
      <c r="P64" s="44"/>
      <c r="Q64" s="44"/>
      <c r="R64" s="44"/>
      <c r="S64" s="44"/>
      <c r="T64" s="44"/>
      <c r="U64" s="44"/>
      <c r="V64" s="44"/>
      <c r="W64" s="44"/>
      <c r="X64" s="44"/>
      <c r="Y64" s="44"/>
      <c r="Z64" s="44"/>
      <c r="AA64" s="44" t="e">
        <f ca="1">IF($I64="B1","",SUM(O64:Z64))</f>
        <v>#NAME?</v>
      </c>
      <c r="AB64" s="45" t="e">
        <f ca="1">IF(AA64=0,"",IFERROR(AA64/AA$19,""))</f>
        <v>#NAME?</v>
      </c>
      <c r="AD64" s="44"/>
      <c r="AE64" s="45" t="str">
        <f>IF(AD64=0,"",IFERROR(AD64/AD$19,""))</f>
        <v/>
      </c>
      <c r="AF64" s="134" t="e">
        <f ca="1">IF(AND($AA64="",AD64=""),"",$AA64-AD64)</f>
        <v>#NAME?</v>
      </c>
      <c r="AG64" s="44"/>
      <c r="AH64" s="45" t="str">
        <f>IF(AG64=0,"",IFERROR(AG64/AG$19,""))</f>
        <v/>
      </c>
      <c r="AI64" s="134" t="e">
        <f ca="1">IF(AND($AA64="",AG64=""),"",$AA64-AG64)</f>
        <v>#NAME?</v>
      </c>
      <c r="AJ64" s="371">
        <f ca="1">IFERROR(AA64/AA$20,0)</f>
        <v>0</v>
      </c>
      <c r="AK64" s="372">
        <f ca="1">IFERROR(AD64/AD$20,0)</f>
        <v>0</v>
      </c>
      <c r="AL64" s="373">
        <f ca="1">IFERROR(AG64/AG$20,0)</f>
        <v>0</v>
      </c>
      <c r="AM64" s="374">
        <f ca="1">+IFERROR(ROUND(($AB64-AE64)*100,2)&amp;" pts.",0)</f>
        <v>0</v>
      </c>
      <c r="AN64" s="375">
        <f ca="1">+IFERROR(ROUND(($AB64-AH64)*100,2)&amp;" pts.",0)</f>
        <v>0</v>
      </c>
    </row>
    <row r="65" spans="1:40" x14ac:dyDescent="0.2">
      <c r="O65" s="38"/>
      <c r="P65" s="42"/>
      <c r="Q65" s="42"/>
      <c r="R65" s="42"/>
      <c r="S65" s="42"/>
      <c r="T65" s="42"/>
      <c r="U65" s="42"/>
      <c r="V65" s="42"/>
      <c r="W65" s="42"/>
      <c r="X65" s="42"/>
      <c r="Y65" s="42"/>
      <c r="Z65" s="42"/>
      <c r="AA65" s="42"/>
      <c r="AB65" s="39"/>
      <c r="AD65" s="38"/>
      <c r="AE65" s="42"/>
      <c r="AF65" s="39"/>
      <c r="AG65" s="38"/>
      <c r="AH65" s="42"/>
      <c r="AI65" s="39"/>
    </row>
    <row r="66" spans="1:40" x14ac:dyDescent="0.2">
      <c r="A66" s="1" t="s">
        <v>105</v>
      </c>
      <c r="C66" s="24" t="s">
        <v>101</v>
      </c>
      <c r="D66" s="1" t="s">
        <v>106</v>
      </c>
      <c r="F66" s="1" t="s">
        <v>98</v>
      </c>
      <c r="H66" s="1" t="s">
        <v>82</v>
      </c>
      <c r="I66" s="11" t="e">
        <f ca="1">_xll.EVPRO($B$1,$H66,"STYLE")</f>
        <v>#NAME?</v>
      </c>
      <c r="J66" s="11" t="e">
        <f ca="1">_xll.EVPRO($B$1,$H66,"CALC")</f>
        <v>#NAME?</v>
      </c>
      <c r="N66" s="37" t="e">
        <f ca="1">IF(_xll.EVDES(H66,$B$1)="#NODATA","",_xll.EVDES(H66,$B$1))</f>
        <v>#NAME?</v>
      </c>
      <c r="O66" s="40"/>
      <c r="P66" s="43"/>
      <c r="Q66" s="43"/>
      <c r="R66" s="43"/>
      <c r="S66" s="43"/>
      <c r="T66" s="43"/>
      <c r="U66" s="43"/>
      <c r="V66" s="43"/>
      <c r="W66" s="43"/>
      <c r="X66" s="43"/>
      <c r="Y66" s="43"/>
      <c r="Z66" s="43"/>
      <c r="AA66" s="43"/>
      <c r="AB66" s="41"/>
      <c r="AD66" s="40"/>
      <c r="AE66" s="43"/>
      <c r="AF66" s="41"/>
      <c r="AG66" s="40"/>
      <c r="AH66" s="43"/>
      <c r="AI66" s="41"/>
    </row>
    <row r="67" spans="1:40" hidden="1" x14ac:dyDescent="0.2">
      <c r="A67" s="1" t="s">
        <v>108</v>
      </c>
      <c r="C67" s="23" t="s">
        <v>101</v>
      </c>
      <c r="D67" s="1" t="s">
        <v>106</v>
      </c>
      <c r="F67" s="1" t="s">
        <v>98</v>
      </c>
      <c r="H67" s="10" t="s">
        <v>667</v>
      </c>
      <c r="I67" s="25" t="e">
        <f ca="1">_xll.EVPRO($B$1,$H67,"STYLE")</f>
        <v>#NAME?</v>
      </c>
      <c r="J67" s="25" t="e">
        <f ca="1">_xll.EVPRO($B$1,$H67,"CALC")</f>
        <v>#NAME?</v>
      </c>
      <c r="K67" s="64" t="e">
        <f ca="1">IF(AND(I67&lt;&gt;"B1",J67="Y"),"&gt;","")</f>
        <v>#NAME?</v>
      </c>
      <c r="L67" s="24" t="e">
        <f ca="1">_xll.EVPRO($B$1,H67,"JDEID")</f>
        <v>#NAME?</v>
      </c>
      <c r="M67" s="24" t="e">
        <f ca="1">IF(AND(I67="N",J67="N"),_xll.EVPRO($B$1,H67,"PSFTID"),"")</f>
        <v>#NAME?</v>
      </c>
      <c r="N67" s="24" t="e">
        <f ca="1">IF(_xll.EVDES(H67,$B$1)="#NODATA","",_xll.EVDES(H67,$B$1))</f>
        <v>#NAME?</v>
      </c>
      <c r="O67" s="19"/>
      <c r="P67" s="19"/>
      <c r="Q67" s="19"/>
      <c r="R67" s="19"/>
      <c r="S67" s="19"/>
      <c r="T67" s="19"/>
      <c r="U67" s="19"/>
      <c r="V67" s="19"/>
      <c r="W67" s="19"/>
      <c r="X67" s="19"/>
      <c r="Y67" s="19"/>
      <c r="Z67" s="19"/>
      <c r="AA67" s="19" t="e">
        <f ca="1">IF($I67="B1","",SUM(O67:Z67))</f>
        <v>#NAME?</v>
      </c>
      <c r="AB67" s="15" t="e">
        <f ca="1">IF(AA67=0,"",IFERROR(AA67/AA$19,""))</f>
        <v>#NAME?</v>
      </c>
      <c r="AD67" s="19"/>
      <c r="AE67" s="15" t="str">
        <f>IF(AD67=0,"",IFERROR(AD67/AD$19,""))</f>
        <v/>
      </c>
      <c r="AF67" s="47" t="e">
        <f ca="1">IF(AND($AA67="",AD67=""),"",$AA67-AD67)</f>
        <v>#NAME?</v>
      </c>
      <c r="AG67" s="19"/>
      <c r="AH67" s="15" t="str">
        <f>IF(AG67=0,"",IFERROR(AG67/AG$19,""))</f>
        <v/>
      </c>
      <c r="AI67" s="47" t="e">
        <f ca="1">IF(AND($AA67="",AG67=""),"",$AA67-AG67)</f>
        <v>#NAME?</v>
      </c>
      <c r="AJ67" s="371">
        <f ca="1">IFERROR(AA67/AA$20,0)</f>
        <v>0</v>
      </c>
      <c r="AK67" s="372">
        <f ca="1">IFERROR(AD67/AD$20,0)</f>
        <v>0</v>
      </c>
      <c r="AL67" s="373">
        <f ca="1">IFERROR(AG67/AG$20,0)</f>
        <v>0</v>
      </c>
      <c r="AM67" s="374">
        <f ca="1">+IFERROR(ROUND(($AB67-AE67)*100,2)&amp;" pts.",0)</f>
        <v>0</v>
      </c>
      <c r="AN67" s="375">
        <f ca="1">+IFERROR(ROUND(($AB67-AH67)*100,2)&amp;" pts.",0)</f>
        <v>0</v>
      </c>
    </row>
    <row r="68" spans="1:40" hidden="1" x14ac:dyDescent="0.2">
      <c r="A68" s="1" t="s">
        <v>108</v>
      </c>
      <c r="C68" s="135" t="s">
        <v>101</v>
      </c>
      <c r="D68" s="1" t="s">
        <v>107</v>
      </c>
      <c r="F68" s="1" t="s">
        <v>99</v>
      </c>
      <c r="H68" s="10"/>
      <c r="I68" s="25" t="e">
        <f ca="1">_xll.EVPRO($B$1,$H68,"STYLE")</f>
        <v>#NAME?</v>
      </c>
      <c r="J68" s="25" t="e">
        <f ca="1">_xll.EVPRO($B$1,$H68,"CALC")</f>
        <v>#NAME?</v>
      </c>
      <c r="K68" s="64" t="e">
        <f ca="1">IF(AND(I68&lt;&gt;"B1",J68="Y"),"&gt;","")</f>
        <v>#NAME?</v>
      </c>
      <c r="L68" s="24" t="e">
        <f ca="1">_xll.EVPRO($B$1,H68,"JDEID")</f>
        <v>#NAME?</v>
      </c>
      <c r="M68" s="24" t="e">
        <f ca="1">IF(AND(I68="N",J68="N"),_xll.EVPRO($B$1,H68,"PSFTID"),"")</f>
        <v>#NAME?</v>
      </c>
      <c r="N68" s="24" t="e">
        <f ca="1">IF(_xll.EVDES(H68,$B$1)="#NODATA","",_xll.EVDES(H68,$B$1))</f>
        <v>#NAME?</v>
      </c>
      <c r="O68" s="19"/>
      <c r="P68" s="19"/>
      <c r="Q68" s="19"/>
      <c r="R68" s="19"/>
      <c r="S68" s="19"/>
      <c r="T68" s="19"/>
      <c r="U68" s="19"/>
      <c r="V68" s="19"/>
      <c r="W68" s="19"/>
      <c r="X68" s="19"/>
      <c r="Y68" s="19"/>
      <c r="Z68" s="19"/>
      <c r="AA68" s="19" t="e">
        <f ca="1">IF($I68="B1","",SUM(O68:Z68))</f>
        <v>#NAME?</v>
      </c>
      <c r="AB68" s="15" t="e">
        <f ca="1">IF(AA68=0,"",IFERROR(AA68/AA$19,""))</f>
        <v>#NAME?</v>
      </c>
      <c r="AD68" s="19"/>
      <c r="AE68" s="15" t="str">
        <f>IF(AD68=0,"",IFERROR(AD68/AD$19,""))</f>
        <v/>
      </c>
      <c r="AF68" s="47" t="e">
        <f ca="1">IF(AND($AA68="",AD68=""),"",$AA68-AD68)</f>
        <v>#NAME?</v>
      </c>
      <c r="AG68" s="19"/>
      <c r="AH68" s="15" t="str">
        <f>IF(AG68=0,"",IFERROR(AG68/AG$19,""))</f>
        <v/>
      </c>
      <c r="AI68" s="47" t="e">
        <f ca="1">IF(AND($AA68="",AG68=""),"",$AA68-AG68)</f>
        <v>#NAME?</v>
      </c>
      <c r="AJ68" s="371">
        <f ca="1">IFERROR(AA68/AA$20,0)</f>
        <v>0</v>
      </c>
      <c r="AK68" s="372">
        <f ca="1">IFERROR(AD68/AD$20,0)</f>
        <v>0</v>
      </c>
      <c r="AL68" s="373">
        <f ca="1">IFERROR(AG68/AG$20,0)</f>
        <v>0</v>
      </c>
      <c r="AM68" s="374">
        <f ca="1">+IFERROR(ROUND(($AB68-AE68)*100,2)&amp;" pts.",0)</f>
        <v>0</v>
      </c>
      <c r="AN68" s="375">
        <f ca="1">+IFERROR(ROUND(($AB68-AH68)*100,2)&amp;" pts.",0)</f>
        <v>0</v>
      </c>
    </row>
    <row r="69" spans="1:40" x14ac:dyDescent="0.2">
      <c r="H69" s="10" t="s">
        <v>79</v>
      </c>
      <c r="I69" s="25" t="e">
        <f ca="1">_xll.EVPRO($B$1,$H69,"STYLE")</f>
        <v>#NAME?</v>
      </c>
      <c r="J69" s="25" t="e">
        <f ca="1">_xll.EVPRO($B$1,$H69,"CALC")</f>
        <v>#NAME?</v>
      </c>
      <c r="K69" s="24"/>
      <c r="L69" s="24"/>
      <c r="M69" s="24"/>
      <c r="N69" s="23" t="e">
        <f ca="1">IF(_xll.EVDES(H69,$B$1)="#NODATA","",_xll.EVDES(H69,$B$1))</f>
        <v>#NAME?</v>
      </c>
      <c r="O69" s="30"/>
      <c r="P69" s="30"/>
      <c r="Q69" s="30"/>
      <c r="R69" s="30"/>
      <c r="S69" s="30"/>
      <c r="T69" s="30"/>
      <c r="U69" s="30"/>
      <c r="V69" s="30"/>
      <c r="W69" s="30"/>
      <c r="X69" s="30"/>
      <c r="Y69" s="30"/>
      <c r="Z69" s="30"/>
      <c r="AA69" s="30" t="e">
        <f ca="1">IF($I69="B1","",SUM(O69:Z69))</f>
        <v>#NAME?</v>
      </c>
      <c r="AB69" s="31" t="e">
        <f ca="1">IF(AA69=0,"",IFERROR(AA69/AA$19,""))</f>
        <v>#NAME?</v>
      </c>
      <c r="AD69" s="30"/>
      <c r="AE69" s="31" t="str">
        <f>IF(AD69=0,"",IFERROR(AD69/AD$19,""))</f>
        <v/>
      </c>
      <c r="AF69" s="49" t="e">
        <f ca="1">IF(AND($AA69="",AD69=""),"",$AA69-AD69)</f>
        <v>#NAME?</v>
      </c>
      <c r="AG69" s="30"/>
      <c r="AH69" s="31" t="str">
        <f>IF(AG69=0,"",IFERROR(AG69/AG$19,""))</f>
        <v/>
      </c>
      <c r="AI69" s="49" t="e">
        <f ca="1">IF(AND($AA69="",AG69=""),"",$AA69-AG69)</f>
        <v>#NAME?</v>
      </c>
      <c r="AJ69" s="387">
        <f ca="1">IFERROR(AA69/AA$20,0)</f>
        <v>0</v>
      </c>
      <c r="AK69" s="388">
        <f ca="1">IFERROR(AD69/AD$20,0)</f>
        <v>0</v>
      </c>
      <c r="AL69" s="389">
        <f ca="1">IFERROR(AG69/AG$20,0)</f>
        <v>0</v>
      </c>
      <c r="AM69" s="390">
        <f ca="1">+IFERROR(ROUND(($AB69-AE69)*100,2)&amp;" pts.",0)</f>
        <v>0</v>
      </c>
      <c r="AN69" s="408">
        <f ca="1">+IFERROR(ROUND(($AB69-AH69)*100,2)&amp;" pts.",0)</f>
        <v>0</v>
      </c>
    </row>
    <row r="70" spans="1:40" x14ac:dyDescent="0.2">
      <c r="C70" s="23"/>
    </row>
    <row r="71" spans="1:40" x14ac:dyDescent="0.2">
      <c r="A71" s="4" t="e">
        <f ca="1">_xll.EVDRE($B$1,A74:B81,A84:B90)</f>
        <v>#NAME?</v>
      </c>
      <c r="H71" s="10" t="s">
        <v>80</v>
      </c>
      <c r="I71" s="25" t="e">
        <f ca="1">_xll.EVPRO($B$1,$H71,"STYLE")</f>
        <v>#NAME?</v>
      </c>
      <c r="J71" s="25" t="e">
        <f ca="1">_xll.EVPRO($B$1,$H71,"CALC")</f>
        <v>#NAME?</v>
      </c>
      <c r="K71" s="23"/>
      <c r="L71" s="23"/>
      <c r="M71" s="23"/>
      <c r="N71" s="23" t="e">
        <f ca="1">IF(_xll.EVDES(H71,$B$1)="#NODATA","",_xll.EVDES(H71,$B$1))</f>
        <v>#NAME?</v>
      </c>
      <c r="O71" s="33"/>
      <c r="P71" s="33"/>
      <c r="Q71" s="33"/>
      <c r="R71" s="33"/>
      <c r="S71" s="33"/>
      <c r="T71" s="33"/>
      <c r="U71" s="33"/>
      <c r="V71" s="33"/>
      <c r="W71" s="33"/>
      <c r="X71" s="33"/>
      <c r="Y71" s="33"/>
      <c r="Z71" s="33"/>
      <c r="AA71" s="33" t="e">
        <f ca="1">IF($I71="B1","",SUM(O71:Z71))</f>
        <v>#NAME?</v>
      </c>
      <c r="AB71" s="34" t="e">
        <f ca="1">IF(AA71=0,"",IFERROR(AA71/AA$19,""))</f>
        <v>#NAME?</v>
      </c>
      <c r="AD71" s="33"/>
      <c r="AE71" s="34" t="str">
        <f>IF(AD71=0,"",IFERROR(AD71/AD$19,""))</f>
        <v/>
      </c>
      <c r="AF71" s="55" t="e">
        <f ca="1">IF(AND($AA71="",AD71=""),"",$AA71-AD71)</f>
        <v>#NAME?</v>
      </c>
      <c r="AG71" s="56"/>
      <c r="AH71" s="57" t="str">
        <f>IF(AG71=0,"",IFERROR(AG71/AG$19,""))</f>
        <v/>
      </c>
      <c r="AI71" s="55" t="e">
        <f ca="1">IF(AND($AA71="",AG71=""),"",$AA71-AG71)</f>
        <v>#NAME?</v>
      </c>
      <c r="AJ71" s="364">
        <f ca="1">IFERROR(AA71/AA$20,0)</f>
        <v>0</v>
      </c>
      <c r="AK71" s="365">
        <f ca="1">IFERROR(AD71/AD$20,0)</f>
        <v>0</v>
      </c>
      <c r="AL71" s="366">
        <f ca="1">IFERROR(AG71/AG$20,0)</f>
        <v>0</v>
      </c>
      <c r="AM71" s="367">
        <f ca="1">+IFERROR(ROUND(($AB71-AE71)*100,2)&amp;" pts.",0)</f>
        <v>0</v>
      </c>
      <c r="AN71" s="409">
        <f ca="1">+IFERROR(ROUND(($AB71-AH71)*100,2)&amp;" pts.",0)</f>
        <v>0</v>
      </c>
    </row>
    <row r="72" spans="1:40" ht="16" thickBot="1" x14ac:dyDescent="0.25">
      <c r="H72" s="10" t="s">
        <v>81</v>
      </c>
      <c r="I72" s="25" t="e">
        <f ca="1">_xll.EVPRO($B$1,$H72,"STYLE")</f>
        <v>#NAME?</v>
      </c>
      <c r="J72" s="25" t="e">
        <f ca="1">_xll.EVPRO($B$1,$H72,"CALC")</f>
        <v>#NAME?</v>
      </c>
      <c r="K72" s="23"/>
      <c r="L72" s="23"/>
      <c r="M72" s="23"/>
      <c r="N72" s="23" t="e">
        <f ca="1">IF(_xll.EVDES(H72,$B$1)="#NODATA","",_xll.EVDES(H72,$B$1))</f>
        <v>#NAME?</v>
      </c>
      <c r="O72" s="58"/>
      <c r="P72" s="58"/>
      <c r="Q72" s="58"/>
      <c r="R72" s="58"/>
      <c r="S72" s="58"/>
      <c r="T72" s="58"/>
      <c r="U72" s="58"/>
      <c r="V72" s="58"/>
      <c r="W72" s="58"/>
      <c r="X72" s="58"/>
      <c r="Y72" s="58"/>
      <c r="Z72" s="58"/>
      <c r="AA72" s="58" t="e">
        <f ca="1">IF($I72="B1","",SUM(O72:Z72))</f>
        <v>#NAME?</v>
      </c>
      <c r="AB72" s="59" t="e">
        <f ca="1">IF(AA72=0,"",IFERROR(AA72/AA$19,""))</f>
        <v>#NAME?</v>
      </c>
      <c r="AD72" s="58"/>
      <c r="AE72" s="59" t="str">
        <f>IF(AD72=0,"",IFERROR(AD72/AD$19,""))</f>
        <v/>
      </c>
      <c r="AF72" s="60" t="e">
        <f ca="1">IF(AND($AA72="",AD72=""),"",$AA72-AD72)</f>
        <v>#NAME?</v>
      </c>
      <c r="AG72" s="58"/>
      <c r="AH72" s="59" t="str">
        <f>IF(AG72=0,"",IFERROR(AG72/AG$19,""))</f>
        <v/>
      </c>
      <c r="AI72" s="60" t="e">
        <f ca="1">IF(AND($AA72="",AG72=""),"",$AA72-AG72)</f>
        <v>#NAME?</v>
      </c>
      <c r="AJ72" s="402">
        <f ca="1">IFERROR(AA72/AA$20,0)</f>
        <v>0</v>
      </c>
      <c r="AK72" s="403">
        <f ca="1">IFERROR(AD72/AD$20,0)</f>
        <v>0</v>
      </c>
      <c r="AL72" s="404">
        <f ca="1">IFERROR(AG72/AG$20,0)</f>
        <v>0</v>
      </c>
      <c r="AM72" s="405">
        <f ca="1">+IFERROR(ROUND(($AB72-AE72)*100,2)&amp;" pts.",0)</f>
        <v>0</v>
      </c>
      <c r="AN72" s="410">
        <f ca="1">+IFERROR(ROUND(($AB72-AH72)*100,2)&amp;" pts.",0)</f>
        <v>0</v>
      </c>
    </row>
    <row r="73" spans="1:40" ht="16" thickTop="1" x14ac:dyDescent="0.2">
      <c r="A73" s="3" t="s">
        <v>0</v>
      </c>
      <c r="B73" s="5" t="s">
        <v>1</v>
      </c>
    </row>
    <row r="74" spans="1:40" x14ac:dyDescent="0.2">
      <c r="A74" s="6" t="s">
        <v>2</v>
      </c>
      <c r="B74" s="7" t="e">
        <f ca="1">_xll.EVRNG($B$2:$B$10)</f>
        <v>#NAME?</v>
      </c>
      <c r="N74" s="24" t="e">
        <f ca="1">N71&amp;" - Check"</f>
        <v>#NAME?</v>
      </c>
      <c r="O74" s="124">
        <f t="shared" ref="O74:AA74" si="23">SUMIF($H$34:$H$72,"600000",O$34:O$72)+SUMIF($H$34:$H$72,"700000",O$34:O$72)-SUMIF($H$34:$H$72,"TOTDEPTEXP",O$34:O$72)</f>
        <v>0</v>
      </c>
      <c r="P74" s="124">
        <f t="shared" si="23"/>
        <v>0</v>
      </c>
      <c r="Q74" s="124">
        <f t="shared" si="23"/>
        <v>0</v>
      </c>
      <c r="R74" s="124">
        <f t="shared" si="23"/>
        <v>0</v>
      </c>
      <c r="S74" s="124">
        <f t="shared" si="23"/>
        <v>0</v>
      </c>
      <c r="T74" s="124">
        <f t="shared" si="23"/>
        <v>0</v>
      </c>
      <c r="U74" s="124">
        <f t="shared" si="23"/>
        <v>0</v>
      </c>
      <c r="V74" s="124">
        <f t="shared" si="23"/>
        <v>0</v>
      </c>
      <c r="W74" s="124">
        <f t="shared" si="23"/>
        <v>0</v>
      </c>
      <c r="X74" s="124">
        <f t="shared" si="23"/>
        <v>0</v>
      </c>
      <c r="Y74" s="124">
        <f t="shared" si="23"/>
        <v>0</v>
      </c>
      <c r="Z74" s="124">
        <f t="shared" si="23"/>
        <v>0</v>
      </c>
      <c r="AA74" s="124" t="e">
        <f t="shared" ca="1" si="23"/>
        <v>#NAME?</v>
      </c>
      <c r="AB74" s="15"/>
      <c r="AD74" s="124">
        <f>SUMIF($H$34:$H$72,"600000",AD$34:AD$72)+SUMIF($H$34:$H$72,"700000",AD$34:AD$72)-SUMIF($H$34:$H$72,"TOTDEPTEXP",AD$34:AD$72)</f>
        <v>0</v>
      </c>
      <c r="AE74" s="15"/>
      <c r="AF74" s="19"/>
      <c r="AG74" s="124">
        <f>SUMIF($H$34:$H$72,"600000",AG$34:AG$72)+SUMIF($H$34:$H$72,"700000",AG$34:AG$72)-SUMIF($H$34:$H$72,"TOTDEPTEXP",AG$34:AG$72)</f>
        <v>0</v>
      </c>
      <c r="AH74" s="15"/>
      <c r="AI74" s="19"/>
    </row>
    <row r="75" spans="1:40" x14ac:dyDescent="0.2">
      <c r="A75" s="6" t="s">
        <v>3</v>
      </c>
      <c r="B75" s="7" t="e">
        <f ca="1">_xll.EVRNG($O$16:$AN$18)</f>
        <v>#NAME?</v>
      </c>
      <c r="N75" s="24" t="e">
        <f ca="1">N72&amp;" - Check"</f>
        <v>#NAME?</v>
      </c>
      <c r="O75" s="124">
        <f t="shared" ref="O75:AA75" si="24">SUMIF($H$34:$H$72,"KPI_GP",O$34:O$72)-SUMIF($H$34:$H$72,"TOTDEPTEXP",O$34:O$72)-SUMIF($H$34:$H$72,"TOTDEPTPL",O$34:O$72)</f>
        <v>0</v>
      </c>
      <c r="P75" s="124">
        <f t="shared" si="24"/>
        <v>0</v>
      </c>
      <c r="Q75" s="124">
        <f t="shared" si="24"/>
        <v>0</v>
      </c>
      <c r="R75" s="124">
        <f t="shared" si="24"/>
        <v>0</v>
      </c>
      <c r="S75" s="124">
        <f t="shared" si="24"/>
        <v>0</v>
      </c>
      <c r="T75" s="124">
        <f t="shared" si="24"/>
        <v>0</v>
      </c>
      <c r="U75" s="124">
        <f t="shared" si="24"/>
        <v>0</v>
      </c>
      <c r="V75" s="124">
        <f t="shared" si="24"/>
        <v>0</v>
      </c>
      <c r="W75" s="124">
        <f t="shared" si="24"/>
        <v>0</v>
      </c>
      <c r="X75" s="124">
        <f t="shared" si="24"/>
        <v>0</v>
      </c>
      <c r="Y75" s="124">
        <f t="shared" si="24"/>
        <v>0</v>
      </c>
      <c r="Z75" s="124">
        <f t="shared" si="24"/>
        <v>0</v>
      </c>
      <c r="AA75" s="124" t="e">
        <f t="shared" ca="1" si="24"/>
        <v>#NAME?</v>
      </c>
      <c r="AB75" s="15"/>
      <c r="AD75" s="124">
        <f>SUMIF($H$34:$H$72,"KPI_GP",AD$34:AD$72)-SUMIF($H$34:$H$72,"TOTDEPTEXP",AD$34:AD$72)-SUMIF($H$34:$H$72,"TOTDEPTPL",AD$34:AD$72)</f>
        <v>0</v>
      </c>
      <c r="AE75" s="15"/>
      <c r="AF75" s="19"/>
      <c r="AG75" s="124">
        <f>SUMIF($H$34:$H$72,"KPI_GP",AG$34:AG$72)-SUMIF($H$34:$H$72,"TOTDEPTEXP",AG$34:AG$72)-SUMIF($H$34:$H$72,"TOTDEPTPL",AG$34:AG$72)</f>
        <v>0</v>
      </c>
      <c r="AH75" s="15"/>
      <c r="AI75" s="19"/>
    </row>
    <row r="76" spans="1:40" x14ac:dyDescent="0.2">
      <c r="A76" s="6" t="s">
        <v>4</v>
      </c>
      <c r="B76" s="7" t="e">
        <f ca="1">_xll.EVRNG(H60:H61,H63:H64,H67:H68)</f>
        <v>#NAME?</v>
      </c>
    </row>
    <row r="77" spans="1:40" x14ac:dyDescent="0.2">
      <c r="A77" s="6" t="s">
        <v>5</v>
      </c>
      <c r="B77" s="7"/>
      <c r="O77" s="147"/>
      <c r="P77" s="147"/>
      <c r="Q77" s="147"/>
      <c r="R77" s="147"/>
      <c r="S77" s="147"/>
      <c r="T77" s="147"/>
      <c r="U77" s="147"/>
      <c r="V77" s="147"/>
      <c r="W77" s="147"/>
      <c r="X77" s="147"/>
      <c r="Y77" s="147"/>
      <c r="Z77" s="147"/>
      <c r="AA77" s="147"/>
      <c r="AD77" s="147"/>
      <c r="AG77" s="147"/>
    </row>
    <row r="78" spans="1:40" x14ac:dyDescent="0.2">
      <c r="A78" s="6" t="s">
        <v>6</v>
      </c>
      <c r="B78" s="7"/>
    </row>
    <row r="79" spans="1:40" x14ac:dyDescent="0.2">
      <c r="A79" s="6" t="s">
        <v>7</v>
      </c>
      <c r="B79" s="7" t="e">
        <f ca="1">_xll.EVRNG(A93:F99)</f>
        <v>#NAME?</v>
      </c>
      <c r="O79" s="147"/>
      <c r="P79" s="147"/>
      <c r="Q79" s="147"/>
      <c r="R79" s="147"/>
      <c r="S79" s="147"/>
      <c r="T79" s="147"/>
      <c r="U79" s="147"/>
      <c r="V79" s="147"/>
      <c r="W79" s="147"/>
      <c r="X79" s="147"/>
      <c r="Y79" s="147"/>
      <c r="Z79" s="147"/>
      <c r="AA79" s="147"/>
      <c r="AD79" s="147"/>
      <c r="AG79" s="147"/>
    </row>
    <row r="80" spans="1:40" x14ac:dyDescent="0.2">
      <c r="A80" s="6" t="s">
        <v>47</v>
      </c>
      <c r="B80" s="7" t="e">
        <f ca="1">_xll.EVRNG($A$116:$B$137)</f>
        <v>#NAME?</v>
      </c>
    </row>
    <row r="81" spans="1:10" x14ac:dyDescent="0.2">
      <c r="A81" s="6" t="s">
        <v>8</v>
      </c>
      <c r="B81" s="7"/>
    </row>
    <row r="82" spans="1:10" x14ac:dyDescent="0.2">
      <c r="H82" s="11"/>
      <c r="J82" s="1"/>
    </row>
    <row r="83" spans="1:10" x14ac:dyDescent="0.2">
      <c r="A83" s="3" t="s">
        <v>9</v>
      </c>
      <c r="B83" s="5" t="s">
        <v>10</v>
      </c>
      <c r="H83" s="11"/>
      <c r="J83" s="1"/>
    </row>
    <row r="84" spans="1:10" x14ac:dyDescent="0.2">
      <c r="A84" s="6" t="s">
        <v>11</v>
      </c>
      <c r="B84" s="7" t="s">
        <v>21</v>
      </c>
      <c r="H84" s="11"/>
      <c r="J84" s="1"/>
    </row>
    <row r="85" spans="1:10" x14ac:dyDescent="0.2">
      <c r="A85" s="6" t="s">
        <v>12</v>
      </c>
      <c r="B85" s="7" t="s">
        <v>22</v>
      </c>
      <c r="H85" s="11"/>
      <c r="J85" s="1"/>
    </row>
    <row r="86" spans="1:10" x14ac:dyDescent="0.2">
      <c r="A86" s="6" t="s">
        <v>13</v>
      </c>
      <c r="B86" s="7" t="s">
        <v>737</v>
      </c>
      <c r="H86" s="11"/>
      <c r="J86" s="1"/>
    </row>
    <row r="87" spans="1:10" x14ac:dyDescent="0.2">
      <c r="A87" s="6" t="s">
        <v>14</v>
      </c>
      <c r="B87" s="7"/>
      <c r="H87" s="11"/>
      <c r="J87" s="1"/>
    </row>
    <row r="88" spans="1:10" x14ac:dyDescent="0.2">
      <c r="A88" s="6" t="s">
        <v>15</v>
      </c>
      <c r="B88" s="7"/>
      <c r="H88" s="11"/>
      <c r="J88" s="1"/>
    </row>
    <row r="89" spans="1:10" x14ac:dyDescent="0.2">
      <c r="A89" s="6" t="s">
        <v>16</v>
      </c>
      <c r="B89" s="7" t="s">
        <v>78</v>
      </c>
      <c r="G89" s="13"/>
      <c r="H89" s="11"/>
      <c r="J89" s="1"/>
    </row>
    <row r="90" spans="1:10" x14ac:dyDescent="0.2">
      <c r="A90" s="6" t="s">
        <v>17</v>
      </c>
      <c r="B90" s="7"/>
      <c r="H90" s="11"/>
      <c r="J90" s="1"/>
    </row>
    <row r="91" spans="1:10" x14ac:dyDescent="0.2">
      <c r="H91" s="11"/>
      <c r="J91" s="1"/>
    </row>
    <row r="92" spans="1:10" x14ac:dyDescent="0.2">
      <c r="A92" s="20" t="s">
        <v>92</v>
      </c>
      <c r="B92" s="21" t="s">
        <v>93</v>
      </c>
      <c r="C92" s="21" t="s">
        <v>94</v>
      </c>
      <c r="D92" s="21" t="s">
        <v>95</v>
      </c>
      <c r="E92" s="21" t="s">
        <v>96</v>
      </c>
      <c r="F92" s="22" t="s">
        <v>97</v>
      </c>
      <c r="H92" s="11"/>
      <c r="J92" s="1"/>
    </row>
    <row r="93" spans="1:10" x14ac:dyDescent="0.2">
      <c r="H93" s="11"/>
      <c r="J93" s="1"/>
    </row>
    <row r="94" spans="1:10" x14ac:dyDescent="0.2">
      <c r="A94" s="1" t="s">
        <v>108</v>
      </c>
      <c r="C94" s="24" t="s">
        <v>101</v>
      </c>
      <c r="D94" s="1" t="s">
        <v>106</v>
      </c>
      <c r="F94" s="1" t="s">
        <v>98</v>
      </c>
      <c r="H94" s="11"/>
      <c r="J94" s="1"/>
    </row>
    <row r="95" spans="1:10" x14ac:dyDescent="0.2">
      <c r="A95" s="1" t="s">
        <v>100</v>
      </c>
      <c r="C95" s="8" t="s">
        <v>101</v>
      </c>
      <c r="D95" s="1" t="s">
        <v>106</v>
      </c>
      <c r="F95" s="1" t="s">
        <v>98</v>
      </c>
      <c r="H95" s="11"/>
      <c r="J95" s="1"/>
    </row>
    <row r="96" spans="1:10" x14ac:dyDescent="0.2">
      <c r="A96" s="1" t="s">
        <v>109</v>
      </c>
      <c r="C96" s="23" t="s">
        <v>101</v>
      </c>
      <c r="D96" s="1" t="s">
        <v>106</v>
      </c>
      <c r="F96" s="1" t="s">
        <v>98</v>
      </c>
      <c r="H96" s="11"/>
      <c r="J96" s="1"/>
    </row>
    <row r="97" spans="1:10" x14ac:dyDescent="0.2">
      <c r="A97" s="1" t="s">
        <v>109</v>
      </c>
      <c r="C97" s="135" t="s">
        <v>101</v>
      </c>
      <c r="D97" s="1" t="s">
        <v>107</v>
      </c>
      <c r="F97" s="1" t="s">
        <v>99</v>
      </c>
      <c r="H97" s="11"/>
      <c r="J97" s="1"/>
    </row>
    <row r="98" spans="1:10" x14ac:dyDescent="0.2">
      <c r="A98" s="1" t="s">
        <v>110</v>
      </c>
      <c r="C98" s="23" t="s">
        <v>101</v>
      </c>
      <c r="D98" s="1" t="s">
        <v>106</v>
      </c>
      <c r="F98" s="1" t="s">
        <v>98</v>
      </c>
      <c r="H98" s="11"/>
      <c r="J98" s="1"/>
    </row>
    <row r="99" spans="1:10" x14ac:dyDescent="0.2">
      <c r="A99" s="1" t="s">
        <v>110</v>
      </c>
      <c r="C99" s="27" t="s">
        <v>101</v>
      </c>
      <c r="D99" s="1" t="s">
        <v>107</v>
      </c>
      <c r="F99" s="1" t="s">
        <v>99</v>
      </c>
      <c r="H99" s="11"/>
      <c r="J99" s="1"/>
    </row>
    <row r="100" spans="1:10" x14ac:dyDescent="0.2">
      <c r="C100" s="23"/>
      <c r="H100" s="11"/>
      <c r="J100" s="1"/>
    </row>
    <row r="101" spans="1:10" x14ac:dyDescent="0.2">
      <c r="H101" s="11"/>
      <c r="J101" s="1"/>
    </row>
    <row r="102" spans="1:10" x14ac:dyDescent="0.2">
      <c r="A102" s="4" t="e">
        <f ca="1">_xll.EVDRE($B$1,A105:B112)</f>
        <v>#NAME?</v>
      </c>
      <c r="B102" s="1" t="s">
        <v>736</v>
      </c>
      <c r="H102" s="11"/>
      <c r="J102" s="1"/>
    </row>
    <row r="103" spans="1:10" x14ac:dyDescent="0.2">
      <c r="G103" s="13"/>
      <c r="H103" s="11"/>
      <c r="J103" s="1"/>
    </row>
    <row r="104" spans="1:10" x14ac:dyDescent="0.2">
      <c r="A104" s="3" t="s">
        <v>0</v>
      </c>
      <c r="B104" s="5" t="s">
        <v>1</v>
      </c>
      <c r="H104" s="11"/>
      <c r="J104" s="1"/>
    </row>
    <row r="105" spans="1:10" x14ac:dyDescent="0.2">
      <c r="A105" s="6" t="s">
        <v>2</v>
      </c>
      <c r="B105" s="7" t="e">
        <f ca="1">_xll.EVRNG($B$2:$B$10)</f>
        <v>#NAME?</v>
      </c>
    </row>
    <row r="106" spans="1:10" x14ac:dyDescent="0.2">
      <c r="A106" s="6" t="s">
        <v>3</v>
      </c>
      <c r="B106" s="7" t="e">
        <f ca="1">_xll.EVRNG($O$16:$AN$18)</f>
        <v>#NAME?</v>
      </c>
    </row>
    <row r="107" spans="1:10" x14ac:dyDescent="0.2">
      <c r="A107" s="6" t="s">
        <v>4</v>
      </c>
      <c r="B107" s="7" t="e">
        <f ca="1">_xll.EVRNG(H69:H72)</f>
        <v>#NAME?</v>
      </c>
    </row>
    <row r="108" spans="1:10" x14ac:dyDescent="0.2">
      <c r="A108" s="6" t="s">
        <v>5</v>
      </c>
      <c r="B108" s="7"/>
    </row>
    <row r="109" spans="1:10" x14ac:dyDescent="0.2">
      <c r="A109" s="6" t="s">
        <v>6</v>
      </c>
      <c r="B109" s="7"/>
      <c r="G109" s="13"/>
    </row>
    <row r="110" spans="1:10" x14ac:dyDescent="0.2">
      <c r="A110" s="6" t="s">
        <v>7</v>
      </c>
      <c r="B110" s="7"/>
    </row>
    <row r="111" spans="1:10" x14ac:dyDescent="0.2">
      <c r="A111" s="6" t="s">
        <v>47</v>
      </c>
      <c r="B111" s="7" t="e">
        <f ca="1">_xll.EVRNG($A$116:$B$137)</f>
        <v>#NAME?</v>
      </c>
    </row>
    <row r="112" spans="1:10" x14ac:dyDescent="0.2">
      <c r="A112" s="6" t="s">
        <v>8</v>
      </c>
      <c r="B112" s="7"/>
    </row>
    <row r="115" spans="1:2" x14ac:dyDescent="0.2">
      <c r="A115" s="3" t="s">
        <v>23</v>
      </c>
      <c r="B115" s="5" t="s">
        <v>24</v>
      </c>
    </row>
    <row r="116" spans="1:2" x14ac:dyDescent="0.2">
      <c r="A116" s="6" t="s">
        <v>25</v>
      </c>
      <c r="B116" s="7"/>
    </row>
    <row r="117" spans="1:2" x14ac:dyDescent="0.2">
      <c r="A117" s="6" t="s">
        <v>26</v>
      </c>
      <c r="B117" s="7"/>
    </row>
    <row r="118" spans="1:2" x14ac:dyDescent="0.2">
      <c r="A118" s="6" t="s">
        <v>27</v>
      </c>
      <c r="B118" s="7"/>
    </row>
    <row r="119" spans="1:2" x14ac:dyDescent="0.2">
      <c r="A119" s="6" t="s">
        <v>28</v>
      </c>
      <c r="B119" s="7"/>
    </row>
    <row r="120" spans="1:2" x14ac:dyDescent="0.2">
      <c r="A120" s="6" t="s">
        <v>29</v>
      </c>
      <c r="B120" s="7"/>
    </row>
    <row r="121" spans="1:2" x14ac:dyDescent="0.2">
      <c r="A121" s="6" t="s">
        <v>30</v>
      </c>
      <c r="B121" s="7" t="s">
        <v>78</v>
      </c>
    </row>
    <row r="122" spans="1:2" x14ac:dyDescent="0.2">
      <c r="A122" s="6" t="s">
        <v>31</v>
      </c>
      <c r="B122" s="7" t="s">
        <v>78</v>
      </c>
    </row>
    <row r="123" spans="1:2" x14ac:dyDescent="0.2">
      <c r="A123" s="6" t="s">
        <v>32</v>
      </c>
      <c r="B123" s="7"/>
    </row>
    <row r="124" spans="1:2" x14ac:dyDescent="0.2">
      <c r="A124" s="6" t="s">
        <v>33</v>
      </c>
      <c r="B124" s="7"/>
    </row>
    <row r="125" spans="1:2" x14ac:dyDescent="0.2">
      <c r="A125" s="6" t="s">
        <v>34</v>
      </c>
      <c r="B125" s="7"/>
    </row>
    <row r="126" spans="1:2" x14ac:dyDescent="0.2">
      <c r="A126" s="6" t="s">
        <v>35</v>
      </c>
      <c r="B126" s="7"/>
    </row>
    <row r="127" spans="1:2" x14ac:dyDescent="0.2">
      <c r="A127" s="6" t="s">
        <v>36</v>
      </c>
      <c r="B127" s="7"/>
    </row>
    <row r="128" spans="1:2" x14ac:dyDescent="0.2">
      <c r="A128" s="6" t="s">
        <v>37</v>
      </c>
      <c r="B128" s="7"/>
    </row>
    <row r="129" spans="1:2" x14ac:dyDescent="0.2">
      <c r="A129" s="6" t="s">
        <v>38</v>
      </c>
      <c r="B129" s="7"/>
    </row>
    <row r="130" spans="1:2" x14ac:dyDescent="0.2">
      <c r="A130" s="6" t="s">
        <v>39</v>
      </c>
      <c r="B130" s="7"/>
    </row>
    <row r="131" spans="1:2" x14ac:dyDescent="0.2">
      <c r="A131" s="6" t="s">
        <v>40</v>
      </c>
      <c r="B131" s="7"/>
    </row>
    <row r="132" spans="1:2" x14ac:dyDescent="0.2">
      <c r="A132" s="6" t="s">
        <v>41</v>
      </c>
      <c r="B132" s="7"/>
    </row>
    <row r="133" spans="1:2" x14ac:dyDescent="0.2">
      <c r="A133" s="6" t="s">
        <v>42</v>
      </c>
      <c r="B133" s="7"/>
    </row>
    <row r="134" spans="1:2" x14ac:dyDescent="0.2">
      <c r="A134" s="6" t="s">
        <v>43</v>
      </c>
      <c r="B134" s="7"/>
    </row>
    <row r="135" spans="1:2" x14ac:dyDescent="0.2">
      <c r="A135" s="6" t="s">
        <v>44</v>
      </c>
      <c r="B135" s="7"/>
    </row>
    <row r="136" spans="1:2" x14ac:dyDescent="0.2">
      <c r="A136" s="6" t="s">
        <v>45</v>
      </c>
      <c r="B136" s="7"/>
    </row>
    <row r="137" spans="1:2" x14ac:dyDescent="0.2">
      <c r="A137" s="6" t="s">
        <v>46</v>
      </c>
      <c r="B137" s="7"/>
    </row>
    <row r="145" spans="5:34" x14ac:dyDescent="0.2">
      <c r="I145" s="72"/>
      <c r="J145" s="1"/>
      <c r="K145" s="72"/>
      <c r="L145" s="72"/>
      <c r="M145" s="72"/>
      <c r="O145" s="72"/>
      <c r="P145" s="72"/>
      <c r="Q145" s="72"/>
      <c r="R145" s="72"/>
      <c r="S145" s="72"/>
      <c r="T145" s="72"/>
      <c r="U145" s="72"/>
      <c r="V145" s="72"/>
      <c r="W145" s="72"/>
      <c r="X145" s="72"/>
      <c r="Y145" s="72"/>
      <c r="Z145" s="72"/>
      <c r="AA145" s="72"/>
      <c r="AD145" s="72"/>
      <c r="AF145" s="72"/>
      <c r="AH145" s="72"/>
    </row>
    <row r="149" spans="5:34" x14ac:dyDescent="0.2">
      <c r="I149" s="72"/>
      <c r="J149" s="1"/>
      <c r="K149" s="72"/>
      <c r="L149" s="72"/>
      <c r="M149" s="72"/>
      <c r="O149" s="72"/>
      <c r="P149" s="72"/>
      <c r="Q149" s="72"/>
      <c r="R149" s="72"/>
      <c r="S149" s="72"/>
      <c r="T149" s="72"/>
      <c r="U149" s="72"/>
      <c r="V149" s="72"/>
      <c r="W149" s="72"/>
      <c r="X149" s="72"/>
      <c r="Y149" s="72"/>
      <c r="Z149" s="72"/>
      <c r="AA149" s="72"/>
      <c r="AD149" s="72"/>
      <c r="AF149" s="72"/>
      <c r="AH149" s="72"/>
    </row>
    <row r="154" spans="5:34" x14ac:dyDescent="0.2">
      <c r="E154" s="72"/>
    </row>
    <row r="158" spans="5:34" x14ac:dyDescent="0.2">
      <c r="E158" s="72"/>
    </row>
    <row r="188" spans="7:7" x14ac:dyDescent="0.2">
      <c r="G188" s="72"/>
    </row>
    <row r="192" spans="7:7" x14ac:dyDescent="0.2">
      <c r="G192" s="72"/>
    </row>
  </sheetData>
  <mergeCells count="2">
    <mergeCell ref="AD31:AE31"/>
    <mergeCell ref="AG31:AH31"/>
  </mergeCells>
  <dataValidations disablePrompts="1" count="2">
    <dataValidation type="list" allowBlank="1" sqref="B57 B28 B85" xr:uid="{00000000-0002-0000-4600-000000000000}">
      <formula1>"ACCOUNT,BUSINESSUNIT,CATEGORY,DATASRC,DEPARTMENT,INTCO,MEASURES,RPTCURRENCY,TIME"</formula1>
    </dataValidation>
    <dataValidation type="list" allowBlank="1" sqref="B58 B29 B86" xr:uid="{00000000-0002-0000-46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85">
    <tabColor theme="9" tint="0.39997558519241921"/>
    <pageSetUpPr fitToPage="1"/>
  </sheetPr>
  <dimension ref="A1:AO192"/>
  <sheetViews>
    <sheetView topLeftCell="K25" zoomScale="85" zoomScaleNormal="85" workbookViewId="0">
      <pane xSplit="4" ySplit="8" topLeftCell="O42" activePane="bottomRight" state="frozen"/>
      <selection activeCell="K25" sqref="K25"/>
      <selection pane="topRight" activeCell="O25" sqref="O25"/>
      <selection pane="bottomLeft" activeCell="K33" sqref="K33"/>
      <selection pane="bottomRight" activeCell="O75" sqref="O75"/>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s">
        <v>980</v>
      </c>
      <c r="I1" s="1"/>
      <c r="J1" s="1"/>
    </row>
    <row r="2" spans="1:35" hidden="1" outlineLevel="1" x14ac:dyDescent="0.2">
      <c r="A2" s="8" t="s">
        <v>22</v>
      </c>
      <c r="B2" s="12" t="s">
        <v>56</v>
      </c>
      <c r="C2" s="1" t="s">
        <v>981</v>
      </c>
      <c r="I2" s="1"/>
      <c r="J2" s="1"/>
    </row>
    <row r="3" spans="1:35" hidden="1" outlineLevel="1" x14ac:dyDescent="0.2">
      <c r="A3" s="8" t="s">
        <v>50</v>
      </c>
      <c r="B3" s="9" t="s">
        <v>979</v>
      </c>
      <c r="C3" s="1" t="s">
        <v>982</v>
      </c>
      <c r="I3" s="1"/>
      <c r="J3" s="1"/>
    </row>
    <row r="4" spans="1:35" hidden="1" outlineLevel="1" x14ac:dyDescent="0.2">
      <c r="A4" s="8" t="s">
        <v>19</v>
      </c>
      <c r="B4" s="9" t="str">
        <f>SetUp!$D$6</f>
        <v>CURRENT</v>
      </c>
      <c r="C4" s="1" t="s">
        <v>960</v>
      </c>
      <c r="E4" s="46">
        <v>20250100</v>
      </c>
      <c r="F4" s="46">
        <v>20250100</v>
      </c>
    </row>
    <row r="5" spans="1:35" hidden="1" outlineLevel="1" x14ac:dyDescent="0.2">
      <c r="A5" s="8" t="s">
        <v>51</v>
      </c>
      <c r="B5" s="12" t="s">
        <v>59</v>
      </c>
      <c r="C5" s="1" t="s">
        <v>59</v>
      </c>
    </row>
    <row r="6" spans="1:35" hidden="1" outlineLevel="1" x14ac:dyDescent="0.2">
      <c r="A6" s="8" t="s">
        <v>52</v>
      </c>
      <c r="B6" s="12" t="s">
        <v>406</v>
      </c>
      <c r="C6" s="1" t="s">
        <v>1244</v>
      </c>
      <c r="E6" s="46" t="s">
        <v>406</v>
      </c>
      <c r="F6" s="1" t="s">
        <v>278</v>
      </c>
    </row>
    <row r="7" spans="1:35" hidden="1" outlineLevel="1" x14ac:dyDescent="0.2">
      <c r="A7" s="8" t="s">
        <v>53</v>
      </c>
      <c r="B7" s="12" t="s">
        <v>61</v>
      </c>
      <c r="C7" s="1" t="s">
        <v>984</v>
      </c>
    </row>
    <row r="8" spans="1:35" hidden="1" outlineLevel="1" x14ac:dyDescent="0.2">
      <c r="A8" s="8" t="s">
        <v>20</v>
      </c>
      <c r="B8" s="12" t="s">
        <v>63</v>
      </c>
      <c r="C8" s="1" t="s">
        <v>985</v>
      </c>
    </row>
    <row r="9" spans="1:35" hidden="1" outlineLevel="1" x14ac:dyDescent="0.2">
      <c r="A9" s="8" t="s">
        <v>54</v>
      </c>
      <c r="B9" s="9" t="str">
        <f>SetUp!$D$10</f>
        <v>LC</v>
      </c>
      <c r="C9" s="1" t="s">
        <v>986</v>
      </c>
    </row>
    <row r="10" spans="1:35" hidden="1" outlineLevel="1" x14ac:dyDescent="0.2">
      <c r="A10" s="8" t="s">
        <v>18</v>
      </c>
      <c r="B10" s="9" t="str">
        <f>SetUp!$D$7</f>
        <v>2024.TOTAL</v>
      </c>
      <c r="C10" s="1" t="s">
        <v>987</v>
      </c>
      <c r="D10" s="212" t="s">
        <v>988</v>
      </c>
    </row>
    <row r="11" spans="1:35" hidden="1" outlineLevel="1" x14ac:dyDescent="0.2">
      <c r="B11" s="8"/>
      <c r="M11" s="46" t="str">
        <f>IF(LEFT(SetUp!$D$6,3)="ALT","Y","N")</f>
        <v>N</v>
      </c>
      <c r="N11" s="1" t="s">
        <v>800</v>
      </c>
      <c r="O11" s="2" t="s">
        <v>682</v>
      </c>
      <c r="P11" s="2" t="s">
        <v>682</v>
      </c>
      <c r="Q11" s="2" t="s">
        <v>682</v>
      </c>
      <c r="R11" s="2" t="s">
        <v>682</v>
      </c>
      <c r="S11" s="2" t="s">
        <v>682</v>
      </c>
      <c r="T11" s="2" t="s">
        <v>682</v>
      </c>
      <c r="U11" s="2" t="s">
        <v>682</v>
      </c>
      <c r="V11" s="2" t="s">
        <v>682</v>
      </c>
      <c r="W11" s="2" t="s">
        <v>682</v>
      </c>
      <c r="X11" s="2" t="s">
        <v>682</v>
      </c>
      <c r="Y11" s="2" t="s">
        <v>682</v>
      </c>
      <c r="Z11" s="2" t="s">
        <v>682</v>
      </c>
      <c r="AA11" s="2" t="str">
        <f>IF(SetUp!$O$1=TRUE,"TRAILING12",IF(AA17="CURRENT","ROLLINGFORECAST","PERIODIC"))</f>
        <v>PERIODIC</v>
      </c>
    </row>
    <row r="12" spans="1:35" hidden="1" outlineLevel="1" x14ac:dyDescent="0.2">
      <c r="A12" s="1" t="s">
        <v>115</v>
      </c>
      <c r="B12" s="46">
        <v>2024</v>
      </c>
      <c r="M12" s="11"/>
      <c r="N12" s="1" t="s">
        <v>597</v>
      </c>
      <c r="O12" s="213" t="s">
        <v>78</v>
      </c>
      <c r="P12" s="213" t="s">
        <v>78</v>
      </c>
      <c r="Q12" s="213" t="s">
        <v>78</v>
      </c>
      <c r="R12" s="213" t="s">
        <v>78</v>
      </c>
      <c r="S12" s="213" t="s">
        <v>78</v>
      </c>
      <c r="T12" s="213" t="s">
        <v>78</v>
      </c>
      <c r="U12" s="213" t="s">
        <v>78</v>
      </c>
      <c r="V12" s="213" t="s">
        <v>78</v>
      </c>
      <c r="W12" s="213" t="s">
        <v>78</v>
      </c>
      <c r="X12" s="213" t="s">
        <v>78</v>
      </c>
      <c r="Y12" s="213" t="s">
        <v>78</v>
      </c>
      <c r="Z12" s="213" t="s">
        <v>78</v>
      </c>
      <c r="AA12" s="213"/>
      <c r="AD12" s="213"/>
      <c r="AG12" s="213"/>
    </row>
    <row r="13" spans="1:35" hidden="1" outlineLevel="1" x14ac:dyDescent="0.2">
      <c r="A13" s="1" t="s">
        <v>602</v>
      </c>
      <c r="B13" s="46">
        <v>2024</v>
      </c>
      <c r="M13" s="11"/>
      <c r="N13" s="1" t="s">
        <v>598</v>
      </c>
      <c r="O13" s="53">
        <v>20240100</v>
      </c>
      <c r="P13" s="53">
        <v>20240200</v>
      </c>
      <c r="Q13" s="53">
        <v>20240300</v>
      </c>
      <c r="R13" s="53">
        <v>20240400</v>
      </c>
      <c r="S13" s="53">
        <v>20240500</v>
      </c>
      <c r="T13" s="53">
        <v>20240600</v>
      </c>
      <c r="U13" s="53">
        <v>20240700</v>
      </c>
      <c r="V13" s="53">
        <v>20240800</v>
      </c>
      <c r="W13" s="53">
        <v>20240900</v>
      </c>
      <c r="X13" s="53">
        <v>20241000</v>
      </c>
      <c r="Y13" s="53">
        <v>20241100</v>
      </c>
      <c r="Z13" s="53">
        <v>20241200</v>
      </c>
      <c r="AA13" s="53">
        <v>10000193</v>
      </c>
      <c r="AD13" s="53">
        <v>10000193</v>
      </c>
      <c r="AG13" s="53">
        <v>10000183</v>
      </c>
    </row>
    <row r="14" spans="1:35" hidden="1" outlineLevel="1" x14ac:dyDescent="0.2">
      <c r="A14" s="4" t="s">
        <v>989</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s">
        <v>990</v>
      </c>
      <c r="P16" s="2" t="s">
        <v>991</v>
      </c>
      <c r="Q16" s="2" t="s">
        <v>992</v>
      </c>
      <c r="R16" s="2" t="s">
        <v>993</v>
      </c>
      <c r="S16" s="2" t="s">
        <v>994</v>
      </c>
      <c r="T16" s="2" t="s">
        <v>995</v>
      </c>
      <c r="U16" s="2" t="s">
        <v>996</v>
      </c>
      <c r="V16" s="2" t="s">
        <v>997</v>
      </c>
      <c r="W16" s="2" t="s">
        <v>998</v>
      </c>
      <c r="X16" s="2" t="s">
        <v>999</v>
      </c>
      <c r="Y16" s="2" t="s">
        <v>1000</v>
      </c>
      <c r="Z16" s="2" t="str">
        <f>IF(SetUp!$O$1=TRUE,SetUp!$Q$6,IF($D$10="FY",LEFT($B$10,6)&amp;"."&amp;Z15,$B$12&amp;"."&amp;Z14))</f>
        <v>2024.DEC</v>
      </c>
      <c r="AA16" s="2" t="str">
        <f>IF($D$10="FY",LEFT($B$10,6)&amp;"."&amp;AA15,$B$12&amp;"."&amp;AA14)</f>
        <v>2024.TOTAL</v>
      </c>
      <c r="AB16" s="10"/>
      <c r="AC16" s="10"/>
      <c r="AD16" s="2" t="str">
        <f>IF(SetUp!$O$1=TRUE,SetUp!$Q$6,SetUp!$G$7)</f>
        <v>2024.TOTAL</v>
      </c>
      <c r="AE16" s="10"/>
      <c r="AF16" s="10"/>
      <c r="AG16" s="2" t="s">
        <v>955</v>
      </c>
      <c r="AH16" s="10"/>
      <c r="AI16" s="10"/>
    </row>
    <row r="17" spans="1:40" hidden="1" outlineLevel="1" x14ac:dyDescent="0.2">
      <c r="A17" s="6" t="s">
        <v>2</v>
      </c>
      <c r="B17" s="14" t="s">
        <v>1335</v>
      </c>
      <c r="M17" s="11"/>
      <c r="N17" s="1" t="s">
        <v>19</v>
      </c>
      <c r="O17" s="2" t="s">
        <v>682</v>
      </c>
      <c r="P17" s="2" t="s">
        <v>682</v>
      </c>
      <c r="Q17" s="2" t="s">
        <v>682</v>
      </c>
      <c r="R17" s="2" t="s">
        <v>682</v>
      </c>
      <c r="S17" s="2" t="s">
        <v>682</v>
      </c>
      <c r="T17" s="2" t="s">
        <v>682</v>
      </c>
      <c r="U17" s="2" t="s">
        <v>682</v>
      </c>
      <c r="V17" s="2" t="s">
        <v>682</v>
      </c>
      <c r="W17" s="2" t="s">
        <v>682</v>
      </c>
      <c r="X17" s="2" t="s">
        <v>682</v>
      </c>
      <c r="Y17" s="2" t="s">
        <v>682</v>
      </c>
      <c r="Z17" s="2" t="s">
        <v>682</v>
      </c>
      <c r="AA17" s="2" t="str">
        <f>Z17</f>
        <v>ACTUAL_CON</v>
      </c>
      <c r="AB17" s="10"/>
      <c r="AC17" s="10"/>
      <c r="AD17" s="2" t="str">
        <f>SetUp!$G$6</f>
        <v>BUDGET</v>
      </c>
      <c r="AE17" s="10"/>
      <c r="AF17" s="10"/>
      <c r="AG17" s="2" t="str">
        <f>SetUp!$J$6</f>
        <v>ACTUAL_CON</v>
      </c>
      <c r="AH17" s="10"/>
      <c r="AI17" s="10"/>
    </row>
    <row r="18" spans="1:40" hidden="1" outlineLevel="1" x14ac:dyDescent="0.2">
      <c r="A18" s="6" t="s">
        <v>3</v>
      </c>
      <c r="B18" s="14" t="s">
        <v>1336</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2" t="str">
        <f>IF(SetUp!$O$1=TRUE,"TRAILING12",IF(AD17="CURRENT","ROLLINGFORECAST","PERIODIC"))</f>
        <v>PERIODIC</v>
      </c>
      <c r="AE18" s="10"/>
      <c r="AF18" s="10"/>
      <c r="AG18" s="2" t="str">
        <f>IF(SetUp!$O$1=TRUE,"TRAILING12",IF(AG17="CURRENT","ROLLINGFORECAST","PERIODIC"))</f>
        <v>PERIODIC</v>
      </c>
      <c r="AH18" s="10"/>
      <c r="AI18" s="10"/>
    </row>
    <row r="19" spans="1:40" hidden="1" outlineLevel="1" x14ac:dyDescent="0.2">
      <c r="A19" s="6" t="s">
        <v>4</v>
      </c>
      <c r="B19" s="14" t="s">
        <v>1337</v>
      </c>
      <c r="G19" s="16" t="str">
        <f>$B$6</f>
        <v>D2149</v>
      </c>
      <c r="H19" s="16">
        <v>400000</v>
      </c>
      <c r="I19" s="17"/>
      <c r="J19" s="17"/>
      <c r="K19" s="16"/>
      <c r="L19" s="16"/>
      <c r="M19" s="16"/>
      <c r="N19" s="16" t="s">
        <v>1001</v>
      </c>
      <c r="O19" s="18">
        <v>0</v>
      </c>
      <c r="P19" s="18">
        <v>0</v>
      </c>
      <c r="Q19" s="18">
        <v>0</v>
      </c>
      <c r="R19" s="18">
        <v>0</v>
      </c>
      <c r="S19" s="18">
        <v>0</v>
      </c>
      <c r="T19" s="18">
        <v>0</v>
      </c>
      <c r="U19" s="18">
        <v>0</v>
      </c>
      <c r="V19" s="18">
        <v>0</v>
      </c>
      <c r="W19" s="18">
        <v>0</v>
      </c>
      <c r="X19" s="18">
        <v>0</v>
      </c>
      <c r="Y19" s="18">
        <v>0</v>
      </c>
      <c r="Z19" s="18">
        <v>0</v>
      </c>
      <c r="AA19" s="18">
        <f>SUM(O19:Z19)</f>
        <v>0</v>
      </c>
      <c r="AB19" s="16"/>
      <c r="AC19" s="16"/>
      <c r="AD19" s="18">
        <v>0</v>
      </c>
      <c r="AE19" s="16"/>
      <c r="AF19" s="16"/>
      <c r="AG19" s="18">
        <v>0</v>
      </c>
      <c r="AH19" s="16"/>
      <c r="AI19" s="16"/>
    </row>
    <row r="20" spans="1:40" hidden="1" outlineLevel="1" x14ac:dyDescent="0.2">
      <c r="A20" s="6" t="s">
        <v>5</v>
      </c>
      <c r="B20" s="7"/>
      <c r="G20" s="16" t="s">
        <v>749</v>
      </c>
      <c r="H20" s="16">
        <v>900200</v>
      </c>
      <c r="I20" s="17"/>
      <c r="J20" s="17"/>
      <c r="K20" s="16"/>
      <c r="L20" s="17"/>
      <c r="M20" s="17"/>
      <c r="N20" s="16" t="s">
        <v>1047</v>
      </c>
      <c r="O20" s="18">
        <v>3694</v>
      </c>
      <c r="P20" s="18">
        <v>3593</v>
      </c>
      <c r="Q20" s="18">
        <v>3831</v>
      </c>
      <c r="R20" s="18">
        <v>3720</v>
      </c>
      <c r="S20" s="18">
        <v>3473</v>
      </c>
      <c r="T20" s="18">
        <v>3105</v>
      </c>
      <c r="U20" s="18">
        <v>3034</v>
      </c>
      <c r="V20" s="18">
        <v>3033</v>
      </c>
      <c r="W20" s="18">
        <v>2632</v>
      </c>
      <c r="X20" s="18">
        <v>3186</v>
      </c>
      <c r="Y20" s="18">
        <v>3534</v>
      </c>
      <c r="Z20" s="18">
        <v>3635</v>
      </c>
      <c r="AA20" s="18">
        <f>SUM(O20:Z20)</f>
        <v>40470</v>
      </c>
      <c r="AB20" s="16"/>
      <c r="AC20" s="16"/>
      <c r="AD20" s="18">
        <v>40231</v>
      </c>
      <c r="AE20" s="16"/>
      <c r="AF20" s="16"/>
      <c r="AG20" s="18">
        <v>39886</v>
      </c>
      <c r="AH20" s="16"/>
      <c r="AI20" s="16"/>
    </row>
    <row r="21" spans="1:40" hidden="1" outlineLevel="1" x14ac:dyDescent="0.2">
      <c r="A21" s="6" t="s">
        <v>6</v>
      </c>
      <c r="B21" s="7"/>
      <c r="I21" s="1"/>
      <c r="J21" s="1"/>
    </row>
    <row r="22" spans="1:40" hidden="1" outlineLevel="1" x14ac:dyDescent="0.2">
      <c r="A22" s="6" t="s">
        <v>7</v>
      </c>
      <c r="B22" s="14" t="s">
        <v>1338</v>
      </c>
      <c r="I22" s="1"/>
      <c r="J22" s="1"/>
    </row>
    <row r="23" spans="1:40" hidden="1" outlineLevel="1" x14ac:dyDescent="0.2">
      <c r="A23" s="6" t="s">
        <v>47</v>
      </c>
      <c r="B23" s="14" t="s">
        <v>1339</v>
      </c>
      <c r="K23" s="53"/>
      <c r="L23" s="53"/>
      <c r="M23" s="53"/>
      <c r="AD23" s="136"/>
    </row>
    <row r="24" spans="1:40" hidden="1" outlineLevel="1" x14ac:dyDescent="0.2">
      <c r="A24" s="6" t="s">
        <v>8</v>
      </c>
      <c r="B24" s="7"/>
    </row>
    <row r="25" spans="1:40" collapsed="1" x14ac:dyDescent="0.2"/>
    <row r="26" spans="1:40" ht="23" x14ac:dyDescent="0.25">
      <c r="A26" s="3" t="s">
        <v>9</v>
      </c>
      <c r="B26" s="5" t="s">
        <v>10</v>
      </c>
      <c r="N26" s="61" t="s">
        <v>982</v>
      </c>
    </row>
    <row r="27" spans="1:40" ht="18" x14ac:dyDescent="0.2">
      <c r="A27" s="6" t="s">
        <v>11</v>
      </c>
      <c r="B27" s="7" t="s">
        <v>21</v>
      </c>
      <c r="N27" s="66" t="s">
        <v>1340</v>
      </c>
    </row>
    <row r="28" spans="1:40" ht="16" x14ac:dyDescent="0.2">
      <c r="A28" s="6" t="s">
        <v>12</v>
      </c>
      <c r="B28" s="7" t="s">
        <v>22</v>
      </c>
      <c r="N28" s="67" t="s">
        <v>1002</v>
      </c>
    </row>
    <row r="29" spans="1:40" ht="15" customHeight="1" x14ac:dyDescent="0.2">
      <c r="A29" s="6" t="s">
        <v>13</v>
      </c>
      <c r="B29" s="7" t="str">
        <f>"DEP(469000) AND "&amp;$E$6&amp;"=Y,400000"</f>
        <v>DEP(469000) AND D2149=Y,400000</v>
      </c>
      <c r="N29" s="67" t="s">
        <v>986</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748</v>
      </c>
      <c r="AK30" s="209"/>
      <c r="AL30" s="210"/>
      <c r="AM30" s="209" t="s">
        <v>750</v>
      </c>
      <c r="AN30" s="209"/>
    </row>
    <row r="31" spans="1:40" x14ac:dyDescent="0.2">
      <c r="A31" s="6" t="s">
        <v>15</v>
      </c>
      <c r="B31" s="7"/>
      <c r="G31" s="13"/>
      <c r="K31" s="11"/>
      <c r="L31" s="11"/>
      <c r="M31" s="11"/>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tr">
        <f>AA14</f>
        <v>TOTAL</v>
      </c>
      <c r="AB31" s="207"/>
      <c r="AD31" s="540" t="s">
        <v>987</v>
      </c>
      <c r="AE31" s="541"/>
      <c r="AF31" s="211" t="s">
        <v>631</v>
      </c>
      <c r="AG31" s="540" t="s">
        <v>1003</v>
      </c>
      <c r="AH31" s="541"/>
      <c r="AI31" s="211" t="s">
        <v>631</v>
      </c>
      <c r="AJ31" s="211">
        <v>2024</v>
      </c>
      <c r="AK31" s="238">
        <v>2024</v>
      </c>
      <c r="AL31" s="238">
        <v>2023</v>
      </c>
      <c r="AM31" s="211" t="str">
        <f>"vs "&amp;AK31</f>
        <v>vs 2024</v>
      </c>
      <c r="AN31" s="211" t="str">
        <f>"vs "&amp;AL31</f>
        <v>vs 2023</v>
      </c>
    </row>
    <row r="32" spans="1:40" s="232" customFormat="1" ht="30" customHeight="1" x14ac:dyDescent="0.2">
      <c r="A32" s="230" t="s">
        <v>16</v>
      </c>
      <c r="B32" s="231"/>
      <c r="G32" s="317"/>
      <c r="H32" s="233"/>
      <c r="I32" s="234"/>
      <c r="J32" s="234"/>
      <c r="K32" s="235" t="s">
        <v>117</v>
      </c>
      <c r="L32" s="235"/>
      <c r="M32" s="235"/>
      <c r="N32" s="236" t="s">
        <v>120</v>
      </c>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c r="AD32" s="237" t="s">
        <v>959</v>
      </c>
      <c r="AE32" s="238" t="s">
        <v>58</v>
      </c>
      <c r="AF32" s="237" t="s">
        <v>57</v>
      </c>
      <c r="AG32" s="237" t="s">
        <v>957</v>
      </c>
      <c r="AH32" s="238" t="s">
        <v>58</v>
      </c>
      <c r="AI32" s="237" t="s">
        <v>57</v>
      </c>
      <c r="AJ32" s="237" t="str">
        <f>Z32</f>
        <v>Actual</v>
      </c>
      <c r="AK32" s="238" t="str">
        <f>AD32</f>
        <v>Budget</v>
      </c>
      <c r="AL32" s="237" t="str">
        <f>AG32</f>
        <v>Actual</v>
      </c>
      <c r="AM32" s="211" t="s">
        <v>747</v>
      </c>
      <c r="AN32" s="211" t="s">
        <v>747</v>
      </c>
    </row>
    <row r="33" spans="1:40" x14ac:dyDescent="0.2">
      <c r="A33" s="6" t="s">
        <v>17</v>
      </c>
      <c r="B33" s="7"/>
      <c r="H33" s="1" t="s">
        <v>69</v>
      </c>
      <c r="I33" s="11" t="s">
        <v>1006</v>
      </c>
      <c r="J33" s="11" t="s">
        <v>78</v>
      </c>
      <c r="N33" s="37" t="s">
        <v>1013</v>
      </c>
      <c r="O33" s="38"/>
      <c r="P33" s="42"/>
      <c r="Q33" s="42"/>
      <c r="R33" s="42"/>
      <c r="S33" s="42"/>
      <c r="T33" s="42"/>
      <c r="U33" s="42"/>
      <c r="V33" s="42"/>
      <c r="W33" s="42"/>
      <c r="X33" s="42"/>
      <c r="Y33" s="42"/>
      <c r="Z33" s="42"/>
      <c r="AA33" s="42"/>
      <c r="AB33" s="39"/>
      <c r="AD33" s="38"/>
      <c r="AE33" s="42"/>
      <c r="AF33" s="39"/>
      <c r="AG33" s="38"/>
      <c r="AH33" s="42"/>
      <c r="AI33" s="39"/>
    </row>
    <row r="34" spans="1:40" x14ac:dyDescent="0.2">
      <c r="H34" s="10" t="s">
        <v>407</v>
      </c>
      <c r="I34" s="25" t="s">
        <v>1052</v>
      </c>
      <c r="J34" s="25" t="s">
        <v>78</v>
      </c>
      <c r="K34" s="64" t="str">
        <f t="shared" ref="K34:K43" si="0">IF(AND(I34&gt;="T5"),"&gt;","")</f>
        <v>&gt;</v>
      </c>
      <c r="L34" s="24">
        <v>469100</v>
      </c>
      <c r="M34" s="24"/>
      <c r="N34" s="24" t="s">
        <v>1188</v>
      </c>
      <c r="O34" s="19"/>
      <c r="P34" s="19"/>
      <c r="Q34" s="19"/>
      <c r="R34" s="19"/>
      <c r="S34" s="19"/>
      <c r="T34" s="19"/>
      <c r="U34" s="19"/>
      <c r="V34" s="19"/>
      <c r="W34" s="19"/>
      <c r="X34" s="19"/>
      <c r="Y34" s="19"/>
      <c r="Z34" s="19"/>
      <c r="AA34" s="283">
        <f t="shared" ref="AA34:AA43" si="1">IF($I34="B1","",SUM(O34:Z34))</f>
        <v>0</v>
      </c>
      <c r="AB34" s="15" t="str">
        <f t="shared" ref="AB34:AB43" si="2">IF(AA34=0,"",IFERROR(AA34/AA$19,""))</f>
        <v/>
      </c>
      <c r="AD34" s="19"/>
      <c r="AE34" s="15" t="str">
        <f t="shared" ref="AE34:AE43" si="3">IF(AD34=0,"",IFERROR(AD34/AD$19,""))</f>
        <v/>
      </c>
      <c r="AF34" s="47">
        <f t="shared" ref="AF34:AF43" si="4">IF(AND($AA34="",AD34=""),"",$AA34-AD34)</f>
        <v>0</v>
      </c>
      <c r="AG34" s="19"/>
      <c r="AH34" s="15" t="str">
        <f t="shared" ref="AH34:AH43" si="5">IF(AG34=0,"",IFERROR(AG34/AG$19,""))</f>
        <v/>
      </c>
      <c r="AI34" s="47">
        <f t="shared" ref="AI34:AI43" si="6">IF(AND($AA34="",AG34=""),"",$AA34-AG34)</f>
        <v>0</v>
      </c>
      <c r="AJ34" s="371">
        <f t="shared" ref="AJ34:AJ43" si="7">IFERROR(AA34/AA$20,0)</f>
        <v>0</v>
      </c>
      <c r="AK34" s="372">
        <f t="shared" ref="AK34:AK43" si="8">IFERROR(AD34/AD$20,0)</f>
        <v>0</v>
      </c>
      <c r="AL34" s="373">
        <f t="shared" ref="AL34:AL43" si="9">IFERROR(AG34/AG$20,0)</f>
        <v>0</v>
      </c>
      <c r="AM34" s="374">
        <f t="shared" ref="AM34:AM43" si="10">+IFERROR(ROUND(($AB34-AE34)*100,2)&amp;" pts.",0)</f>
        <v>0</v>
      </c>
      <c r="AN34" s="375">
        <f t="shared" ref="AN34:AN43" si="11">+IFERROR(ROUND(($AB34-AH34)*100,2)&amp;" pts.",0)</f>
        <v>0</v>
      </c>
    </row>
    <row r="35" spans="1:40" x14ac:dyDescent="0.2">
      <c r="A35" s="20" t="s">
        <v>92</v>
      </c>
      <c r="B35" s="21" t="s">
        <v>93</v>
      </c>
      <c r="C35" s="21" t="s">
        <v>94</v>
      </c>
      <c r="D35" s="21" t="s">
        <v>95</v>
      </c>
      <c r="E35" s="21" t="s">
        <v>96</v>
      </c>
      <c r="F35" s="22" t="s">
        <v>97</v>
      </c>
      <c r="H35" s="10" t="s">
        <v>408</v>
      </c>
      <c r="I35" s="25" t="s">
        <v>1052</v>
      </c>
      <c r="J35" s="25" t="s">
        <v>78</v>
      </c>
      <c r="K35" s="64" t="str">
        <f t="shared" si="0"/>
        <v>&gt;</v>
      </c>
      <c r="L35" s="24">
        <v>469200</v>
      </c>
      <c r="M35" s="24"/>
      <c r="N35" s="24" t="s">
        <v>1341</v>
      </c>
      <c r="O35" s="19"/>
      <c r="P35" s="19"/>
      <c r="Q35" s="19"/>
      <c r="R35" s="19"/>
      <c r="S35" s="19"/>
      <c r="T35" s="19"/>
      <c r="U35" s="19"/>
      <c r="V35" s="19"/>
      <c r="W35" s="19"/>
      <c r="X35" s="19"/>
      <c r="Y35" s="19"/>
      <c r="Z35" s="19"/>
      <c r="AA35" s="283">
        <f t="shared" si="1"/>
        <v>0</v>
      </c>
      <c r="AB35" s="15" t="str">
        <f t="shared" si="2"/>
        <v/>
      </c>
      <c r="AD35" s="19"/>
      <c r="AE35" s="15" t="str">
        <f t="shared" si="3"/>
        <v/>
      </c>
      <c r="AF35" s="47">
        <f t="shared" si="4"/>
        <v>0</v>
      </c>
      <c r="AG35" s="19"/>
      <c r="AH35" s="15" t="str">
        <f t="shared" si="5"/>
        <v/>
      </c>
      <c r="AI35" s="47">
        <f t="shared" si="6"/>
        <v>0</v>
      </c>
      <c r="AJ35" s="371">
        <f t="shared" si="7"/>
        <v>0</v>
      </c>
      <c r="AK35" s="372">
        <f t="shared" si="8"/>
        <v>0</v>
      </c>
      <c r="AL35" s="373">
        <f t="shared" si="9"/>
        <v>0</v>
      </c>
      <c r="AM35" s="374">
        <f t="shared" si="10"/>
        <v>0</v>
      </c>
      <c r="AN35" s="375">
        <f t="shared" si="11"/>
        <v>0</v>
      </c>
    </row>
    <row r="36" spans="1:40" x14ac:dyDescent="0.2">
      <c r="H36" s="10" t="s">
        <v>409</v>
      </c>
      <c r="I36" s="25" t="s">
        <v>1052</v>
      </c>
      <c r="J36" s="25" t="s">
        <v>78</v>
      </c>
      <c r="K36" s="64" t="str">
        <f t="shared" si="0"/>
        <v>&gt;</v>
      </c>
      <c r="L36" s="24">
        <v>469300</v>
      </c>
      <c r="M36" s="24"/>
      <c r="N36" s="24" t="s">
        <v>1342</v>
      </c>
      <c r="O36" s="19"/>
      <c r="P36" s="19"/>
      <c r="Q36" s="19"/>
      <c r="R36" s="19"/>
      <c r="S36" s="19"/>
      <c r="T36" s="19"/>
      <c r="U36" s="19"/>
      <c r="V36" s="19"/>
      <c r="W36" s="19"/>
      <c r="X36" s="19"/>
      <c r="Y36" s="19"/>
      <c r="Z36" s="19"/>
      <c r="AA36" s="283">
        <f t="shared" si="1"/>
        <v>0</v>
      </c>
      <c r="AB36" s="15" t="str">
        <f t="shared" si="2"/>
        <v/>
      </c>
      <c r="AD36" s="19"/>
      <c r="AE36" s="15" t="str">
        <f t="shared" si="3"/>
        <v/>
      </c>
      <c r="AF36" s="47">
        <f t="shared" si="4"/>
        <v>0</v>
      </c>
      <c r="AG36" s="19"/>
      <c r="AH36" s="15" t="str">
        <f t="shared" si="5"/>
        <v/>
      </c>
      <c r="AI36" s="47">
        <f t="shared" si="6"/>
        <v>0</v>
      </c>
      <c r="AJ36" s="371">
        <f t="shared" si="7"/>
        <v>0</v>
      </c>
      <c r="AK36" s="372">
        <f t="shared" si="8"/>
        <v>0</v>
      </c>
      <c r="AL36" s="373">
        <f t="shared" si="9"/>
        <v>0</v>
      </c>
      <c r="AM36" s="374">
        <f t="shared" si="10"/>
        <v>0</v>
      </c>
      <c r="AN36" s="375">
        <f t="shared" si="11"/>
        <v>0</v>
      </c>
    </row>
    <row r="37" spans="1:40" x14ac:dyDescent="0.2">
      <c r="A37" s="1" t="s">
        <v>105</v>
      </c>
      <c r="C37" s="24" t="s">
        <v>101</v>
      </c>
      <c r="D37" s="1" t="s">
        <v>106</v>
      </c>
      <c r="F37" s="1" t="s">
        <v>98</v>
      </c>
      <c r="H37" s="10" t="s">
        <v>410</v>
      </c>
      <c r="I37" s="25" t="s">
        <v>1052</v>
      </c>
      <c r="J37" s="25" t="s">
        <v>78</v>
      </c>
      <c r="K37" s="64" t="str">
        <f t="shared" si="0"/>
        <v>&gt;</v>
      </c>
      <c r="L37" s="24">
        <v>469400</v>
      </c>
      <c r="M37" s="24"/>
      <c r="N37" s="24" t="s">
        <v>1343</v>
      </c>
      <c r="O37" s="19"/>
      <c r="P37" s="19"/>
      <c r="Q37" s="19"/>
      <c r="R37" s="19"/>
      <c r="S37" s="19"/>
      <c r="T37" s="19"/>
      <c r="U37" s="19"/>
      <c r="V37" s="19"/>
      <c r="W37" s="19"/>
      <c r="X37" s="19"/>
      <c r="Y37" s="19"/>
      <c r="Z37" s="19"/>
      <c r="AA37" s="283">
        <f t="shared" si="1"/>
        <v>0</v>
      </c>
      <c r="AB37" s="15" t="str">
        <f t="shared" si="2"/>
        <v/>
      </c>
      <c r="AD37" s="19"/>
      <c r="AE37" s="15" t="str">
        <f t="shared" si="3"/>
        <v/>
      </c>
      <c r="AF37" s="47">
        <f t="shared" si="4"/>
        <v>0</v>
      </c>
      <c r="AG37" s="19"/>
      <c r="AH37" s="15" t="str">
        <f t="shared" si="5"/>
        <v/>
      </c>
      <c r="AI37" s="47">
        <f t="shared" si="6"/>
        <v>0</v>
      </c>
      <c r="AJ37" s="371">
        <f t="shared" si="7"/>
        <v>0</v>
      </c>
      <c r="AK37" s="372">
        <f t="shared" si="8"/>
        <v>0</v>
      </c>
      <c r="AL37" s="373">
        <f t="shared" si="9"/>
        <v>0</v>
      </c>
      <c r="AM37" s="374">
        <f t="shared" si="10"/>
        <v>0</v>
      </c>
      <c r="AN37" s="375">
        <f t="shared" si="11"/>
        <v>0</v>
      </c>
    </row>
    <row r="38" spans="1:40" x14ac:dyDescent="0.2">
      <c r="A38" s="1" t="s">
        <v>104</v>
      </c>
      <c r="C38" s="24" t="s">
        <v>101</v>
      </c>
      <c r="D38" s="1" t="s">
        <v>106</v>
      </c>
      <c r="F38" s="1" t="s">
        <v>98</v>
      </c>
      <c r="H38" s="10" t="s">
        <v>411</v>
      </c>
      <c r="I38" s="25" t="s">
        <v>1052</v>
      </c>
      <c r="J38" s="25" t="s">
        <v>78</v>
      </c>
      <c r="K38" s="64" t="str">
        <f t="shared" si="0"/>
        <v>&gt;</v>
      </c>
      <c r="L38" s="24">
        <v>469500</v>
      </c>
      <c r="M38" s="24"/>
      <c r="N38" s="24" t="s">
        <v>1344</v>
      </c>
      <c r="O38" s="19"/>
      <c r="P38" s="19"/>
      <c r="Q38" s="19"/>
      <c r="R38" s="19"/>
      <c r="S38" s="19"/>
      <c r="T38" s="19"/>
      <c r="U38" s="19"/>
      <c r="V38" s="19"/>
      <c r="W38" s="19"/>
      <c r="X38" s="19"/>
      <c r="Y38" s="19"/>
      <c r="Z38" s="19"/>
      <c r="AA38" s="283">
        <f t="shared" si="1"/>
        <v>0</v>
      </c>
      <c r="AB38" s="15" t="str">
        <f t="shared" si="2"/>
        <v/>
      </c>
      <c r="AD38" s="19"/>
      <c r="AE38" s="15" t="str">
        <f t="shared" si="3"/>
        <v/>
      </c>
      <c r="AF38" s="47">
        <f t="shared" si="4"/>
        <v>0</v>
      </c>
      <c r="AG38" s="19"/>
      <c r="AH38" s="15" t="str">
        <f t="shared" si="5"/>
        <v/>
      </c>
      <c r="AI38" s="47">
        <f t="shared" si="6"/>
        <v>0</v>
      </c>
      <c r="AJ38" s="371">
        <f t="shared" si="7"/>
        <v>0</v>
      </c>
      <c r="AK38" s="372">
        <f t="shared" si="8"/>
        <v>0</v>
      </c>
      <c r="AL38" s="373">
        <f t="shared" si="9"/>
        <v>0</v>
      </c>
      <c r="AM38" s="374">
        <f t="shared" si="10"/>
        <v>0</v>
      </c>
      <c r="AN38" s="375">
        <f t="shared" si="11"/>
        <v>0</v>
      </c>
    </row>
    <row r="39" spans="1:40" x14ac:dyDescent="0.2">
      <c r="A39" s="1" t="s">
        <v>108</v>
      </c>
      <c r="C39" s="23" t="s">
        <v>101</v>
      </c>
      <c r="D39" s="1" t="s">
        <v>106</v>
      </c>
      <c r="F39" s="1" t="s">
        <v>98</v>
      </c>
      <c r="H39" s="10" t="s">
        <v>412</v>
      </c>
      <c r="I39" s="25" t="s">
        <v>1052</v>
      </c>
      <c r="J39" s="25" t="s">
        <v>78</v>
      </c>
      <c r="K39" s="64" t="str">
        <f t="shared" si="0"/>
        <v>&gt;</v>
      </c>
      <c r="L39" s="24">
        <v>469600</v>
      </c>
      <c r="M39" s="24"/>
      <c r="N39" s="24" t="s">
        <v>1345</v>
      </c>
      <c r="O39" s="19"/>
      <c r="P39" s="19"/>
      <c r="Q39" s="19"/>
      <c r="R39" s="19"/>
      <c r="S39" s="19"/>
      <c r="T39" s="19"/>
      <c r="U39" s="19"/>
      <c r="V39" s="19"/>
      <c r="W39" s="19"/>
      <c r="X39" s="19"/>
      <c r="Y39" s="19"/>
      <c r="Z39" s="19"/>
      <c r="AA39" s="283">
        <f t="shared" si="1"/>
        <v>0</v>
      </c>
      <c r="AB39" s="15" t="str">
        <f t="shared" si="2"/>
        <v/>
      </c>
      <c r="AD39" s="19"/>
      <c r="AE39" s="15" t="str">
        <f t="shared" si="3"/>
        <v/>
      </c>
      <c r="AF39" s="47">
        <f t="shared" si="4"/>
        <v>0</v>
      </c>
      <c r="AG39" s="19"/>
      <c r="AH39" s="15" t="str">
        <f t="shared" si="5"/>
        <v/>
      </c>
      <c r="AI39" s="47">
        <f t="shared" si="6"/>
        <v>0</v>
      </c>
      <c r="AJ39" s="371">
        <f t="shared" si="7"/>
        <v>0</v>
      </c>
      <c r="AK39" s="372">
        <f t="shared" si="8"/>
        <v>0</v>
      </c>
      <c r="AL39" s="373">
        <f t="shared" si="9"/>
        <v>0</v>
      </c>
      <c r="AM39" s="374">
        <f t="shared" si="10"/>
        <v>0</v>
      </c>
      <c r="AN39" s="375">
        <f t="shared" si="11"/>
        <v>0</v>
      </c>
    </row>
    <row r="40" spans="1:40" x14ac:dyDescent="0.2">
      <c r="A40" s="1" t="s">
        <v>108</v>
      </c>
      <c r="C40" s="135" t="s">
        <v>101</v>
      </c>
      <c r="D40" s="1" t="s">
        <v>107</v>
      </c>
      <c r="F40" s="1" t="s">
        <v>99</v>
      </c>
      <c r="H40" s="10" t="s">
        <v>413</v>
      </c>
      <c r="I40" s="25" t="s">
        <v>1052</v>
      </c>
      <c r="J40" s="25" t="s">
        <v>78</v>
      </c>
      <c r="K40" s="64" t="str">
        <f t="shared" si="0"/>
        <v>&gt;</v>
      </c>
      <c r="L40" s="24">
        <v>469700</v>
      </c>
      <c r="M40" s="24"/>
      <c r="N40" s="24" t="s">
        <v>1346</v>
      </c>
      <c r="O40" s="19"/>
      <c r="P40" s="19"/>
      <c r="Q40" s="19"/>
      <c r="R40" s="19"/>
      <c r="S40" s="19"/>
      <c r="T40" s="19"/>
      <c r="U40" s="19"/>
      <c r="V40" s="19"/>
      <c r="W40" s="19"/>
      <c r="X40" s="19"/>
      <c r="Y40" s="19"/>
      <c r="Z40" s="19"/>
      <c r="AA40" s="283">
        <f t="shared" si="1"/>
        <v>0</v>
      </c>
      <c r="AB40" s="15" t="str">
        <f t="shared" si="2"/>
        <v/>
      </c>
      <c r="AD40" s="19"/>
      <c r="AE40" s="15" t="str">
        <f t="shared" si="3"/>
        <v/>
      </c>
      <c r="AF40" s="47">
        <f t="shared" si="4"/>
        <v>0</v>
      </c>
      <c r="AG40" s="19"/>
      <c r="AH40" s="15" t="str">
        <f t="shared" si="5"/>
        <v/>
      </c>
      <c r="AI40" s="47">
        <f t="shared" si="6"/>
        <v>0</v>
      </c>
      <c r="AJ40" s="371">
        <f t="shared" si="7"/>
        <v>0</v>
      </c>
      <c r="AK40" s="372">
        <f t="shared" si="8"/>
        <v>0</v>
      </c>
      <c r="AL40" s="373">
        <f t="shared" si="9"/>
        <v>0</v>
      </c>
      <c r="AM40" s="374">
        <f t="shared" si="10"/>
        <v>0</v>
      </c>
      <c r="AN40" s="375">
        <f t="shared" si="11"/>
        <v>0</v>
      </c>
    </row>
    <row r="41" spans="1:40" x14ac:dyDescent="0.2">
      <c r="H41" s="10" t="s">
        <v>414</v>
      </c>
      <c r="I41" s="25" t="s">
        <v>1052</v>
      </c>
      <c r="J41" s="25" t="s">
        <v>78</v>
      </c>
      <c r="K41" s="64" t="str">
        <f t="shared" si="0"/>
        <v>&gt;</v>
      </c>
      <c r="L41" s="24">
        <v>469800</v>
      </c>
      <c r="M41" s="24"/>
      <c r="N41" s="24" t="s">
        <v>1347</v>
      </c>
      <c r="O41" s="19"/>
      <c r="P41" s="19"/>
      <c r="Q41" s="19"/>
      <c r="R41" s="19"/>
      <c r="S41" s="19"/>
      <c r="T41" s="19"/>
      <c r="U41" s="19"/>
      <c r="V41" s="19"/>
      <c r="W41" s="19"/>
      <c r="X41" s="19"/>
      <c r="Y41" s="19"/>
      <c r="Z41" s="19"/>
      <c r="AA41" s="283">
        <f t="shared" si="1"/>
        <v>0</v>
      </c>
      <c r="AB41" s="15" t="str">
        <f t="shared" si="2"/>
        <v/>
      </c>
      <c r="AD41" s="19"/>
      <c r="AE41" s="15" t="str">
        <f t="shared" si="3"/>
        <v/>
      </c>
      <c r="AF41" s="47">
        <f t="shared" si="4"/>
        <v>0</v>
      </c>
      <c r="AG41" s="19"/>
      <c r="AH41" s="15" t="str">
        <f t="shared" si="5"/>
        <v/>
      </c>
      <c r="AI41" s="47">
        <f t="shared" si="6"/>
        <v>0</v>
      </c>
      <c r="AJ41" s="371">
        <f t="shared" si="7"/>
        <v>0</v>
      </c>
      <c r="AK41" s="372">
        <f t="shared" si="8"/>
        <v>0</v>
      </c>
      <c r="AL41" s="373">
        <f t="shared" si="9"/>
        <v>0</v>
      </c>
      <c r="AM41" s="374">
        <f t="shared" si="10"/>
        <v>0</v>
      </c>
      <c r="AN41" s="375">
        <f t="shared" si="11"/>
        <v>0</v>
      </c>
    </row>
    <row r="42" spans="1:40" x14ac:dyDescent="0.2">
      <c r="H42" s="10" t="s">
        <v>474</v>
      </c>
      <c r="I42" s="25" t="s">
        <v>1004</v>
      </c>
      <c r="J42" s="25" t="s">
        <v>1004</v>
      </c>
      <c r="K42" s="64" t="str">
        <f t="shared" si="0"/>
        <v/>
      </c>
      <c r="L42" s="24">
        <v>469990</v>
      </c>
      <c r="M42" s="24">
        <v>206022</v>
      </c>
      <c r="N42" s="24" t="s">
        <v>1348</v>
      </c>
      <c r="O42" s="28"/>
      <c r="P42" s="28"/>
      <c r="Q42" s="28"/>
      <c r="R42" s="28"/>
      <c r="S42" s="28"/>
      <c r="T42" s="28"/>
      <c r="U42" s="28"/>
      <c r="V42" s="28"/>
      <c r="W42" s="28"/>
      <c r="X42" s="28"/>
      <c r="Y42" s="28"/>
      <c r="Z42" s="28"/>
      <c r="AA42" s="296">
        <f t="shared" si="1"/>
        <v>0</v>
      </c>
      <c r="AB42" s="29" t="str">
        <f t="shared" si="2"/>
        <v/>
      </c>
      <c r="AD42" s="28"/>
      <c r="AE42" s="29" t="str">
        <f t="shared" si="3"/>
        <v/>
      </c>
      <c r="AF42" s="48">
        <f t="shared" si="4"/>
        <v>0</v>
      </c>
      <c r="AG42" s="28"/>
      <c r="AH42" s="29" t="str">
        <f t="shared" si="5"/>
        <v/>
      </c>
      <c r="AI42" s="48">
        <f t="shared" si="6"/>
        <v>0</v>
      </c>
      <c r="AJ42" s="381">
        <f t="shared" si="7"/>
        <v>0</v>
      </c>
      <c r="AK42" s="382">
        <f t="shared" si="8"/>
        <v>0</v>
      </c>
      <c r="AL42" s="383">
        <f t="shared" si="9"/>
        <v>0</v>
      </c>
      <c r="AM42" s="384">
        <f t="shared" si="10"/>
        <v>0</v>
      </c>
      <c r="AN42" s="385">
        <f t="shared" si="11"/>
        <v>0</v>
      </c>
    </row>
    <row r="43" spans="1:40" x14ac:dyDescent="0.2">
      <c r="A43" s="4" t="s">
        <v>989</v>
      </c>
      <c r="H43" s="10" t="s">
        <v>280</v>
      </c>
      <c r="I43" s="447" t="s">
        <v>1007</v>
      </c>
      <c r="J43" s="447" t="s">
        <v>78</v>
      </c>
      <c r="K43" s="448" t="str">
        <f t="shared" si="0"/>
        <v/>
      </c>
      <c r="L43" s="151">
        <v>400000</v>
      </c>
      <c r="M43" s="151"/>
      <c r="N43" s="151" t="s">
        <v>1001</v>
      </c>
      <c r="O43" s="120"/>
      <c r="P43" s="120"/>
      <c r="Q43" s="120"/>
      <c r="R43" s="120"/>
      <c r="S43" s="120"/>
      <c r="T43" s="120"/>
      <c r="U43" s="120"/>
      <c r="V43" s="120"/>
      <c r="W43" s="120"/>
      <c r="X43" s="120"/>
      <c r="Y43" s="120"/>
      <c r="Z43" s="120"/>
      <c r="AA43" s="120">
        <f t="shared" si="1"/>
        <v>0</v>
      </c>
      <c r="AB43" s="121" t="str">
        <f t="shared" si="2"/>
        <v/>
      </c>
      <c r="AC43" s="123"/>
      <c r="AD43" s="120"/>
      <c r="AE43" s="121" t="str">
        <f t="shared" si="3"/>
        <v/>
      </c>
      <c r="AF43" s="122">
        <f t="shared" si="4"/>
        <v>0</v>
      </c>
      <c r="AG43" s="120"/>
      <c r="AH43" s="121" t="str">
        <f t="shared" si="5"/>
        <v/>
      </c>
      <c r="AI43" s="122">
        <f t="shared" si="6"/>
        <v>0</v>
      </c>
      <c r="AJ43" s="332">
        <f t="shared" si="7"/>
        <v>0</v>
      </c>
      <c r="AK43" s="333">
        <f t="shared" si="8"/>
        <v>0</v>
      </c>
      <c r="AL43" s="335">
        <f t="shared" si="9"/>
        <v>0</v>
      </c>
      <c r="AM43" s="377">
        <f t="shared" si="10"/>
        <v>0</v>
      </c>
      <c r="AN43" s="378">
        <f t="shared" si="11"/>
        <v>0</v>
      </c>
    </row>
    <row r="44" spans="1:40" x14ac:dyDescent="0.2">
      <c r="O44" s="50"/>
      <c r="AB44" s="51"/>
      <c r="AD44" s="50"/>
      <c r="AF44" s="51"/>
      <c r="AG44" s="50"/>
      <c r="AI44" s="51"/>
    </row>
    <row r="45" spans="1:40" x14ac:dyDescent="0.2">
      <c r="A45" s="3" t="s">
        <v>0</v>
      </c>
      <c r="B45" s="5" t="s">
        <v>1</v>
      </c>
      <c r="H45" s="1" t="s">
        <v>281</v>
      </c>
      <c r="I45" s="11" t="s">
        <v>1006</v>
      </c>
      <c r="J45" s="11" t="s">
        <v>78</v>
      </c>
      <c r="N45" s="37" t="s">
        <v>1210</v>
      </c>
      <c r="O45" s="50"/>
      <c r="AB45" s="51"/>
      <c r="AD45" s="50"/>
      <c r="AF45" s="51"/>
      <c r="AG45" s="50"/>
      <c r="AI45" s="51"/>
    </row>
    <row r="46" spans="1:40" x14ac:dyDescent="0.2">
      <c r="A46" s="6" t="s">
        <v>2</v>
      </c>
      <c r="B46" s="14" t="s">
        <v>1335</v>
      </c>
      <c r="H46" s="10" t="s">
        <v>415</v>
      </c>
      <c r="I46" s="25" t="s">
        <v>1004</v>
      </c>
      <c r="J46" s="25" t="s">
        <v>1004</v>
      </c>
      <c r="K46" s="64" t="str">
        <f t="shared" ref="K46:K56" si="12">IF(AND(I46&gt;="T5"),"&gt;","")</f>
        <v/>
      </c>
      <c r="L46" s="24">
        <v>569100</v>
      </c>
      <c r="M46" s="24">
        <v>301010</v>
      </c>
      <c r="N46" s="24" t="s">
        <v>1351</v>
      </c>
      <c r="O46" s="19"/>
      <c r="P46" s="19"/>
      <c r="Q46" s="19"/>
      <c r="R46" s="19"/>
      <c r="S46" s="19"/>
      <c r="T46" s="19"/>
      <c r="U46" s="19"/>
      <c r="V46" s="19"/>
      <c r="W46" s="19"/>
      <c r="X46" s="19"/>
      <c r="Y46" s="19"/>
      <c r="Z46" s="19"/>
      <c r="AA46" s="19">
        <f t="shared" ref="AA46:AA54" si="13">IF($I46="B1","",SUM(O46:Z46))</f>
        <v>0</v>
      </c>
      <c r="AB46" s="15"/>
      <c r="AD46" s="19"/>
      <c r="AE46" s="15"/>
      <c r="AF46" s="47">
        <f t="shared" ref="AF46:AF56" si="14">IF(AND($AA46="",AD46=""),"",$AA46-AD46)</f>
        <v>0</v>
      </c>
      <c r="AG46" s="19"/>
      <c r="AH46" s="15"/>
      <c r="AI46" s="47">
        <f t="shared" ref="AI46:AI56" si="15">IF(AND($AA46="",AG46=""),"",$AA46-AG46)</f>
        <v>0</v>
      </c>
      <c r="AJ46" s="371">
        <f t="shared" ref="AJ46:AJ56" si="16">IFERROR(AA46/AA$20,0)</f>
        <v>0</v>
      </c>
      <c r="AK46" s="372">
        <f t="shared" ref="AK46:AK56" si="17">IFERROR(AD46/AD$20,0)</f>
        <v>0</v>
      </c>
      <c r="AL46" s="373">
        <f t="shared" ref="AL46:AL56" si="18">IFERROR(AG46/AG$20,0)</f>
        <v>0</v>
      </c>
      <c r="AM46" s="374" t="str">
        <f t="shared" ref="AM46:AM56" si="19">+IFERROR(ROUND(($AB46-AE46)*100,2)&amp;" pts.",0)</f>
        <v>0 pts.</v>
      </c>
      <c r="AN46" s="375" t="str">
        <f t="shared" ref="AN46:AN56" si="20">+IFERROR(ROUND(($AB46-AH46)*100,2)&amp;" pts.",0)</f>
        <v>0 pts.</v>
      </c>
    </row>
    <row r="47" spans="1:40" x14ac:dyDescent="0.2">
      <c r="A47" s="6" t="s">
        <v>3</v>
      </c>
      <c r="B47" s="14" t="s">
        <v>1336</v>
      </c>
      <c r="H47" s="10" t="s">
        <v>416</v>
      </c>
      <c r="I47" s="25" t="s">
        <v>1004</v>
      </c>
      <c r="J47" s="25" t="s">
        <v>1004</v>
      </c>
      <c r="K47" s="64" t="str">
        <f t="shared" si="12"/>
        <v/>
      </c>
      <c r="L47" s="24">
        <v>569200</v>
      </c>
      <c r="M47" s="24">
        <v>301010</v>
      </c>
      <c r="N47" s="24" t="s">
        <v>1352</v>
      </c>
      <c r="O47" s="19"/>
      <c r="P47" s="19"/>
      <c r="Q47" s="19"/>
      <c r="R47" s="19"/>
      <c r="S47" s="19"/>
      <c r="T47" s="19"/>
      <c r="U47" s="19"/>
      <c r="V47" s="19"/>
      <c r="W47" s="19"/>
      <c r="X47" s="19"/>
      <c r="Y47" s="19"/>
      <c r="Z47" s="19"/>
      <c r="AA47" s="19">
        <f t="shared" si="13"/>
        <v>0</v>
      </c>
      <c r="AB47" s="15"/>
      <c r="AD47" s="19"/>
      <c r="AE47" s="15"/>
      <c r="AF47" s="47">
        <f t="shared" si="14"/>
        <v>0</v>
      </c>
      <c r="AG47" s="19"/>
      <c r="AH47" s="15"/>
      <c r="AI47" s="47">
        <f t="shared" si="15"/>
        <v>0</v>
      </c>
      <c r="AJ47" s="371">
        <f t="shared" si="16"/>
        <v>0</v>
      </c>
      <c r="AK47" s="372">
        <f t="shared" si="17"/>
        <v>0</v>
      </c>
      <c r="AL47" s="373">
        <f t="shared" si="18"/>
        <v>0</v>
      </c>
      <c r="AM47" s="374" t="str">
        <f t="shared" si="19"/>
        <v>0 pts.</v>
      </c>
      <c r="AN47" s="375" t="str">
        <f t="shared" si="20"/>
        <v>0 pts.</v>
      </c>
    </row>
    <row r="48" spans="1:40" x14ac:dyDescent="0.2">
      <c r="A48" s="6" t="s">
        <v>4</v>
      </c>
      <c r="B48" s="14" t="s">
        <v>1349</v>
      </c>
      <c r="H48" s="10" t="s">
        <v>417</v>
      </c>
      <c r="I48" s="25" t="s">
        <v>1004</v>
      </c>
      <c r="J48" s="25" t="s">
        <v>1004</v>
      </c>
      <c r="K48" s="64" t="str">
        <f t="shared" si="12"/>
        <v/>
      </c>
      <c r="L48" s="24">
        <v>569300</v>
      </c>
      <c r="M48" s="24">
        <v>301090</v>
      </c>
      <c r="N48" s="24" t="s">
        <v>1353</v>
      </c>
      <c r="O48" s="19"/>
      <c r="P48" s="19"/>
      <c r="Q48" s="19"/>
      <c r="R48" s="19"/>
      <c r="S48" s="19"/>
      <c r="T48" s="19"/>
      <c r="U48" s="19"/>
      <c r="V48" s="19"/>
      <c r="W48" s="19"/>
      <c r="X48" s="19"/>
      <c r="Y48" s="19"/>
      <c r="Z48" s="19"/>
      <c r="AA48" s="19">
        <f t="shared" si="13"/>
        <v>0</v>
      </c>
      <c r="AB48" s="15"/>
      <c r="AD48" s="19"/>
      <c r="AE48" s="15"/>
      <c r="AF48" s="47">
        <f t="shared" si="14"/>
        <v>0</v>
      </c>
      <c r="AG48" s="19"/>
      <c r="AH48" s="15"/>
      <c r="AI48" s="47">
        <f t="shared" si="15"/>
        <v>0</v>
      </c>
      <c r="AJ48" s="371">
        <f t="shared" si="16"/>
        <v>0</v>
      </c>
      <c r="AK48" s="372">
        <f t="shared" si="17"/>
        <v>0</v>
      </c>
      <c r="AL48" s="373">
        <f t="shared" si="18"/>
        <v>0</v>
      </c>
      <c r="AM48" s="374" t="str">
        <f t="shared" si="19"/>
        <v>0 pts.</v>
      </c>
      <c r="AN48" s="375" t="str">
        <f t="shared" si="20"/>
        <v>0 pts.</v>
      </c>
    </row>
    <row r="49" spans="1:40" x14ac:dyDescent="0.2">
      <c r="A49" s="6" t="s">
        <v>5</v>
      </c>
      <c r="B49" s="7"/>
      <c r="F49" s="136"/>
      <c r="H49" s="10" t="s">
        <v>418</v>
      </c>
      <c r="I49" s="25" t="s">
        <v>1004</v>
      </c>
      <c r="J49" s="25" t="s">
        <v>1004</v>
      </c>
      <c r="K49" s="64" t="str">
        <f t="shared" si="12"/>
        <v/>
      </c>
      <c r="L49" s="24">
        <v>569400</v>
      </c>
      <c r="M49" s="24">
        <v>302050</v>
      </c>
      <c r="N49" s="24" t="s">
        <v>1354</v>
      </c>
      <c r="O49" s="19"/>
      <c r="P49" s="19"/>
      <c r="Q49" s="19"/>
      <c r="R49" s="19"/>
      <c r="S49" s="19"/>
      <c r="T49" s="19"/>
      <c r="U49" s="19"/>
      <c r="V49" s="19"/>
      <c r="W49" s="19"/>
      <c r="X49" s="19"/>
      <c r="Y49" s="19"/>
      <c r="Z49" s="19"/>
      <c r="AA49" s="19">
        <f t="shared" si="13"/>
        <v>0</v>
      </c>
      <c r="AB49" s="15"/>
      <c r="AD49" s="19"/>
      <c r="AE49" s="15"/>
      <c r="AF49" s="47">
        <f t="shared" si="14"/>
        <v>0</v>
      </c>
      <c r="AG49" s="19"/>
      <c r="AH49" s="15"/>
      <c r="AI49" s="47">
        <f t="shared" si="15"/>
        <v>0</v>
      </c>
      <c r="AJ49" s="371">
        <f t="shared" si="16"/>
        <v>0</v>
      </c>
      <c r="AK49" s="372">
        <f t="shared" si="17"/>
        <v>0</v>
      </c>
      <c r="AL49" s="373">
        <f t="shared" si="18"/>
        <v>0</v>
      </c>
      <c r="AM49" s="374" t="str">
        <f t="shared" si="19"/>
        <v>0 pts.</v>
      </c>
      <c r="AN49" s="375" t="str">
        <f t="shared" si="20"/>
        <v>0 pts.</v>
      </c>
    </row>
    <row r="50" spans="1:40" x14ac:dyDescent="0.2">
      <c r="A50" s="6" t="s">
        <v>6</v>
      </c>
      <c r="B50" s="7"/>
      <c r="F50" s="136"/>
      <c r="H50" s="10" t="s">
        <v>419</v>
      </c>
      <c r="I50" s="25" t="s">
        <v>1004</v>
      </c>
      <c r="J50" s="25" t="s">
        <v>1004</v>
      </c>
      <c r="K50" s="64" t="str">
        <f t="shared" si="12"/>
        <v/>
      </c>
      <c r="L50" s="24">
        <v>569500</v>
      </c>
      <c r="M50" s="24">
        <v>302055</v>
      </c>
      <c r="N50" s="24" t="s">
        <v>1355</v>
      </c>
      <c r="O50" s="19"/>
      <c r="P50" s="19"/>
      <c r="Q50" s="19"/>
      <c r="R50" s="19"/>
      <c r="S50" s="19"/>
      <c r="T50" s="19"/>
      <c r="U50" s="19"/>
      <c r="V50" s="19"/>
      <c r="W50" s="19"/>
      <c r="X50" s="19"/>
      <c r="Y50" s="19"/>
      <c r="Z50" s="19"/>
      <c r="AA50" s="19">
        <f t="shared" si="13"/>
        <v>0</v>
      </c>
      <c r="AB50" s="15"/>
      <c r="AD50" s="19"/>
      <c r="AE50" s="15"/>
      <c r="AF50" s="47">
        <f t="shared" si="14"/>
        <v>0</v>
      </c>
      <c r="AG50" s="19"/>
      <c r="AH50" s="15"/>
      <c r="AI50" s="47">
        <f t="shared" si="15"/>
        <v>0</v>
      </c>
      <c r="AJ50" s="371">
        <f t="shared" si="16"/>
        <v>0</v>
      </c>
      <c r="AK50" s="372">
        <f t="shared" si="17"/>
        <v>0</v>
      </c>
      <c r="AL50" s="373">
        <f t="shared" si="18"/>
        <v>0</v>
      </c>
      <c r="AM50" s="374" t="str">
        <f t="shared" si="19"/>
        <v>0 pts.</v>
      </c>
      <c r="AN50" s="375" t="str">
        <f t="shared" si="20"/>
        <v>0 pts.</v>
      </c>
    </row>
    <row r="51" spans="1:40" x14ac:dyDescent="0.2">
      <c r="A51" s="6" t="s">
        <v>7</v>
      </c>
      <c r="B51" s="14" t="s">
        <v>1350</v>
      </c>
      <c r="F51" s="136"/>
      <c r="H51" s="10" t="s">
        <v>420</v>
      </c>
      <c r="I51" s="25" t="s">
        <v>1004</v>
      </c>
      <c r="J51" s="25" t="s">
        <v>1004</v>
      </c>
      <c r="K51" s="64" t="str">
        <f t="shared" si="12"/>
        <v/>
      </c>
      <c r="L51" s="24">
        <v>569600</v>
      </c>
      <c r="M51" s="24">
        <v>306099</v>
      </c>
      <c r="N51" s="24" t="s">
        <v>1356</v>
      </c>
      <c r="O51" s="19"/>
      <c r="P51" s="19"/>
      <c r="Q51" s="19"/>
      <c r="R51" s="19"/>
      <c r="S51" s="19"/>
      <c r="T51" s="19"/>
      <c r="U51" s="19"/>
      <c r="V51" s="19"/>
      <c r="W51" s="19"/>
      <c r="X51" s="19"/>
      <c r="Y51" s="19"/>
      <c r="Z51" s="19"/>
      <c r="AA51" s="19">
        <f t="shared" si="13"/>
        <v>0</v>
      </c>
      <c r="AB51" s="15"/>
      <c r="AD51" s="19"/>
      <c r="AE51" s="15"/>
      <c r="AF51" s="47">
        <f t="shared" si="14"/>
        <v>0</v>
      </c>
      <c r="AG51" s="19"/>
      <c r="AH51" s="15"/>
      <c r="AI51" s="47">
        <f t="shared" si="15"/>
        <v>0</v>
      </c>
      <c r="AJ51" s="371">
        <f t="shared" si="16"/>
        <v>0</v>
      </c>
      <c r="AK51" s="372">
        <f t="shared" si="17"/>
        <v>0</v>
      </c>
      <c r="AL51" s="373">
        <f t="shared" si="18"/>
        <v>0</v>
      </c>
      <c r="AM51" s="374" t="str">
        <f t="shared" si="19"/>
        <v>0 pts.</v>
      </c>
      <c r="AN51" s="375" t="str">
        <f t="shared" si="20"/>
        <v>0 pts.</v>
      </c>
    </row>
    <row r="52" spans="1:40" x14ac:dyDescent="0.2">
      <c r="A52" s="6" t="s">
        <v>47</v>
      </c>
      <c r="B52" s="14" t="s">
        <v>1339</v>
      </c>
      <c r="H52" s="10" t="s">
        <v>421</v>
      </c>
      <c r="I52" s="25" t="s">
        <v>1004</v>
      </c>
      <c r="J52" s="25" t="s">
        <v>1004</v>
      </c>
      <c r="K52" s="64" t="str">
        <f t="shared" si="12"/>
        <v/>
      </c>
      <c r="L52" s="24">
        <v>569700</v>
      </c>
      <c r="M52" s="24" t="s">
        <v>1319</v>
      </c>
      <c r="N52" s="24" t="s">
        <v>1357</v>
      </c>
      <c r="O52" s="19"/>
      <c r="P52" s="19"/>
      <c r="Q52" s="19"/>
      <c r="R52" s="19"/>
      <c r="S52" s="19"/>
      <c r="T52" s="19"/>
      <c r="U52" s="19"/>
      <c r="V52" s="19"/>
      <c r="W52" s="19"/>
      <c r="X52" s="19"/>
      <c r="Y52" s="19"/>
      <c r="Z52" s="19"/>
      <c r="AA52" s="19">
        <f t="shared" si="13"/>
        <v>0</v>
      </c>
      <c r="AB52" s="15"/>
      <c r="AD52" s="19"/>
      <c r="AE52" s="15"/>
      <c r="AF52" s="47">
        <f t="shared" si="14"/>
        <v>0</v>
      </c>
      <c r="AG52" s="19"/>
      <c r="AH52" s="15"/>
      <c r="AI52" s="47">
        <f t="shared" si="15"/>
        <v>0</v>
      </c>
      <c r="AJ52" s="371">
        <f t="shared" si="16"/>
        <v>0</v>
      </c>
      <c r="AK52" s="372">
        <f t="shared" si="17"/>
        <v>0</v>
      </c>
      <c r="AL52" s="373">
        <f t="shared" si="18"/>
        <v>0</v>
      </c>
      <c r="AM52" s="374" t="str">
        <f t="shared" si="19"/>
        <v>0 pts.</v>
      </c>
      <c r="AN52" s="375" t="str">
        <f t="shared" si="20"/>
        <v>0 pts.</v>
      </c>
    </row>
    <row r="53" spans="1:40" x14ac:dyDescent="0.2">
      <c r="A53" s="6" t="s">
        <v>8</v>
      </c>
      <c r="B53" s="7"/>
      <c r="H53" s="10" t="s">
        <v>422</v>
      </c>
      <c r="I53" s="25" t="s">
        <v>1004</v>
      </c>
      <c r="J53" s="25" t="s">
        <v>1004</v>
      </c>
      <c r="K53" s="64" t="str">
        <f t="shared" si="12"/>
        <v/>
      </c>
      <c r="L53" s="24">
        <v>569800</v>
      </c>
      <c r="M53" s="24" t="s">
        <v>1319</v>
      </c>
      <c r="N53" s="24" t="s">
        <v>1358</v>
      </c>
      <c r="O53" s="28"/>
      <c r="P53" s="28"/>
      <c r="Q53" s="28"/>
      <c r="R53" s="28"/>
      <c r="S53" s="28"/>
      <c r="T53" s="28"/>
      <c r="U53" s="28"/>
      <c r="V53" s="28"/>
      <c r="W53" s="28"/>
      <c r="X53" s="28"/>
      <c r="Y53" s="28"/>
      <c r="Z53" s="28"/>
      <c r="AA53" s="28">
        <f t="shared" si="13"/>
        <v>0</v>
      </c>
      <c r="AB53" s="29"/>
      <c r="AD53" s="28"/>
      <c r="AE53" s="29"/>
      <c r="AF53" s="48">
        <f t="shared" si="14"/>
        <v>0</v>
      </c>
      <c r="AG53" s="28"/>
      <c r="AH53" s="29"/>
      <c r="AI53" s="48">
        <f t="shared" si="15"/>
        <v>0</v>
      </c>
      <c r="AJ53" s="381">
        <f t="shared" si="16"/>
        <v>0</v>
      </c>
      <c r="AK53" s="382">
        <f t="shared" si="17"/>
        <v>0</v>
      </c>
      <c r="AL53" s="383">
        <f t="shared" si="18"/>
        <v>0</v>
      </c>
      <c r="AM53" s="384" t="str">
        <f t="shared" si="19"/>
        <v>0 pts.</v>
      </c>
      <c r="AN53" s="385" t="str">
        <f t="shared" si="20"/>
        <v>0 pts.</v>
      </c>
    </row>
    <row r="54" spans="1:40" x14ac:dyDescent="0.2">
      <c r="H54" s="10" t="s">
        <v>289</v>
      </c>
      <c r="I54" s="447" t="s">
        <v>1007</v>
      </c>
      <c r="J54" s="447" t="s">
        <v>78</v>
      </c>
      <c r="K54" s="448" t="str">
        <f t="shared" si="12"/>
        <v/>
      </c>
      <c r="L54" s="151">
        <v>500001</v>
      </c>
      <c r="M54" s="151"/>
      <c r="N54" s="151" t="s">
        <v>1219</v>
      </c>
      <c r="O54" s="120"/>
      <c r="P54" s="120"/>
      <c r="Q54" s="120"/>
      <c r="R54" s="120"/>
      <c r="S54" s="120"/>
      <c r="T54" s="120"/>
      <c r="U54" s="120"/>
      <c r="V54" s="120"/>
      <c r="W54" s="120"/>
      <c r="X54" s="120"/>
      <c r="Y54" s="120"/>
      <c r="Z54" s="120"/>
      <c r="AA54" s="120">
        <f t="shared" si="13"/>
        <v>0</v>
      </c>
      <c r="AB54" s="121"/>
      <c r="AC54" s="123"/>
      <c r="AD54" s="120"/>
      <c r="AE54" s="121"/>
      <c r="AF54" s="122">
        <f t="shared" si="14"/>
        <v>0</v>
      </c>
      <c r="AG54" s="120"/>
      <c r="AH54" s="121"/>
      <c r="AI54" s="122">
        <f t="shared" si="15"/>
        <v>0</v>
      </c>
      <c r="AJ54" s="332">
        <f t="shared" si="16"/>
        <v>0</v>
      </c>
      <c r="AK54" s="333">
        <f t="shared" si="17"/>
        <v>0</v>
      </c>
      <c r="AL54" s="335">
        <f t="shared" si="18"/>
        <v>0</v>
      </c>
      <c r="AM54" s="377" t="str">
        <f t="shared" si="19"/>
        <v>0 pts.</v>
      </c>
      <c r="AN54" s="378" t="str">
        <f t="shared" si="20"/>
        <v>0 pts.</v>
      </c>
    </row>
    <row r="55" spans="1:40" x14ac:dyDescent="0.2">
      <c r="A55" s="3" t="s">
        <v>9</v>
      </c>
      <c r="B55" s="5" t="s">
        <v>10</v>
      </c>
      <c r="H55" s="133" t="s">
        <v>175</v>
      </c>
      <c r="I55" s="26" t="s">
        <v>1006</v>
      </c>
      <c r="J55" s="26" t="s">
        <v>78</v>
      </c>
      <c r="K55" s="65" t="str">
        <f t="shared" si="12"/>
        <v/>
      </c>
      <c r="L55" s="65"/>
      <c r="M55" s="65"/>
      <c r="N55" s="23" t="s">
        <v>175</v>
      </c>
      <c r="O55" s="44"/>
      <c r="P55" s="44"/>
      <c r="Q55" s="44"/>
      <c r="R55" s="44"/>
      <c r="S55" s="44"/>
      <c r="T55" s="44"/>
      <c r="U55" s="44"/>
      <c r="V55" s="44"/>
      <c r="W55" s="44"/>
      <c r="X55" s="44"/>
      <c r="Y55" s="44"/>
      <c r="Z55" s="44"/>
      <c r="AA55" s="44"/>
      <c r="AB55" s="45"/>
      <c r="AD55" s="44"/>
      <c r="AE55" s="45"/>
      <c r="AF55" s="134" t="str">
        <f t="shared" si="14"/>
        <v/>
      </c>
      <c r="AG55" s="44"/>
      <c r="AH55" s="45"/>
      <c r="AI55" s="134" t="str">
        <f t="shared" si="15"/>
        <v/>
      </c>
      <c r="AJ55" s="392">
        <f t="shared" si="16"/>
        <v>0</v>
      </c>
      <c r="AK55" s="393">
        <f t="shared" si="17"/>
        <v>0</v>
      </c>
      <c r="AL55" s="394">
        <f t="shared" si="18"/>
        <v>0</v>
      </c>
      <c r="AM55" s="395" t="str">
        <f t="shared" si="19"/>
        <v>0 pts.</v>
      </c>
      <c r="AN55" s="396" t="str">
        <f t="shared" si="20"/>
        <v>0 pts.</v>
      </c>
    </row>
    <row r="56" spans="1:40" x14ac:dyDescent="0.2">
      <c r="A56" s="6" t="s">
        <v>11</v>
      </c>
      <c r="B56" s="7" t="s">
        <v>21</v>
      </c>
      <c r="G56" s="13"/>
      <c r="H56" s="133" t="s">
        <v>292</v>
      </c>
      <c r="I56" s="26" t="s">
        <v>1007</v>
      </c>
      <c r="J56" s="26" t="s">
        <v>78</v>
      </c>
      <c r="K56" s="65" t="str">
        <f t="shared" si="12"/>
        <v/>
      </c>
      <c r="L56" s="65"/>
      <c r="M56" s="65"/>
      <c r="N56" s="23" t="s">
        <v>1220</v>
      </c>
      <c r="O56" s="145">
        <f t="shared" ref="O56:Z56" si="21">SUMIF($H$34:$H$54,"400000",O34:O54)-SUMIF($H$34:$H$54,"500001",O34:O54)</f>
        <v>0</v>
      </c>
      <c r="P56" s="145">
        <f t="shared" si="21"/>
        <v>0</v>
      </c>
      <c r="Q56" s="145">
        <f t="shared" si="21"/>
        <v>0</v>
      </c>
      <c r="R56" s="145">
        <f t="shared" si="21"/>
        <v>0</v>
      </c>
      <c r="S56" s="145">
        <f t="shared" si="21"/>
        <v>0</v>
      </c>
      <c r="T56" s="145">
        <f t="shared" si="21"/>
        <v>0</v>
      </c>
      <c r="U56" s="145">
        <f t="shared" si="21"/>
        <v>0</v>
      </c>
      <c r="V56" s="145">
        <f t="shared" si="21"/>
        <v>0</v>
      </c>
      <c r="W56" s="145">
        <f t="shared" si="21"/>
        <v>0</v>
      </c>
      <c r="X56" s="145">
        <f t="shared" si="21"/>
        <v>0</v>
      </c>
      <c r="Y56" s="145">
        <f t="shared" si="21"/>
        <v>0</v>
      </c>
      <c r="Z56" s="145">
        <f t="shared" si="21"/>
        <v>0</v>
      </c>
      <c r="AA56" s="145">
        <f>IF($I56="B1","",SUM(O56:Z56))</f>
        <v>0</v>
      </c>
      <c r="AB56" s="121" t="str">
        <f>IF(AA56=0,"",IFERROR(AA56/AA$19,""))</f>
        <v/>
      </c>
      <c r="AD56" s="145">
        <f>SUMIF($H$34:$H$54,"400000",AD34:AD54)-SUMIF($H$34:$H$54,"500001",AD34:AD54)</f>
        <v>0</v>
      </c>
      <c r="AE56" s="121" t="str">
        <f>IF(AD56=0,"",IFERROR(AD56/AD$19,""))</f>
        <v/>
      </c>
      <c r="AF56" s="146">
        <f t="shared" si="14"/>
        <v>0</v>
      </c>
      <c r="AG56" s="145">
        <f>SUMIF($H$34:$H$54,"400000",AG34:AG54)-SUMIF($H$34:$H$54,"500001",AG34:AG54)</f>
        <v>0</v>
      </c>
      <c r="AH56" s="121" t="str">
        <f>IF(AG56=0,"",IFERROR(AG56/AG$19,""))</f>
        <v/>
      </c>
      <c r="AI56" s="146">
        <f t="shared" si="15"/>
        <v>0</v>
      </c>
      <c r="AJ56" s="364">
        <f t="shared" si="16"/>
        <v>0</v>
      </c>
      <c r="AK56" s="365">
        <f t="shared" si="17"/>
        <v>0</v>
      </c>
      <c r="AL56" s="366">
        <f t="shared" si="18"/>
        <v>0</v>
      </c>
      <c r="AM56" s="367">
        <f t="shared" si="19"/>
        <v>0</v>
      </c>
      <c r="AN56" s="409">
        <f t="shared" si="20"/>
        <v>0</v>
      </c>
    </row>
    <row r="57" spans="1:40" x14ac:dyDescent="0.2">
      <c r="A57" s="6" t="s">
        <v>12</v>
      </c>
      <c r="B57" s="7" t="s">
        <v>22</v>
      </c>
      <c r="O57" s="144"/>
      <c r="P57" s="147"/>
      <c r="Q57" s="147"/>
      <c r="R57" s="147"/>
      <c r="S57" s="147"/>
      <c r="T57" s="147"/>
      <c r="U57" s="147"/>
      <c r="V57" s="147"/>
      <c r="W57" s="147"/>
      <c r="X57" s="147"/>
      <c r="Y57" s="147"/>
      <c r="Z57" s="147"/>
      <c r="AA57" s="147"/>
      <c r="AB57" s="51"/>
      <c r="AD57" s="144"/>
      <c r="AF57" s="51"/>
      <c r="AI57" s="51"/>
    </row>
    <row r="58" spans="1:40" x14ac:dyDescent="0.2">
      <c r="A58" s="6" t="s">
        <v>13</v>
      </c>
      <c r="B58" s="7" t="str">
        <f>"DEP(569000) AND "&amp;$E$6&amp;"=Y,500001"</f>
        <v>DEP(569000) AND D2149=Y,500001</v>
      </c>
      <c r="H58" s="1" t="s">
        <v>73</v>
      </c>
      <c r="I58" s="11" t="s">
        <v>1006</v>
      </c>
      <c r="J58" s="11" t="s">
        <v>78</v>
      </c>
      <c r="N58" s="37" t="s">
        <v>1073</v>
      </c>
      <c r="O58" s="50"/>
      <c r="AB58" s="149"/>
      <c r="AD58" s="148"/>
      <c r="AE58" s="150"/>
      <c r="AF58" s="51"/>
      <c r="AH58" s="150"/>
      <c r="AI58" s="51"/>
    </row>
    <row r="59" spans="1:40" x14ac:dyDescent="0.2">
      <c r="A59" s="6" t="s">
        <v>14</v>
      </c>
      <c r="B59" s="7"/>
      <c r="H59" s="1" t="s">
        <v>74</v>
      </c>
      <c r="I59" s="11" t="s">
        <v>1006</v>
      </c>
      <c r="J59" s="11" t="s">
        <v>78</v>
      </c>
      <c r="N59" s="8" t="s">
        <v>1074</v>
      </c>
      <c r="O59" s="40"/>
      <c r="P59" s="43"/>
      <c r="Q59" s="43"/>
      <c r="R59" s="43"/>
      <c r="S59" s="43"/>
      <c r="T59" s="43"/>
      <c r="U59" s="43"/>
      <c r="V59" s="43"/>
      <c r="W59" s="43"/>
      <c r="X59" s="43"/>
      <c r="Y59" s="43"/>
      <c r="Z59" s="43"/>
      <c r="AA59" s="43"/>
      <c r="AB59" s="41"/>
      <c r="AD59" s="40"/>
      <c r="AE59" s="43"/>
      <c r="AF59" s="41"/>
      <c r="AG59" s="43"/>
      <c r="AH59" s="43"/>
      <c r="AI59" s="41"/>
    </row>
    <row r="60" spans="1:40" hidden="1" x14ac:dyDescent="0.2">
      <c r="A60" s="6" t="s">
        <v>15</v>
      </c>
      <c r="B60" s="7"/>
      <c r="H60" s="10" t="s">
        <v>667</v>
      </c>
      <c r="I60" s="25"/>
      <c r="J60" s="25"/>
      <c r="K60" s="64" t="str">
        <f>IF(AND(I60&gt;="T3"),"&gt;","")</f>
        <v/>
      </c>
      <c r="L60" s="24"/>
      <c r="M60" s="24"/>
      <c r="N60" s="24"/>
      <c r="O60" s="35"/>
      <c r="P60" s="35"/>
      <c r="Q60" s="35"/>
      <c r="R60" s="35"/>
      <c r="S60" s="35"/>
      <c r="T60" s="35"/>
      <c r="U60" s="35"/>
      <c r="V60" s="35"/>
      <c r="W60" s="35"/>
      <c r="X60" s="35"/>
      <c r="Y60" s="35"/>
      <c r="Z60" s="35"/>
      <c r="AA60" s="35">
        <f>IF($I60="B1","",SUM(O60:Z60))</f>
        <v>0</v>
      </c>
      <c r="AB60" s="36" t="str">
        <f>IF(AA60=0,"",IFERROR(AA60/AA$19,""))</f>
        <v/>
      </c>
      <c r="AD60" s="35"/>
      <c r="AE60" s="36" t="str">
        <f>IF(AD60=0,"",IFERROR(AD60/AD$19,""))</f>
        <v/>
      </c>
      <c r="AF60" s="118">
        <f>IF(AND($AA60="",AD60=""),"",$AA60-AD60)</f>
        <v>0</v>
      </c>
      <c r="AG60" s="35"/>
      <c r="AH60" s="36" t="str">
        <f>IF(AG60=0,"",IFERROR(AG60/AG$19,""))</f>
        <v/>
      </c>
      <c r="AI60" s="118">
        <f>IF(AND($AA60="",AG60=""),"",$AA60-AG60)</f>
        <v>0</v>
      </c>
      <c r="AJ60" s="371">
        <f>IFERROR(AA60/AA$20,0)</f>
        <v>0</v>
      </c>
      <c r="AK60" s="372">
        <f>IFERROR(AD60/AD$20,0)</f>
        <v>0</v>
      </c>
      <c r="AL60" s="373">
        <f>IFERROR(AG60/AG$20,0)</f>
        <v>0</v>
      </c>
      <c r="AM60" s="374">
        <f>+IFERROR(ROUND(($AB60-AE60)*100,2)&amp;" pts.",0)</f>
        <v>0</v>
      </c>
      <c r="AN60" s="375">
        <f>+IFERROR(ROUND(($AB60-AH60)*100,2)&amp;" pts.",0)</f>
        <v>0</v>
      </c>
    </row>
    <row r="61" spans="1:40" hidden="1" x14ac:dyDescent="0.2">
      <c r="A61" s="6" t="s">
        <v>16</v>
      </c>
      <c r="B61" s="7"/>
      <c r="H61" s="10"/>
      <c r="I61" s="25"/>
      <c r="J61" s="25"/>
      <c r="K61" s="64" t="str">
        <f>IF(AND(I61&gt;="T3"),"&gt;","")</f>
        <v/>
      </c>
      <c r="L61" s="24"/>
      <c r="M61" s="24"/>
      <c r="N61" s="24"/>
      <c r="O61" s="35"/>
      <c r="P61" s="35"/>
      <c r="Q61" s="35"/>
      <c r="R61" s="35"/>
      <c r="S61" s="35"/>
      <c r="T61" s="35"/>
      <c r="U61" s="35"/>
      <c r="V61" s="35"/>
      <c r="W61" s="35"/>
      <c r="X61" s="35"/>
      <c r="Y61" s="35"/>
      <c r="Z61" s="35"/>
      <c r="AA61" s="35">
        <f>IF($I61="B1","",SUM(O61:Z61))</f>
        <v>0</v>
      </c>
      <c r="AB61" s="36" t="str">
        <f>IF(AA61=0,"",IFERROR(AA61/AA$19,""))</f>
        <v/>
      </c>
      <c r="AD61" s="35"/>
      <c r="AE61" s="36" t="str">
        <f>IF(AD61=0,"",IFERROR(AD61/AD$19,""))</f>
        <v/>
      </c>
      <c r="AF61" s="118">
        <f>IF(AND($AA61="",AD61=""),"",$AA61-AD61)</f>
        <v>0</v>
      </c>
      <c r="AG61" s="35"/>
      <c r="AH61" s="36" t="str">
        <f>IF(AG61=0,"",IFERROR(AG61/AG$19,""))</f>
        <v/>
      </c>
      <c r="AI61" s="118">
        <f>IF(AND($AA61="",AG61=""),"",$AA61-AG61)</f>
        <v>0</v>
      </c>
      <c r="AJ61" s="371">
        <f>IFERROR(AA61/AA$20,0)</f>
        <v>0</v>
      </c>
      <c r="AK61" s="372">
        <f>IFERROR(AD61/AD$20,0)</f>
        <v>0</v>
      </c>
      <c r="AL61" s="373">
        <f>IFERROR(AG61/AG$20,0)</f>
        <v>0</v>
      </c>
      <c r="AM61" s="374">
        <f>+IFERROR(ROUND(($AB61-AE61)*100,2)&amp;" pts.",0)</f>
        <v>0</v>
      </c>
      <c r="AN61" s="375">
        <f>+IFERROR(ROUND(($AB61-AH61)*100,2)&amp;" pts.",0)</f>
        <v>0</v>
      </c>
    </row>
    <row r="62" spans="1:40" x14ac:dyDescent="0.2">
      <c r="A62" s="6" t="s">
        <v>17</v>
      </c>
      <c r="B62" s="7"/>
      <c r="H62" s="10" t="s">
        <v>75</v>
      </c>
      <c r="I62" s="26" t="s">
        <v>1006</v>
      </c>
      <c r="J62" s="26" t="s">
        <v>78</v>
      </c>
      <c r="K62" s="65" t="str">
        <f>IF(AND(I62&gt;="T3"),"&gt;","")</f>
        <v/>
      </c>
      <c r="L62" s="23"/>
      <c r="M62" s="24"/>
      <c r="N62" s="23" t="s">
        <v>1076</v>
      </c>
      <c r="O62" s="35"/>
      <c r="P62" s="35"/>
      <c r="Q62" s="35"/>
      <c r="R62" s="35"/>
      <c r="S62" s="35"/>
      <c r="T62" s="35"/>
      <c r="U62" s="35"/>
      <c r="V62" s="35"/>
      <c r="W62" s="35"/>
      <c r="X62" s="35"/>
      <c r="Y62" s="35"/>
      <c r="Z62" s="35"/>
      <c r="AA62" s="35" t="str">
        <f>IF($I62="B1","",SUM(O62:Z62))</f>
        <v/>
      </c>
      <c r="AB62" s="36" t="str">
        <f>IF(AA62=0,"",IFERROR(AA62/AA$19,""))</f>
        <v/>
      </c>
      <c r="AD62" s="35"/>
      <c r="AE62" s="36" t="str">
        <f>IF(AD62=0,"",IFERROR(AD62/AD$19,""))</f>
        <v/>
      </c>
      <c r="AF62" s="118" t="str">
        <f>IF(AND($AA62="",AD62=""),"",$AA62-AD62)</f>
        <v/>
      </c>
      <c r="AG62" s="35"/>
      <c r="AH62" s="36" t="str">
        <f>IF(AG62=0,"",IFERROR(AG62/AG$19,""))</f>
        <v/>
      </c>
      <c r="AI62" s="118" t="str">
        <f>IF(AND($AA62="",AG62=""),"",$AA62-AG62)</f>
        <v/>
      </c>
      <c r="AJ62" s="371">
        <f>IFERROR(AA62/AA$20,0)</f>
        <v>0</v>
      </c>
      <c r="AK62" s="372">
        <f>IFERROR(AD62/AD$20,0)</f>
        <v>0</v>
      </c>
      <c r="AL62" s="373">
        <f>IFERROR(AG62/AG$20,0)</f>
        <v>0</v>
      </c>
      <c r="AM62" s="374">
        <f>+IFERROR(ROUND(($AB62-AE62)*100,2)&amp;" pts.",0)</f>
        <v>0</v>
      </c>
      <c r="AN62" s="375">
        <f>+IFERROR(ROUND(($AB62-AH62)*100,2)&amp;" pts.",0)</f>
        <v>0</v>
      </c>
    </row>
    <row r="63" spans="1:40" hidden="1" x14ac:dyDescent="0.2">
      <c r="H63" s="10" t="s">
        <v>667</v>
      </c>
      <c r="I63" s="25"/>
      <c r="J63" s="25"/>
      <c r="K63" s="64" t="str">
        <f>IF(AND(I63&gt;="T3"),"&gt;","")</f>
        <v/>
      </c>
      <c r="L63" s="24"/>
      <c r="M63" s="24"/>
      <c r="N63" s="24"/>
      <c r="O63" s="44"/>
      <c r="P63" s="44"/>
      <c r="Q63" s="44"/>
      <c r="R63" s="44"/>
      <c r="S63" s="44"/>
      <c r="T63" s="44"/>
      <c r="U63" s="44"/>
      <c r="V63" s="44"/>
      <c r="W63" s="44"/>
      <c r="X63" s="44"/>
      <c r="Y63" s="44"/>
      <c r="Z63" s="44"/>
      <c r="AA63" s="44">
        <f>IF($I63="B1","",SUM(O63:Z63))</f>
        <v>0</v>
      </c>
      <c r="AB63" s="45" t="str">
        <f>IF(AA63=0,"",IFERROR(AA63/AA$19,""))</f>
        <v/>
      </c>
      <c r="AD63" s="44"/>
      <c r="AE63" s="45" t="str">
        <f>IF(AD63=0,"",IFERROR(AD63/AD$19,""))</f>
        <v/>
      </c>
      <c r="AF63" s="134">
        <f>IF(AND($AA63="",AD63=""),"",$AA63-AD63)</f>
        <v>0</v>
      </c>
      <c r="AG63" s="44"/>
      <c r="AH63" s="45" t="str">
        <f>IF(AG63=0,"",IFERROR(AG63/AG$19,""))</f>
        <v/>
      </c>
      <c r="AI63" s="134">
        <f>IF(AND($AA63="",AG63=""),"",$AA63-AG63)</f>
        <v>0</v>
      </c>
      <c r="AJ63" s="371">
        <f>IFERROR(AA63/AA$20,0)</f>
        <v>0</v>
      </c>
      <c r="AK63" s="372">
        <f>IFERROR(AD63/AD$20,0)</f>
        <v>0</v>
      </c>
      <c r="AL63" s="373">
        <f>IFERROR(AG63/AG$20,0)</f>
        <v>0</v>
      </c>
      <c r="AM63" s="374">
        <f>+IFERROR(ROUND(($AB63-AE63)*100,2)&amp;" pts.",0)</f>
        <v>0</v>
      </c>
      <c r="AN63" s="375">
        <f>+IFERROR(ROUND(($AB63-AH63)*100,2)&amp;" pts.",0)</f>
        <v>0</v>
      </c>
    </row>
    <row r="64" spans="1:40" hidden="1" x14ac:dyDescent="0.2">
      <c r="A64" s="20" t="s">
        <v>92</v>
      </c>
      <c r="B64" s="21" t="s">
        <v>93</v>
      </c>
      <c r="C64" s="21" t="s">
        <v>94</v>
      </c>
      <c r="D64" s="21" t="s">
        <v>95</v>
      </c>
      <c r="E64" s="21" t="s">
        <v>96</v>
      </c>
      <c r="F64" s="22" t="s">
        <v>97</v>
      </c>
      <c r="H64" s="10"/>
      <c r="I64" s="25"/>
      <c r="J64" s="25"/>
      <c r="K64" s="64" t="str">
        <f>IF(AND(I64&gt;="T3"),"&gt;","")</f>
        <v/>
      </c>
      <c r="L64" s="24"/>
      <c r="M64" s="24"/>
      <c r="N64" s="24"/>
      <c r="O64" s="44"/>
      <c r="P64" s="44"/>
      <c r="Q64" s="44"/>
      <c r="R64" s="44"/>
      <c r="S64" s="44"/>
      <c r="T64" s="44"/>
      <c r="U64" s="44"/>
      <c r="V64" s="44"/>
      <c r="W64" s="44"/>
      <c r="X64" s="44"/>
      <c r="Y64" s="44"/>
      <c r="Z64" s="44"/>
      <c r="AA64" s="44">
        <f>IF($I64="B1","",SUM(O64:Z64))</f>
        <v>0</v>
      </c>
      <c r="AB64" s="45" t="str">
        <f>IF(AA64=0,"",IFERROR(AA64/AA$19,""))</f>
        <v/>
      </c>
      <c r="AD64" s="44"/>
      <c r="AE64" s="45" t="str">
        <f>IF(AD64=0,"",IFERROR(AD64/AD$19,""))</f>
        <v/>
      </c>
      <c r="AF64" s="134">
        <f>IF(AND($AA64="",AD64=""),"",$AA64-AD64)</f>
        <v>0</v>
      </c>
      <c r="AG64" s="44"/>
      <c r="AH64" s="45" t="str">
        <f>IF(AG64=0,"",IFERROR(AG64/AG$19,""))</f>
        <v/>
      </c>
      <c r="AI64" s="134">
        <f>IF(AND($AA64="",AG64=""),"",$AA64-AG64)</f>
        <v>0</v>
      </c>
      <c r="AJ64" s="371">
        <f>IFERROR(AA64/AA$20,0)</f>
        <v>0</v>
      </c>
      <c r="AK64" s="372">
        <f>IFERROR(AD64/AD$20,0)</f>
        <v>0</v>
      </c>
      <c r="AL64" s="373">
        <f>IFERROR(AG64/AG$20,0)</f>
        <v>0</v>
      </c>
      <c r="AM64" s="374">
        <f>+IFERROR(ROUND(($AB64-AE64)*100,2)&amp;" pts.",0)</f>
        <v>0</v>
      </c>
      <c r="AN64" s="375">
        <f>+IFERROR(ROUND(($AB64-AH64)*100,2)&amp;" pts.",0)</f>
        <v>0</v>
      </c>
    </row>
    <row r="65" spans="1:40" x14ac:dyDescent="0.2">
      <c r="O65" s="38"/>
      <c r="P65" s="42"/>
      <c r="Q65" s="42"/>
      <c r="R65" s="42"/>
      <c r="S65" s="42"/>
      <c r="T65" s="42"/>
      <c r="U65" s="42"/>
      <c r="V65" s="42"/>
      <c r="W65" s="42"/>
      <c r="X65" s="42"/>
      <c r="Y65" s="42"/>
      <c r="Z65" s="42"/>
      <c r="AA65" s="42"/>
      <c r="AB65" s="39"/>
      <c r="AD65" s="38"/>
      <c r="AE65" s="42"/>
      <c r="AF65" s="39"/>
      <c r="AG65" s="38"/>
      <c r="AH65" s="42"/>
      <c r="AI65" s="39"/>
    </row>
    <row r="66" spans="1:40" x14ac:dyDescent="0.2">
      <c r="A66" s="1" t="s">
        <v>105</v>
      </c>
      <c r="C66" s="24" t="s">
        <v>101</v>
      </c>
      <c r="D66" s="1" t="s">
        <v>106</v>
      </c>
      <c r="F66" s="1" t="s">
        <v>98</v>
      </c>
      <c r="H66" s="1" t="s">
        <v>82</v>
      </c>
      <c r="I66" s="11" t="s">
        <v>1006</v>
      </c>
      <c r="J66" s="11" t="s">
        <v>78</v>
      </c>
      <c r="N66" s="37" t="s">
        <v>1087</v>
      </c>
      <c r="O66" s="40"/>
      <c r="P66" s="43"/>
      <c r="Q66" s="43"/>
      <c r="R66" s="43"/>
      <c r="S66" s="43"/>
      <c r="T66" s="43"/>
      <c r="U66" s="43"/>
      <c r="V66" s="43"/>
      <c r="W66" s="43"/>
      <c r="X66" s="43"/>
      <c r="Y66" s="43"/>
      <c r="Z66" s="43"/>
      <c r="AA66" s="43"/>
      <c r="AB66" s="41"/>
      <c r="AD66" s="40"/>
      <c r="AE66" s="43"/>
      <c r="AF66" s="41"/>
      <c r="AG66" s="40"/>
      <c r="AH66" s="43"/>
      <c r="AI66" s="41"/>
    </row>
    <row r="67" spans="1:40" hidden="1" x14ac:dyDescent="0.2">
      <c r="A67" s="1" t="s">
        <v>108</v>
      </c>
      <c r="C67" s="23" t="s">
        <v>101</v>
      </c>
      <c r="D67" s="1" t="s">
        <v>106</v>
      </c>
      <c r="F67" s="1" t="s">
        <v>98</v>
      </c>
      <c r="H67" s="10" t="s">
        <v>667</v>
      </c>
      <c r="I67" s="25"/>
      <c r="J67" s="25"/>
      <c r="K67" s="64" t="str">
        <f>IF(AND(I67&lt;&gt;"B1",J67="Y"),"&gt;","")</f>
        <v/>
      </c>
      <c r="L67" s="24"/>
      <c r="M67" s="24"/>
      <c r="N67" s="24"/>
      <c r="O67" s="19"/>
      <c r="P67" s="19"/>
      <c r="Q67" s="19"/>
      <c r="R67" s="19"/>
      <c r="S67" s="19"/>
      <c r="T67" s="19"/>
      <c r="U67" s="19"/>
      <c r="V67" s="19"/>
      <c r="W67" s="19"/>
      <c r="X67" s="19"/>
      <c r="Y67" s="19"/>
      <c r="Z67" s="19"/>
      <c r="AA67" s="19">
        <f>IF($I67="B1","",SUM(O67:Z67))</f>
        <v>0</v>
      </c>
      <c r="AB67" s="15" t="str">
        <f>IF(AA67=0,"",IFERROR(AA67/AA$19,""))</f>
        <v/>
      </c>
      <c r="AD67" s="19"/>
      <c r="AE67" s="15" t="str">
        <f>IF(AD67=0,"",IFERROR(AD67/AD$19,""))</f>
        <v/>
      </c>
      <c r="AF67" s="47">
        <f>IF(AND($AA67="",AD67=""),"",$AA67-AD67)</f>
        <v>0</v>
      </c>
      <c r="AG67" s="19"/>
      <c r="AH67" s="15" t="str">
        <f>IF(AG67=0,"",IFERROR(AG67/AG$19,""))</f>
        <v/>
      </c>
      <c r="AI67" s="47">
        <f>IF(AND($AA67="",AG67=""),"",$AA67-AG67)</f>
        <v>0</v>
      </c>
      <c r="AJ67" s="371">
        <f>IFERROR(AA67/AA$20,0)</f>
        <v>0</v>
      </c>
      <c r="AK67" s="372">
        <f>IFERROR(AD67/AD$20,0)</f>
        <v>0</v>
      </c>
      <c r="AL67" s="373">
        <f>IFERROR(AG67/AG$20,0)</f>
        <v>0</v>
      </c>
      <c r="AM67" s="374">
        <f>+IFERROR(ROUND(($AB67-AE67)*100,2)&amp;" pts.",0)</f>
        <v>0</v>
      </c>
      <c r="AN67" s="375">
        <f>+IFERROR(ROUND(($AB67-AH67)*100,2)&amp;" pts.",0)</f>
        <v>0</v>
      </c>
    </row>
    <row r="68" spans="1:40" hidden="1" x14ac:dyDescent="0.2">
      <c r="A68" s="1" t="s">
        <v>108</v>
      </c>
      <c r="C68" s="135" t="s">
        <v>101</v>
      </c>
      <c r="D68" s="1" t="s">
        <v>107</v>
      </c>
      <c r="F68" s="1" t="s">
        <v>99</v>
      </c>
      <c r="H68" s="10"/>
      <c r="I68" s="25"/>
      <c r="J68" s="25"/>
      <c r="K68" s="64" t="str">
        <f>IF(AND(I68&lt;&gt;"B1",J68="Y"),"&gt;","")</f>
        <v/>
      </c>
      <c r="L68" s="24"/>
      <c r="M68" s="24"/>
      <c r="N68" s="24"/>
      <c r="O68" s="19"/>
      <c r="P68" s="19"/>
      <c r="Q68" s="19"/>
      <c r="R68" s="19"/>
      <c r="S68" s="19"/>
      <c r="T68" s="19"/>
      <c r="U68" s="19"/>
      <c r="V68" s="19"/>
      <c r="W68" s="19"/>
      <c r="X68" s="19"/>
      <c r="Y68" s="19"/>
      <c r="Z68" s="19"/>
      <c r="AA68" s="19">
        <f>IF($I68="B1","",SUM(O68:Z68))</f>
        <v>0</v>
      </c>
      <c r="AB68" s="15" t="str">
        <f>IF(AA68=0,"",IFERROR(AA68/AA$19,""))</f>
        <v/>
      </c>
      <c r="AD68" s="19"/>
      <c r="AE68" s="15" t="str">
        <f>IF(AD68=0,"",IFERROR(AD68/AD$19,""))</f>
        <v/>
      </c>
      <c r="AF68" s="47">
        <f>IF(AND($AA68="",AD68=""),"",$AA68-AD68)</f>
        <v>0</v>
      </c>
      <c r="AG68" s="19"/>
      <c r="AH68" s="15" t="str">
        <f>IF(AG68=0,"",IFERROR(AG68/AG$19,""))</f>
        <v/>
      </c>
      <c r="AI68" s="47">
        <f>IF(AND($AA68="",AG68=""),"",$AA68-AG68)</f>
        <v>0</v>
      </c>
      <c r="AJ68" s="371">
        <f>IFERROR(AA68/AA$20,0)</f>
        <v>0</v>
      </c>
      <c r="AK68" s="372">
        <f>IFERROR(AD68/AD$20,0)</f>
        <v>0</v>
      </c>
      <c r="AL68" s="373">
        <f>IFERROR(AG68/AG$20,0)</f>
        <v>0</v>
      </c>
      <c r="AM68" s="374">
        <f>+IFERROR(ROUND(($AB68-AE68)*100,2)&amp;" pts.",0)</f>
        <v>0</v>
      </c>
      <c r="AN68" s="375">
        <f>+IFERROR(ROUND(($AB68-AH68)*100,2)&amp;" pts.",0)</f>
        <v>0</v>
      </c>
    </row>
    <row r="69" spans="1:40" x14ac:dyDescent="0.2">
      <c r="H69" s="10" t="s">
        <v>79</v>
      </c>
      <c r="I69" s="25" t="s">
        <v>1007</v>
      </c>
      <c r="J69" s="25" t="s">
        <v>78</v>
      </c>
      <c r="K69" s="24"/>
      <c r="L69" s="24"/>
      <c r="M69" s="24"/>
      <c r="N69" s="23" t="s">
        <v>1111</v>
      </c>
      <c r="O69" s="30"/>
      <c r="P69" s="30"/>
      <c r="Q69" s="30"/>
      <c r="R69" s="30"/>
      <c r="S69" s="30"/>
      <c r="T69" s="30"/>
      <c r="U69" s="30"/>
      <c r="V69" s="30"/>
      <c r="W69" s="30"/>
      <c r="X69" s="30"/>
      <c r="Y69" s="30"/>
      <c r="Z69" s="30"/>
      <c r="AA69" s="30">
        <f>IF($I69="B1","",SUM(O69:Z69))</f>
        <v>0</v>
      </c>
      <c r="AB69" s="31" t="str">
        <f>IF(AA69=0,"",IFERROR(AA69/AA$19,""))</f>
        <v/>
      </c>
      <c r="AD69" s="30"/>
      <c r="AE69" s="31" t="str">
        <f>IF(AD69=0,"",IFERROR(AD69/AD$19,""))</f>
        <v/>
      </c>
      <c r="AF69" s="49">
        <f>IF(AND($AA69="",AD69=""),"",$AA69-AD69)</f>
        <v>0</v>
      </c>
      <c r="AG69" s="30"/>
      <c r="AH69" s="31" t="str">
        <f>IF(AG69=0,"",IFERROR(AG69/AG$19,""))</f>
        <v/>
      </c>
      <c r="AI69" s="49">
        <f>IF(AND($AA69="",AG69=""),"",$AA69-AG69)</f>
        <v>0</v>
      </c>
      <c r="AJ69" s="387">
        <f>IFERROR(AA69/AA$20,0)</f>
        <v>0</v>
      </c>
      <c r="AK69" s="388">
        <f>IFERROR(AD69/AD$20,0)</f>
        <v>0</v>
      </c>
      <c r="AL69" s="389">
        <f>IFERROR(AG69/AG$20,0)</f>
        <v>0</v>
      </c>
      <c r="AM69" s="390">
        <f>+IFERROR(ROUND(($AB69-AE69)*100,2)&amp;" pts.",0)</f>
        <v>0</v>
      </c>
      <c r="AN69" s="408">
        <f>+IFERROR(ROUND(($AB69-AH69)*100,2)&amp;" pts.",0)</f>
        <v>0</v>
      </c>
    </row>
    <row r="70" spans="1:40" x14ac:dyDescent="0.2">
      <c r="C70" s="23"/>
    </row>
    <row r="71" spans="1:40" x14ac:dyDescent="0.2">
      <c r="A71" s="4" t="s">
        <v>989</v>
      </c>
      <c r="H71" s="10" t="s">
        <v>80</v>
      </c>
      <c r="I71" s="25" t="s">
        <v>1007</v>
      </c>
      <c r="J71" s="25" t="s">
        <v>78</v>
      </c>
      <c r="K71" s="23"/>
      <c r="L71" s="23"/>
      <c r="M71" s="23"/>
      <c r="N71" s="23" t="s">
        <v>1112</v>
      </c>
      <c r="O71" s="33"/>
      <c r="P71" s="33"/>
      <c r="Q71" s="33"/>
      <c r="R71" s="33"/>
      <c r="S71" s="33"/>
      <c r="T71" s="33"/>
      <c r="U71" s="33"/>
      <c r="V71" s="33"/>
      <c r="W71" s="33"/>
      <c r="X71" s="33"/>
      <c r="Y71" s="33"/>
      <c r="Z71" s="33"/>
      <c r="AA71" s="33">
        <f>IF($I71="B1","",SUM(O71:Z71))</f>
        <v>0</v>
      </c>
      <c r="AB71" s="34" t="str">
        <f>IF(AA71=0,"",IFERROR(AA71/AA$19,""))</f>
        <v/>
      </c>
      <c r="AD71" s="33"/>
      <c r="AE71" s="34" t="str">
        <f>IF(AD71=0,"",IFERROR(AD71/AD$19,""))</f>
        <v/>
      </c>
      <c r="AF71" s="55">
        <f>IF(AND($AA71="",AD71=""),"",$AA71-AD71)</f>
        <v>0</v>
      </c>
      <c r="AG71" s="56"/>
      <c r="AH71" s="57" t="str">
        <f>IF(AG71=0,"",IFERROR(AG71/AG$19,""))</f>
        <v/>
      </c>
      <c r="AI71" s="55">
        <f>IF(AND($AA71="",AG71=""),"",$AA71-AG71)</f>
        <v>0</v>
      </c>
      <c r="AJ71" s="364">
        <f>IFERROR(AA71/AA$20,0)</f>
        <v>0</v>
      </c>
      <c r="AK71" s="365">
        <f>IFERROR(AD71/AD$20,0)</f>
        <v>0</v>
      </c>
      <c r="AL71" s="366">
        <f>IFERROR(AG71/AG$20,0)</f>
        <v>0</v>
      </c>
      <c r="AM71" s="367">
        <f>+IFERROR(ROUND(($AB71-AE71)*100,2)&amp;" pts.",0)</f>
        <v>0</v>
      </c>
      <c r="AN71" s="409">
        <f>+IFERROR(ROUND(($AB71-AH71)*100,2)&amp;" pts.",0)</f>
        <v>0</v>
      </c>
    </row>
    <row r="72" spans="1:40" ht="16" thickBot="1" x14ac:dyDescent="0.25">
      <c r="H72" s="10" t="s">
        <v>81</v>
      </c>
      <c r="I72" s="25" t="s">
        <v>1007</v>
      </c>
      <c r="J72" s="25" t="s">
        <v>78</v>
      </c>
      <c r="K72" s="23"/>
      <c r="L72" s="23"/>
      <c r="M72" s="23"/>
      <c r="N72" s="23" t="s">
        <v>1113</v>
      </c>
      <c r="O72" s="58"/>
      <c r="P72" s="58"/>
      <c r="Q72" s="58"/>
      <c r="R72" s="58"/>
      <c r="S72" s="58"/>
      <c r="T72" s="58"/>
      <c r="U72" s="58"/>
      <c r="V72" s="58"/>
      <c r="W72" s="58"/>
      <c r="X72" s="58"/>
      <c r="Y72" s="58"/>
      <c r="Z72" s="58"/>
      <c r="AA72" s="58">
        <f>IF($I72="B1","",SUM(O72:Z72))</f>
        <v>0</v>
      </c>
      <c r="AB72" s="59" t="str">
        <f>IF(AA72=0,"",IFERROR(AA72/AA$19,""))</f>
        <v/>
      </c>
      <c r="AD72" s="58"/>
      <c r="AE72" s="59" t="str">
        <f>IF(AD72=0,"",IFERROR(AD72/AD$19,""))</f>
        <v/>
      </c>
      <c r="AF72" s="60">
        <f>IF(AND($AA72="",AD72=""),"",$AA72-AD72)</f>
        <v>0</v>
      </c>
      <c r="AG72" s="58"/>
      <c r="AH72" s="59" t="str">
        <f>IF(AG72=0,"",IFERROR(AG72/AG$19,""))</f>
        <v/>
      </c>
      <c r="AI72" s="60">
        <f>IF(AND($AA72="",AG72=""),"",$AA72-AG72)</f>
        <v>0</v>
      </c>
      <c r="AJ72" s="402">
        <f>IFERROR(AA72/AA$20,0)</f>
        <v>0</v>
      </c>
      <c r="AK72" s="403">
        <f>IFERROR(AD72/AD$20,0)</f>
        <v>0</v>
      </c>
      <c r="AL72" s="404">
        <f>IFERROR(AG72/AG$20,0)</f>
        <v>0</v>
      </c>
      <c r="AM72" s="405">
        <f>+IFERROR(ROUND(($AB72-AE72)*100,2)&amp;" pts.",0)</f>
        <v>0</v>
      </c>
      <c r="AN72" s="410">
        <f>+IFERROR(ROUND(($AB72-AH72)*100,2)&amp;" pts.",0)</f>
        <v>0</v>
      </c>
    </row>
    <row r="73" spans="1:40" ht="16" thickTop="1" x14ac:dyDescent="0.2">
      <c r="A73" s="3" t="s">
        <v>0</v>
      </c>
      <c r="B73" s="5" t="s">
        <v>1</v>
      </c>
    </row>
    <row r="74" spans="1:40" x14ac:dyDescent="0.2">
      <c r="A74" s="6" t="s">
        <v>2</v>
      </c>
      <c r="B74" s="14" t="s">
        <v>1335</v>
      </c>
      <c r="N74" s="24" t="str">
        <f>N71&amp;" - Check"</f>
        <v>Total Expenses - Check</v>
      </c>
      <c r="O74" s="124">
        <f t="shared" ref="O74:AA74" si="22">SUMIF($H$34:$H$72,"600000",O$34:O$72)+SUMIF($H$34:$H$72,"700000",O$34:O$72)-SUMIF($H$34:$H$72,"TOTDEPTEXP",O$34:O$72)</f>
        <v>0</v>
      </c>
      <c r="P74" s="124">
        <f t="shared" si="22"/>
        <v>0</v>
      </c>
      <c r="Q74" s="124">
        <f t="shared" si="22"/>
        <v>0</v>
      </c>
      <c r="R74" s="124">
        <f t="shared" si="22"/>
        <v>0</v>
      </c>
      <c r="S74" s="124">
        <f t="shared" si="22"/>
        <v>0</v>
      </c>
      <c r="T74" s="124">
        <f t="shared" si="22"/>
        <v>0</v>
      </c>
      <c r="U74" s="124">
        <f t="shared" si="22"/>
        <v>0</v>
      </c>
      <c r="V74" s="124">
        <f t="shared" si="22"/>
        <v>0</v>
      </c>
      <c r="W74" s="124">
        <f t="shared" si="22"/>
        <v>0</v>
      </c>
      <c r="X74" s="124">
        <f t="shared" si="22"/>
        <v>0</v>
      </c>
      <c r="Y74" s="124">
        <f t="shared" si="22"/>
        <v>0</v>
      </c>
      <c r="Z74" s="124">
        <f t="shared" si="22"/>
        <v>0</v>
      </c>
      <c r="AA74" s="124">
        <f t="shared" si="22"/>
        <v>0</v>
      </c>
      <c r="AB74" s="15"/>
      <c r="AD74" s="124">
        <f>SUMIF($H$34:$H$72,"600000",AD$34:AD$72)+SUMIF($H$34:$H$72,"700000",AD$34:AD$72)-SUMIF($H$34:$H$72,"TOTDEPTEXP",AD$34:AD$72)</f>
        <v>0</v>
      </c>
      <c r="AE74" s="15"/>
      <c r="AF74" s="19"/>
      <c r="AG74" s="124">
        <f>SUMIF($H$34:$H$72,"600000",AG$34:AG$72)+SUMIF($H$34:$H$72,"700000",AG$34:AG$72)-SUMIF($H$34:$H$72,"TOTDEPTEXP",AG$34:AG$72)</f>
        <v>0</v>
      </c>
      <c r="AH74" s="15"/>
      <c r="AI74" s="19"/>
    </row>
    <row r="75" spans="1:40" x14ac:dyDescent="0.2">
      <c r="A75" s="6" t="s">
        <v>3</v>
      </c>
      <c r="B75" s="14" t="s">
        <v>1336</v>
      </c>
      <c r="N75" s="24" t="str">
        <f>N72&amp;" - Check"</f>
        <v>Department Profit (Loss) - Check</v>
      </c>
      <c r="O75" s="124">
        <f t="shared" ref="O75:AA75" si="23">SUMIF($H$34:$H$72,"KPI_GP",O$34:O$72)-SUMIF($H$34:$H$72,"TOTDEPTEXP",O$34:O$72)-SUMIF($H$34:$H$72,"TOTDEPTPL",O$34:O$72)</f>
        <v>0</v>
      </c>
      <c r="P75" s="124">
        <f t="shared" si="23"/>
        <v>0</v>
      </c>
      <c r="Q75" s="124">
        <f t="shared" si="23"/>
        <v>0</v>
      </c>
      <c r="R75" s="124">
        <f t="shared" si="23"/>
        <v>0</v>
      </c>
      <c r="S75" s="124">
        <f t="shared" si="23"/>
        <v>0</v>
      </c>
      <c r="T75" s="124">
        <f t="shared" si="23"/>
        <v>0</v>
      </c>
      <c r="U75" s="124">
        <f t="shared" si="23"/>
        <v>0</v>
      </c>
      <c r="V75" s="124">
        <f t="shared" si="23"/>
        <v>0</v>
      </c>
      <c r="W75" s="124">
        <f t="shared" si="23"/>
        <v>0</v>
      </c>
      <c r="X75" s="124">
        <f t="shared" si="23"/>
        <v>0</v>
      </c>
      <c r="Y75" s="124">
        <f t="shared" si="23"/>
        <v>0</v>
      </c>
      <c r="Z75" s="124">
        <f t="shared" si="23"/>
        <v>0</v>
      </c>
      <c r="AA75" s="124">
        <f t="shared" si="23"/>
        <v>0</v>
      </c>
      <c r="AB75" s="15"/>
      <c r="AD75" s="124">
        <f>SUMIF($H$34:$H$72,"KPI_GP",AD$34:AD$72)-SUMIF($H$34:$H$72,"TOTDEPTEXP",AD$34:AD$72)-SUMIF($H$34:$H$72,"TOTDEPTPL",AD$34:AD$72)</f>
        <v>0</v>
      </c>
      <c r="AE75" s="15"/>
      <c r="AF75" s="19"/>
      <c r="AG75" s="124">
        <f>SUMIF($H$34:$H$72,"KPI_GP",AG$34:AG$72)-SUMIF($H$34:$H$72,"TOTDEPTEXP",AG$34:AG$72)-SUMIF($H$34:$H$72,"TOTDEPTPL",AG$34:AG$72)</f>
        <v>0</v>
      </c>
      <c r="AH75" s="15"/>
      <c r="AI75" s="19"/>
    </row>
    <row r="76" spans="1:40" x14ac:dyDescent="0.2">
      <c r="A76" s="6" t="s">
        <v>4</v>
      </c>
      <c r="B76" s="14" t="s">
        <v>1359</v>
      </c>
    </row>
    <row r="77" spans="1:40" x14ac:dyDescent="0.2">
      <c r="A77" s="6" t="s">
        <v>5</v>
      </c>
      <c r="B77" s="7"/>
      <c r="O77" s="147"/>
      <c r="P77" s="147"/>
      <c r="Q77" s="147"/>
      <c r="R77" s="147"/>
      <c r="S77" s="147"/>
      <c r="T77" s="147"/>
      <c r="U77" s="147"/>
      <c r="V77" s="147"/>
      <c r="W77" s="147"/>
      <c r="X77" s="147"/>
      <c r="Y77" s="147"/>
      <c r="Z77" s="147"/>
      <c r="AA77" s="147"/>
      <c r="AD77" s="147"/>
      <c r="AG77" s="147"/>
    </row>
    <row r="78" spans="1:40" x14ac:dyDescent="0.2">
      <c r="A78" s="6" t="s">
        <v>6</v>
      </c>
      <c r="B78" s="7"/>
    </row>
    <row r="79" spans="1:40" x14ac:dyDescent="0.2">
      <c r="A79" s="6" t="s">
        <v>7</v>
      </c>
      <c r="B79" s="14" t="s">
        <v>1360</v>
      </c>
      <c r="O79" s="147"/>
      <c r="P79" s="147"/>
      <c r="Q79" s="147"/>
      <c r="R79" s="147"/>
      <c r="S79" s="147"/>
      <c r="T79" s="147"/>
      <c r="U79" s="147"/>
      <c r="V79" s="147"/>
      <c r="W79" s="147"/>
      <c r="X79" s="147"/>
      <c r="Y79" s="147"/>
      <c r="Z79" s="147"/>
      <c r="AA79" s="147"/>
      <c r="AD79" s="147"/>
      <c r="AG79" s="147"/>
    </row>
    <row r="80" spans="1:40" x14ac:dyDescent="0.2">
      <c r="A80" s="6" t="s">
        <v>47</v>
      </c>
      <c r="B80" s="14" t="s">
        <v>1339</v>
      </c>
    </row>
    <row r="81" spans="1:10" x14ac:dyDescent="0.2">
      <c r="A81" s="6" t="s">
        <v>8</v>
      </c>
      <c r="B81" s="7"/>
    </row>
    <row r="82" spans="1:10" x14ac:dyDescent="0.2">
      <c r="H82" s="11"/>
      <c r="J82" s="1"/>
    </row>
    <row r="83" spans="1:10" x14ac:dyDescent="0.2">
      <c r="A83" s="3" t="s">
        <v>9</v>
      </c>
      <c r="B83" s="5" t="s">
        <v>10</v>
      </c>
      <c r="H83" s="11"/>
      <c r="J83" s="1"/>
    </row>
    <row r="84" spans="1:10" x14ac:dyDescent="0.2">
      <c r="A84" s="6" t="s">
        <v>11</v>
      </c>
      <c r="B84" s="7" t="s">
        <v>21</v>
      </c>
      <c r="H84" s="11"/>
      <c r="J84" s="1"/>
    </row>
    <row r="85" spans="1:10" x14ac:dyDescent="0.2">
      <c r="A85" s="6" t="s">
        <v>12</v>
      </c>
      <c r="B85" s="7" t="s">
        <v>22</v>
      </c>
      <c r="H85" s="11"/>
      <c r="J85" s="1"/>
    </row>
    <row r="86" spans="1:10" x14ac:dyDescent="0.2">
      <c r="A86" s="6" t="s">
        <v>13</v>
      </c>
      <c r="B86" s="7" t="s">
        <v>737</v>
      </c>
      <c r="H86" s="11"/>
      <c r="J86" s="1"/>
    </row>
    <row r="87" spans="1:10" x14ac:dyDescent="0.2">
      <c r="A87" s="6" t="s">
        <v>14</v>
      </c>
      <c r="B87" s="7"/>
      <c r="H87" s="11"/>
      <c r="J87" s="1"/>
    </row>
    <row r="88" spans="1:10" x14ac:dyDescent="0.2">
      <c r="A88" s="6" t="s">
        <v>15</v>
      </c>
      <c r="B88" s="7"/>
      <c r="H88" s="11"/>
      <c r="J88" s="1"/>
    </row>
    <row r="89" spans="1:10" x14ac:dyDescent="0.2">
      <c r="A89" s="6" t="s">
        <v>16</v>
      </c>
      <c r="B89" s="7" t="s">
        <v>78</v>
      </c>
      <c r="G89" s="13"/>
      <c r="H89" s="11"/>
      <c r="J89" s="1"/>
    </row>
    <row r="90" spans="1:10" x14ac:dyDescent="0.2">
      <c r="A90" s="6" t="s">
        <v>17</v>
      </c>
      <c r="B90" s="7"/>
      <c r="H90" s="11"/>
      <c r="J90" s="1"/>
    </row>
    <row r="91" spans="1:10" x14ac:dyDescent="0.2">
      <c r="H91" s="11"/>
      <c r="J91" s="1"/>
    </row>
    <row r="92" spans="1:10" x14ac:dyDescent="0.2">
      <c r="A92" s="20" t="s">
        <v>92</v>
      </c>
      <c r="B92" s="21" t="s">
        <v>93</v>
      </c>
      <c r="C92" s="21" t="s">
        <v>94</v>
      </c>
      <c r="D92" s="21" t="s">
        <v>95</v>
      </c>
      <c r="E92" s="21" t="s">
        <v>96</v>
      </c>
      <c r="F92" s="22" t="s">
        <v>97</v>
      </c>
      <c r="H92" s="11"/>
      <c r="J92" s="1"/>
    </row>
    <row r="93" spans="1:10" x14ac:dyDescent="0.2">
      <c r="H93" s="11"/>
      <c r="J93" s="1"/>
    </row>
    <row r="94" spans="1:10" x14ac:dyDescent="0.2">
      <c r="A94" s="1" t="s">
        <v>108</v>
      </c>
      <c r="C94" s="24" t="s">
        <v>101</v>
      </c>
      <c r="D94" s="1" t="s">
        <v>106</v>
      </c>
      <c r="F94" s="1" t="s">
        <v>98</v>
      </c>
      <c r="H94" s="11"/>
      <c r="J94" s="1"/>
    </row>
    <row r="95" spans="1:10" x14ac:dyDescent="0.2">
      <c r="A95" s="1" t="s">
        <v>100</v>
      </c>
      <c r="C95" s="8" t="s">
        <v>101</v>
      </c>
      <c r="D95" s="1" t="s">
        <v>106</v>
      </c>
      <c r="F95" s="1" t="s">
        <v>98</v>
      </c>
      <c r="H95" s="11"/>
      <c r="J95" s="1"/>
    </row>
    <row r="96" spans="1:10" x14ac:dyDescent="0.2">
      <c r="A96" s="1" t="s">
        <v>109</v>
      </c>
      <c r="C96" s="23" t="s">
        <v>101</v>
      </c>
      <c r="D96" s="1" t="s">
        <v>106</v>
      </c>
      <c r="F96" s="1" t="s">
        <v>98</v>
      </c>
      <c r="H96" s="11"/>
      <c r="J96" s="1"/>
    </row>
    <row r="97" spans="1:10" x14ac:dyDescent="0.2">
      <c r="A97" s="1" t="s">
        <v>109</v>
      </c>
      <c r="C97" s="135" t="s">
        <v>101</v>
      </c>
      <c r="D97" s="1" t="s">
        <v>107</v>
      </c>
      <c r="F97" s="1" t="s">
        <v>99</v>
      </c>
      <c r="H97" s="11"/>
      <c r="J97" s="1"/>
    </row>
    <row r="98" spans="1:10" x14ac:dyDescent="0.2">
      <c r="A98" s="1" t="s">
        <v>110</v>
      </c>
      <c r="C98" s="23" t="s">
        <v>101</v>
      </c>
      <c r="D98" s="1" t="s">
        <v>106</v>
      </c>
      <c r="F98" s="1" t="s">
        <v>98</v>
      </c>
      <c r="H98" s="11"/>
      <c r="J98" s="1"/>
    </row>
    <row r="99" spans="1:10" x14ac:dyDescent="0.2">
      <c r="A99" s="1" t="s">
        <v>110</v>
      </c>
      <c r="C99" s="27" t="s">
        <v>101</v>
      </c>
      <c r="D99" s="1" t="s">
        <v>107</v>
      </c>
      <c r="F99" s="1" t="s">
        <v>99</v>
      </c>
      <c r="H99" s="11"/>
      <c r="J99" s="1"/>
    </row>
    <row r="100" spans="1:10" x14ac:dyDescent="0.2">
      <c r="C100" s="23"/>
      <c r="H100" s="11"/>
      <c r="J100" s="1"/>
    </row>
    <row r="101" spans="1:10" x14ac:dyDescent="0.2">
      <c r="H101" s="11"/>
      <c r="J101" s="1"/>
    </row>
    <row r="102" spans="1:10" x14ac:dyDescent="0.2">
      <c r="A102" s="4" t="s">
        <v>989</v>
      </c>
      <c r="B102" s="1" t="s">
        <v>736</v>
      </c>
      <c r="H102" s="11"/>
      <c r="J102" s="1"/>
    </row>
    <row r="103" spans="1:10" x14ac:dyDescent="0.2">
      <c r="G103" s="13"/>
      <c r="H103" s="11"/>
      <c r="J103" s="1"/>
    </row>
    <row r="104" spans="1:10" x14ac:dyDescent="0.2">
      <c r="A104" s="3" t="s">
        <v>0</v>
      </c>
      <c r="B104" s="5" t="s">
        <v>1</v>
      </c>
      <c r="H104" s="11"/>
      <c r="J104" s="1"/>
    </row>
    <row r="105" spans="1:10" x14ac:dyDescent="0.2">
      <c r="A105" s="6" t="s">
        <v>2</v>
      </c>
      <c r="B105" s="14" t="s">
        <v>1335</v>
      </c>
    </row>
    <row r="106" spans="1:10" x14ac:dyDescent="0.2">
      <c r="A106" s="6" t="s">
        <v>3</v>
      </c>
      <c r="B106" s="14" t="s">
        <v>1336</v>
      </c>
    </row>
    <row r="107" spans="1:10" x14ac:dyDescent="0.2">
      <c r="A107" s="6" t="s">
        <v>4</v>
      </c>
      <c r="B107" s="14" t="s">
        <v>1361</v>
      </c>
    </row>
    <row r="108" spans="1:10" x14ac:dyDescent="0.2">
      <c r="A108" s="6" t="s">
        <v>5</v>
      </c>
      <c r="B108" s="7"/>
    </row>
    <row r="109" spans="1:10" x14ac:dyDescent="0.2">
      <c r="A109" s="6" t="s">
        <v>6</v>
      </c>
      <c r="B109" s="7"/>
      <c r="G109" s="13"/>
    </row>
    <row r="110" spans="1:10" x14ac:dyDescent="0.2">
      <c r="A110" s="6" t="s">
        <v>7</v>
      </c>
      <c r="B110" s="7"/>
    </row>
    <row r="111" spans="1:10" x14ac:dyDescent="0.2">
      <c r="A111" s="6" t="s">
        <v>47</v>
      </c>
      <c r="B111" s="14" t="s">
        <v>1339</v>
      </c>
    </row>
    <row r="112" spans="1:10" x14ac:dyDescent="0.2">
      <c r="A112" s="6" t="s">
        <v>8</v>
      </c>
      <c r="B112" s="7"/>
    </row>
    <row r="115" spans="1:2" x14ac:dyDescent="0.2">
      <c r="A115" s="3" t="s">
        <v>23</v>
      </c>
      <c r="B115" s="5" t="s">
        <v>24</v>
      </c>
    </row>
    <row r="116" spans="1:2" x14ac:dyDescent="0.2">
      <c r="A116" s="6" t="s">
        <v>25</v>
      </c>
      <c r="B116" s="7"/>
    </row>
    <row r="117" spans="1:2" x14ac:dyDescent="0.2">
      <c r="A117" s="6" t="s">
        <v>26</v>
      </c>
      <c r="B117" s="7"/>
    </row>
    <row r="118" spans="1:2" x14ac:dyDescent="0.2">
      <c r="A118" s="6" t="s">
        <v>27</v>
      </c>
      <c r="B118" s="7"/>
    </row>
    <row r="119" spans="1:2" x14ac:dyDescent="0.2">
      <c r="A119" s="6" t="s">
        <v>28</v>
      </c>
      <c r="B119" s="7"/>
    </row>
    <row r="120" spans="1:2" x14ac:dyDescent="0.2">
      <c r="A120" s="6" t="s">
        <v>29</v>
      </c>
      <c r="B120" s="7"/>
    </row>
    <row r="121" spans="1:2" x14ac:dyDescent="0.2">
      <c r="A121" s="6" t="s">
        <v>30</v>
      </c>
      <c r="B121" s="7" t="s">
        <v>78</v>
      </c>
    </row>
    <row r="122" spans="1:2" x14ac:dyDescent="0.2">
      <c r="A122" s="6" t="s">
        <v>31</v>
      </c>
      <c r="B122" s="7" t="s">
        <v>78</v>
      </c>
    </row>
    <row r="123" spans="1:2" x14ac:dyDescent="0.2">
      <c r="A123" s="6" t="s">
        <v>32</v>
      </c>
      <c r="B123" s="7"/>
    </row>
    <row r="124" spans="1:2" x14ac:dyDescent="0.2">
      <c r="A124" s="6" t="s">
        <v>33</v>
      </c>
      <c r="B124" s="7"/>
    </row>
    <row r="125" spans="1:2" x14ac:dyDescent="0.2">
      <c r="A125" s="6" t="s">
        <v>34</v>
      </c>
      <c r="B125" s="7"/>
    </row>
    <row r="126" spans="1:2" x14ac:dyDescent="0.2">
      <c r="A126" s="6" t="s">
        <v>35</v>
      </c>
      <c r="B126" s="7"/>
    </row>
    <row r="127" spans="1:2" x14ac:dyDescent="0.2">
      <c r="A127" s="6" t="s">
        <v>36</v>
      </c>
      <c r="B127" s="7"/>
    </row>
    <row r="128" spans="1:2" x14ac:dyDescent="0.2">
      <c r="A128" s="6" t="s">
        <v>37</v>
      </c>
      <c r="B128" s="7"/>
    </row>
    <row r="129" spans="1:2" x14ac:dyDescent="0.2">
      <c r="A129" s="6" t="s">
        <v>38</v>
      </c>
      <c r="B129" s="7"/>
    </row>
    <row r="130" spans="1:2" x14ac:dyDescent="0.2">
      <c r="A130" s="6" t="s">
        <v>39</v>
      </c>
      <c r="B130" s="7"/>
    </row>
    <row r="131" spans="1:2" x14ac:dyDescent="0.2">
      <c r="A131" s="6" t="s">
        <v>40</v>
      </c>
      <c r="B131" s="7"/>
    </row>
    <row r="132" spans="1:2" x14ac:dyDescent="0.2">
      <c r="A132" s="6" t="s">
        <v>41</v>
      </c>
      <c r="B132" s="7"/>
    </row>
    <row r="133" spans="1:2" x14ac:dyDescent="0.2">
      <c r="A133" s="6" t="s">
        <v>42</v>
      </c>
      <c r="B133" s="7"/>
    </row>
    <row r="134" spans="1:2" x14ac:dyDescent="0.2">
      <c r="A134" s="6" t="s">
        <v>43</v>
      </c>
      <c r="B134" s="7"/>
    </row>
    <row r="135" spans="1:2" x14ac:dyDescent="0.2">
      <c r="A135" s="6" t="s">
        <v>44</v>
      </c>
      <c r="B135" s="7"/>
    </row>
    <row r="136" spans="1:2" x14ac:dyDescent="0.2">
      <c r="A136" s="6" t="s">
        <v>45</v>
      </c>
      <c r="B136" s="7"/>
    </row>
    <row r="137" spans="1:2" x14ac:dyDescent="0.2">
      <c r="A137" s="6" t="s">
        <v>46</v>
      </c>
      <c r="B137" s="7"/>
    </row>
    <row r="145" spans="5:34" x14ac:dyDescent="0.2">
      <c r="I145" s="72"/>
      <c r="J145" s="1"/>
      <c r="K145" s="72"/>
      <c r="L145" s="72"/>
      <c r="M145" s="72"/>
      <c r="O145" s="72"/>
      <c r="P145" s="72"/>
      <c r="Q145" s="72"/>
      <c r="R145" s="72"/>
      <c r="S145" s="72"/>
      <c r="T145" s="72"/>
      <c r="U145" s="72"/>
      <c r="V145" s="72"/>
      <c r="W145" s="72"/>
      <c r="X145" s="72"/>
      <c r="Y145" s="72"/>
      <c r="Z145" s="72"/>
      <c r="AA145" s="72"/>
      <c r="AD145" s="72"/>
      <c r="AF145" s="72"/>
      <c r="AH145" s="72"/>
    </row>
    <row r="149" spans="5:34" x14ac:dyDescent="0.2">
      <c r="I149" s="72"/>
      <c r="J149" s="1"/>
      <c r="K149" s="72"/>
      <c r="L149" s="72"/>
      <c r="M149" s="72"/>
      <c r="O149" s="72"/>
      <c r="P149" s="72"/>
      <c r="Q149" s="72"/>
      <c r="R149" s="72"/>
      <c r="S149" s="72"/>
      <c r="T149" s="72"/>
      <c r="U149" s="72"/>
      <c r="V149" s="72"/>
      <c r="W149" s="72"/>
      <c r="X149" s="72"/>
      <c r="Y149" s="72"/>
      <c r="Z149" s="72"/>
      <c r="AA149" s="72"/>
      <c r="AD149" s="72"/>
      <c r="AF149" s="72"/>
      <c r="AH149" s="72"/>
    </row>
    <row r="154" spans="5:34" x14ac:dyDescent="0.2">
      <c r="E154" s="72"/>
    </row>
    <row r="158" spans="5:34" x14ac:dyDescent="0.2">
      <c r="E158" s="72"/>
    </row>
    <row r="188" spans="7:7" x14ac:dyDescent="0.2">
      <c r="G188" s="72"/>
    </row>
    <row r="192" spans="7:7" x14ac:dyDescent="0.2">
      <c r="G192" s="72"/>
    </row>
  </sheetData>
  <mergeCells count="2">
    <mergeCell ref="AD31:AE31"/>
    <mergeCell ref="AG31:AH31"/>
  </mergeCells>
  <dataValidations count="2">
    <dataValidation type="list" allowBlank="1" sqref="B58 B29 B86" xr:uid="{00000000-0002-0000-4700-000000000000}">
      <formula1>"SELF,ALL,BAS,DEP,BASMEMBERS,MEMBERS,NOEXPAND,GDEP"</formula1>
    </dataValidation>
    <dataValidation type="list" allowBlank="1" sqref="B57 B28 B85" xr:uid="{00000000-0002-0000-47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20">
    <tabColor theme="9" tint="0.39997558519241921"/>
    <pageSetUpPr fitToPage="1"/>
  </sheetPr>
  <dimension ref="A1:AO194"/>
  <sheetViews>
    <sheetView topLeftCell="K25" zoomScale="85" zoomScaleNormal="85" workbookViewId="0">
      <pane xSplit="4" ySplit="8" topLeftCell="O75"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8.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423</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2" t="e">
        <f ca="1">IF('29kbtUVTfkeuWbdEUFpQfA=='!$O$1=TRUE,"TRAILING12",IF(Z17="CURRENT","ROLLINGFORECAST","PERIODIC"))</f>
        <v>#NAME?</v>
      </c>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_xll.EVRNG(H34:H53,H56:H74)</f>
        <v>#NAME?</v>
      </c>
      <c r="G19" s="16" t="str">
        <f>$B$6</f>
        <v>D1138</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
        <v>749</v>
      </c>
      <c r="H20" s="16">
        <v>900200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I21" s="1"/>
      <c r="J21" s="1"/>
    </row>
    <row r="22" spans="1:40" hidden="1" outlineLevel="1" x14ac:dyDescent="0.2">
      <c r="A22" s="6" t="s">
        <v>7</v>
      </c>
      <c r="B22" s="7" t="e">
        <f ca="1">_xll.EVRNG(A58:F62)</f>
        <v>#NAME?</v>
      </c>
      <c r="I22" s="1"/>
      <c r="J22" s="1"/>
    </row>
    <row r="23" spans="1:40" hidden="1" outlineLevel="1" x14ac:dyDescent="0.2">
      <c r="A23" s="6" t="s">
        <v>47</v>
      </c>
      <c r="B23" s="7" t="e">
        <f ca="1">_xll.EVRNG($A$79:$B$100)</f>
        <v>#NAME?</v>
      </c>
      <c r="K23" s="53"/>
      <c r="L23" s="53"/>
      <c r="M23" s="53"/>
      <c r="AD23" s="136"/>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f>
        <v>#NAME?</v>
      </c>
    </row>
    <row r="28" spans="1:40" ht="16" x14ac:dyDescent="0.2">
      <c r="A28" s="6" t="s">
        <v>12</v>
      </c>
      <c r="B28" s="7" t="s">
        <v>22</v>
      </c>
      <c r="N28" s="67" t="e">
        <f ca="1">"For the Period ended"&amp;" "&amp;IF(_xll.EVDES($B$10,$B$1)="#NODATA","",_xll.EVDES($B$10,$B$1))</f>
        <v>#NAME?</v>
      </c>
    </row>
    <row r="29" spans="1:40" ht="15" customHeight="1" x14ac:dyDescent="0.2">
      <c r="A29" s="6" t="s">
        <v>13</v>
      </c>
      <c r="B29" s="7" t="e">
        <f ca="1">"DEP(450000) AND "&amp;$E$6&amp;"=Y,400000|DEP(550000) AND "&amp;$E$6&amp;"=Y,500001"</f>
        <v>#NAME?</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748</v>
      </c>
      <c r="AK30" s="209"/>
      <c r="AL30" s="210"/>
      <c r="AM30" s="209" t="s">
        <v>750</v>
      </c>
      <c r="AN30" s="209"/>
    </row>
    <row r="31" spans="1:40" x14ac:dyDescent="0.2">
      <c r="A31" s="6" t="s">
        <v>15</v>
      </c>
      <c r="B31" s="7"/>
      <c r="G31" s="13"/>
      <c r="K31" s="11"/>
      <c r="L31" s="11"/>
      <c r="M31" s="1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69</v>
      </c>
      <c r="I33" s="11" t="e">
        <f ca="1">_xll.EVPRO($B$1,$H33,"STYLE")</f>
        <v>#NAME?</v>
      </c>
      <c r="J33" s="11" t="e">
        <f ca="1">_xll.EVPRO($B$1,$H33,"CALC")</f>
        <v>#NAME?</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0" x14ac:dyDescent="0.2">
      <c r="H34" s="10" t="s">
        <v>424</v>
      </c>
      <c r="I34" s="25" t="e">
        <f ca="1">_xll.EVPRO($B$1,$H34,"STYLE")</f>
        <v>#NAME?</v>
      </c>
      <c r="J34" s="25" t="e">
        <f ca="1">_xll.EVPRO($B$1,$H34,"CALC")</f>
        <v>#NAME?</v>
      </c>
      <c r="K34" s="64" t="e">
        <f ca="1">IF(AND(I34&gt;="T5"),"&gt;","")</f>
        <v>#NAME?</v>
      </c>
      <c r="L34" s="24" t="e">
        <f ca="1">_xll.EVPRO($B$1,H34,"JDEID")</f>
        <v>#NAME?</v>
      </c>
      <c r="M34" s="24" t="e">
        <f ca="1">IF(AND(I34="N",J34="N"),_xll.EVPRO($B$1,H34,"PSFTID"),"")</f>
        <v>#NAME?</v>
      </c>
      <c r="N34" s="24" t="e">
        <f ca="1">IF(_xll.EVDES(H34,$B$1)="#NODATA","",_xll.EVDES(H34,$B$1))</f>
        <v>#NAME?</v>
      </c>
      <c r="O34" s="19">
        <v>-5.6</v>
      </c>
      <c r="P34" s="19">
        <v>55.04</v>
      </c>
      <c r="Q34" s="19">
        <v>50.72</v>
      </c>
      <c r="R34" s="19">
        <v>49.53</v>
      </c>
      <c r="S34" s="19">
        <v>36.36</v>
      </c>
      <c r="T34" s="19">
        <v>125.94</v>
      </c>
      <c r="U34" s="19">
        <v>90.37</v>
      </c>
      <c r="V34" s="19">
        <v>196.65</v>
      </c>
      <c r="W34" s="19">
        <v>79.5</v>
      </c>
      <c r="X34" s="19">
        <v>63.5</v>
      </c>
      <c r="Y34" s="19">
        <v>19.64</v>
      </c>
      <c r="Z34" s="19">
        <v>368.74</v>
      </c>
      <c r="AA34" s="283" t="e">
        <f t="shared" ref="AA34:AA53" ca="1" si="0">IF($I34="B1","",SUM(O34:Z34))</f>
        <v>#NAME?</v>
      </c>
      <c r="AB34" s="15" t="e">
        <f t="shared" ref="AB34:AB53" ca="1" si="1">IF(AA34=0,"",IFERROR(AA34/AA$19,""))</f>
        <v>#NAME?</v>
      </c>
      <c r="AD34" s="19">
        <v>1206.93</v>
      </c>
      <c r="AE34" s="15" t="str">
        <f t="shared" ref="AE34:AE53" ca="1" si="2">IF(AD34=0,"",IFERROR(AD34/AD$19,""))</f>
        <v/>
      </c>
      <c r="AF34" s="47" t="e">
        <f t="shared" ref="AF34:AF53" ca="1" si="3">IF(AND($AA34="",AD34=""),"",$AA34-AD34)</f>
        <v>#NAME?</v>
      </c>
      <c r="AG34" s="19">
        <v>1261.7</v>
      </c>
      <c r="AH34" s="15" t="str">
        <f ca="1">IF(AG34=0,"",IFERROR(AG34/AG$19,""))</f>
        <v/>
      </c>
      <c r="AI34" s="47" t="e">
        <f ca="1">IF(AND($AA34="",AG34=""),"",$AA34-AG34)</f>
        <v>#NAME?</v>
      </c>
      <c r="AJ34" s="371">
        <f ca="1">IFERROR(AA34/AA$20,0)</f>
        <v>0</v>
      </c>
      <c r="AK34" s="372">
        <f ca="1">IFERROR(AD34/AD$20,0)</f>
        <v>0</v>
      </c>
      <c r="AL34" s="373">
        <f ca="1">IFERROR(AG34/AG$20,0)</f>
        <v>0</v>
      </c>
      <c r="AM34" s="374">
        <f ca="1">+IFERROR(ROUND(($AB34-AE34)*100,2)&amp;" pts.",0)</f>
        <v>0</v>
      </c>
      <c r="AN34" s="375">
        <f ca="1">+IFERROR(ROUND(($AB34-AH34)*100,2)&amp;" pts.",0)</f>
        <v>0</v>
      </c>
    </row>
    <row r="35" spans="1:40" x14ac:dyDescent="0.2">
      <c r="H35" s="10" t="s">
        <v>425</v>
      </c>
      <c r="I35" s="25" t="e">
        <f ca="1">_xll.EVPRO($B$1,$H35,"STYLE")</f>
        <v>#NAME?</v>
      </c>
      <c r="J35" s="25" t="e">
        <f ca="1">_xll.EVPRO($B$1,$H35,"CALC")</f>
        <v>#NAME?</v>
      </c>
      <c r="K35" s="64" t="e">
        <f t="shared" ref="K35:K53" ca="1" si="4">IF(AND(I35&gt;="T5"),"&gt;","")</f>
        <v>#NAME?</v>
      </c>
      <c r="L35" s="24" t="e">
        <f ca="1">_xll.EVPRO($B$1,H35,"JDEID")</f>
        <v>#NAME?</v>
      </c>
      <c r="M35" s="24" t="e">
        <f ca="1">IF(AND(I35="N",J35="N"),_xll.EVPRO($B$1,H35,"PSFTID"),"")</f>
        <v>#NAME?</v>
      </c>
      <c r="N35" s="24" t="e">
        <f ca="1">IF(_xll.EVDES(H35,$B$1)="#NODATA","",_xll.EVDES(H35,$B$1))</f>
        <v>#NAME?</v>
      </c>
      <c r="O35" s="19"/>
      <c r="P35" s="19"/>
      <c r="Q35" s="19"/>
      <c r="R35" s="19"/>
      <c r="S35" s="19"/>
      <c r="T35" s="19"/>
      <c r="U35" s="19"/>
      <c r="V35" s="19"/>
      <c r="W35" s="19"/>
      <c r="X35" s="19"/>
      <c r="Y35" s="19"/>
      <c r="Z35" s="19"/>
      <c r="AA35" s="283" t="e">
        <f t="shared" ca="1" si="0"/>
        <v>#NAME?</v>
      </c>
      <c r="AB35" s="15" t="e">
        <f t="shared" ca="1" si="1"/>
        <v>#NAME?</v>
      </c>
      <c r="AD35" s="19"/>
      <c r="AE35" s="15" t="str">
        <f t="shared" si="2"/>
        <v/>
      </c>
      <c r="AF35" s="47" t="e">
        <f t="shared" ca="1" si="3"/>
        <v>#NAME?</v>
      </c>
      <c r="AG35" s="19"/>
      <c r="AH35" s="15" t="str">
        <f t="shared" ref="AH35:AH53" si="5">IF(AG35=0,"",IFERROR(AG35/AG$19,""))</f>
        <v/>
      </c>
      <c r="AI35" s="47" t="e">
        <f t="shared" ref="AI35:AI53" ca="1" si="6">IF(AND($AA35="",AG35=""),"",$AA35-AG35)</f>
        <v>#NAME?</v>
      </c>
      <c r="AJ35" s="371">
        <f t="shared" ref="AJ35:AJ53" ca="1" si="7">IFERROR(AA35/AA$20,0)</f>
        <v>0</v>
      </c>
      <c r="AK35" s="372">
        <f t="shared" ref="AK35:AK53" ca="1" si="8">IFERROR(AD35/AD$20,0)</f>
        <v>0</v>
      </c>
      <c r="AL35" s="373">
        <f t="shared" ref="AL35:AL53" ca="1" si="9">IFERROR(AG35/AG$20,0)</f>
        <v>0</v>
      </c>
      <c r="AM35" s="374">
        <f t="shared" ref="AM35:AM53" ca="1" si="10">+IFERROR(ROUND(($AB35-AE35)*100,2)&amp;" pts.",0)</f>
        <v>0</v>
      </c>
      <c r="AN35" s="375">
        <f t="shared" ref="AN35:AN53" ca="1" si="11">+IFERROR(ROUND(($AB35-AH35)*100,2)&amp;" pts.",0)</f>
        <v>0</v>
      </c>
    </row>
    <row r="36" spans="1:40" x14ac:dyDescent="0.2">
      <c r="A36" s="4" t="e">
        <f ca="1">_xll.EVDRE($B$1,A39:B46,A49:B55)</f>
        <v>#NAME?</v>
      </c>
      <c r="H36" s="10" t="s">
        <v>426</v>
      </c>
      <c r="I36" s="25" t="e">
        <f ca="1">_xll.EVPRO($B$1,$H36,"STYLE")</f>
        <v>#NAME?</v>
      </c>
      <c r="J36" s="25" t="e">
        <f ca="1">_xll.EVPRO($B$1,$H36,"CALC")</f>
        <v>#NAME?</v>
      </c>
      <c r="K36" s="64" t="e">
        <f t="shared" ca="1" si="4"/>
        <v>#NAME?</v>
      </c>
      <c r="L36" s="24" t="e">
        <f ca="1">_xll.EVPRO($B$1,H36,"JDEID")</f>
        <v>#NAME?</v>
      </c>
      <c r="M36" s="24" t="e">
        <f ca="1">IF(AND(I36="N",J36="N"),_xll.EVPRO($B$1,H36,"PSFTID"),"")</f>
        <v>#NAME?</v>
      </c>
      <c r="N36" s="24" t="e">
        <f ca="1">IF(_xll.EVDES(H36,$B$1)="#NODATA","",_xll.EVDES(H36,$B$1))</f>
        <v>#NAME?</v>
      </c>
      <c r="O36" s="19">
        <v>846.65</v>
      </c>
      <c r="P36" s="19">
        <v>341.6</v>
      </c>
      <c r="Q36" s="19">
        <v>764.79</v>
      </c>
      <c r="R36" s="19">
        <v>764.02</v>
      </c>
      <c r="S36" s="19">
        <v>325.27999999999997</v>
      </c>
      <c r="T36" s="19">
        <v>191.53</v>
      </c>
      <c r="U36" s="19">
        <v>619.27</v>
      </c>
      <c r="V36" s="19">
        <v>91.49</v>
      </c>
      <c r="W36" s="19">
        <v>400.98</v>
      </c>
      <c r="X36" s="19">
        <v>372.37</v>
      </c>
      <c r="Y36" s="19">
        <v>983.49</v>
      </c>
      <c r="Z36" s="19">
        <v>146.85</v>
      </c>
      <c r="AA36" s="283" t="e">
        <f t="shared" ca="1" si="0"/>
        <v>#NAME?</v>
      </c>
      <c r="AB36" s="15" t="e">
        <f t="shared" ca="1" si="1"/>
        <v>#NAME?</v>
      </c>
      <c r="AD36" s="19">
        <v>7241.58</v>
      </c>
      <c r="AE36" s="15" t="str">
        <f t="shared" ca="1" si="2"/>
        <v/>
      </c>
      <c r="AF36" s="47" t="e">
        <f t="shared" ca="1" si="3"/>
        <v>#NAME?</v>
      </c>
      <c r="AG36" s="19">
        <v>7096.69</v>
      </c>
      <c r="AH36" s="15" t="str">
        <f t="shared" ca="1" si="5"/>
        <v/>
      </c>
      <c r="AI36" s="47" t="e">
        <f t="shared" ca="1" si="6"/>
        <v>#NAME?</v>
      </c>
      <c r="AJ36" s="371">
        <f t="shared" ca="1" si="7"/>
        <v>0</v>
      </c>
      <c r="AK36" s="372">
        <f t="shared" ca="1" si="8"/>
        <v>0</v>
      </c>
      <c r="AL36" s="373">
        <f t="shared" ca="1" si="9"/>
        <v>0</v>
      </c>
      <c r="AM36" s="374">
        <f t="shared" ca="1" si="10"/>
        <v>0</v>
      </c>
      <c r="AN36" s="375">
        <f t="shared" ca="1" si="11"/>
        <v>0</v>
      </c>
    </row>
    <row r="37" spans="1:40" x14ac:dyDescent="0.2">
      <c r="H37" s="10" t="s">
        <v>427</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19"/>
      <c r="P37" s="19"/>
      <c r="Q37" s="19"/>
      <c r="R37" s="19"/>
      <c r="S37" s="19"/>
      <c r="T37" s="19"/>
      <c r="U37" s="19"/>
      <c r="V37" s="19"/>
      <c r="W37" s="19"/>
      <c r="X37" s="19"/>
      <c r="Y37" s="19"/>
      <c r="Z37" s="19"/>
      <c r="AA37" s="283" t="e">
        <f t="shared" ca="1" si="0"/>
        <v>#NAME?</v>
      </c>
      <c r="AB37" s="15" t="e">
        <f t="shared" ca="1" si="1"/>
        <v>#NAME?</v>
      </c>
      <c r="AD37" s="19"/>
      <c r="AE37" s="15" t="str">
        <f t="shared" si="2"/>
        <v/>
      </c>
      <c r="AF37" s="47" t="e">
        <f t="shared" ca="1" si="3"/>
        <v>#NAME?</v>
      </c>
      <c r="AG37" s="19"/>
      <c r="AH37" s="15" t="str">
        <f t="shared" si="5"/>
        <v/>
      </c>
      <c r="AI37" s="47" t="e">
        <f t="shared" ca="1" si="6"/>
        <v>#NAME?</v>
      </c>
      <c r="AJ37" s="371">
        <f t="shared" ca="1" si="7"/>
        <v>0</v>
      </c>
      <c r="AK37" s="372">
        <f t="shared" ca="1" si="8"/>
        <v>0</v>
      </c>
      <c r="AL37" s="373">
        <f t="shared" ca="1" si="9"/>
        <v>0</v>
      </c>
      <c r="AM37" s="374">
        <f t="shared" ca="1" si="10"/>
        <v>0</v>
      </c>
      <c r="AN37" s="375">
        <f t="shared" ca="1" si="11"/>
        <v>0</v>
      </c>
    </row>
    <row r="38" spans="1:40" x14ac:dyDescent="0.2">
      <c r="A38" s="3" t="s">
        <v>0</v>
      </c>
      <c r="B38" s="5" t="s">
        <v>1</v>
      </c>
      <c r="H38" s="10" t="s">
        <v>428</v>
      </c>
      <c r="I38" s="25" t="e">
        <f ca="1">_xll.EVPRO($B$1,$H38,"STYLE")</f>
        <v>#NAME?</v>
      </c>
      <c r="J38" s="25" t="e">
        <f ca="1">_xll.EVPRO($B$1,$H38,"CALC")</f>
        <v>#NAME?</v>
      </c>
      <c r="K38" s="64" t="e">
        <f t="shared" ca="1" si="4"/>
        <v>#NAME?</v>
      </c>
      <c r="L38" s="24" t="e">
        <f ca="1">_xll.EVPRO($B$1,H38,"JDEID")</f>
        <v>#NAME?</v>
      </c>
      <c r="M38" s="24" t="e">
        <f ca="1">IF(AND(I38="N",J38="N"),_xll.EVPRO($B$1,H38,"PSFTID"),"")</f>
        <v>#NAME?</v>
      </c>
      <c r="N38" s="24" t="e">
        <f ca="1">IF(_xll.EVDES(H38,$B$1)="#NODATA","",_xll.EVDES(H38,$B$1))</f>
        <v>#NAME?</v>
      </c>
      <c r="O38" s="19">
        <v>937</v>
      </c>
      <c r="P38" s="19">
        <v>1056</v>
      </c>
      <c r="Q38" s="19">
        <v>1699</v>
      </c>
      <c r="R38" s="19">
        <v>648</v>
      </c>
      <c r="S38" s="19">
        <v>324.75</v>
      </c>
      <c r="T38" s="19">
        <v>654</v>
      </c>
      <c r="U38" s="19">
        <v>936.4</v>
      </c>
      <c r="V38" s="19">
        <v>612.55999999999995</v>
      </c>
      <c r="W38" s="19">
        <v>385</v>
      </c>
      <c r="X38" s="19">
        <v>953</v>
      </c>
      <c r="Y38" s="19">
        <v>1025</v>
      </c>
      <c r="Z38" s="19">
        <v>1415</v>
      </c>
      <c r="AA38" s="283" t="e">
        <f t="shared" ca="1" si="0"/>
        <v>#NAME?</v>
      </c>
      <c r="AB38" s="15" t="e">
        <f t="shared" ca="1" si="1"/>
        <v>#NAME?</v>
      </c>
      <c r="AD38" s="19">
        <v>7643.89</v>
      </c>
      <c r="AE38" s="15" t="str">
        <f t="shared" ca="1" si="2"/>
        <v/>
      </c>
      <c r="AF38" s="47" t="e">
        <f t="shared" ca="1" si="3"/>
        <v>#NAME?</v>
      </c>
      <c r="AG38" s="19">
        <v>7507.94</v>
      </c>
      <c r="AH38" s="15" t="str">
        <f t="shared" ca="1" si="5"/>
        <v/>
      </c>
      <c r="AI38" s="47" t="e">
        <f t="shared" ca="1" si="6"/>
        <v>#NAME?</v>
      </c>
      <c r="AJ38" s="371">
        <f t="shared" ca="1" si="7"/>
        <v>0</v>
      </c>
      <c r="AK38" s="372">
        <f t="shared" ca="1" si="8"/>
        <v>0</v>
      </c>
      <c r="AL38" s="373">
        <f t="shared" ca="1" si="9"/>
        <v>0</v>
      </c>
      <c r="AM38" s="374">
        <f t="shared" ca="1" si="10"/>
        <v>0</v>
      </c>
      <c r="AN38" s="375">
        <f t="shared" ca="1" si="11"/>
        <v>0</v>
      </c>
    </row>
    <row r="39" spans="1:40" x14ac:dyDescent="0.2">
      <c r="A39" s="6" t="s">
        <v>2</v>
      </c>
      <c r="B39" s="7" t="e">
        <f ca="1">_xll.EVRNG($B$2:$B$10)</f>
        <v>#NAME?</v>
      </c>
      <c r="H39" s="10" t="s">
        <v>429</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19"/>
      <c r="P39" s="19"/>
      <c r="Q39" s="19"/>
      <c r="R39" s="19"/>
      <c r="S39" s="19"/>
      <c r="T39" s="19"/>
      <c r="U39" s="19"/>
      <c r="V39" s="19"/>
      <c r="W39" s="19"/>
      <c r="X39" s="19"/>
      <c r="Y39" s="19"/>
      <c r="Z39" s="19"/>
      <c r="AA39" s="283" t="e">
        <f t="shared" ca="1" si="0"/>
        <v>#NAME?</v>
      </c>
      <c r="AB39" s="15" t="e">
        <f t="shared" ca="1" si="1"/>
        <v>#NAME?</v>
      </c>
      <c r="AD39" s="19"/>
      <c r="AE39" s="15" t="str">
        <f t="shared" si="2"/>
        <v/>
      </c>
      <c r="AF39" s="47" t="e">
        <f t="shared" ca="1" si="3"/>
        <v>#NAME?</v>
      </c>
      <c r="AG39" s="19"/>
      <c r="AH39" s="15" t="str">
        <f t="shared" si="5"/>
        <v/>
      </c>
      <c r="AI39" s="47" t="e">
        <f t="shared" ca="1" si="6"/>
        <v>#NAME?</v>
      </c>
      <c r="AJ39" s="371">
        <f t="shared" ca="1" si="7"/>
        <v>0</v>
      </c>
      <c r="AK39" s="372">
        <f t="shared" ca="1" si="8"/>
        <v>0</v>
      </c>
      <c r="AL39" s="373">
        <f t="shared" ca="1" si="9"/>
        <v>0</v>
      </c>
      <c r="AM39" s="374">
        <f t="shared" ca="1" si="10"/>
        <v>0</v>
      </c>
      <c r="AN39" s="375">
        <f t="shared" ca="1" si="11"/>
        <v>0</v>
      </c>
    </row>
    <row r="40" spans="1:40" x14ac:dyDescent="0.2">
      <c r="A40" s="6" t="s">
        <v>3</v>
      </c>
      <c r="B40" s="7" t="e">
        <f ca="1">_xll.EVRNG($O$16:$AN$18)</f>
        <v>#NAME?</v>
      </c>
      <c r="H40" s="10" t="s">
        <v>430</v>
      </c>
      <c r="I40" s="25" t="e">
        <f ca="1">_xll.EVPRO($B$1,$H40,"STYLE")</f>
        <v>#NAME?</v>
      </c>
      <c r="J40" s="25" t="e">
        <f ca="1">_xll.EVPRO($B$1,$H40,"CALC")</f>
        <v>#NAME?</v>
      </c>
      <c r="K40" s="64" t="e">
        <f t="shared" ca="1" si="4"/>
        <v>#NAME?</v>
      </c>
      <c r="L40" s="24" t="e">
        <f ca="1">_xll.EVPRO($B$1,H40,"JDEID")</f>
        <v>#NAME?</v>
      </c>
      <c r="M40" s="24" t="e">
        <f ca="1">IF(AND(I40="N",J40="N"),_xll.EVPRO($B$1,H40,"PSFTID"),"")</f>
        <v>#NAME?</v>
      </c>
      <c r="N40" s="24" t="e">
        <f ca="1">IF(_xll.EVDES(H40,$B$1)="#NODATA","",_xll.EVDES(H40,$B$1))</f>
        <v>#NAME?</v>
      </c>
      <c r="O40" s="19"/>
      <c r="P40" s="19"/>
      <c r="Q40" s="19"/>
      <c r="R40" s="19"/>
      <c r="S40" s="19"/>
      <c r="T40" s="19"/>
      <c r="U40" s="19"/>
      <c r="V40" s="19"/>
      <c r="W40" s="19"/>
      <c r="X40" s="19"/>
      <c r="Y40" s="19"/>
      <c r="Z40" s="19"/>
      <c r="AA40" s="283" t="e">
        <f t="shared" ca="1" si="0"/>
        <v>#NAME?</v>
      </c>
      <c r="AB40" s="15" t="e">
        <f t="shared" ca="1" si="1"/>
        <v>#NAME?</v>
      </c>
      <c r="AD40" s="19"/>
      <c r="AE40" s="15" t="str">
        <f t="shared" si="2"/>
        <v/>
      </c>
      <c r="AF40" s="47" t="e">
        <f t="shared" ca="1" si="3"/>
        <v>#NAME?</v>
      </c>
      <c r="AG40" s="19"/>
      <c r="AH40" s="15" t="str">
        <f t="shared" si="5"/>
        <v/>
      </c>
      <c r="AI40" s="47" t="e">
        <f t="shared" ca="1" si="6"/>
        <v>#NAME?</v>
      </c>
      <c r="AJ40" s="371">
        <f t="shared" ca="1" si="7"/>
        <v>0</v>
      </c>
      <c r="AK40" s="372">
        <f t="shared" ca="1" si="8"/>
        <v>0</v>
      </c>
      <c r="AL40" s="373">
        <f t="shared" ca="1" si="9"/>
        <v>0</v>
      </c>
      <c r="AM40" s="374">
        <f t="shared" ca="1" si="10"/>
        <v>0</v>
      </c>
      <c r="AN40" s="375">
        <f t="shared" ca="1" si="11"/>
        <v>0</v>
      </c>
    </row>
    <row r="41" spans="1:40" x14ac:dyDescent="0.2">
      <c r="A41" s="6" t="s">
        <v>4</v>
      </c>
      <c r="B41" s="7" t="e">
        <f ca="1">_xll.EVRNG(H77:H94)</f>
        <v>#NAME?</v>
      </c>
      <c r="H41" s="10" t="s">
        <v>475</v>
      </c>
      <c r="I41" s="25" t="e">
        <f ca="1">_xll.EVPRO($B$1,$H41,"STYLE")</f>
        <v>#NAME?</v>
      </c>
      <c r="J41" s="25" t="e">
        <f ca="1">_xll.EVPRO($B$1,$H41,"CALC")</f>
        <v>#NAME?</v>
      </c>
      <c r="K41" s="64" t="e">
        <f t="shared" ca="1" si="4"/>
        <v>#NAME?</v>
      </c>
      <c r="L41" s="24" t="e">
        <f ca="1">_xll.EVPRO($B$1,H41,"JDEID")</f>
        <v>#NAME?</v>
      </c>
      <c r="M41" s="24" t="e">
        <f ca="1">IF(AND(I41="N",J41="N"),_xll.EVPRO($B$1,H41,"PSFTID"),"")</f>
        <v>#NAME?</v>
      </c>
      <c r="N41" s="24" t="e">
        <f ca="1">IF(_xll.EVDES(H41,$B$1)="#NODATA","",_xll.EVDES(H41,$B$1))</f>
        <v>#NAME?</v>
      </c>
      <c r="O41" s="19"/>
      <c r="P41" s="19"/>
      <c r="Q41" s="19"/>
      <c r="R41" s="19"/>
      <c r="S41" s="19"/>
      <c r="T41" s="19"/>
      <c r="U41" s="19"/>
      <c r="V41" s="19"/>
      <c r="W41" s="19"/>
      <c r="X41" s="19"/>
      <c r="Y41" s="19"/>
      <c r="Z41" s="19"/>
      <c r="AA41" s="283" t="e">
        <f t="shared" ca="1" si="0"/>
        <v>#NAME?</v>
      </c>
      <c r="AB41" s="15" t="e">
        <f t="shared" ca="1" si="1"/>
        <v>#NAME?</v>
      </c>
      <c r="AD41" s="19"/>
      <c r="AE41" s="15" t="str">
        <f t="shared" si="2"/>
        <v/>
      </c>
      <c r="AF41" s="47" t="e">
        <f t="shared" ca="1" si="3"/>
        <v>#NAME?</v>
      </c>
      <c r="AG41" s="19"/>
      <c r="AH41" s="15" t="str">
        <f t="shared" si="5"/>
        <v/>
      </c>
      <c r="AI41" s="47" t="e">
        <f t="shared" ca="1" si="6"/>
        <v>#NAME?</v>
      </c>
      <c r="AJ41" s="371">
        <f t="shared" ca="1" si="7"/>
        <v>0</v>
      </c>
      <c r="AK41" s="372">
        <f t="shared" ca="1" si="8"/>
        <v>0</v>
      </c>
      <c r="AL41" s="373">
        <f t="shared" ca="1" si="9"/>
        <v>0</v>
      </c>
      <c r="AM41" s="374">
        <f t="shared" ca="1" si="10"/>
        <v>0</v>
      </c>
      <c r="AN41" s="375">
        <f t="shared" ca="1" si="11"/>
        <v>0</v>
      </c>
    </row>
    <row r="42" spans="1:40" x14ac:dyDescent="0.2">
      <c r="A42" s="6" t="s">
        <v>5</v>
      </c>
      <c r="B42" s="7"/>
      <c r="H42" s="10" t="s">
        <v>476</v>
      </c>
      <c r="I42" s="25" t="e">
        <f ca="1">_xll.EVPRO($B$1,$H42,"STYLE")</f>
        <v>#NAME?</v>
      </c>
      <c r="J42" s="25" t="e">
        <f ca="1">_xll.EVPRO($B$1,$H42,"CALC")</f>
        <v>#NAME?</v>
      </c>
      <c r="K42" s="64" t="e">
        <f t="shared" ca="1" si="4"/>
        <v>#NAME?</v>
      </c>
      <c r="L42" s="24" t="e">
        <f ca="1">_xll.EVPRO($B$1,H42,"JDEID")</f>
        <v>#NAME?</v>
      </c>
      <c r="M42" s="24" t="e">
        <f ca="1">IF(AND(I42="N",J42="N"),_xll.EVPRO($B$1,H42,"PSFTID"),"")</f>
        <v>#NAME?</v>
      </c>
      <c r="N42" s="24" t="e">
        <f ca="1">IF(_xll.EVDES(H42,$B$1)="#NODATA","",_xll.EVDES(H42,$B$1))</f>
        <v>#NAME?</v>
      </c>
      <c r="O42" s="19"/>
      <c r="P42" s="19"/>
      <c r="Q42" s="19"/>
      <c r="R42" s="19"/>
      <c r="S42" s="19"/>
      <c r="T42" s="19"/>
      <c r="U42" s="19"/>
      <c r="V42" s="19"/>
      <c r="W42" s="19"/>
      <c r="X42" s="19"/>
      <c r="Y42" s="19"/>
      <c r="Z42" s="19"/>
      <c r="AA42" s="283" t="e">
        <f t="shared" ca="1" si="0"/>
        <v>#NAME?</v>
      </c>
      <c r="AB42" s="15" t="e">
        <f t="shared" ca="1" si="1"/>
        <v>#NAME?</v>
      </c>
      <c r="AD42" s="19"/>
      <c r="AE42" s="15" t="str">
        <f t="shared" si="2"/>
        <v/>
      </c>
      <c r="AF42" s="47" t="e">
        <f t="shared" ca="1" si="3"/>
        <v>#NAME?</v>
      </c>
      <c r="AG42" s="19"/>
      <c r="AH42" s="15" t="str">
        <f t="shared" si="5"/>
        <v/>
      </c>
      <c r="AI42" s="47" t="e">
        <f t="shared" ca="1" si="6"/>
        <v>#NAME?</v>
      </c>
      <c r="AJ42" s="371">
        <f t="shared" ca="1" si="7"/>
        <v>0</v>
      </c>
      <c r="AK42" s="372">
        <f t="shared" ca="1" si="8"/>
        <v>0</v>
      </c>
      <c r="AL42" s="373">
        <f t="shared" ca="1" si="9"/>
        <v>0</v>
      </c>
      <c r="AM42" s="374">
        <f t="shared" ca="1" si="10"/>
        <v>0</v>
      </c>
      <c r="AN42" s="375">
        <f t="shared" ca="1" si="11"/>
        <v>0</v>
      </c>
    </row>
    <row r="43" spans="1:40" x14ac:dyDescent="0.2">
      <c r="A43" s="6" t="s">
        <v>6</v>
      </c>
      <c r="B43" s="7"/>
      <c r="H43" s="10" t="s">
        <v>477</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19"/>
      <c r="P43" s="19"/>
      <c r="Q43" s="19"/>
      <c r="R43" s="19"/>
      <c r="S43" s="19"/>
      <c r="T43" s="19"/>
      <c r="U43" s="19"/>
      <c r="V43" s="19"/>
      <c r="W43" s="19"/>
      <c r="X43" s="19"/>
      <c r="Y43" s="19"/>
      <c r="Z43" s="19"/>
      <c r="AA43" s="283" t="e">
        <f t="shared" ca="1" si="0"/>
        <v>#NAME?</v>
      </c>
      <c r="AB43" s="15" t="e">
        <f t="shared" ca="1" si="1"/>
        <v>#NAME?</v>
      </c>
      <c r="AD43" s="19"/>
      <c r="AE43" s="15" t="str">
        <f t="shared" si="2"/>
        <v/>
      </c>
      <c r="AF43" s="47" t="e">
        <f t="shared" ca="1" si="3"/>
        <v>#NAME?</v>
      </c>
      <c r="AG43" s="19"/>
      <c r="AH43" s="15" t="str">
        <f t="shared" si="5"/>
        <v/>
      </c>
      <c r="AI43" s="47" t="e">
        <f t="shared" ca="1" si="6"/>
        <v>#NAME?</v>
      </c>
      <c r="AJ43" s="371">
        <f t="shared" ca="1" si="7"/>
        <v>0</v>
      </c>
      <c r="AK43" s="372">
        <f t="shared" ca="1" si="8"/>
        <v>0</v>
      </c>
      <c r="AL43" s="373">
        <f t="shared" ca="1" si="9"/>
        <v>0</v>
      </c>
      <c r="AM43" s="374">
        <f t="shared" ca="1" si="10"/>
        <v>0</v>
      </c>
      <c r="AN43" s="375">
        <f t="shared" ca="1" si="11"/>
        <v>0</v>
      </c>
    </row>
    <row r="44" spans="1:40" x14ac:dyDescent="0.2">
      <c r="A44" s="6" t="s">
        <v>7</v>
      </c>
      <c r="B44" s="7" t="e">
        <f ca="1">_xll.EVRNG(A58:F62)</f>
        <v>#NAME?</v>
      </c>
      <c r="H44" s="10" t="s">
        <v>478</v>
      </c>
      <c r="I44" s="25" t="e">
        <f ca="1">_xll.EVPRO($B$1,$H44,"STYLE")</f>
        <v>#NAME?</v>
      </c>
      <c r="J44" s="25" t="e">
        <f ca="1">_xll.EVPRO($B$1,$H44,"CALC")</f>
        <v>#NAME?</v>
      </c>
      <c r="K44" s="64" t="e">
        <f t="shared" ca="1" si="4"/>
        <v>#NAME?</v>
      </c>
      <c r="L44" s="24" t="e">
        <f ca="1">_xll.EVPRO($B$1,H44,"JDEID")</f>
        <v>#NAME?</v>
      </c>
      <c r="M44" s="24" t="e">
        <f ca="1">IF(AND(I44="N",J44="N"),_xll.EVPRO($B$1,H44,"PSFTID"),"")</f>
        <v>#NAME?</v>
      </c>
      <c r="N44" s="24" t="e">
        <f ca="1">IF(_xll.EVDES(H44,$B$1)="#NODATA","",_xll.EVDES(H44,$B$1))</f>
        <v>#NAME?</v>
      </c>
      <c r="O44" s="19"/>
      <c r="P44" s="19"/>
      <c r="Q44" s="19"/>
      <c r="R44" s="19"/>
      <c r="S44" s="19"/>
      <c r="T44" s="19"/>
      <c r="U44" s="19"/>
      <c r="V44" s="19"/>
      <c r="W44" s="19"/>
      <c r="X44" s="19"/>
      <c r="Y44" s="19"/>
      <c r="Z44" s="19"/>
      <c r="AA44" s="283" t="e">
        <f t="shared" ca="1" si="0"/>
        <v>#NAME?</v>
      </c>
      <c r="AB44" s="15" t="e">
        <f t="shared" ca="1" si="1"/>
        <v>#NAME?</v>
      </c>
      <c r="AD44" s="19"/>
      <c r="AE44" s="15" t="str">
        <f t="shared" si="2"/>
        <v/>
      </c>
      <c r="AF44" s="47" t="e">
        <f t="shared" ca="1" si="3"/>
        <v>#NAME?</v>
      </c>
      <c r="AG44" s="19"/>
      <c r="AH44" s="15" t="str">
        <f t="shared" si="5"/>
        <v/>
      </c>
      <c r="AI44" s="47" t="e">
        <f t="shared" ca="1" si="6"/>
        <v>#NAME?</v>
      </c>
      <c r="AJ44" s="371">
        <f t="shared" ca="1" si="7"/>
        <v>0</v>
      </c>
      <c r="AK44" s="372">
        <f t="shared" ca="1" si="8"/>
        <v>0</v>
      </c>
      <c r="AL44" s="373">
        <f t="shared" ca="1" si="9"/>
        <v>0</v>
      </c>
      <c r="AM44" s="374">
        <f t="shared" ca="1" si="10"/>
        <v>0</v>
      </c>
      <c r="AN44" s="375">
        <f t="shared" ca="1" si="11"/>
        <v>0</v>
      </c>
    </row>
    <row r="45" spans="1:40" x14ac:dyDescent="0.2">
      <c r="A45" s="6" t="s">
        <v>47</v>
      </c>
      <c r="B45" s="7" t="e">
        <f ca="1">_xll.EVRNG($A$79:$B$100)</f>
        <v>#NAME?</v>
      </c>
      <c r="H45" s="10" t="s">
        <v>479</v>
      </c>
      <c r="I45" s="25" t="e">
        <f ca="1">_xll.EVPRO($B$1,$H45,"STYLE")</f>
        <v>#NAME?</v>
      </c>
      <c r="J45" s="25" t="e">
        <f ca="1">_xll.EVPRO($B$1,$H45,"CALC")</f>
        <v>#NAME?</v>
      </c>
      <c r="K45" s="64" t="e">
        <f t="shared" ca="1" si="4"/>
        <v>#NAME?</v>
      </c>
      <c r="L45" s="24" t="e">
        <f ca="1">_xll.EVPRO($B$1,H45,"JDEID")</f>
        <v>#NAME?</v>
      </c>
      <c r="M45" s="24" t="e">
        <f ca="1">IF(AND(I45="N",J45="N"),_xll.EVPRO($B$1,H45,"PSFTID"),"")</f>
        <v>#NAME?</v>
      </c>
      <c r="N45" s="24" t="e">
        <f ca="1">IF(_xll.EVDES(H45,$B$1)="#NODATA","",_xll.EVDES(H45,$B$1))</f>
        <v>#NAME?</v>
      </c>
      <c r="O45" s="19"/>
      <c r="P45" s="19"/>
      <c r="Q45" s="19"/>
      <c r="R45" s="19"/>
      <c r="S45" s="19"/>
      <c r="T45" s="19"/>
      <c r="U45" s="19"/>
      <c r="V45" s="19"/>
      <c r="W45" s="19"/>
      <c r="X45" s="19"/>
      <c r="Y45" s="19"/>
      <c r="Z45" s="19"/>
      <c r="AA45" s="283" t="e">
        <f t="shared" ca="1" si="0"/>
        <v>#NAME?</v>
      </c>
      <c r="AB45" s="15" t="e">
        <f t="shared" ca="1" si="1"/>
        <v>#NAME?</v>
      </c>
      <c r="AD45" s="19"/>
      <c r="AE45" s="15" t="str">
        <f t="shared" si="2"/>
        <v/>
      </c>
      <c r="AF45" s="47" t="e">
        <f t="shared" ca="1" si="3"/>
        <v>#NAME?</v>
      </c>
      <c r="AG45" s="19"/>
      <c r="AH45" s="15" t="str">
        <f t="shared" si="5"/>
        <v/>
      </c>
      <c r="AI45" s="47" t="e">
        <f t="shared" ca="1" si="6"/>
        <v>#NAME?</v>
      </c>
      <c r="AJ45" s="371">
        <f t="shared" ca="1" si="7"/>
        <v>0</v>
      </c>
      <c r="AK45" s="372">
        <f t="shared" ca="1" si="8"/>
        <v>0</v>
      </c>
      <c r="AL45" s="373">
        <f t="shared" ca="1" si="9"/>
        <v>0</v>
      </c>
      <c r="AM45" s="374">
        <f t="shared" ca="1" si="10"/>
        <v>0</v>
      </c>
      <c r="AN45" s="375">
        <f t="shared" ca="1" si="11"/>
        <v>0</v>
      </c>
    </row>
    <row r="46" spans="1:40" x14ac:dyDescent="0.2">
      <c r="A46" s="6" t="s">
        <v>8</v>
      </c>
      <c r="B46" s="7"/>
      <c r="H46" s="10" t="s">
        <v>431</v>
      </c>
      <c r="I46" s="25" t="e">
        <f ca="1">_xll.EVPRO($B$1,$H46,"STYLE")</f>
        <v>#NAME?</v>
      </c>
      <c r="J46" s="25" t="e">
        <f ca="1">_xll.EVPRO($B$1,$H46,"CALC")</f>
        <v>#NAME?</v>
      </c>
      <c r="K46" s="64" t="e">
        <f t="shared" ca="1" si="4"/>
        <v>#NAME?</v>
      </c>
      <c r="L46" s="24" t="e">
        <f ca="1">_xll.EVPRO($B$1,H46,"JDEID")</f>
        <v>#NAME?</v>
      </c>
      <c r="M46" s="24" t="e">
        <f ca="1">IF(AND(I46="N",J46="N"),_xll.EVPRO($B$1,H46,"PSFTID"),"")</f>
        <v>#NAME?</v>
      </c>
      <c r="N46" s="24" t="e">
        <f ca="1">IF(_xll.EVDES(H46,$B$1)="#NODATA","",_xll.EVDES(H46,$B$1))</f>
        <v>#NAME?</v>
      </c>
      <c r="O46" s="19"/>
      <c r="P46" s="19"/>
      <c r="Q46" s="19"/>
      <c r="R46" s="19"/>
      <c r="S46" s="19"/>
      <c r="T46" s="19"/>
      <c r="U46" s="19"/>
      <c r="V46" s="19"/>
      <c r="W46" s="19"/>
      <c r="X46" s="19"/>
      <c r="Y46" s="19"/>
      <c r="Z46" s="19"/>
      <c r="AA46" s="283" t="e">
        <f t="shared" ca="1" si="0"/>
        <v>#NAME?</v>
      </c>
      <c r="AB46" s="15" t="e">
        <f t="shared" ca="1" si="1"/>
        <v>#NAME?</v>
      </c>
      <c r="AD46" s="19"/>
      <c r="AE46" s="15" t="str">
        <f t="shared" si="2"/>
        <v/>
      </c>
      <c r="AF46" s="47" t="e">
        <f t="shared" ca="1" si="3"/>
        <v>#NAME?</v>
      </c>
      <c r="AG46" s="19"/>
      <c r="AH46" s="15" t="str">
        <f t="shared" si="5"/>
        <v/>
      </c>
      <c r="AI46" s="47" t="e">
        <f t="shared" ca="1" si="6"/>
        <v>#NAME?</v>
      </c>
      <c r="AJ46" s="371">
        <f t="shared" ca="1" si="7"/>
        <v>0</v>
      </c>
      <c r="AK46" s="372">
        <f t="shared" ca="1" si="8"/>
        <v>0</v>
      </c>
      <c r="AL46" s="373">
        <f t="shared" ca="1" si="9"/>
        <v>0</v>
      </c>
      <c r="AM46" s="374">
        <f t="shared" ca="1" si="10"/>
        <v>0</v>
      </c>
      <c r="AN46" s="375">
        <f t="shared" ca="1" si="11"/>
        <v>0</v>
      </c>
    </row>
    <row r="47" spans="1:40" x14ac:dyDescent="0.2">
      <c r="H47" s="10" t="s">
        <v>432</v>
      </c>
      <c r="I47" s="25" t="e">
        <f ca="1">_xll.EVPRO($B$1,$H47,"STYLE")</f>
        <v>#NAME?</v>
      </c>
      <c r="J47" s="25" t="e">
        <f ca="1">_xll.EVPRO($B$1,$H47,"CALC")</f>
        <v>#NAME?</v>
      </c>
      <c r="K47" s="64" t="e">
        <f t="shared" ca="1" si="4"/>
        <v>#NAME?</v>
      </c>
      <c r="L47" s="24" t="e">
        <f ca="1">_xll.EVPRO($B$1,H47,"JDEID")</f>
        <v>#NAME?</v>
      </c>
      <c r="M47" s="24" t="e">
        <f ca="1">IF(AND(I47="N",J47="N"),_xll.EVPRO($B$1,H47,"PSFTID"),"")</f>
        <v>#NAME?</v>
      </c>
      <c r="N47" s="24" t="e">
        <f ca="1">IF(_xll.EVDES(H47,$B$1)="#NODATA","",_xll.EVDES(H47,$B$1))</f>
        <v>#NAME?</v>
      </c>
      <c r="O47" s="19"/>
      <c r="P47" s="19"/>
      <c r="Q47" s="19"/>
      <c r="R47" s="19"/>
      <c r="S47" s="19"/>
      <c r="T47" s="19"/>
      <c r="U47" s="19"/>
      <c r="V47" s="19"/>
      <c r="W47" s="19"/>
      <c r="X47" s="19"/>
      <c r="Y47" s="19"/>
      <c r="Z47" s="19"/>
      <c r="AA47" s="283" t="e">
        <f t="shared" ca="1" si="0"/>
        <v>#NAME?</v>
      </c>
      <c r="AB47" s="15" t="e">
        <f t="shared" ca="1" si="1"/>
        <v>#NAME?</v>
      </c>
      <c r="AD47" s="19"/>
      <c r="AE47" s="15" t="str">
        <f t="shared" si="2"/>
        <v/>
      </c>
      <c r="AF47" s="47" t="e">
        <f t="shared" ca="1" si="3"/>
        <v>#NAME?</v>
      </c>
      <c r="AG47" s="19"/>
      <c r="AH47" s="15" t="str">
        <f t="shared" si="5"/>
        <v/>
      </c>
      <c r="AI47" s="47" t="e">
        <f t="shared" ca="1" si="6"/>
        <v>#NAME?</v>
      </c>
      <c r="AJ47" s="371">
        <f t="shared" ca="1" si="7"/>
        <v>0</v>
      </c>
      <c r="AK47" s="372">
        <f t="shared" ca="1" si="8"/>
        <v>0</v>
      </c>
      <c r="AL47" s="373">
        <f t="shared" ca="1" si="9"/>
        <v>0</v>
      </c>
      <c r="AM47" s="374">
        <f t="shared" ca="1" si="10"/>
        <v>0</v>
      </c>
      <c r="AN47" s="375">
        <f t="shared" ca="1" si="11"/>
        <v>0</v>
      </c>
    </row>
    <row r="48" spans="1:40" x14ac:dyDescent="0.2">
      <c r="A48" s="3" t="s">
        <v>9</v>
      </c>
      <c r="B48" s="5" t="s">
        <v>10</v>
      </c>
      <c r="H48" s="10" t="s">
        <v>433</v>
      </c>
      <c r="I48" s="25" t="e">
        <f ca="1">_xll.EVPRO($B$1,$H48,"STYLE")</f>
        <v>#NAME?</v>
      </c>
      <c r="J48" s="25" t="e">
        <f ca="1">_xll.EVPRO($B$1,$H48,"CALC")</f>
        <v>#NAME?</v>
      </c>
      <c r="K48" s="64" t="e">
        <f t="shared" ca="1" si="4"/>
        <v>#NAME?</v>
      </c>
      <c r="L48" s="24" t="e">
        <f ca="1">_xll.EVPRO($B$1,H48,"JDEID")</f>
        <v>#NAME?</v>
      </c>
      <c r="M48" s="24" t="e">
        <f ca="1">IF(AND(I48="N",J48="N"),_xll.EVPRO($B$1,H48,"PSFTID"),"")</f>
        <v>#NAME?</v>
      </c>
      <c r="N48" s="24" t="e">
        <f ca="1">IF(_xll.EVDES(H48,$B$1)="#NODATA","",_xll.EVDES(H48,$B$1))</f>
        <v>#NAME?</v>
      </c>
      <c r="O48" s="19"/>
      <c r="P48" s="19"/>
      <c r="Q48" s="19"/>
      <c r="R48" s="19"/>
      <c r="S48" s="19"/>
      <c r="T48" s="19"/>
      <c r="U48" s="19"/>
      <c r="V48" s="19"/>
      <c r="W48" s="19"/>
      <c r="X48" s="19"/>
      <c r="Y48" s="19"/>
      <c r="Z48" s="19">
        <v>182</v>
      </c>
      <c r="AA48" s="283" t="e">
        <f t="shared" ca="1" si="0"/>
        <v>#NAME?</v>
      </c>
      <c r="AB48" s="15" t="e">
        <f t="shared" ca="1" si="1"/>
        <v>#NAME?</v>
      </c>
      <c r="AD48" s="19"/>
      <c r="AE48" s="15" t="str">
        <f t="shared" si="2"/>
        <v/>
      </c>
      <c r="AF48" s="47" t="e">
        <f t="shared" ca="1" si="3"/>
        <v>#NAME?</v>
      </c>
      <c r="AG48" s="19"/>
      <c r="AH48" s="15" t="str">
        <f t="shared" si="5"/>
        <v/>
      </c>
      <c r="AI48" s="47" t="e">
        <f t="shared" ca="1" si="6"/>
        <v>#NAME?</v>
      </c>
      <c r="AJ48" s="371">
        <f t="shared" ca="1" si="7"/>
        <v>0</v>
      </c>
      <c r="AK48" s="372">
        <f t="shared" ca="1" si="8"/>
        <v>0</v>
      </c>
      <c r="AL48" s="373">
        <f t="shared" ca="1" si="9"/>
        <v>0</v>
      </c>
      <c r="AM48" s="374">
        <f t="shared" ca="1" si="10"/>
        <v>0</v>
      </c>
      <c r="AN48" s="375">
        <f t="shared" ca="1" si="11"/>
        <v>0</v>
      </c>
    </row>
    <row r="49" spans="1:40" x14ac:dyDescent="0.2">
      <c r="A49" s="6" t="s">
        <v>11</v>
      </c>
      <c r="B49" s="7" t="s">
        <v>21</v>
      </c>
      <c r="H49" s="10" t="s">
        <v>434</v>
      </c>
      <c r="I49" s="25" t="e">
        <f ca="1">_xll.EVPRO($B$1,$H49,"STYLE")</f>
        <v>#NAME?</v>
      </c>
      <c r="J49" s="25" t="e">
        <f ca="1">_xll.EVPRO($B$1,$H49,"CALC")</f>
        <v>#NAME?</v>
      </c>
      <c r="K49" s="64" t="e">
        <f t="shared" ca="1" si="4"/>
        <v>#NAME?</v>
      </c>
      <c r="L49" s="24" t="e">
        <f ca="1">_xll.EVPRO($B$1,H49,"JDEID")</f>
        <v>#NAME?</v>
      </c>
      <c r="M49" s="24" t="e">
        <f ca="1">IF(AND(I49="N",J49="N"),_xll.EVPRO($B$1,H49,"PSFTID"),"")</f>
        <v>#NAME?</v>
      </c>
      <c r="N49" s="24" t="e">
        <f ca="1">IF(_xll.EVDES(H49,$B$1)="#NODATA","",_xll.EVDES(H49,$B$1))</f>
        <v>#NAME?</v>
      </c>
      <c r="O49" s="19"/>
      <c r="P49" s="19"/>
      <c r="Q49" s="19"/>
      <c r="R49" s="19"/>
      <c r="S49" s="19"/>
      <c r="T49" s="19"/>
      <c r="U49" s="19"/>
      <c r="V49" s="19"/>
      <c r="W49" s="19"/>
      <c r="X49" s="19"/>
      <c r="Y49" s="19"/>
      <c r="Z49" s="19"/>
      <c r="AA49" s="283" t="e">
        <f t="shared" ca="1" si="0"/>
        <v>#NAME?</v>
      </c>
      <c r="AB49" s="15" t="e">
        <f t="shared" ca="1" si="1"/>
        <v>#NAME?</v>
      </c>
      <c r="AD49" s="19"/>
      <c r="AE49" s="15" t="str">
        <f t="shared" si="2"/>
        <v/>
      </c>
      <c r="AF49" s="47" t="e">
        <f t="shared" ca="1" si="3"/>
        <v>#NAME?</v>
      </c>
      <c r="AG49" s="19"/>
      <c r="AH49" s="15" t="str">
        <f t="shared" si="5"/>
        <v/>
      </c>
      <c r="AI49" s="47" t="e">
        <f t="shared" ca="1" si="6"/>
        <v>#NAME?</v>
      </c>
      <c r="AJ49" s="371">
        <f t="shared" ca="1" si="7"/>
        <v>0</v>
      </c>
      <c r="AK49" s="372">
        <f t="shared" ca="1" si="8"/>
        <v>0</v>
      </c>
      <c r="AL49" s="373">
        <f t="shared" ca="1" si="9"/>
        <v>0</v>
      </c>
      <c r="AM49" s="374">
        <f t="shared" ca="1" si="10"/>
        <v>0</v>
      </c>
      <c r="AN49" s="375">
        <f t="shared" ca="1" si="11"/>
        <v>0</v>
      </c>
    </row>
    <row r="50" spans="1:40" x14ac:dyDescent="0.2">
      <c r="A50" s="6" t="s">
        <v>12</v>
      </c>
      <c r="B50" s="7" t="s">
        <v>22</v>
      </c>
      <c r="H50" s="10" t="s">
        <v>435</v>
      </c>
      <c r="I50" s="25" t="e">
        <f ca="1">_xll.EVPRO($B$1,$H50,"STYLE")</f>
        <v>#NAME?</v>
      </c>
      <c r="J50" s="25" t="e">
        <f ca="1">_xll.EVPRO($B$1,$H50,"CALC")</f>
        <v>#NAME?</v>
      </c>
      <c r="K50" s="64" t="e">
        <f t="shared" ca="1" si="4"/>
        <v>#NAME?</v>
      </c>
      <c r="L50" s="24" t="e">
        <f ca="1">_xll.EVPRO($B$1,H50,"JDEID")</f>
        <v>#NAME?</v>
      </c>
      <c r="M50" s="24" t="e">
        <f ca="1">IF(AND(I50="N",J50="N"),_xll.EVPRO($B$1,H50,"PSFTID"),"")</f>
        <v>#NAME?</v>
      </c>
      <c r="N50" s="24" t="e">
        <f ca="1">IF(_xll.EVDES(H50,$B$1)="#NODATA","",_xll.EVDES(H50,$B$1))</f>
        <v>#NAME?</v>
      </c>
      <c r="O50" s="19"/>
      <c r="P50" s="19"/>
      <c r="Q50" s="19"/>
      <c r="R50" s="19"/>
      <c r="S50" s="19"/>
      <c r="T50" s="19"/>
      <c r="U50" s="19"/>
      <c r="V50" s="19"/>
      <c r="W50" s="19"/>
      <c r="X50" s="19"/>
      <c r="Y50" s="19"/>
      <c r="Z50" s="19"/>
      <c r="AA50" s="283" t="e">
        <f t="shared" ca="1" si="0"/>
        <v>#NAME?</v>
      </c>
      <c r="AB50" s="15" t="e">
        <f t="shared" ca="1" si="1"/>
        <v>#NAME?</v>
      </c>
      <c r="AD50" s="19"/>
      <c r="AE50" s="15" t="str">
        <f t="shared" si="2"/>
        <v/>
      </c>
      <c r="AF50" s="47" t="e">
        <f t="shared" ca="1" si="3"/>
        <v>#NAME?</v>
      </c>
      <c r="AG50" s="19"/>
      <c r="AH50" s="15" t="str">
        <f t="shared" si="5"/>
        <v/>
      </c>
      <c r="AI50" s="47" t="e">
        <f t="shared" ca="1" si="6"/>
        <v>#NAME?</v>
      </c>
      <c r="AJ50" s="371">
        <f t="shared" ca="1" si="7"/>
        <v>0</v>
      </c>
      <c r="AK50" s="372">
        <f t="shared" ca="1" si="8"/>
        <v>0</v>
      </c>
      <c r="AL50" s="373">
        <f t="shared" ca="1" si="9"/>
        <v>0</v>
      </c>
      <c r="AM50" s="374">
        <f t="shared" ca="1" si="10"/>
        <v>0</v>
      </c>
      <c r="AN50" s="375">
        <f t="shared" ca="1" si="11"/>
        <v>0</v>
      </c>
    </row>
    <row r="51" spans="1:40" x14ac:dyDescent="0.2">
      <c r="A51" s="6" t="s">
        <v>13</v>
      </c>
      <c r="B51" s="7" t="e">
        <f ca="1">"DEP(450000) AND "&amp;$E$6&amp;"=Y AND ID&lt;&gt;ALLOW_MOP"</f>
        <v>#NAME?</v>
      </c>
      <c r="H51" s="10" t="s">
        <v>436</v>
      </c>
      <c r="I51" s="25" t="e">
        <f ca="1">_xll.EVPRO($B$1,$H51,"STYLE")</f>
        <v>#NAME?</v>
      </c>
      <c r="J51" s="25" t="e">
        <f ca="1">_xll.EVPRO($B$1,$H51,"CALC")</f>
        <v>#NAME?</v>
      </c>
      <c r="K51" s="64" t="e">
        <f t="shared" ca="1" si="4"/>
        <v>#NAME?</v>
      </c>
      <c r="L51" s="24" t="e">
        <f ca="1">_xll.EVPRO($B$1,H51,"JDEID")</f>
        <v>#NAME?</v>
      </c>
      <c r="M51" s="24" t="e">
        <f ca="1">IF(AND(I51="N",J51="N"),_xll.EVPRO($B$1,H51,"PSFTID"),"")</f>
        <v>#NAME?</v>
      </c>
      <c r="N51" s="24" t="e">
        <f ca="1">IF(_xll.EVDES(H51,$B$1)="#NODATA","",_xll.EVDES(H51,$B$1))</f>
        <v>#NAME?</v>
      </c>
      <c r="O51" s="19"/>
      <c r="P51" s="19"/>
      <c r="Q51" s="19"/>
      <c r="R51" s="19"/>
      <c r="S51" s="19"/>
      <c r="T51" s="19"/>
      <c r="U51" s="19"/>
      <c r="V51" s="19"/>
      <c r="W51" s="19"/>
      <c r="X51" s="19"/>
      <c r="Y51" s="19"/>
      <c r="Z51" s="19"/>
      <c r="AA51" s="283" t="e">
        <f t="shared" ca="1" si="0"/>
        <v>#NAME?</v>
      </c>
      <c r="AB51" s="15" t="e">
        <f t="shared" ca="1" si="1"/>
        <v>#NAME?</v>
      </c>
      <c r="AD51" s="19"/>
      <c r="AE51" s="15" t="str">
        <f t="shared" si="2"/>
        <v/>
      </c>
      <c r="AF51" s="47" t="e">
        <f t="shared" ca="1" si="3"/>
        <v>#NAME?</v>
      </c>
      <c r="AG51" s="19"/>
      <c r="AH51" s="15" t="str">
        <f t="shared" si="5"/>
        <v/>
      </c>
      <c r="AI51" s="47" t="e">
        <f t="shared" ca="1" si="6"/>
        <v>#NAME?</v>
      </c>
      <c r="AJ51" s="371">
        <f t="shared" ca="1" si="7"/>
        <v>0</v>
      </c>
      <c r="AK51" s="372">
        <f t="shared" ca="1" si="8"/>
        <v>0</v>
      </c>
      <c r="AL51" s="373">
        <f t="shared" ca="1" si="9"/>
        <v>0</v>
      </c>
      <c r="AM51" s="374">
        <f t="shared" ca="1" si="10"/>
        <v>0</v>
      </c>
      <c r="AN51" s="375">
        <f t="shared" ca="1" si="11"/>
        <v>0</v>
      </c>
    </row>
    <row r="52" spans="1:40" x14ac:dyDescent="0.2">
      <c r="A52" s="6" t="s">
        <v>14</v>
      </c>
      <c r="B52" s="7"/>
      <c r="H52" s="10" t="s">
        <v>480</v>
      </c>
      <c r="I52" s="25" t="e">
        <f ca="1">_xll.EVPRO($B$1,$H52,"STYLE")</f>
        <v>#NAME?</v>
      </c>
      <c r="J52" s="25" t="e">
        <f ca="1">_xll.EVPRO($B$1,$H52,"CALC")</f>
        <v>#NAME?</v>
      </c>
      <c r="K52" s="64" t="e">
        <f t="shared" ca="1" si="4"/>
        <v>#NAME?</v>
      </c>
      <c r="L52" s="24" t="e">
        <f ca="1">_xll.EVPRO($B$1,H52,"JDEID")</f>
        <v>#NAME?</v>
      </c>
      <c r="M52" s="24" t="e">
        <f ca="1">IF(AND(I52="N",J52="N"),_xll.EVPRO($B$1,H52,"PSFTID"),"")</f>
        <v>#NAME?</v>
      </c>
      <c r="N52" s="24" t="e">
        <f ca="1">IF(_xll.EVDES(H52,$B$1)="#NODATA","",_xll.EVDES(H52,$B$1))</f>
        <v>#NAME?</v>
      </c>
      <c r="O52" s="28"/>
      <c r="P52" s="28"/>
      <c r="Q52" s="28"/>
      <c r="R52" s="28"/>
      <c r="S52" s="28"/>
      <c r="T52" s="28"/>
      <c r="U52" s="28"/>
      <c r="V52" s="28"/>
      <c r="W52" s="28"/>
      <c r="X52" s="28"/>
      <c r="Y52" s="28"/>
      <c r="Z52" s="28"/>
      <c r="AA52" s="296" t="e">
        <f t="shared" ca="1" si="0"/>
        <v>#NAME?</v>
      </c>
      <c r="AB52" s="29" t="e">
        <f t="shared" ca="1" si="1"/>
        <v>#NAME?</v>
      </c>
      <c r="AD52" s="28"/>
      <c r="AE52" s="29" t="str">
        <f t="shared" si="2"/>
        <v/>
      </c>
      <c r="AF52" s="48" t="e">
        <f t="shared" ca="1" si="3"/>
        <v>#NAME?</v>
      </c>
      <c r="AG52" s="28"/>
      <c r="AH52" s="29" t="str">
        <f t="shared" si="5"/>
        <v/>
      </c>
      <c r="AI52" s="48" t="e">
        <f t="shared" ca="1" si="6"/>
        <v>#NAME?</v>
      </c>
      <c r="AJ52" s="381">
        <f t="shared" ca="1" si="7"/>
        <v>0</v>
      </c>
      <c r="AK52" s="382">
        <f t="shared" ca="1" si="8"/>
        <v>0</v>
      </c>
      <c r="AL52" s="383">
        <f t="shared" ca="1" si="9"/>
        <v>0</v>
      </c>
      <c r="AM52" s="384">
        <f t="shared" ca="1" si="10"/>
        <v>0</v>
      </c>
      <c r="AN52" s="385">
        <f t="shared" ca="1" si="11"/>
        <v>0</v>
      </c>
    </row>
    <row r="53" spans="1:40" x14ac:dyDescent="0.2">
      <c r="A53" s="6" t="s">
        <v>15</v>
      </c>
      <c r="B53" s="7"/>
      <c r="H53" s="10" t="s">
        <v>280</v>
      </c>
      <c r="I53" s="447" t="e">
        <f ca="1">_xll.EVPRO($B$1,$H53,"STYLE")</f>
        <v>#NAME?</v>
      </c>
      <c r="J53" s="447" t="e">
        <f ca="1">_xll.EVPRO($B$1,$H53,"CALC")</f>
        <v>#NAME?</v>
      </c>
      <c r="K53" s="448" t="e">
        <f t="shared" ca="1" si="4"/>
        <v>#NAME?</v>
      </c>
      <c r="L53" s="151" t="e">
        <f ca="1">_xll.EVPRO($B$1,H53,"JDEID")</f>
        <v>#NAME?</v>
      </c>
      <c r="M53" s="151" t="e">
        <f ca="1">IF(AND(I53="N",J53="N"),_xll.EVPRO($B$1,H53,"PSFTID"),"")</f>
        <v>#NAME?</v>
      </c>
      <c r="N53" s="151" t="e">
        <f ca="1">IF(_xll.EVDES(H53,$B$1)="#NODATA","",_xll.EVDES(H53,$B$1))</f>
        <v>#NAME?</v>
      </c>
      <c r="O53" s="120">
        <v>1778.05</v>
      </c>
      <c r="P53" s="120">
        <v>1452.64</v>
      </c>
      <c r="Q53" s="120">
        <v>2514.5100000000002</v>
      </c>
      <c r="R53" s="120">
        <v>1461.55</v>
      </c>
      <c r="S53" s="120">
        <v>686.39</v>
      </c>
      <c r="T53" s="120">
        <v>971.47</v>
      </c>
      <c r="U53" s="120">
        <v>1646.04</v>
      </c>
      <c r="V53" s="120">
        <v>900.7</v>
      </c>
      <c r="W53" s="120">
        <v>865.48</v>
      </c>
      <c r="X53" s="120">
        <v>1388.87</v>
      </c>
      <c r="Y53" s="120">
        <v>2028.13</v>
      </c>
      <c r="Z53" s="120">
        <v>2112.59</v>
      </c>
      <c r="AA53" s="120" t="e">
        <f t="shared" ca="1" si="0"/>
        <v>#NAME?</v>
      </c>
      <c r="AB53" s="121" t="e">
        <f t="shared" ca="1" si="1"/>
        <v>#NAME?</v>
      </c>
      <c r="AC53" s="123"/>
      <c r="AD53" s="120">
        <v>16092.4</v>
      </c>
      <c r="AE53" s="121" t="str">
        <f t="shared" ca="1" si="2"/>
        <v/>
      </c>
      <c r="AF53" s="122" t="e">
        <f t="shared" ca="1" si="3"/>
        <v>#NAME?</v>
      </c>
      <c r="AG53" s="120">
        <v>15866.33</v>
      </c>
      <c r="AH53" s="121" t="str">
        <f t="shared" ca="1" si="5"/>
        <v/>
      </c>
      <c r="AI53" s="122" t="e">
        <f t="shared" ca="1" si="6"/>
        <v>#NAME?</v>
      </c>
      <c r="AJ53" s="332">
        <f t="shared" ca="1" si="7"/>
        <v>0</v>
      </c>
      <c r="AK53" s="333">
        <f t="shared" ca="1" si="8"/>
        <v>0</v>
      </c>
      <c r="AL53" s="335">
        <f t="shared" ca="1" si="9"/>
        <v>0</v>
      </c>
      <c r="AM53" s="377">
        <f t="shared" ca="1" si="10"/>
        <v>0</v>
      </c>
      <c r="AN53" s="378">
        <f t="shared" ca="1" si="11"/>
        <v>0</v>
      </c>
    </row>
    <row r="54" spans="1:40" x14ac:dyDescent="0.2">
      <c r="A54" s="6" t="s">
        <v>16</v>
      </c>
      <c r="B54" s="7"/>
      <c r="O54" s="50"/>
      <c r="AB54" s="51"/>
      <c r="AD54" s="50"/>
      <c r="AF54" s="51"/>
      <c r="AG54" s="50"/>
      <c r="AI54" s="51"/>
    </row>
    <row r="55" spans="1:40" x14ac:dyDescent="0.2">
      <c r="A55" s="6" t="s">
        <v>17</v>
      </c>
      <c r="B55" s="7"/>
      <c r="H55" s="1" t="s">
        <v>281</v>
      </c>
      <c r="I55" s="11" t="e">
        <f ca="1">_xll.EVPRO($B$1,$H55,"STYLE")</f>
        <v>#NAME?</v>
      </c>
      <c r="J55" s="11" t="e">
        <f ca="1">_xll.EVPRO($B$1,$H55,"CALC")</f>
        <v>#NAME?</v>
      </c>
      <c r="N55" s="37" t="e">
        <f ca="1">IF(_xll.EVDES(H55,$B$1)="#NODATA","",_xll.EVDES(H55,$B$1))</f>
        <v>#NAME?</v>
      </c>
      <c r="O55" s="50"/>
      <c r="AB55" s="51"/>
      <c r="AD55" s="50"/>
      <c r="AF55" s="51"/>
      <c r="AG55" s="50"/>
      <c r="AI55" s="51"/>
    </row>
    <row r="56" spans="1:40" x14ac:dyDescent="0.2">
      <c r="G56" s="13"/>
      <c r="H56" s="10" t="s">
        <v>437</v>
      </c>
      <c r="I56" s="25" t="e">
        <f ca="1">_xll.EVPRO($B$1,$H56,"STYLE")</f>
        <v>#NAME?</v>
      </c>
      <c r="J56" s="25" t="e">
        <f ca="1">_xll.EVPRO($B$1,$H56,"CALC")</f>
        <v>#NAME?</v>
      </c>
      <c r="K56" s="64" t="e">
        <f ca="1">IF(AND(I56&gt;="T5"),"&gt;","")</f>
        <v>#NAME?</v>
      </c>
      <c r="L56" s="24" t="e">
        <f ca="1">_xll.EVPRO($B$1,H56,"JDEID")</f>
        <v>#NAME?</v>
      </c>
      <c r="M56" s="24" t="e">
        <f ca="1">IF(AND(I56="N",J56="N"),_xll.EVPRO($B$1,H56,"PSFTID"),"")</f>
        <v>#NAME?</v>
      </c>
      <c r="N56" s="24" t="e">
        <f ca="1">IF(_xll.EVDES(H56,$B$1)="#NODATA","",_xll.EVDES(H56,$B$1))</f>
        <v>#NAME?</v>
      </c>
      <c r="O56" s="19"/>
      <c r="P56" s="19">
        <v>25</v>
      </c>
      <c r="Q56" s="19">
        <v>23</v>
      </c>
      <c r="R56" s="19">
        <v>23</v>
      </c>
      <c r="S56" s="19">
        <v>17</v>
      </c>
      <c r="T56" s="19">
        <v>57.68</v>
      </c>
      <c r="U56" s="19">
        <v>41</v>
      </c>
      <c r="V56" s="19">
        <v>90</v>
      </c>
      <c r="W56" s="19">
        <v>36</v>
      </c>
      <c r="X56" s="19">
        <v>29</v>
      </c>
      <c r="Y56" s="19"/>
      <c r="Z56" s="19"/>
      <c r="AA56" s="283" t="e">
        <f t="shared" ref="AA56:AA74" ca="1" si="12">IF($I56="B1","",SUM(O56:Z56))</f>
        <v>#NAME?</v>
      </c>
      <c r="AB56" s="15" t="e">
        <f ca="1">IF(AA56=0,"",IFERROR(AA56/_xll.EVGTS($B$1,1,_xll.EVPRO($B$1,$H56,"COSBASIS"),$B$3,$B$5,$B$6,$B$7,$B$9,AA$16,Z$17,AA$18),""))</f>
        <v>#NAME?</v>
      </c>
      <c r="AD56" s="19">
        <v>552.77394000000004</v>
      </c>
      <c r="AE56" s="15" t="str">
        <f ca="1">IF(AD56=0,"",IFERROR(AD56/_xll.EVGTS($B$1,1,_xll.EVPRO($B$1,$H56,"COSBASIS"),$B$3,$B$5,$B$6,$B$7,$B$9,AD$16,AD$17,AD$18),""))</f>
        <v/>
      </c>
      <c r="AF56" s="47" t="e">
        <f t="shared" ref="AF56:AF74" ca="1" si="13">IF(AND($AA56="",AD56=""),"",$AA56-AD56)</f>
        <v>#NAME?</v>
      </c>
      <c r="AG56" s="19">
        <v>879.63</v>
      </c>
      <c r="AH56" s="15" t="str">
        <f ca="1">IF(AG56=0,"",IFERROR(AG56/_xll.EVGTS($B$1,1,_xll.EVPRO($B$1,$H56,"COSBASIS"),$B$3,$B$5,$B$6,$B$7,$B$9,AG$16,AG$17,AG$18),""))</f>
        <v/>
      </c>
      <c r="AI56" s="47" t="e">
        <f ca="1">IF(AND($AA56="",AG56=""),"",$AA56-AG56)</f>
        <v>#NAME?</v>
      </c>
      <c r="AJ56" s="371">
        <f ca="1">IFERROR(AA56/AA$20,0)</f>
        <v>0</v>
      </c>
      <c r="AK56" s="372">
        <f ca="1">IFERROR(AD56/AD$20,0)</f>
        <v>0</v>
      </c>
      <c r="AL56" s="373">
        <f ca="1">IFERROR(AG56/AG$20,0)</f>
        <v>0</v>
      </c>
      <c r="AM56" s="374">
        <f ca="1">+IFERROR(ROUND(($AB56-AE56)*100,2)&amp;" pts.",0)</f>
        <v>0</v>
      </c>
      <c r="AN56" s="375">
        <f ca="1">+IFERROR(ROUND(($AB56-AH56)*100,2)&amp;" pts.",0)</f>
        <v>0</v>
      </c>
    </row>
    <row r="57" spans="1:40" x14ac:dyDescent="0.2">
      <c r="A57" s="20" t="s">
        <v>92</v>
      </c>
      <c r="B57" s="21" t="s">
        <v>93</v>
      </c>
      <c r="C57" s="21" t="s">
        <v>94</v>
      </c>
      <c r="D57" s="21" t="s">
        <v>95</v>
      </c>
      <c r="E57" s="21" t="s">
        <v>96</v>
      </c>
      <c r="F57" s="22" t="s">
        <v>97</v>
      </c>
      <c r="H57" s="10" t="s">
        <v>438</v>
      </c>
      <c r="I57" s="25" t="e">
        <f ca="1">_xll.EVPRO($B$1,$H57,"STYLE")</f>
        <v>#NAME?</v>
      </c>
      <c r="J57" s="25" t="e">
        <f ca="1">_xll.EVPRO($B$1,$H57,"CALC")</f>
        <v>#NAME?</v>
      </c>
      <c r="K57" s="64" t="e">
        <f t="shared" ref="K57:K74" ca="1" si="14">IF(AND(I57&gt;="T5"),"&gt;","")</f>
        <v>#NAME?</v>
      </c>
      <c r="L57" s="24" t="e">
        <f ca="1">_xll.EVPRO($B$1,H57,"JDEID")</f>
        <v>#NAME?</v>
      </c>
      <c r="M57" s="24" t="e">
        <f ca="1">IF(AND(I57="N",J57="N"),_xll.EVPRO($B$1,H57,"PSFTID"),"")</f>
        <v>#NAME?</v>
      </c>
      <c r="N57" s="24" t="e">
        <f ca="1">IF(_xll.EVDES(H57,$B$1)="#NODATA","",_xll.EVDES(H57,$B$1))</f>
        <v>#NAME?</v>
      </c>
      <c r="O57" s="19"/>
      <c r="P57" s="19"/>
      <c r="Q57" s="19"/>
      <c r="R57" s="19"/>
      <c r="S57" s="19"/>
      <c r="T57" s="19"/>
      <c r="U57" s="19"/>
      <c r="V57" s="19"/>
      <c r="W57" s="19"/>
      <c r="X57" s="19"/>
      <c r="Y57" s="19"/>
      <c r="Z57" s="19"/>
      <c r="AA57" s="283" t="e">
        <f t="shared" ca="1" si="12"/>
        <v>#NAME?</v>
      </c>
      <c r="AB57" s="15" t="e">
        <f ca="1">IF(AA57=0,"",IFERROR(AA57/_xll.EVGTS($B$1,1,_xll.EVPRO($B$1,$H57,"COSBASIS"),$B$3,$B$5,$B$6,$B$7,$B$9,AA$16,Z$17,AA$18),""))</f>
        <v>#NAME?</v>
      </c>
      <c r="AD57" s="19"/>
      <c r="AE57" s="15" t="str">
        <f>IF(AD57=0,"",IFERROR(AD57/_xll.EVGTS($B$1,1,_xll.EVPRO($B$1,$H57,"COSBASIS"),$B$3,$B$5,$B$6,$B$7,$B$9,AD$16,AD$17,AD$18),""))</f>
        <v/>
      </c>
      <c r="AF57" s="47" t="e">
        <f t="shared" ca="1" si="13"/>
        <v>#NAME?</v>
      </c>
      <c r="AG57" s="19"/>
      <c r="AH57" s="15" t="str">
        <f>IF(AG57=0,"",IFERROR(AG57/_xll.EVGTS($B$1,1,_xll.EVPRO($B$1,$H57,"COSBASIS"),$B$3,$B$5,$B$6,$B$7,$B$9,AG$16,AG$17,AG$18),""))</f>
        <v/>
      </c>
      <c r="AI57" s="47" t="e">
        <f t="shared" ref="AI57:AI74" ca="1" si="15">IF(AND($AA57="",AG57=""),"",$AA57-AG57)</f>
        <v>#NAME?</v>
      </c>
      <c r="AJ57" s="371">
        <f t="shared" ref="AJ57:AJ74" ca="1" si="16">IFERROR(AA57/AA$20,0)</f>
        <v>0</v>
      </c>
      <c r="AK57" s="372">
        <f t="shared" ref="AK57:AK74" ca="1" si="17">IFERROR(AD57/AD$20,0)</f>
        <v>0</v>
      </c>
      <c r="AL57" s="373">
        <f t="shared" ref="AL57:AL74" ca="1" si="18">IFERROR(AG57/AG$20,0)</f>
        <v>0</v>
      </c>
      <c r="AM57" s="374">
        <f t="shared" ref="AM57:AM74" ca="1" si="19">+IFERROR(ROUND(($AB57-AE57)*100,2)&amp;" pts.",0)</f>
        <v>0</v>
      </c>
      <c r="AN57" s="375">
        <f t="shared" ref="AN57:AN74" ca="1" si="20">+IFERROR(ROUND(($AB57-AH57)*100,2)&amp;" pts.",0)</f>
        <v>0</v>
      </c>
    </row>
    <row r="58" spans="1:40" x14ac:dyDescent="0.2">
      <c r="H58" s="10" t="s">
        <v>439</v>
      </c>
      <c r="I58" s="25" t="e">
        <f ca="1">_xll.EVPRO($B$1,$H58,"STYLE")</f>
        <v>#NAME?</v>
      </c>
      <c r="J58" s="25" t="e">
        <f ca="1">_xll.EVPRO($B$1,$H58,"CALC")</f>
        <v>#NAME?</v>
      </c>
      <c r="K58" s="64" t="e">
        <f t="shared" ca="1" si="14"/>
        <v>#NAME?</v>
      </c>
      <c r="L58" s="24" t="e">
        <f ca="1">_xll.EVPRO($B$1,H58,"JDEID")</f>
        <v>#NAME?</v>
      </c>
      <c r="M58" s="24" t="e">
        <f ca="1">IF(AND(I58="N",J58="N"),_xll.EVPRO($B$1,H58,"PSFTID"),"")</f>
        <v>#NAME?</v>
      </c>
      <c r="N58" s="24" t="e">
        <f ca="1">IF(_xll.EVDES(H58,$B$1)="#NODATA","",_xll.EVDES(H58,$B$1))</f>
        <v>#NAME?</v>
      </c>
      <c r="O58" s="19">
        <v>677.06</v>
      </c>
      <c r="P58" s="19">
        <v>266.47000000000003</v>
      </c>
      <c r="Q58" s="19">
        <v>688</v>
      </c>
      <c r="R58" s="19">
        <v>619.24</v>
      </c>
      <c r="S58" s="19">
        <v>277.5</v>
      </c>
      <c r="T58" s="19">
        <v>149</v>
      </c>
      <c r="U58" s="19">
        <v>479.26</v>
      </c>
      <c r="V58" s="19">
        <v>75.540000000000006</v>
      </c>
      <c r="W58" s="19">
        <v>312.76</v>
      </c>
      <c r="X58" s="19">
        <v>290.45</v>
      </c>
      <c r="Y58" s="19">
        <v>767.44</v>
      </c>
      <c r="Z58" s="19">
        <v>180.6</v>
      </c>
      <c r="AA58" s="283" t="e">
        <f t="shared" ca="1" si="12"/>
        <v>#NAME?</v>
      </c>
      <c r="AB58" s="15" t="e">
        <f ca="1">IF(AA58=0,"",IFERROR(AA58/_xll.EVGTS($B$1,1,_xll.EVPRO($B$1,$H58,"COSBASIS"),$B$3,$B$5,$B$6,$B$7,$B$9,AA$16,Z$17,AA$18),""))</f>
        <v>#NAME?</v>
      </c>
      <c r="AD58" s="19">
        <v>6517.4219999999996</v>
      </c>
      <c r="AE58" s="15" t="str">
        <f ca="1">IF(AD58=0,"",IFERROR(AD58/_xll.EVGTS($B$1,1,_xll.EVPRO($B$1,$H58,"COSBASIS"),$B$3,$B$5,$B$6,$B$7,$B$9,AD$16,AD$17,AD$18),""))</f>
        <v/>
      </c>
      <c r="AF58" s="47" t="e">
        <f t="shared" ca="1" si="13"/>
        <v>#NAME?</v>
      </c>
      <c r="AG58" s="19">
        <v>6329.09</v>
      </c>
      <c r="AH58" s="15" t="str">
        <f ca="1">IF(AG58=0,"",IFERROR(AG58/_xll.EVGTS($B$1,1,_xll.EVPRO($B$1,$H58,"COSBASIS"),$B$3,$B$5,$B$6,$B$7,$B$9,AG$16,AG$17,AG$18),""))</f>
        <v/>
      </c>
      <c r="AI58" s="47" t="e">
        <f t="shared" ca="1" si="15"/>
        <v>#NAME?</v>
      </c>
      <c r="AJ58" s="371">
        <f t="shared" ca="1" si="16"/>
        <v>0</v>
      </c>
      <c r="AK58" s="372">
        <f t="shared" ca="1" si="17"/>
        <v>0</v>
      </c>
      <c r="AL58" s="373">
        <f t="shared" ca="1" si="18"/>
        <v>0</v>
      </c>
      <c r="AM58" s="374">
        <f t="shared" ca="1" si="19"/>
        <v>0</v>
      </c>
      <c r="AN58" s="375">
        <f t="shared" ca="1" si="20"/>
        <v>0</v>
      </c>
    </row>
    <row r="59" spans="1:40" x14ac:dyDescent="0.2">
      <c r="A59" s="1" t="s">
        <v>105</v>
      </c>
      <c r="C59" s="24" t="s">
        <v>101</v>
      </c>
      <c r="D59" s="1" t="s">
        <v>106</v>
      </c>
      <c r="F59" s="1" t="s">
        <v>98</v>
      </c>
      <c r="H59" s="10" t="s">
        <v>440</v>
      </c>
      <c r="I59" s="25" t="e">
        <f ca="1">_xll.EVPRO($B$1,$H59,"STYLE")</f>
        <v>#NAME?</v>
      </c>
      <c r="J59" s="25" t="e">
        <f ca="1">_xll.EVPRO($B$1,$H59,"CALC")</f>
        <v>#NAME?</v>
      </c>
      <c r="K59" s="64" t="e">
        <f t="shared" ca="1" si="14"/>
        <v>#NAME?</v>
      </c>
      <c r="L59" s="24" t="e">
        <f ca="1">_xll.EVPRO($B$1,H59,"JDEID")</f>
        <v>#NAME?</v>
      </c>
      <c r="M59" s="24" t="e">
        <f ca="1">IF(AND(I59="N",J59="N"),_xll.EVPRO($B$1,H59,"PSFTID"),"")</f>
        <v>#NAME?</v>
      </c>
      <c r="N59" s="24" t="e">
        <f ca="1">IF(_xll.EVDES(H59,$B$1)="#NODATA","",_xll.EVDES(H59,$B$1))</f>
        <v>#NAME?</v>
      </c>
      <c r="O59" s="19"/>
      <c r="P59" s="19"/>
      <c r="Q59" s="19"/>
      <c r="R59" s="19"/>
      <c r="S59" s="19"/>
      <c r="T59" s="19"/>
      <c r="U59" s="19"/>
      <c r="V59" s="19"/>
      <c r="W59" s="19"/>
      <c r="X59" s="19"/>
      <c r="Y59" s="19"/>
      <c r="Z59" s="19"/>
      <c r="AA59" s="283" t="e">
        <f t="shared" ca="1" si="12"/>
        <v>#NAME?</v>
      </c>
      <c r="AB59" s="15" t="e">
        <f ca="1">IF(AA59=0,"",IFERROR(AA59/_xll.EVGTS($B$1,1,_xll.EVPRO($B$1,$H59,"COSBASIS"),$B$3,$B$5,$B$6,$B$7,$B$9,AA$16,Z$17,AA$18),""))</f>
        <v>#NAME?</v>
      </c>
      <c r="AD59" s="19"/>
      <c r="AE59" s="15" t="str">
        <f>IF(AD59=0,"",IFERROR(AD59/_xll.EVGTS($B$1,1,_xll.EVPRO($B$1,$H59,"COSBASIS"),$B$3,$B$5,$B$6,$B$7,$B$9,AD$16,AD$17,AD$18),""))</f>
        <v/>
      </c>
      <c r="AF59" s="47" t="e">
        <f t="shared" ca="1" si="13"/>
        <v>#NAME?</v>
      </c>
      <c r="AG59" s="19"/>
      <c r="AH59" s="15" t="str">
        <f>IF(AG59=0,"",IFERROR(AG59/_xll.EVGTS($B$1,1,_xll.EVPRO($B$1,$H59,"COSBASIS"),$B$3,$B$5,$B$6,$B$7,$B$9,AG$16,AG$17,AG$18),""))</f>
        <v/>
      </c>
      <c r="AI59" s="47" t="e">
        <f t="shared" ca="1" si="15"/>
        <v>#NAME?</v>
      </c>
      <c r="AJ59" s="371">
        <f t="shared" ca="1" si="16"/>
        <v>0</v>
      </c>
      <c r="AK59" s="372">
        <f t="shared" ca="1" si="17"/>
        <v>0</v>
      </c>
      <c r="AL59" s="373">
        <f t="shared" ca="1" si="18"/>
        <v>0</v>
      </c>
      <c r="AM59" s="374">
        <f t="shared" ca="1" si="19"/>
        <v>0</v>
      </c>
      <c r="AN59" s="375">
        <f t="shared" ca="1" si="20"/>
        <v>0</v>
      </c>
    </row>
    <row r="60" spans="1:40" x14ac:dyDescent="0.2">
      <c r="A60" s="1" t="s">
        <v>104</v>
      </c>
      <c r="C60" s="24" t="s">
        <v>101</v>
      </c>
      <c r="D60" s="1" t="s">
        <v>106</v>
      </c>
      <c r="F60" s="1" t="s">
        <v>98</v>
      </c>
      <c r="H60" s="10" t="s">
        <v>441</v>
      </c>
      <c r="I60" s="25" t="e">
        <f ca="1">_xll.EVPRO($B$1,$H60,"STYLE")</f>
        <v>#NAME?</v>
      </c>
      <c r="J60" s="25" t="e">
        <f ca="1">_xll.EVPRO($B$1,$H60,"CALC")</f>
        <v>#NAME?</v>
      </c>
      <c r="K60" s="64" t="e">
        <f t="shared" ca="1" si="14"/>
        <v>#NAME?</v>
      </c>
      <c r="L60" s="24" t="e">
        <f ca="1">_xll.EVPRO($B$1,H60,"JDEID")</f>
        <v>#NAME?</v>
      </c>
      <c r="M60" s="24" t="e">
        <f ca="1">IF(AND(I60="N",J60="N"),_xll.EVPRO($B$1,H60,"PSFTID"),"")</f>
        <v>#NAME?</v>
      </c>
      <c r="N60" s="24" t="e">
        <f ca="1">IF(_xll.EVDES(H60,$B$1)="#NODATA","",_xll.EVDES(H60,$B$1))</f>
        <v>#NAME?</v>
      </c>
      <c r="O60" s="19"/>
      <c r="P60" s="19"/>
      <c r="Q60" s="19"/>
      <c r="R60" s="19"/>
      <c r="S60" s="19"/>
      <c r="T60" s="19"/>
      <c r="U60" s="19"/>
      <c r="V60" s="19"/>
      <c r="W60" s="19"/>
      <c r="X60" s="19"/>
      <c r="Y60" s="19"/>
      <c r="Z60" s="19"/>
      <c r="AA60" s="283" t="e">
        <f t="shared" ca="1" si="12"/>
        <v>#NAME?</v>
      </c>
      <c r="AB60" s="15" t="e">
        <f ca="1">IF(AA60=0,"",IFERROR(AA60/_xll.EVGTS($B$1,1,_xll.EVPRO($B$1,$H60,"COSBASIS"),$B$3,$B$5,$B$6,$B$7,$B$9,AA$16,Z$17,AA$18),""))</f>
        <v>#NAME?</v>
      </c>
      <c r="AD60" s="19"/>
      <c r="AE60" s="15" t="str">
        <f>IF(AD60=0,"",IFERROR(AD60/_xll.EVGTS($B$1,1,_xll.EVPRO($B$1,$H60,"COSBASIS"),$B$3,$B$5,$B$6,$B$7,$B$9,AD$16,AD$17,AD$18),""))</f>
        <v/>
      </c>
      <c r="AF60" s="47" t="e">
        <f t="shared" ca="1" si="13"/>
        <v>#NAME?</v>
      </c>
      <c r="AG60" s="19"/>
      <c r="AH60" s="15" t="str">
        <f>IF(AG60=0,"",IFERROR(AG60/_xll.EVGTS($B$1,1,_xll.EVPRO($B$1,$H60,"COSBASIS"),$B$3,$B$5,$B$6,$B$7,$B$9,AG$16,AG$17,AG$18),""))</f>
        <v/>
      </c>
      <c r="AI60" s="47" t="e">
        <f t="shared" ca="1" si="15"/>
        <v>#NAME?</v>
      </c>
      <c r="AJ60" s="371">
        <f t="shared" ca="1" si="16"/>
        <v>0</v>
      </c>
      <c r="AK60" s="372">
        <f t="shared" ca="1" si="17"/>
        <v>0</v>
      </c>
      <c r="AL60" s="373">
        <f t="shared" ca="1" si="18"/>
        <v>0</v>
      </c>
      <c r="AM60" s="374">
        <f t="shared" ca="1" si="19"/>
        <v>0</v>
      </c>
      <c r="AN60" s="375">
        <f t="shared" ca="1" si="20"/>
        <v>0</v>
      </c>
    </row>
    <row r="61" spans="1:40" x14ac:dyDescent="0.2">
      <c r="A61" s="1" t="s">
        <v>108</v>
      </c>
      <c r="C61" s="23" t="s">
        <v>101</v>
      </c>
      <c r="D61" s="1" t="s">
        <v>106</v>
      </c>
      <c r="F61" s="1" t="s">
        <v>98</v>
      </c>
      <c r="H61" s="10" t="s">
        <v>442</v>
      </c>
      <c r="I61" s="25" t="e">
        <f ca="1">_xll.EVPRO($B$1,$H61,"STYLE")</f>
        <v>#NAME?</v>
      </c>
      <c r="J61" s="25" t="e">
        <f ca="1">_xll.EVPRO($B$1,$H61,"CALC")</f>
        <v>#NAME?</v>
      </c>
      <c r="K61" s="64" t="e">
        <f t="shared" ca="1" si="14"/>
        <v>#NAME?</v>
      </c>
      <c r="L61" s="24" t="e">
        <f ca="1">_xll.EVPRO($B$1,H61,"JDEID")</f>
        <v>#NAME?</v>
      </c>
      <c r="M61" s="24" t="e">
        <f ca="1">IF(AND(I61="N",J61="N"),_xll.EVPRO($B$1,H61,"PSFTID"),"")</f>
        <v>#NAME?</v>
      </c>
      <c r="N61" s="24" t="e">
        <f ca="1">IF(_xll.EVDES(H61,$B$1)="#NODATA","",_xll.EVDES(H61,$B$1))</f>
        <v>#NAME?</v>
      </c>
      <c r="O61" s="19"/>
      <c r="P61" s="19"/>
      <c r="Q61" s="19"/>
      <c r="R61" s="19"/>
      <c r="S61" s="19"/>
      <c r="T61" s="19"/>
      <c r="U61" s="19"/>
      <c r="V61" s="19"/>
      <c r="W61" s="19"/>
      <c r="X61" s="19"/>
      <c r="Y61" s="19"/>
      <c r="Z61" s="19"/>
      <c r="AA61" s="283" t="e">
        <f t="shared" ca="1" si="12"/>
        <v>#NAME?</v>
      </c>
      <c r="AB61" s="15" t="e">
        <f ca="1">IF(AA61=0,"",IFERROR(AA61/_xll.EVGTS($B$1,1,_xll.EVPRO($B$1,$H61,"COSBASIS"),$B$3,$B$5,$B$6,$B$7,$B$9,AA$16,Z$17,AA$18),""))</f>
        <v>#NAME?</v>
      </c>
      <c r="AD61" s="19"/>
      <c r="AE61" s="15" t="str">
        <f>IF(AD61=0,"",IFERROR(AD61/_xll.EVGTS($B$1,1,_xll.EVPRO($B$1,$H61,"COSBASIS"),$B$3,$B$5,$B$6,$B$7,$B$9,AD$16,AD$17,AD$18),""))</f>
        <v/>
      </c>
      <c r="AF61" s="47" t="e">
        <f t="shared" ca="1" si="13"/>
        <v>#NAME?</v>
      </c>
      <c r="AG61" s="19"/>
      <c r="AH61" s="15" t="str">
        <f>IF(AG61=0,"",IFERROR(AG61/_xll.EVGTS($B$1,1,_xll.EVPRO($B$1,$H61,"COSBASIS"),$B$3,$B$5,$B$6,$B$7,$B$9,AG$16,AG$17,AG$18),""))</f>
        <v/>
      </c>
      <c r="AI61" s="47" t="e">
        <f t="shared" ca="1" si="15"/>
        <v>#NAME?</v>
      </c>
      <c r="AJ61" s="371">
        <f t="shared" ca="1" si="16"/>
        <v>0</v>
      </c>
      <c r="AK61" s="372">
        <f t="shared" ca="1" si="17"/>
        <v>0</v>
      </c>
      <c r="AL61" s="373">
        <f t="shared" ca="1" si="18"/>
        <v>0</v>
      </c>
      <c r="AM61" s="374">
        <f t="shared" ca="1" si="19"/>
        <v>0</v>
      </c>
      <c r="AN61" s="375">
        <f t="shared" ca="1" si="20"/>
        <v>0</v>
      </c>
    </row>
    <row r="62" spans="1:40" x14ac:dyDescent="0.2">
      <c r="A62" s="1" t="s">
        <v>108</v>
      </c>
      <c r="C62" s="135" t="s">
        <v>101</v>
      </c>
      <c r="D62" s="1" t="s">
        <v>107</v>
      </c>
      <c r="F62" s="1" t="s">
        <v>99</v>
      </c>
      <c r="H62" s="10" t="s">
        <v>443</v>
      </c>
      <c r="I62" s="25" t="e">
        <f ca="1">_xll.EVPRO($B$1,$H62,"STYLE")</f>
        <v>#NAME?</v>
      </c>
      <c r="J62" s="25" t="e">
        <f ca="1">_xll.EVPRO($B$1,$H62,"CALC")</f>
        <v>#NAME?</v>
      </c>
      <c r="K62" s="64" t="e">
        <f t="shared" ca="1" si="14"/>
        <v>#NAME?</v>
      </c>
      <c r="L62" s="24" t="e">
        <f ca="1">_xll.EVPRO($B$1,H62,"JDEID")</f>
        <v>#NAME?</v>
      </c>
      <c r="M62" s="24" t="e">
        <f ca="1">IF(AND(I62="N",J62="N"),_xll.EVPRO($B$1,H62,"PSFTID"),"")</f>
        <v>#NAME?</v>
      </c>
      <c r="N62" s="24" t="e">
        <f ca="1">IF(_xll.EVDES(H62,$B$1)="#NODATA","",_xll.EVDES(H62,$B$1))</f>
        <v>#NAME?</v>
      </c>
      <c r="O62" s="19"/>
      <c r="P62" s="19"/>
      <c r="Q62" s="19"/>
      <c r="R62" s="19"/>
      <c r="S62" s="19"/>
      <c r="T62" s="19"/>
      <c r="U62" s="19"/>
      <c r="V62" s="19"/>
      <c r="W62" s="19"/>
      <c r="X62" s="19"/>
      <c r="Y62" s="19"/>
      <c r="Z62" s="19"/>
      <c r="AA62" s="283" t="e">
        <f t="shared" ca="1" si="12"/>
        <v>#NAME?</v>
      </c>
      <c r="AB62" s="15" t="e">
        <f ca="1">IF(AA62=0,"",IFERROR(AA62/_xll.EVGTS($B$1,1,_xll.EVPRO($B$1,$H62,"COSBASIS"),$B$3,$B$5,$B$6,$B$7,$B$9,AA$16,Z$17,AA$18),""))</f>
        <v>#NAME?</v>
      </c>
      <c r="AD62" s="19"/>
      <c r="AE62" s="15" t="str">
        <f>IF(AD62=0,"",IFERROR(AD62/_xll.EVGTS($B$1,1,_xll.EVPRO($B$1,$H62,"COSBASIS"),$B$3,$B$5,$B$6,$B$7,$B$9,AD$16,AD$17,AD$18),""))</f>
        <v/>
      </c>
      <c r="AF62" s="47" t="e">
        <f t="shared" ca="1" si="13"/>
        <v>#NAME?</v>
      </c>
      <c r="AG62" s="19"/>
      <c r="AH62" s="15" t="str">
        <f>IF(AG62=0,"",IFERROR(AG62/_xll.EVGTS($B$1,1,_xll.EVPRO($B$1,$H62,"COSBASIS"),$B$3,$B$5,$B$6,$B$7,$B$9,AG$16,AG$17,AG$18),""))</f>
        <v/>
      </c>
      <c r="AI62" s="47" t="e">
        <f t="shared" ca="1" si="15"/>
        <v>#NAME?</v>
      </c>
      <c r="AJ62" s="371">
        <f t="shared" ca="1" si="16"/>
        <v>0</v>
      </c>
      <c r="AK62" s="372">
        <f t="shared" ca="1" si="17"/>
        <v>0</v>
      </c>
      <c r="AL62" s="373">
        <f t="shared" ca="1" si="18"/>
        <v>0</v>
      </c>
      <c r="AM62" s="374">
        <f t="shared" ca="1" si="19"/>
        <v>0</v>
      </c>
      <c r="AN62" s="375">
        <f t="shared" ca="1" si="20"/>
        <v>0</v>
      </c>
    </row>
    <row r="63" spans="1:40" x14ac:dyDescent="0.2">
      <c r="H63" s="10" t="s">
        <v>481</v>
      </c>
      <c r="I63" s="25" t="e">
        <f ca="1">_xll.EVPRO($B$1,$H63,"STYLE")</f>
        <v>#NAME?</v>
      </c>
      <c r="J63" s="25" t="e">
        <f ca="1">_xll.EVPRO($B$1,$H63,"CALC")</f>
        <v>#NAME?</v>
      </c>
      <c r="K63" s="64" t="e">
        <f t="shared" ca="1" si="14"/>
        <v>#NAME?</v>
      </c>
      <c r="L63" s="24" t="e">
        <f ca="1">_xll.EVPRO($B$1,H63,"JDEID")</f>
        <v>#NAME?</v>
      </c>
      <c r="M63" s="24" t="e">
        <f ca="1">IF(AND(I63="N",J63="N"),_xll.EVPRO($B$1,H63,"PSFTID"),"")</f>
        <v>#NAME?</v>
      </c>
      <c r="N63" s="24" t="e">
        <f ca="1">IF(_xll.EVDES(H63,$B$1)="#NODATA","",_xll.EVDES(H63,$B$1))</f>
        <v>#NAME?</v>
      </c>
      <c r="O63" s="19"/>
      <c r="P63" s="19"/>
      <c r="Q63" s="19"/>
      <c r="R63" s="19"/>
      <c r="S63" s="19"/>
      <c r="T63" s="19"/>
      <c r="U63" s="19"/>
      <c r="V63" s="19"/>
      <c r="W63" s="19"/>
      <c r="X63" s="19"/>
      <c r="Y63" s="19"/>
      <c r="Z63" s="19"/>
      <c r="AA63" s="283" t="e">
        <f t="shared" ca="1" si="12"/>
        <v>#NAME?</v>
      </c>
      <c r="AB63" s="15" t="e">
        <f ca="1">IF(AA63=0,"",IFERROR(AA63/_xll.EVGTS($B$1,1,_xll.EVPRO($B$1,$H63,"COSBASIS"),$B$3,$B$5,$B$6,$B$7,$B$9,AA$16,Z$17,AA$18),""))</f>
        <v>#NAME?</v>
      </c>
      <c r="AD63" s="19"/>
      <c r="AE63" s="15" t="str">
        <f>IF(AD63=0,"",IFERROR(AD63/_xll.EVGTS($B$1,1,_xll.EVPRO($B$1,$H63,"COSBASIS"),$B$3,$B$5,$B$6,$B$7,$B$9,AD$16,AD$17,AD$18),""))</f>
        <v/>
      </c>
      <c r="AF63" s="47" t="e">
        <f t="shared" ca="1" si="13"/>
        <v>#NAME?</v>
      </c>
      <c r="AG63" s="19"/>
      <c r="AH63" s="15" t="str">
        <f>IF(AG63=0,"",IFERROR(AG63/_xll.EVGTS($B$1,1,_xll.EVPRO($B$1,$H63,"COSBASIS"),$B$3,$B$5,$B$6,$B$7,$B$9,AG$16,AG$17,AG$18),""))</f>
        <v/>
      </c>
      <c r="AI63" s="47" t="e">
        <f t="shared" ca="1" si="15"/>
        <v>#NAME?</v>
      </c>
      <c r="AJ63" s="371">
        <f t="shared" ca="1" si="16"/>
        <v>0</v>
      </c>
      <c r="AK63" s="372">
        <f t="shared" ca="1" si="17"/>
        <v>0</v>
      </c>
      <c r="AL63" s="373">
        <f t="shared" ca="1" si="18"/>
        <v>0</v>
      </c>
      <c r="AM63" s="374">
        <f t="shared" ca="1" si="19"/>
        <v>0</v>
      </c>
      <c r="AN63" s="375">
        <f t="shared" ca="1" si="20"/>
        <v>0</v>
      </c>
    </row>
    <row r="64" spans="1:40" x14ac:dyDescent="0.2">
      <c r="C64" s="23"/>
      <c r="H64" s="10" t="s">
        <v>482</v>
      </c>
      <c r="I64" s="25" t="e">
        <f ca="1">_xll.EVPRO($B$1,$H64,"STYLE")</f>
        <v>#NAME?</v>
      </c>
      <c r="J64" s="25" t="e">
        <f ca="1">_xll.EVPRO($B$1,$H64,"CALC")</f>
        <v>#NAME?</v>
      </c>
      <c r="K64" s="64" t="e">
        <f t="shared" ca="1" si="14"/>
        <v>#NAME?</v>
      </c>
      <c r="L64" s="24" t="e">
        <f ca="1">_xll.EVPRO($B$1,H64,"JDEID")</f>
        <v>#NAME?</v>
      </c>
      <c r="M64" s="24" t="e">
        <f ca="1">IF(AND(I64="N",J64="N"),_xll.EVPRO($B$1,H64,"PSFTID"),"")</f>
        <v>#NAME?</v>
      </c>
      <c r="N64" s="24" t="e">
        <f ca="1">IF(_xll.EVDES(H64,$B$1)="#NODATA","",_xll.EVDES(H64,$B$1))</f>
        <v>#NAME?</v>
      </c>
      <c r="O64" s="19"/>
      <c r="P64" s="19"/>
      <c r="Q64" s="19"/>
      <c r="R64" s="19"/>
      <c r="S64" s="19"/>
      <c r="T64" s="19"/>
      <c r="U64" s="19"/>
      <c r="V64" s="19"/>
      <c r="W64" s="19"/>
      <c r="X64" s="19"/>
      <c r="Y64" s="19"/>
      <c r="Z64" s="19"/>
      <c r="AA64" s="283" t="e">
        <f t="shared" ca="1" si="12"/>
        <v>#NAME?</v>
      </c>
      <c r="AB64" s="15" t="e">
        <f ca="1">IF(AA64=0,"",IFERROR(AA64/_xll.EVGTS($B$1,1,_xll.EVPRO($B$1,$H64,"COSBASIS"),$B$3,$B$5,$B$6,$B$7,$B$9,AA$16,Z$17,AA$18),""))</f>
        <v>#NAME?</v>
      </c>
      <c r="AD64" s="19"/>
      <c r="AE64" s="15" t="str">
        <f>IF(AD64=0,"",IFERROR(AD64/_xll.EVGTS($B$1,1,_xll.EVPRO($B$1,$H64,"COSBASIS"),$B$3,$B$5,$B$6,$B$7,$B$9,AD$16,AD$17,AD$18),""))</f>
        <v/>
      </c>
      <c r="AF64" s="47" t="e">
        <f t="shared" ca="1" si="13"/>
        <v>#NAME?</v>
      </c>
      <c r="AG64" s="19"/>
      <c r="AH64" s="15" t="str">
        <f>IF(AG64=0,"",IFERROR(AG64/_xll.EVGTS($B$1,1,_xll.EVPRO($B$1,$H64,"COSBASIS"),$B$3,$B$5,$B$6,$B$7,$B$9,AG$16,AG$17,AG$18),""))</f>
        <v/>
      </c>
      <c r="AI64" s="47" t="e">
        <f t="shared" ca="1" si="15"/>
        <v>#NAME?</v>
      </c>
      <c r="AJ64" s="371">
        <f t="shared" ca="1" si="16"/>
        <v>0</v>
      </c>
      <c r="AK64" s="372">
        <f t="shared" ca="1" si="17"/>
        <v>0</v>
      </c>
      <c r="AL64" s="373">
        <f t="shared" ca="1" si="18"/>
        <v>0</v>
      </c>
      <c r="AM64" s="374">
        <f t="shared" ca="1" si="19"/>
        <v>0</v>
      </c>
      <c r="AN64" s="375">
        <f t="shared" ca="1" si="20"/>
        <v>0</v>
      </c>
    </row>
    <row r="65" spans="1:40" x14ac:dyDescent="0.2">
      <c r="A65" s="4" t="e">
        <f ca="1">_xll.EVDRE($B$1,A68:B75)</f>
        <v>#NAME?</v>
      </c>
      <c r="B65" s="1" t="s">
        <v>736</v>
      </c>
      <c r="H65" s="10" t="s">
        <v>483</v>
      </c>
      <c r="I65" s="25" t="e">
        <f ca="1">_xll.EVPRO($B$1,$H65,"STYLE")</f>
        <v>#NAME?</v>
      </c>
      <c r="J65" s="25" t="e">
        <f ca="1">_xll.EVPRO($B$1,$H65,"CALC")</f>
        <v>#NAME?</v>
      </c>
      <c r="K65" s="64" t="e">
        <f t="shared" ca="1" si="14"/>
        <v>#NAME?</v>
      </c>
      <c r="L65" s="24" t="e">
        <f ca="1">_xll.EVPRO($B$1,H65,"JDEID")</f>
        <v>#NAME?</v>
      </c>
      <c r="M65" s="24" t="e">
        <f ca="1">IF(AND(I65="N",J65="N"),_xll.EVPRO($B$1,H65,"PSFTID"),"")</f>
        <v>#NAME?</v>
      </c>
      <c r="N65" s="24" t="e">
        <f ca="1">IF(_xll.EVDES(H65,$B$1)="#NODATA","",_xll.EVDES(H65,$B$1))</f>
        <v>#NAME?</v>
      </c>
      <c r="O65" s="19"/>
      <c r="P65" s="19"/>
      <c r="Q65" s="19"/>
      <c r="R65" s="19"/>
      <c r="S65" s="19"/>
      <c r="T65" s="19"/>
      <c r="U65" s="19"/>
      <c r="V65" s="19"/>
      <c r="W65" s="19"/>
      <c r="X65" s="19"/>
      <c r="Y65" s="19"/>
      <c r="Z65" s="19"/>
      <c r="AA65" s="283" t="e">
        <f t="shared" ca="1" si="12"/>
        <v>#NAME?</v>
      </c>
      <c r="AB65" s="15" t="e">
        <f ca="1">IF(AA65=0,"",IFERROR(AA65/_xll.EVGTS($B$1,1,_xll.EVPRO($B$1,$H65,"COSBASIS"),$B$3,$B$5,$B$6,$B$7,$B$9,AA$16,Z$17,AA$18),""))</f>
        <v>#NAME?</v>
      </c>
      <c r="AD65" s="19"/>
      <c r="AE65" s="15" t="str">
        <f>IF(AD65=0,"",IFERROR(AD65/_xll.EVGTS($B$1,1,_xll.EVPRO($B$1,$H65,"COSBASIS"),$B$3,$B$5,$B$6,$B$7,$B$9,AD$16,AD$17,AD$18),""))</f>
        <v/>
      </c>
      <c r="AF65" s="47" t="e">
        <f t="shared" ca="1" si="13"/>
        <v>#NAME?</v>
      </c>
      <c r="AG65" s="19"/>
      <c r="AH65" s="15" t="str">
        <f>IF(AG65=0,"",IFERROR(AG65/_xll.EVGTS($B$1,1,_xll.EVPRO($B$1,$H65,"COSBASIS"),$B$3,$B$5,$B$6,$B$7,$B$9,AG$16,AG$17,AG$18),""))</f>
        <v/>
      </c>
      <c r="AI65" s="47" t="e">
        <f t="shared" ca="1" si="15"/>
        <v>#NAME?</v>
      </c>
      <c r="AJ65" s="371">
        <f t="shared" ca="1" si="16"/>
        <v>0</v>
      </c>
      <c r="AK65" s="372">
        <f t="shared" ca="1" si="17"/>
        <v>0</v>
      </c>
      <c r="AL65" s="373">
        <f t="shared" ca="1" si="18"/>
        <v>0</v>
      </c>
      <c r="AM65" s="374">
        <f t="shared" ca="1" si="19"/>
        <v>0</v>
      </c>
      <c r="AN65" s="375">
        <f t="shared" ca="1" si="20"/>
        <v>0</v>
      </c>
    </row>
    <row r="66" spans="1:40" x14ac:dyDescent="0.2">
      <c r="H66" s="10" t="s">
        <v>484</v>
      </c>
      <c r="I66" s="25" t="e">
        <f ca="1">_xll.EVPRO($B$1,$H66,"STYLE")</f>
        <v>#NAME?</v>
      </c>
      <c r="J66" s="25" t="e">
        <f ca="1">_xll.EVPRO($B$1,$H66,"CALC")</f>
        <v>#NAME?</v>
      </c>
      <c r="K66" s="64" t="e">
        <f t="shared" ca="1" si="14"/>
        <v>#NAME?</v>
      </c>
      <c r="L66" s="24" t="e">
        <f ca="1">_xll.EVPRO($B$1,H66,"JDEID")</f>
        <v>#NAME?</v>
      </c>
      <c r="M66" s="24" t="e">
        <f ca="1">IF(AND(I66="N",J66="N"),_xll.EVPRO($B$1,H66,"PSFTID"),"")</f>
        <v>#NAME?</v>
      </c>
      <c r="N66" s="24" t="e">
        <f ca="1">IF(_xll.EVDES(H66,$B$1)="#NODATA","",_xll.EVDES(H66,$B$1))</f>
        <v>#NAME?</v>
      </c>
      <c r="O66" s="19"/>
      <c r="P66" s="19"/>
      <c r="Q66" s="19"/>
      <c r="R66" s="19"/>
      <c r="S66" s="19"/>
      <c r="T66" s="19"/>
      <c r="U66" s="19"/>
      <c r="V66" s="19"/>
      <c r="W66" s="19"/>
      <c r="X66" s="19"/>
      <c r="Y66" s="19"/>
      <c r="Z66" s="19"/>
      <c r="AA66" s="283" t="e">
        <f t="shared" ca="1" si="12"/>
        <v>#NAME?</v>
      </c>
      <c r="AB66" s="15" t="e">
        <f ca="1">IF(AA66=0,"",IFERROR(AA66/_xll.EVGTS($B$1,1,_xll.EVPRO($B$1,$H66,"COSBASIS"),$B$3,$B$5,$B$6,$B$7,$B$9,AA$16,Z$17,AA$18),""))</f>
        <v>#NAME?</v>
      </c>
      <c r="AD66" s="19"/>
      <c r="AE66" s="15" t="str">
        <f>IF(AD66=0,"",IFERROR(AD66/_xll.EVGTS($B$1,1,_xll.EVPRO($B$1,$H66,"COSBASIS"),$B$3,$B$5,$B$6,$B$7,$B$9,AD$16,AD$17,AD$18),""))</f>
        <v/>
      </c>
      <c r="AF66" s="47" t="e">
        <f t="shared" ca="1" si="13"/>
        <v>#NAME?</v>
      </c>
      <c r="AG66" s="19"/>
      <c r="AH66" s="15" t="str">
        <f>IF(AG66=0,"",IFERROR(AG66/_xll.EVGTS($B$1,1,_xll.EVPRO($B$1,$H66,"COSBASIS"),$B$3,$B$5,$B$6,$B$7,$B$9,AG$16,AG$17,AG$18),""))</f>
        <v/>
      </c>
      <c r="AI66" s="47" t="e">
        <f t="shared" ca="1" si="15"/>
        <v>#NAME?</v>
      </c>
      <c r="AJ66" s="371">
        <f t="shared" ca="1" si="16"/>
        <v>0</v>
      </c>
      <c r="AK66" s="372">
        <f t="shared" ca="1" si="17"/>
        <v>0</v>
      </c>
      <c r="AL66" s="373">
        <f t="shared" ca="1" si="18"/>
        <v>0</v>
      </c>
      <c r="AM66" s="374">
        <f t="shared" ca="1" si="19"/>
        <v>0</v>
      </c>
      <c r="AN66" s="375">
        <f t="shared" ca="1" si="20"/>
        <v>0</v>
      </c>
    </row>
    <row r="67" spans="1:40" x14ac:dyDescent="0.2">
      <c r="A67" s="3" t="s">
        <v>0</v>
      </c>
      <c r="B67" s="5" t="s">
        <v>1</v>
      </c>
      <c r="H67" s="10" t="s">
        <v>485</v>
      </c>
      <c r="I67" s="25" t="e">
        <f ca="1">_xll.EVPRO($B$1,$H67,"STYLE")</f>
        <v>#NAME?</v>
      </c>
      <c r="J67" s="25" t="e">
        <f ca="1">_xll.EVPRO($B$1,$H67,"CALC")</f>
        <v>#NAME?</v>
      </c>
      <c r="K67" s="64" t="e">
        <f t="shared" ca="1" si="14"/>
        <v>#NAME?</v>
      </c>
      <c r="L67" s="24" t="e">
        <f ca="1">_xll.EVPRO($B$1,H67,"JDEID")</f>
        <v>#NAME?</v>
      </c>
      <c r="M67" s="24" t="e">
        <f ca="1">IF(AND(I67="N",J67="N"),_xll.EVPRO($B$1,H67,"PSFTID"),"")</f>
        <v>#NAME?</v>
      </c>
      <c r="N67" s="24" t="e">
        <f ca="1">IF(_xll.EVDES(H67,$B$1)="#NODATA","",_xll.EVDES(H67,$B$1))</f>
        <v>#NAME?</v>
      </c>
      <c r="O67" s="19"/>
      <c r="P67" s="19"/>
      <c r="Q67" s="19"/>
      <c r="R67" s="19"/>
      <c r="S67" s="19"/>
      <c r="T67" s="19"/>
      <c r="U67" s="19"/>
      <c r="V67" s="19"/>
      <c r="W67" s="19"/>
      <c r="X67" s="19"/>
      <c r="Y67" s="19"/>
      <c r="Z67" s="19"/>
      <c r="AA67" s="283" t="e">
        <f t="shared" ca="1" si="12"/>
        <v>#NAME?</v>
      </c>
      <c r="AB67" s="15" t="e">
        <f ca="1">IF(AA67=0,"",IFERROR(AA67/_xll.EVGTS($B$1,1,_xll.EVPRO($B$1,$H67,"COSBASIS"),$B$3,$B$5,$B$6,$B$7,$B$9,AA$16,Z$17,AA$18),""))</f>
        <v>#NAME?</v>
      </c>
      <c r="AD67" s="19"/>
      <c r="AE67" s="15" t="str">
        <f>IF(AD67=0,"",IFERROR(AD67/_xll.EVGTS($B$1,1,_xll.EVPRO($B$1,$H67,"COSBASIS"),$B$3,$B$5,$B$6,$B$7,$B$9,AD$16,AD$17,AD$18),""))</f>
        <v/>
      </c>
      <c r="AF67" s="47" t="e">
        <f t="shared" ca="1" si="13"/>
        <v>#NAME?</v>
      </c>
      <c r="AG67" s="19"/>
      <c r="AH67" s="15" t="str">
        <f>IF(AG67=0,"",IFERROR(AG67/_xll.EVGTS($B$1,1,_xll.EVPRO($B$1,$H67,"COSBASIS"),$B$3,$B$5,$B$6,$B$7,$B$9,AG$16,AG$17,AG$18),""))</f>
        <v/>
      </c>
      <c r="AI67" s="47" t="e">
        <f t="shared" ca="1" si="15"/>
        <v>#NAME?</v>
      </c>
      <c r="AJ67" s="371">
        <f t="shared" ca="1" si="16"/>
        <v>0</v>
      </c>
      <c r="AK67" s="372">
        <f t="shared" ca="1" si="17"/>
        <v>0</v>
      </c>
      <c r="AL67" s="373">
        <f t="shared" ca="1" si="18"/>
        <v>0</v>
      </c>
      <c r="AM67" s="374">
        <f t="shared" ca="1" si="19"/>
        <v>0</v>
      </c>
      <c r="AN67" s="375">
        <f t="shared" ca="1" si="20"/>
        <v>0</v>
      </c>
    </row>
    <row r="68" spans="1:40" x14ac:dyDescent="0.2">
      <c r="A68" s="6" t="s">
        <v>2</v>
      </c>
      <c r="B68" s="7" t="e">
        <f ca="1">_xll.EVRNG($B$2:$B$10)</f>
        <v>#NAME?</v>
      </c>
      <c r="H68" s="10" t="s">
        <v>444</v>
      </c>
      <c r="I68" s="25" t="e">
        <f ca="1">_xll.EVPRO($B$1,$H68,"STYLE")</f>
        <v>#NAME?</v>
      </c>
      <c r="J68" s="25" t="e">
        <f ca="1">_xll.EVPRO($B$1,$H68,"CALC")</f>
        <v>#NAME?</v>
      </c>
      <c r="K68" s="64" t="e">
        <f t="shared" ca="1" si="14"/>
        <v>#NAME?</v>
      </c>
      <c r="L68" s="24" t="e">
        <f ca="1">_xll.EVPRO($B$1,H68,"JDEID")</f>
        <v>#NAME?</v>
      </c>
      <c r="M68" s="24" t="e">
        <f ca="1">IF(AND(I68="N",J68="N"),_xll.EVPRO($B$1,H68,"PSFTID"),"")</f>
        <v>#NAME?</v>
      </c>
      <c r="N68" s="24" t="e">
        <f ca="1">IF(_xll.EVDES(H68,$B$1)="#NODATA","",_xll.EVDES(H68,$B$1))</f>
        <v>#NAME?</v>
      </c>
      <c r="O68" s="19"/>
      <c r="P68" s="19"/>
      <c r="Q68" s="19"/>
      <c r="R68" s="19"/>
      <c r="S68" s="19"/>
      <c r="T68" s="19"/>
      <c r="U68" s="19"/>
      <c r="V68" s="19"/>
      <c r="W68" s="19"/>
      <c r="X68" s="19"/>
      <c r="Y68" s="19"/>
      <c r="Z68" s="19"/>
      <c r="AA68" s="283" t="e">
        <f t="shared" ca="1" si="12"/>
        <v>#NAME?</v>
      </c>
      <c r="AB68" s="15" t="e">
        <f ca="1">IF(AA68=0,"",IFERROR(AA68/_xll.EVGTS($B$1,1,_xll.EVPRO($B$1,$H68,"COSBASIS"),$B$3,$B$5,$B$6,$B$7,$B$9,AA$16,Z$17,AA$18),""))</f>
        <v>#NAME?</v>
      </c>
      <c r="AD68" s="19"/>
      <c r="AE68" s="15" t="str">
        <f>IF(AD68=0,"",IFERROR(AD68/_xll.EVGTS($B$1,1,_xll.EVPRO($B$1,$H68,"COSBASIS"),$B$3,$B$5,$B$6,$B$7,$B$9,AD$16,AD$17,AD$18),""))</f>
        <v/>
      </c>
      <c r="AF68" s="47" t="e">
        <f t="shared" ca="1" si="13"/>
        <v>#NAME?</v>
      </c>
      <c r="AG68" s="19"/>
      <c r="AH68" s="15" t="str">
        <f>IF(AG68=0,"",IFERROR(AG68/_xll.EVGTS($B$1,1,_xll.EVPRO($B$1,$H68,"COSBASIS"),$B$3,$B$5,$B$6,$B$7,$B$9,AG$16,AG$17,AG$18),""))</f>
        <v/>
      </c>
      <c r="AI68" s="47" t="e">
        <f t="shared" ca="1" si="15"/>
        <v>#NAME?</v>
      </c>
      <c r="AJ68" s="371">
        <f t="shared" ca="1" si="16"/>
        <v>0</v>
      </c>
      <c r="AK68" s="372">
        <f t="shared" ca="1" si="17"/>
        <v>0</v>
      </c>
      <c r="AL68" s="373">
        <f t="shared" ca="1" si="18"/>
        <v>0</v>
      </c>
      <c r="AM68" s="374">
        <f t="shared" ca="1" si="19"/>
        <v>0</v>
      </c>
      <c r="AN68" s="375">
        <f t="shared" ca="1" si="20"/>
        <v>0</v>
      </c>
    </row>
    <row r="69" spans="1:40" x14ac:dyDescent="0.2">
      <c r="A69" s="6" t="s">
        <v>3</v>
      </c>
      <c r="B69" s="7" t="e">
        <f ca="1">_xll.EVRNG($O$16:$AN$18)</f>
        <v>#NAME?</v>
      </c>
      <c r="H69" s="10" t="s">
        <v>445</v>
      </c>
      <c r="I69" s="25" t="e">
        <f ca="1">_xll.EVPRO($B$1,$H69,"STYLE")</f>
        <v>#NAME?</v>
      </c>
      <c r="J69" s="25" t="e">
        <f ca="1">_xll.EVPRO($B$1,$H69,"CALC")</f>
        <v>#NAME?</v>
      </c>
      <c r="K69" s="64" t="e">
        <f t="shared" ca="1" si="14"/>
        <v>#NAME?</v>
      </c>
      <c r="L69" s="24" t="e">
        <f ca="1">_xll.EVPRO($B$1,H69,"JDEID")</f>
        <v>#NAME?</v>
      </c>
      <c r="M69" s="24" t="e">
        <f ca="1">IF(AND(I69="N",J69="N"),_xll.EVPRO($B$1,H69,"PSFTID"),"")</f>
        <v>#NAME?</v>
      </c>
      <c r="N69" s="24" t="e">
        <f ca="1">IF(_xll.EVDES(H69,$B$1)="#NODATA","",_xll.EVDES(H69,$B$1))</f>
        <v>#NAME?</v>
      </c>
      <c r="O69" s="19"/>
      <c r="P69" s="19"/>
      <c r="Q69" s="19"/>
      <c r="R69" s="19"/>
      <c r="S69" s="19"/>
      <c r="T69" s="19"/>
      <c r="U69" s="19"/>
      <c r="V69" s="19"/>
      <c r="W69" s="19"/>
      <c r="X69" s="19"/>
      <c r="Y69" s="19"/>
      <c r="Z69" s="19"/>
      <c r="AA69" s="283" t="e">
        <f t="shared" ca="1" si="12"/>
        <v>#NAME?</v>
      </c>
      <c r="AB69" s="15" t="e">
        <f ca="1">IF(AA69=0,"",IFERROR(AA69/_xll.EVGTS($B$1,1,_xll.EVPRO($B$1,$H69,"COSBASIS"),$B$3,$B$5,$B$6,$B$7,$B$9,AA$16,Z$17,AA$18),""))</f>
        <v>#NAME?</v>
      </c>
      <c r="AD69" s="19"/>
      <c r="AE69" s="15" t="str">
        <f>IF(AD69=0,"",IFERROR(AD69/_xll.EVGTS($B$1,1,_xll.EVPRO($B$1,$H69,"COSBASIS"),$B$3,$B$5,$B$6,$B$7,$B$9,AD$16,AD$17,AD$18),""))</f>
        <v/>
      </c>
      <c r="AF69" s="47" t="e">
        <f t="shared" ca="1" si="13"/>
        <v>#NAME?</v>
      </c>
      <c r="AG69" s="19"/>
      <c r="AH69" s="15" t="str">
        <f>IF(AG69=0,"",IFERROR(AG69/_xll.EVGTS($B$1,1,_xll.EVPRO($B$1,$H69,"COSBASIS"),$B$3,$B$5,$B$6,$B$7,$B$9,AG$16,AG$17,AG$18),""))</f>
        <v/>
      </c>
      <c r="AI69" s="47" t="e">
        <f t="shared" ca="1" si="15"/>
        <v>#NAME?</v>
      </c>
      <c r="AJ69" s="371">
        <f t="shared" ca="1" si="16"/>
        <v>0</v>
      </c>
      <c r="AK69" s="372">
        <f t="shared" ca="1" si="17"/>
        <v>0</v>
      </c>
      <c r="AL69" s="373">
        <f t="shared" ca="1" si="18"/>
        <v>0</v>
      </c>
      <c r="AM69" s="374">
        <f t="shared" ca="1" si="19"/>
        <v>0</v>
      </c>
      <c r="AN69" s="375">
        <f t="shared" ca="1" si="20"/>
        <v>0</v>
      </c>
    </row>
    <row r="70" spans="1:40" x14ac:dyDescent="0.2">
      <c r="A70" s="6" t="s">
        <v>4</v>
      </c>
      <c r="B70" s="7" t="e">
        <f ca="1">_xll.EVRNG(H95:H98)</f>
        <v>#NAME?</v>
      </c>
      <c r="H70" s="10" t="s">
        <v>446</v>
      </c>
      <c r="I70" s="25" t="e">
        <f ca="1">_xll.EVPRO($B$1,$H70,"STYLE")</f>
        <v>#NAME?</v>
      </c>
      <c r="J70" s="25" t="e">
        <f ca="1">_xll.EVPRO($B$1,$H70,"CALC")</f>
        <v>#NAME?</v>
      </c>
      <c r="K70" s="64" t="e">
        <f t="shared" ca="1" si="14"/>
        <v>#NAME?</v>
      </c>
      <c r="L70" s="24" t="e">
        <f ca="1">_xll.EVPRO($B$1,H70,"JDEID")</f>
        <v>#NAME?</v>
      </c>
      <c r="M70" s="24" t="e">
        <f ca="1">IF(AND(I70="N",J70="N"),_xll.EVPRO($B$1,H70,"PSFTID"),"")</f>
        <v>#NAME?</v>
      </c>
      <c r="N70" s="24" t="e">
        <f ca="1">IF(_xll.EVDES(H70,$B$1)="#NODATA","",_xll.EVDES(H70,$B$1))</f>
        <v>#NAME?</v>
      </c>
      <c r="O70" s="19"/>
      <c r="P70" s="19"/>
      <c r="Q70" s="19"/>
      <c r="R70" s="19"/>
      <c r="S70" s="19"/>
      <c r="T70" s="19"/>
      <c r="U70" s="19"/>
      <c r="V70" s="19"/>
      <c r="W70" s="19"/>
      <c r="X70" s="19"/>
      <c r="Y70" s="19"/>
      <c r="Z70" s="19"/>
      <c r="AA70" s="283" t="e">
        <f t="shared" ca="1" si="12"/>
        <v>#NAME?</v>
      </c>
      <c r="AB70" s="15" t="e">
        <f ca="1">IF(AA70=0,"",IFERROR(AA70/_xll.EVGTS($B$1,1,_xll.EVPRO($B$1,$H70,"COSBASIS"),$B$3,$B$5,$B$6,$B$7,$B$9,AA$16,Z$17,AA$18),""))</f>
        <v>#NAME?</v>
      </c>
      <c r="AD70" s="19"/>
      <c r="AE70" s="15" t="str">
        <f>IF(AD70=0,"",IFERROR(AD70/_xll.EVGTS($B$1,1,_xll.EVPRO($B$1,$H70,"COSBASIS"),$B$3,$B$5,$B$6,$B$7,$B$9,AD$16,AD$17,AD$18),""))</f>
        <v/>
      </c>
      <c r="AF70" s="47" t="e">
        <f t="shared" ca="1" si="13"/>
        <v>#NAME?</v>
      </c>
      <c r="AG70" s="19"/>
      <c r="AH70" s="15" t="str">
        <f>IF(AG70=0,"",IFERROR(AG70/_xll.EVGTS($B$1,1,_xll.EVPRO($B$1,$H70,"COSBASIS"),$B$3,$B$5,$B$6,$B$7,$B$9,AG$16,AG$17,AG$18),""))</f>
        <v/>
      </c>
      <c r="AI70" s="47" t="e">
        <f t="shared" ca="1" si="15"/>
        <v>#NAME?</v>
      </c>
      <c r="AJ70" s="371">
        <f t="shared" ca="1" si="16"/>
        <v>0</v>
      </c>
      <c r="AK70" s="372">
        <f t="shared" ca="1" si="17"/>
        <v>0</v>
      </c>
      <c r="AL70" s="373">
        <f t="shared" ca="1" si="18"/>
        <v>0</v>
      </c>
      <c r="AM70" s="374">
        <f t="shared" ca="1" si="19"/>
        <v>0</v>
      </c>
      <c r="AN70" s="375">
        <f t="shared" ca="1" si="20"/>
        <v>0</v>
      </c>
    </row>
    <row r="71" spans="1:40" x14ac:dyDescent="0.2">
      <c r="A71" s="6" t="s">
        <v>5</v>
      </c>
      <c r="B71" s="7"/>
      <c r="H71" s="10" t="s">
        <v>447</v>
      </c>
      <c r="I71" s="25" t="e">
        <f ca="1">_xll.EVPRO($B$1,$H71,"STYLE")</f>
        <v>#NAME?</v>
      </c>
      <c r="J71" s="25" t="e">
        <f ca="1">_xll.EVPRO($B$1,$H71,"CALC")</f>
        <v>#NAME?</v>
      </c>
      <c r="K71" s="64" t="e">
        <f t="shared" ca="1" si="14"/>
        <v>#NAME?</v>
      </c>
      <c r="L71" s="24" t="e">
        <f ca="1">_xll.EVPRO($B$1,H71,"JDEID")</f>
        <v>#NAME?</v>
      </c>
      <c r="M71" s="24" t="e">
        <f ca="1">IF(AND(I71="N",J71="N"),_xll.EVPRO($B$1,H71,"PSFTID"),"")</f>
        <v>#NAME?</v>
      </c>
      <c r="N71" s="24" t="e">
        <f ca="1">IF(_xll.EVDES(H71,$B$1)="#NODATA","",_xll.EVDES(H71,$B$1))</f>
        <v>#NAME?</v>
      </c>
      <c r="O71" s="19"/>
      <c r="P71" s="19"/>
      <c r="Q71" s="19"/>
      <c r="R71" s="19"/>
      <c r="S71" s="19"/>
      <c r="T71" s="19"/>
      <c r="U71" s="19"/>
      <c r="V71" s="19"/>
      <c r="W71" s="19"/>
      <c r="X71" s="19"/>
      <c r="Y71" s="19"/>
      <c r="Z71" s="19"/>
      <c r="AA71" s="283" t="e">
        <f t="shared" ca="1" si="12"/>
        <v>#NAME?</v>
      </c>
      <c r="AB71" s="15" t="e">
        <f ca="1">IF(AA71=0,"",IFERROR(AA71/_xll.EVGTS($B$1,1,_xll.EVPRO($B$1,$H71,"COSBASIS"),$B$3,$B$5,$B$6,$B$7,$B$9,AA$16,Z$17,AA$18),""))</f>
        <v>#NAME?</v>
      </c>
      <c r="AD71" s="19"/>
      <c r="AE71" s="15" t="str">
        <f>IF(AD71=0,"",IFERROR(AD71/_xll.EVGTS($B$1,1,_xll.EVPRO($B$1,$H71,"COSBASIS"),$B$3,$B$5,$B$6,$B$7,$B$9,AD$16,AD$17,AD$18),""))</f>
        <v/>
      </c>
      <c r="AF71" s="47" t="e">
        <f t="shared" ca="1" si="13"/>
        <v>#NAME?</v>
      </c>
      <c r="AG71" s="19"/>
      <c r="AH71" s="15" t="str">
        <f>IF(AG71=0,"",IFERROR(AG71/_xll.EVGTS($B$1,1,_xll.EVPRO($B$1,$H71,"COSBASIS"),$B$3,$B$5,$B$6,$B$7,$B$9,AG$16,AG$17,AG$18),""))</f>
        <v/>
      </c>
      <c r="AI71" s="47" t="e">
        <f t="shared" ca="1" si="15"/>
        <v>#NAME?</v>
      </c>
      <c r="AJ71" s="371">
        <f t="shared" ca="1" si="16"/>
        <v>0</v>
      </c>
      <c r="AK71" s="372">
        <f t="shared" ca="1" si="17"/>
        <v>0</v>
      </c>
      <c r="AL71" s="373">
        <f t="shared" ca="1" si="18"/>
        <v>0</v>
      </c>
      <c r="AM71" s="374">
        <f t="shared" ca="1" si="19"/>
        <v>0</v>
      </c>
      <c r="AN71" s="375">
        <f t="shared" ca="1" si="20"/>
        <v>0</v>
      </c>
    </row>
    <row r="72" spans="1:40" x14ac:dyDescent="0.2">
      <c r="A72" s="6" t="s">
        <v>6</v>
      </c>
      <c r="B72" s="7"/>
      <c r="H72" s="10" t="s">
        <v>448</v>
      </c>
      <c r="I72" s="25" t="e">
        <f ca="1">_xll.EVPRO($B$1,$H72,"STYLE")</f>
        <v>#NAME?</v>
      </c>
      <c r="J72" s="25" t="e">
        <f ca="1">_xll.EVPRO($B$1,$H72,"CALC")</f>
        <v>#NAME?</v>
      </c>
      <c r="K72" s="64" t="e">
        <f t="shared" ca="1" si="14"/>
        <v>#NAME?</v>
      </c>
      <c r="L72" s="24" t="e">
        <f ca="1">_xll.EVPRO($B$1,H72,"JDEID")</f>
        <v>#NAME?</v>
      </c>
      <c r="M72" s="24" t="e">
        <f ca="1">IF(AND(I72="N",J72="N"),_xll.EVPRO($B$1,H72,"PSFTID"),"")</f>
        <v>#NAME?</v>
      </c>
      <c r="N72" s="24" t="e">
        <f ca="1">IF(_xll.EVDES(H72,$B$1)="#NODATA","",_xll.EVDES(H72,$B$1))</f>
        <v>#NAME?</v>
      </c>
      <c r="O72" s="19"/>
      <c r="P72" s="19"/>
      <c r="Q72" s="19"/>
      <c r="R72" s="19"/>
      <c r="S72" s="19"/>
      <c r="T72" s="19"/>
      <c r="U72" s="19"/>
      <c r="V72" s="19"/>
      <c r="W72" s="19"/>
      <c r="X72" s="19"/>
      <c r="Y72" s="19"/>
      <c r="Z72" s="19"/>
      <c r="AA72" s="283" t="e">
        <f t="shared" ca="1" si="12"/>
        <v>#NAME?</v>
      </c>
      <c r="AB72" s="15" t="e">
        <f ca="1">IF(AA72=0,"",IFERROR(AA72/_xll.EVGTS($B$1,1,_xll.EVPRO($B$1,$H72,"COSBASIS"),$B$3,$B$5,$B$6,$B$7,$B$9,AA$16,Z$17,AA$18),""))</f>
        <v>#NAME?</v>
      </c>
      <c r="AD72" s="19"/>
      <c r="AE72" s="15" t="str">
        <f>IF(AD72=0,"",IFERROR(AD72/_xll.EVGTS($B$1,1,_xll.EVPRO($B$1,$H72,"COSBASIS"),$B$3,$B$5,$B$6,$B$7,$B$9,AD$16,AD$17,AD$18),""))</f>
        <v/>
      </c>
      <c r="AF72" s="47" t="e">
        <f t="shared" ca="1" si="13"/>
        <v>#NAME?</v>
      </c>
      <c r="AG72" s="19"/>
      <c r="AH72" s="15" t="str">
        <f>IF(AG72=0,"",IFERROR(AG72/_xll.EVGTS($B$1,1,_xll.EVPRO($B$1,$H72,"COSBASIS"),$B$3,$B$5,$B$6,$B$7,$B$9,AG$16,AG$17,AG$18),""))</f>
        <v/>
      </c>
      <c r="AI72" s="47" t="e">
        <f t="shared" ca="1" si="15"/>
        <v>#NAME?</v>
      </c>
      <c r="AJ72" s="371">
        <f t="shared" ca="1" si="16"/>
        <v>0</v>
      </c>
      <c r="AK72" s="372">
        <f t="shared" ca="1" si="17"/>
        <v>0</v>
      </c>
      <c r="AL72" s="373">
        <f t="shared" ca="1" si="18"/>
        <v>0</v>
      </c>
      <c r="AM72" s="374">
        <f t="shared" ca="1" si="19"/>
        <v>0</v>
      </c>
      <c r="AN72" s="375">
        <f t="shared" ca="1" si="20"/>
        <v>0</v>
      </c>
    </row>
    <row r="73" spans="1:40" x14ac:dyDescent="0.2">
      <c r="A73" s="6" t="s">
        <v>7</v>
      </c>
      <c r="B73" s="7"/>
      <c r="H73" s="10" t="s">
        <v>449</v>
      </c>
      <c r="I73" s="25" t="e">
        <f ca="1">_xll.EVPRO($B$1,$H73,"STYLE")</f>
        <v>#NAME?</v>
      </c>
      <c r="J73" s="25" t="e">
        <f ca="1">_xll.EVPRO($B$1,$H73,"CALC")</f>
        <v>#NAME?</v>
      </c>
      <c r="K73" s="64" t="e">
        <f t="shared" ca="1" si="14"/>
        <v>#NAME?</v>
      </c>
      <c r="L73" s="24" t="e">
        <f ca="1">_xll.EVPRO($B$1,H73,"JDEID")</f>
        <v>#NAME?</v>
      </c>
      <c r="M73" s="24" t="e">
        <f ca="1">IF(AND(I73="N",J73="N"),_xll.EVPRO($B$1,H73,"PSFTID"),"")</f>
        <v>#NAME?</v>
      </c>
      <c r="N73" s="24" t="e">
        <f ca="1">IF(_xll.EVDES(H73,$B$1)="#NODATA","",_xll.EVDES(H73,$B$1))</f>
        <v>#NAME?</v>
      </c>
      <c r="O73" s="28"/>
      <c r="P73" s="28"/>
      <c r="Q73" s="28"/>
      <c r="R73" s="28"/>
      <c r="S73" s="28"/>
      <c r="T73" s="28"/>
      <c r="U73" s="28"/>
      <c r="V73" s="28"/>
      <c r="W73" s="28"/>
      <c r="X73" s="28"/>
      <c r="Y73" s="28"/>
      <c r="Z73" s="28"/>
      <c r="AA73" s="296" t="e">
        <f t="shared" ca="1" si="12"/>
        <v>#NAME?</v>
      </c>
      <c r="AB73" s="29" t="e">
        <f ca="1">IF(AA73=0,"",IFERROR(AA73/_xll.EVGTS($B$1,1,_xll.EVPRO($B$1,$H73,"COSBASIS"),$B$3,$B$5,$B$6,$B$7,$B$9,AA$16,Z$17,AA$18),""))</f>
        <v>#NAME?</v>
      </c>
      <c r="AD73" s="28"/>
      <c r="AE73" s="29" t="str">
        <f>IF(AD73=0,"",IFERROR(AD73/_xll.EVGTS($B$1,1,_xll.EVPRO($B$1,$H73,"COSBASIS"),$B$3,$B$5,$B$6,$B$7,$B$9,AD$16,AD$17,AD$18),""))</f>
        <v/>
      </c>
      <c r="AF73" s="48" t="e">
        <f t="shared" ca="1" si="13"/>
        <v>#NAME?</v>
      </c>
      <c r="AG73" s="28"/>
      <c r="AH73" s="29" t="str">
        <f>IF(AG73=0,"",IFERROR(AG73/_xll.EVGTS($B$1,1,_xll.EVPRO($B$1,$H73,"COSBASIS"),$B$3,$B$5,$B$6,$B$7,$B$9,AG$16,AG$17,AG$18),""))</f>
        <v/>
      </c>
      <c r="AI73" s="48" t="e">
        <f t="shared" ca="1" si="15"/>
        <v>#NAME?</v>
      </c>
      <c r="AJ73" s="381">
        <f t="shared" ca="1" si="16"/>
        <v>0</v>
      </c>
      <c r="AK73" s="382">
        <f t="shared" ca="1" si="17"/>
        <v>0</v>
      </c>
      <c r="AL73" s="383">
        <f t="shared" ca="1" si="18"/>
        <v>0</v>
      </c>
      <c r="AM73" s="384">
        <f t="shared" ca="1" si="19"/>
        <v>0</v>
      </c>
      <c r="AN73" s="385">
        <f t="shared" ca="1" si="20"/>
        <v>0</v>
      </c>
    </row>
    <row r="74" spans="1:40" x14ac:dyDescent="0.2">
      <c r="A74" s="6" t="s">
        <v>47</v>
      </c>
      <c r="B74" s="7" t="e">
        <f ca="1">_xll.EVRNG($A$79:$B$100)</f>
        <v>#NAME?</v>
      </c>
      <c r="H74" s="10" t="s">
        <v>289</v>
      </c>
      <c r="I74" s="447" t="e">
        <f ca="1">_xll.EVPRO($B$1,$H74,"STYLE")</f>
        <v>#NAME?</v>
      </c>
      <c r="J74" s="447" t="e">
        <f ca="1">_xll.EVPRO($B$1,$H74,"CALC")</f>
        <v>#NAME?</v>
      </c>
      <c r="K74" s="448" t="e">
        <f t="shared" ca="1" si="14"/>
        <v>#NAME?</v>
      </c>
      <c r="L74" s="151" t="e">
        <f ca="1">_xll.EVPRO($B$1,H74,"JDEID")</f>
        <v>#NAME?</v>
      </c>
      <c r="M74" s="151" t="e">
        <f ca="1">IF(AND(I74="N",J74="N"),_xll.EVPRO($B$1,H74,"PSFTID"),"")</f>
        <v>#NAME?</v>
      </c>
      <c r="N74" s="151" t="e">
        <f ca="1">IF(_xll.EVDES(H74,$B$1)="#NODATA","",_xll.EVDES(H74,$B$1))</f>
        <v>#NAME?</v>
      </c>
      <c r="O74" s="120">
        <v>677.06</v>
      </c>
      <c r="P74" s="120">
        <v>291.47000000000003</v>
      </c>
      <c r="Q74" s="120">
        <v>711</v>
      </c>
      <c r="R74" s="120">
        <v>642.24</v>
      </c>
      <c r="S74" s="120">
        <v>294.5</v>
      </c>
      <c r="T74" s="120">
        <v>206.68</v>
      </c>
      <c r="U74" s="120">
        <v>520.26</v>
      </c>
      <c r="V74" s="120">
        <v>165.54</v>
      </c>
      <c r="W74" s="120">
        <v>348.76</v>
      </c>
      <c r="X74" s="120">
        <v>319.45</v>
      </c>
      <c r="Y74" s="120">
        <v>767.44</v>
      </c>
      <c r="Z74" s="120">
        <v>180.6</v>
      </c>
      <c r="AA74" s="120" t="e">
        <f t="shared" ca="1" si="12"/>
        <v>#NAME?</v>
      </c>
      <c r="AB74" s="121" t="e">
        <f ca="1">IF(AA74=0,"",IFERROR(AA74/_xll.EVGTS($B$1,1,_xll.EVPRO($B$1,$H74,"COSBASIS"),$B$3,$B$5,$B$6,$B$7,$B$9,AA$16,Z$17,AA$18),""))</f>
        <v>#NAME?</v>
      </c>
      <c r="AC74" s="123"/>
      <c r="AD74" s="120">
        <v>7070.1959399999996</v>
      </c>
      <c r="AE74" s="121" t="str">
        <f ca="1">IF(AD74=0,"",IFERROR(AD74/_xll.EVGTS($B$1,1,_xll.EVPRO($B$1,$H74,"COSBASIS"),$B$3,$B$5,$B$6,$B$7,$B$9,AD$16,AD$17,AD$18),""))</f>
        <v/>
      </c>
      <c r="AF74" s="122" t="e">
        <f t="shared" ca="1" si="13"/>
        <v>#NAME?</v>
      </c>
      <c r="AG74" s="120">
        <v>7208.72</v>
      </c>
      <c r="AH74" s="121" t="str">
        <f ca="1">IF(AG74=0,"",IFERROR(AG74/_xll.EVGTS($B$1,1,_xll.EVPRO($B$1,$H74,"COSBASIS"),$B$3,$B$5,$B$6,$B$7,$B$9,AG$16,AG$17,AG$18),""))</f>
        <v/>
      </c>
      <c r="AI74" s="122" t="e">
        <f t="shared" ca="1" si="15"/>
        <v>#NAME?</v>
      </c>
      <c r="AJ74" s="332">
        <f t="shared" ca="1" si="16"/>
        <v>0</v>
      </c>
      <c r="AK74" s="333">
        <f t="shared" ca="1" si="17"/>
        <v>0</v>
      </c>
      <c r="AL74" s="335">
        <f t="shared" ca="1" si="18"/>
        <v>0</v>
      </c>
      <c r="AM74" s="377">
        <f t="shared" ca="1" si="19"/>
        <v>0</v>
      </c>
      <c r="AN74" s="378">
        <f t="shared" ca="1" si="20"/>
        <v>0</v>
      </c>
    </row>
    <row r="75" spans="1:40" x14ac:dyDescent="0.2">
      <c r="A75" s="6" t="s">
        <v>8</v>
      </c>
      <c r="B75" s="7"/>
      <c r="I75" s="1"/>
      <c r="J75" s="1"/>
      <c r="O75" s="50"/>
      <c r="AB75" s="51"/>
      <c r="AD75" s="50"/>
      <c r="AF75" s="51"/>
      <c r="AG75" s="50"/>
      <c r="AI75" s="51"/>
    </row>
    <row r="76" spans="1:40" x14ac:dyDescent="0.2">
      <c r="H76" s="1" t="s">
        <v>81</v>
      </c>
      <c r="I76" s="1" t="e">
        <f ca="1">_xll.EVPRO($B$1,$H76,"STYLE")</f>
        <v>#NAME?</v>
      </c>
      <c r="J76" s="1" t="e">
        <f ca="1">_xll.EVPRO($B$1,$H76,"CALC")</f>
        <v>#NAME?</v>
      </c>
      <c r="N76" s="37" t="e">
        <f ca="1">IF(_xll.EVDES(H76,$B$1)="#NODATA","",_xll.EVDES(H76,$B$1))</f>
        <v>#NAME?</v>
      </c>
      <c r="O76" s="50"/>
      <c r="AB76" s="51"/>
      <c r="AD76" s="50"/>
      <c r="AF76" s="51"/>
      <c r="AG76" s="50"/>
      <c r="AI76" s="51"/>
    </row>
    <row r="77" spans="1:40" x14ac:dyDescent="0.2">
      <c r="G77" s="1" t="s">
        <v>450</v>
      </c>
      <c r="H77" s="10" t="s">
        <v>424</v>
      </c>
      <c r="I77" s="25" t="e">
        <f ca="1">_xll.EVPRO($B$1,$H77,"STYLE")</f>
        <v>#NAME?</v>
      </c>
      <c r="J77" s="25" t="e">
        <f ca="1">_xll.EVPRO($B$1,$H77,"CALC")</f>
        <v>#NAME?</v>
      </c>
      <c r="K77" s="24"/>
      <c r="L77" s="24"/>
      <c r="M77" s="24"/>
      <c r="N77" s="24" t="str">
        <f>G77</f>
        <v>Guest Communication</v>
      </c>
      <c r="O77" s="19">
        <f>IFERROR(O34-O56,"")</f>
        <v>-5.6</v>
      </c>
      <c r="P77" s="19">
        <f t="shared" ref="P77:Z77" si="21">IFERROR(P34-P56,"")</f>
        <v>30.04</v>
      </c>
      <c r="Q77" s="19">
        <f t="shared" si="21"/>
        <v>27.72</v>
      </c>
      <c r="R77" s="19">
        <f t="shared" si="21"/>
        <v>26.53</v>
      </c>
      <c r="S77" s="19">
        <f t="shared" si="21"/>
        <v>19.36</v>
      </c>
      <c r="T77" s="19">
        <f t="shared" si="21"/>
        <v>68.259999999999991</v>
      </c>
      <c r="U77" s="19">
        <f t="shared" si="21"/>
        <v>49.370000000000005</v>
      </c>
      <c r="V77" s="19">
        <f t="shared" si="21"/>
        <v>106.65</v>
      </c>
      <c r="W77" s="19">
        <f t="shared" si="21"/>
        <v>43.5</v>
      </c>
      <c r="X77" s="19">
        <f t="shared" si="21"/>
        <v>34.5</v>
      </c>
      <c r="Y77" s="19">
        <f t="shared" si="21"/>
        <v>19.64</v>
      </c>
      <c r="Z77" s="19">
        <f t="shared" si="21"/>
        <v>368.74</v>
      </c>
      <c r="AA77" s="283" t="e">
        <f ca="1">IF($I77="B1","",SUM(O77:Z77))</f>
        <v>#NAME?</v>
      </c>
      <c r="AB77" s="15" t="e">
        <f ca="1">IF(AA77=0,"",IFERROR(AA77/AA34,""))</f>
        <v>#NAME?</v>
      </c>
      <c r="AD77" s="19">
        <f>IFERROR(AD34-AD56,"")</f>
        <v>654.15606000000002</v>
      </c>
      <c r="AE77" s="15">
        <f>IF(AD77=0,"",IFERROR(AD77/AD34,""))</f>
        <v>0.54200000000000004</v>
      </c>
      <c r="AF77" s="47" t="e">
        <f ca="1">IF(AND($AA77="",AD77=""),"",$AA77-AD77)</f>
        <v>#NAME?</v>
      </c>
      <c r="AG77" s="19">
        <f>IFERROR(AG34-AG56,"")</f>
        <v>382.07000000000005</v>
      </c>
      <c r="AH77" s="15">
        <f>IF(AG77=0,"",IFERROR(AG77/AG34,""))</f>
        <v>0.30282158991836416</v>
      </c>
      <c r="AI77" s="47" t="e">
        <f ca="1">IF(AND($AA77="",AG77=""),"",$AA77-AG77)</f>
        <v>#NAME?</v>
      </c>
      <c r="AJ77" s="371">
        <f ca="1">IFERROR(AA77/AA$20,0)</f>
        <v>0</v>
      </c>
      <c r="AK77" s="372">
        <f ca="1">IFERROR(AD77/AD$20,0)</f>
        <v>0</v>
      </c>
      <c r="AL77" s="373">
        <f ca="1">IFERROR(AG77/AG$20,0)</f>
        <v>0</v>
      </c>
      <c r="AM77" s="374">
        <f ca="1">+IFERROR(ROUND(($AB77-AE77)*100,2)&amp;" pts.",0)</f>
        <v>0</v>
      </c>
      <c r="AN77" s="375">
        <f ca="1">+IFERROR(ROUND(($AB77-AH77)*100,2)&amp;" pts.",0)</f>
        <v>0</v>
      </c>
    </row>
    <row r="78" spans="1:40" x14ac:dyDescent="0.2">
      <c r="A78" s="3" t="s">
        <v>23</v>
      </c>
      <c r="B78" s="5" t="s">
        <v>24</v>
      </c>
      <c r="G78" s="1" t="s">
        <v>451</v>
      </c>
      <c r="H78" s="10" t="s">
        <v>425</v>
      </c>
      <c r="I78" s="25" t="e">
        <f ca="1">_xll.EVPRO($B$1,$H78,"STYLE")</f>
        <v>#NAME?</v>
      </c>
      <c r="J78" s="25" t="e">
        <f ca="1">_xll.EVPRO($B$1,$H78,"CALC")</f>
        <v>#NAME?</v>
      </c>
      <c r="K78" s="24"/>
      <c r="L78" s="24"/>
      <c r="M78" s="24"/>
      <c r="N78" s="24" t="str">
        <f t="shared" ref="N78:N94" si="22">G78</f>
        <v>Movie</v>
      </c>
      <c r="O78" s="19">
        <f t="shared" ref="O78:Z78" si="23">IFERROR(O35-O57,"")</f>
        <v>0</v>
      </c>
      <c r="P78" s="19">
        <f t="shared" si="23"/>
        <v>0</v>
      </c>
      <c r="Q78" s="19">
        <f t="shared" si="23"/>
        <v>0</v>
      </c>
      <c r="R78" s="19">
        <f t="shared" si="23"/>
        <v>0</v>
      </c>
      <c r="S78" s="19">
        <f t="shared" si="23"/>
        <v>0</v>
      </c>
      <c r="T78" s="19">
        <f t="shared" si="23"/>
        <v>0</v>
      </c>
      <c r="U78" s="19">
        <f t="shared" si="23"/>
        <v>0</v>
      </c>
      <c r="V78" s="19">
        <f t="shared" si="23"/>
        <v>0</v>
      </c>
      <c r="W78" s="19">
        <f t="shared" si="23"/>
        <v>0</v>
      </c>
      <c r="X78" s="19">
        <f t="shared" si="23"/>
        <v>0</v>
      </c>
      <c r="Y78" s="19">
        <f t="shared" si="23"/>
        <v>0</v>
      </c>
      <c r="Z78" s="19">
        <f t="shared" si="23"/>
        <v>0</v>
      </c>
      <c r="AA78" s="283" t="e">
        <f t="shared" ref="AA78:AA94" ca="1" si="24">IF($I78="B1","",SUM(O78:Z78))</f>
        <v>#NAME?</v>
      </c>
      <c r="AB78" s="15" t="e">
        <f t="shared" ref="AB78:AB94" ca="1" si="25">IF(AA78=0,"",IFERROR(AA78/AA35,""))</f>
        <v>#NAME?</v>
      </c>
      <c r="AD78" s="19">
        <f t="shared" ref="AD78:AD94" si="26">IFERROR(AD35-AD57,"")</f>
        <v>0</v>
      </c>
      <c r="AE78" s="15" t="str">
        <f t="shared" ref="AE78:AE94" si="27">IF(AD78=0,"",IFERROR(AD78/AD35,""))</f>
        <v/>
      </c>
      <c r="AF78" s="47" t="e">
        <f t="shared" ref="AF78:AF94" ca="1" si="28">IF(AND($AA78="",AD78=""),"",$AA78-AD78)</f>
        <v>#NAME?</v>
      </c>
      <c r="AG78" s="19">
        <f t="shared" ref="AG78:AG94" si="29">IFERROR(AG35-AG57,"")</f>
        <v>0</v>
      </c>
      <c r="AH78" s="15" t="str">
        <f t="shared" ref="AH78:AH94" si="30">IF(AG78=0,"",IFERROR(AG78/AG35,""))</f>
        <v/>
      </c>
      <c r="AI78" s="47" t="e">
        <f t="shared" ref="AI78:AI94" ca="1" si="31">IF(AND($AA78="",AG78=""),"",$AA78-AG78)</f>
        <v>#NAME?</v>
      </c>
      <c r="AJ78" s="371">
        <f t="shared" ref="AJ78:AJ94" ca="1" si="32">IFERROR(AA78/AA$20,0)</f>
        <v>0</v>
      </c>
      <c r="AK78" s="372">
        <f t="shared" ref="AK78:AK94" ca="1" si="33">IFERROR(AD78/AD$20,0)</f>
        <v>0</v>
      </c>
      <c r="AL78" s="373">
        <f t="shared" ref="AL78:AL94" ca="1" si="34">IFERROR(AG78/AG$20,0)</f>
        <v>0</v>
      </c>
      <c r="AM78" s="374">
        <f t="shared" ref="AM78:AM94" ca="1" si="35">+IFERROR(ROUND(($AB78-AE78)*100,2)&amp;" pts.",0)</f>
        <v>0</v>
      </c>
      <c r="AN78" s="375">
        <f t="shared" ref="AN78:AN94" ca="1" si="36">+IFERROR(ROUND(($AB78-AH78)*100,2)&amp;" pts.",0)</f>
        <v>0</v>
      </c>
    </row>
    <row r="79" spans="1:40" x14ac:dyDescent="0.2">
      <c r="A79" s="6" t="s">
        <v>25</v>
      </c>
      <c r="B79" s="7"/>
      <c r="G79" s="1" t="s">
        <v>452</v>
      </c>
      <c r="H79" s="10" t="s">
        <v>426</v>
      </c>
      <c r="I79" s="25" t="e">
        <f ca="1">_xll.EVPRO($B$1,$H79,"STYLE")</f>
        <v>#NAME?</v>
      </c>
      <c r="J79" s="25" t="e">
        <f ca="1">_xll.EVPRO($B$1,$H79,"CALC")</f>
        <v>#NAME?</v>
      </c>
      <c r="K79" s="24"/>
      <c r="L79" s="24"/>
      <c r="M79" s="24"/>
      <c r="N79" s="24" t="str">
        <f t="shared" si="22"/>
        <v>Guest Laundry</v>
      </c>
      <c r="O79" s="19">
        <f t="shared" ref="O79:Z79" si="37">IFERROR(O36-O58,"")</f>
        <v>169.59000000000003</v>
      </c>
      <c r="P79" s="19">
        <f t="shared" si="37"/>
        <v>75.13</v>
      </c>
      <c r="Q79" s="19">
        <f t="shared" si="37"/>
        <v>76.789999999999964</v>
      </c>
      <c r="R79" s="19">
        <f t="shared" si="37"/>
        <v>144.77999999999997</v>
      </c>
      <c r="S79" s="19">
        <f t="shared" si="37"/>
        <v>47.779999999999973</v>
      </c>
      <c r="T79" s="19">
        <f t="shared" si="37"/>
        <v>42.53</v>
      </c>
      <c r="U79" s="19">
        <f t="shared" si="37"/>
        <v>140.01</v>
      </c>
      <c r="V79" s="19">
        <f t="shared" si="37"/>
        <v>15.949999999999989</v>
      </c>
      <c r="W79" s="19">
        <f t="shared" si="37"/>
        <v>88.220000000000027</v>
      </c>
      <c r="X79" s="19">
        <f t="shared" si="37"/>
        <v>81.920000000000016</v>
      </c>
      <c r="Y79" s="19">
        <f t="shared" si="37"/>
        <v>216.04999999999995</v>
      </c>
      <c r="Z79" s="19">
        <f t="shared" si="37"/>
        <v>-33.75</v>
      </c>
      <c r="AA79" s="283" t="e">
        <f t="shared" ca="1" si="24"/>
        <v>#NAME?</v>
      </c>
      <c r="AB79" s="15" t="e">
        <f t="shared" ca="1" si="25"/>
        <v>#NAME?</v>
      </c>
      <c r="AD79" s="19">
        <f t="shared" si="26"/>
        <v>724.15800000000036</v>
      </c>
      <c r="AE79" s="15">
        <f t="shared" si="27"/>
        <v>0.10000000000000005</v>
      </c>
      <c r="AF79" s="47" t="e">
        <f t="shared" ca="1" si="28"/>
        <v>#NAME?</v>
      </c>
      <c r="AG79" s="19">
        <f t="shared" si="29"/>
        <v>767.59999999999945</v>
      </c>
      <c r="AH79" s="15">
        <f t="shared" si="30"/>
        <v>0.10816310138952095</v>
      </c>
      <c r="AI79" s="47" t="e">
        <f t="shared" ca="1" si="31"/>
        <v>#NAME?</v>
      </c>
      <c r="AJ79" s="371">
        <f t="shared" ca="1" si="32"/>
        <v>0</v>
      </c>
      <c r="AK79" s="372">
        <f t="shared" ca="1" si="33"/>
        <v>0</v>
      </c>
      <c r="AL79" s="373">
        <f t="shared" ca="1" si="34"/>
        <v>0</v>
      </c>
      <c r="AM79" s="374">
        <f t="shared" ca="1" si="35"/>
        <v>0</v>
      </c>
      <c r="AN79" s="375">
        <f t="shared" ca="1" si="36"/>
        <v>0</v>
      </c>
    </row>
    <row r="80" spans="1:40" x14ac:dyDescent="0.2">
      <c r="A80" s="6" t="s">
        <v>26</v>
      </c>
      <c r="B80" s="7"/>
      <c r="G80" s="1" t="s">
        <v>453</v>
      </c>
      <c r="H80" s="10" t="s">
        <v>427</v>
      </c>
      <c r="I80" s="25" t="e">
        <f ca="1">_xll.EVPRO($B$1,$H80,"STYLE")</f>
        <v>#NAME?</v>
      </c>
      <c r="J80" s="25" t="e">
        <f ca="1">_xll.EVPRO($B$1,$H80,"CALC")</f>
        <v>#NAME?</v>
      </c>
      <c r="K80" s="24"/>
      <c r="L80" s="24"/>
      <c r="M80" s="24"/>
      <c r="N80" s="24" t="str">
        <f t="shared" si="22"/>
        <v>In Room Fax</v>
      </c>
      <c r="O80" s="19">
        <f t="shared" ref="O80:Z80" si="38">IFERROR(O37-O59,"")</f>
        <v>0</v>
      </c>
      <c r="P80" s="19">
        <f t="shared" si="38"/>
        <v>0</v>
      </c>
      <c r="Q80" s="19">
        <f t="shared" si="38"/>
        <v>0</v>
      </c>
      <c r="R80" s="19">
        <f t="shared" si="38"/>
        <v>0</v>
      </c>
      <c r="S80" s="19">
        <f t="shared" si="38"/>
        <v>0</v>
      </c>
      <c r="T80" s="19">
        <f t="shared" si="38"/>
        <v>0</v>
      </c>
      <c r="U80" s="19">
        <f t="shared" si="38"/>
        <v>0</v>
      </c>
      <c r="V80" s="19">
        <f t="shared" si="38"/>
        <v>0</v>
      </c>
      <c r="W80" s="19">
        <f t="shared" si="38"/>
        <v>0</v>
      </c>
      <c r="X80" s="19">
        <f t="shared" si="38"/>
        <v>0</v>
      </c>
      <c r="Y80" s="19">
        <f t="shared" si="38"/>
        <v>0</v>
      </c>
      <c r="Z80" s="19">
        <f t="shared" si="38"/>
        <v>0</v>
      </c>
      <c r="AA80" s="283" t="e">
        <f t="shared" ca="1" si="24"/>
        <v>#NAME?</v>
      </c>
      <c r="AB80" s="15" t="e">
        <f t="shared" ca="1" si="25"/>
        <v>#NAME?</v>
      </c>
      <c r="AD80" s="19">
        <f t="shared" si="26"/>
        <v>0</v>
      </c>
      <c r="AE80" s="15" t="str">
        <f t="shared" si="27"/>
        <v/>
      </c>
      <c r="AF80" s="47" t="e">
        <f t="shared" ca="1" si="28"/>
        <v>#NAME?</v>
      </c>
      <c r="AG80" s="19">
        <f t="shared" si="29"/>
        <v>0</v>
      </c>
      <c r="AH80" s="15" t="str">
        <f t="shared" si="30"/>
        <v/>
      </c>
      <c r="AI80" s="47" t="e">
        <f t="shared" ca="1" si="31"/>
        <v>#NAME?</v>
      </c>
      <c r="AJ80" s="371">
        <f t="shared" ca="1" si="32"/>
        <v>0</v>
      </c>
      <c r="AK80" s="372">
        <f t="shared" ca="1" si="33"/>
        <v>0</v>
      </c>
      <c r="AL80" s="373">
        <f t="shared" ca="1" si="34"/>
        <v>0</v>
      </c>
      <c r="AM80" s="374">
        <f t="shared" ca="1" si="35"/>
        <v>0</v>
      </c>
      <c r="AN80" s="375">
        <f t="shared" ca="1" si="36"/>
        <v>0</v>
      </c>
    </row>
    <row r="81" spans="1:40" x14ac:dyDescent="0.2">
      <c r="A81" s="6" t="s">
        <v>27</v>
      </c>
      <c r="B81" s="7"/>
      <c r="G81" s="1" t="s">
        <v>454</v>
      </c>
      <c r="H81" s="10" t="s">
        <v>428</v>
      </c>
      <c r="I81" s="25" t="e">
        <f ca="1">_xll.EVPRO($B$1,$H81,"STYLE")</f>
        <v>#NAME?</v>
      </c>
      <c r="J81" s="25" t="e">
        <f ca="1">_xll.EVPRO($B$1,$H81,"CALC")</f>
        <v>#NAME?</v>
      </c>
      <c r="K81" s="24"/>
      <c r="L81" s="24"/>
      <c r="M81" s="24"/>
      <c r="N81" s="24" t="str">
        <f t="shared" si="22"/>
        <v>In Room Items</v>
      </c>
      <c r="O81" s="19">
        <f t="shared" ref="O81:Z81" si="39">IFERROR(O38-O60,"")</f>
        <v>937</v>
      </c>
      <c r="P81" s="19">
        <f t="shared" si="39"/>
        <v>1056</v>
      </c>
      <c r="Q81" s="19">
        <f t="shared" si="39"/>
        <v>1699</v>
      </c>
      <c r="R81" s="19">
        <f t="shared" si="39"/>
        <v>648</v>
      </c>
      <c r="S81" s="19">
        <f t="shared" si="39"/>
        <v>324.75</v>
      </c>
      <c r="T81" s="19">
        <f t="shared" si="39"/>
        <v>654</v>
      </c>
      <c r="U81" s="19">
        <f t="shared" si="39"/>
        <v>936.4</v>
      </c>
      <c r="V81" s="19">
        <f t="shared" si="39"/>
        <v>612.55999999999995</v>
      </c>
      <c r="W81" s="19">
        <f t="shared" si="39"/>
        <v>385</v>
      </c>
      <c r="X81" s="19">
        <f t="shared" si="39"/>
        <v>953</v>
      </c>
      <c r="Y81" s="19">
        <f t="shared" si="39"/>
        <v>1025</v>
      </c>
      <c r="Z81" s="19">
        <f t="shared" si="39"/>
        <v>1415</v>
      </c>
      <c r="AA81" s="283" t="e">
        <f t="shared" ca="1" si="24"/>
        <v>#NAME?</v>
      </c>
      <c r="AB81" s="15" t="e">
        <f t="shared" ca="1" si="25"/>
        <v>#NAME?</v>
      </c>
      <c r="AD81" s="19">
        <f t="shared" si="26"/>
        <v>7643.89</v>
      </c>
      <c r="AE81" s="15">
        <f t="shared" si="27"/>
        <v>1</v>
      </c>
      <c r="AF81" s="47" t="e">
        <f t="shared" ca="1" si="28"/>
        <v>#NAME?</v>
      </c>
      <c r="AG81" s="19">
        <f t="shared" si="29"/>
        <v>7507.94</v>
      </c>
      <c r="AH81" s="15">
        <f t="shared" si="30"/>
        <v>1</v>
      </c>
      <c r="AI81" s="47" t="e">
        <f t="shared" ca="1" si="31"/>
        <v>#NAME?</v>
      </c>
      <c r="AJ81" s="371">
        <f t="shared" ca="1" si="32"/>
        <v>0</v>
      </c>
      <c r="AK81" s="372">
        <f t="shared" ca="1" si="33"/>
        <v>0</v>
      </c>
      <c r="AL81" s="373">
        <f t="shared" ca="1" si="34"/>
        <v>0</v>
      </c>
      <c r="AM81" s="374">
        <f t="shared" ca="1" si="35"/>
        <v>0</v>
      </c>
      <c r="AN81" s="375">
        <f t="shared" ca="1" si="36"/>
        <v>0</v>
      </c>
    </row>
    <row r="82" spans="1:40" x14ac:dyDescent="0.2">
      <c r="A82" s="6" t="s">
        <v>28</v>
      </c>
      <c r="B82" s="7"/>
      <c r="G82" s="1" t="s">
        <v>455</v>
      </c>
      <c r="H82" s="10" t="s">
        <v>429</v>
      </c>
      <c r="I82" s="25" t="e">
        <f ca="1">_xll.EVPRO($B$1,$H82,"STYLE")</f>
        <v>#NAME?</v>
      </c>
      <c r="J82" s="25" t="e">
        <f ca="1">_xll.EVPRO($B$1,$H82,"CALC")</f>
        <v>#NAME?</v>
      </c>
      <c r="K82" s="24"/>
      <c r="L82" s="24"/>
      <c r="M82" s="24"/>
      <c r="N82" s="24" t="str">
        <f t="shared" si="22"/>
        <v>Massage</v>
      </c>
      <c r="O82" s="19">
        <f t="shared" ref="O82:Z82" si="40">IFERROR(O39-O61,"")</f>
        <v>0</v>
      </c>
      <c r="P82" s="19">
        <f t="shared" si="40"/>
        <v>0</v>
      </c>
      <c r="Q82" s="19">
        <f t="shared" si="40"/>
        <v>0</v>
      </c>
      <c r="R82" s="19">
        <f t="shared" si="40"/>
        <v>0</v>
      </c>
      <c r="S82" s="19">
        <f t="shared" si="40"/>
        <v>0</v>
      </c>
      <c r="T82" s="19">
        <f t="shared" si="40"/>
        <v>0</v>
      </c>
      <c r="U82" s="19">
        <f t="shared" si="40"/>
        <v>0</v>
      </c>
      <c r="V82" s="19">
        <f t="shared" si="40"/>
        <v>0</v>
      </c>
      <c r="W82" s="19">
        <f t="shared" si="40"/>
        <v>0</v>
      </c>
      <c r="X82" s="19">
        <f t="shared" si="40"/>
        <v>0</v>
      </c>
      <c r="Y82" s="19">
        <f t="shared" si="40"/>
        <v>0</v>
      </c>
      <c r="Z82" s="19">
        <f t="shared" si="40"/>
        <v>0</v>
      </c>
      <c r="AA82" s="283" t="e">
        <f t="shared" ca="1" si="24"/>
        <v>#NAME?</v>
      </c>
      <c r="AB82" s="15" t="e">
        <f t="shared" ca="1" si="25"/>
        <v>#NAME?</v>
      </c>
      <c r="AD82" s="19">
        <f t="shared" si="26"/>
        <v>0</v>
      </c>
      <c r="AE82" s="15" t="str">
        <f t="shared" si="27"/>
        <v/>
      </c>
      <c r="AF82" s="47" t="e">
        <f t="shared" ca="1" si="28"/>
        <v>#NAME?</v>
      </c>
      <c r="AG82" s="19">
        <f t="shared" si="29"/>
        <v>0</v>
      </c>
      <c r="AH82" s="15" t="str">
        <f t="shared" si="30"/>
        <v/>
      </c>
      <c r="AI82" s="47" t="e">
        <f t="shared" ca="1" si="31"/>
        <v>#NAME?</v>
      </c>
      <c r="AJ82" s="371">
        <f t="shared" ca="1" si="32"/>
        <v>0</v>
      </c>
      <c r="AK82" s="372">
        <f t="shared" ca="1" si="33"/>
        <v>0</v>
      </c>
      <c r="AL82" s="373">
        <f t="shared" ca="1" si="34"/>
        <v>0</v>
      </c>
      <c r="AM82" s="374">
        <f t="shared" ca="1" si="35"/>
        <v>0</v>
      </c>
      <c r="AN82" s="375">
        <f t="shared" ca="1" si="36"/>
        <v>0</v>
      </c>
    </row>
    <row r="83" spans="1:40" x14ac:dyDescent="0.2">
      <c r="A83" s="6" t="s">
        <v>29</v>
      </c>
      <c r="B83" s="7"/>
      <c r="G83" s="1" t="s">
        <v>487</v>
      </c>
      <c r="H83" s="10" t="s">
        <v>430</v>
      </c>
      <c r="I83" s="25" t="e">
        <f ca="1">_xll.EVPRO($B$1,$H83,"STYLE")</f>
        <v>#NAME?</v>
      </c>
      <c r="J83" s="25" t="e">
        <f ca="1">_xll.EVPRO($B$1,$H83,"CALC")</f>
        <v>#NAME?</v>
      </c>
      <c r="K83" s="24"/>
      <c r="L83" s="24"/>
      <c r="M83" s="24"/>
      <c r="N83" s="24" t="str">
        <f t="shared" si="22"/>
        <v>Gym Pass</v>
      </c>
      <c r="O83" s="19">
        <f t="shared" ref="O83:Z83" si="41">IFERROR(O40-O62,"")</f>
        <v>0</v>
      </c>
      <c r="P83" s="19">
        <f t="shared" si="41"/>
        <v>0</v>
      </c>
      <c r="Q83" s="19">
        <f t="shared" si="41"/>
        <v>0</v>
      </c>
      <c r="R83" s="19">
        <f t="shared" si="41"/>
        <v>0</v>
      </c>
      <c r="S83" s="19">
        <f t="shared" si="41"/>
        <v>0</v>
      </c>
      <c r="T83" s="19">
        <f t="shared" si="41"/>
        <v>0</v>
      </c>
      <c r="U83" s="19">
        <f t="shared" si="41"/>
        <v>0</v>
      </c>
      <c r="V83" s="19">
        <f t="shared" si="41"/>
        <v>0</v>
      </c>
      <c r="W83" s="19">
        <f t="shared" si="41"/>
        <v>0</v>
      </c>
      <c r="X83" s="19">
        <f t="shared" si="41"/>
        <v>0</v>
      </c>
      <c r="Y83" s="19">
        <f t="shared" si="41"/>
        <v>0</v>
      </c>
      <c r="Z83" s="19">
        <f t="shared" si="41"/>
        <v>0</v>
      </c>
      <c r="AA83" s="283" t="e">
        <f t="shared" ca="1" si="24"/>
        <v>#NAME?</v>
      </c>
      <c r="AB83" s="15" t="e">
        <f t="shared" ca="1" si="25"/>
        <v>#NAME?</v>
      </c>
      <c r="AD83" s="19">
        <f t="shared" si="26"/>
        <v>0</v>
      </c>
      <c r="AE83" s="15" t="str">
        <f t="shared" si="27"/>
        <v/>
      </c>
      <c r="AF83" s="47" t="e">
        <f t="shared" ca="1" si="28"/>
        <v>#NAME?</v>
      </c>
      <c r="AG83" s="19">
        <f t="shared" si="29"/>
        <v>0</v>
      </c>
      <c r="AH83" s="15" t="str">
        <f t="shared" si="30"/>
        <v/>
      </c>
      <c r="AI83" s="47" t="e">
        <f t="shared" ca="1" si="31"/>
        <v>#NAME?</v>
      </c>
      <c r="AJ83" s="371">
        <f t="shared" ca="1" si="32"/>
        <v>0</v>
      </c>
      <c r="AK83" s="372">
        <f t="shared" ca="1" si="33"/>
        <v>0</v>
      </c>
      <c r="AL83" s="373">
        <f t="shared" ca="1" si="34"/>
        <v>0</v>
      </c>
      <c r="AM83" s="374">
        <f t="shared" ca="1" si="35"/>
        <v>0</v>
      </c>
      <c r="AN83" s="375">
        <f t="shared" ca="1" si="36"/>
        <v>0</v>
      </c>
    </row>
    <row r="84" spans="1:40" x14ac:dyDescent="0.2">
      <c r="A84" s="6" t="s">
        <v>30</v>
      </c>
      <c r="B84" s="7" t="s">
        <v>78</v>
      </c>
      <c r="G84" s="1" t="s">
        <v>488</v>
      </c>
      <c r="H84" s="10" t="s">
        <v>475</v>
      </c>
      <c r="I84" s="25" t="e">
        <f ca="1">_xll.EVPRO($B$1,$H84,"STYLE")</f>
        <v>#NAME?</v>
      </c>
      <c r="J84" s="25" t="e">
        <f ca="1">_xll.EVPRO($B$1,$H84,"CALC")</f>
        <v>#NAME?</v>
      </c>
      <c r="K84" s="24"/>
      <c r="L84" s="24"/>
      <c r="M84" s="24"/>
      <c r="N84" s="24" t="str">
        <f t="shared" si="22"/>
        <v>Shared Facilities &amp; Services</v>
      </c>
      <c r="O84" s="19">
        <f t="shared" ref="O84:Z84" si="42">IFERROR(O41-O63,"")</f>
        <v>0</v>
      </c>
      <c r="P84" s="19">
        <f t="shared" si="42"/>
        <v>0</v>
      </c>
      <c r="Q84" s="19">
        <f t="shared" si="42"/>
        <v>0</v>
      </c>
      <c r="R84" s="19">
        <f t="shared" si="42"/>
        <v>0</v>
      </c>
      <c r="S84" s="19">
        <f t="shared" si="42"/>
        <v>0</v>
      </c>
      <c r="T84" s="19">
        <f t="shared" si="42"/>
        <v>0</v>
      </c>
      <c r="U84" s="19">
        <f t="shared" si="42"/>
        <v>0</v>
      </c>
      <c r="V84" s="19">
        <f t="shared" si="42"/>
        <v>0</v>
      </c>
      <c r="W84" s="19">
        <f t="shared" si="42"/>
        <v>0</v>
      </c>
      <c r="X84" s="19">
        <f t="shared" si="42"/>
        <v>0</v>
      </c>
      <c r="Y84" s="19">
        <f t="shared" si="42"/>
        <v>0</v>
      </c>
      <c r="Z84" s="19">
        <f t="shared" si="42"/>
        <v>0</v>
      </c>
      <c r="AA84" s="283" t="e">
        <f t="shared" ca="1" si="24"/>
        <v>#NAME?</v>
      </c>
      <c r="AB84" s="15" t="e">
        <f t="shared" ca="1" si="25"/>
        <v>#NAME?</v>
      </c>
      <c r="AD84" s="19">
        <f t="shared" si="26"/>
        <v>0</v>
      </c>
      <c r="AE84" s="15" t="str">
        <f t="shared" si="27"/>
        <v/>
      </c>
      <c r="AF84" s="47" t="e">
        <f t="shared" ca="1" si="28"/>
        <v>#NAME?</v>
      </c>
      <c r="AG84" s="19">
        <f t="shared" si="29"/>
        <v>0</v>
      </c>
      <c r="AH84" s="15" t="str">
        <f t="shared" si="30"/>
        <v/>
      </c>
      <c r="AI84" s="47" t="e">
        <f t="shared" ca="1" si="31"/>
        <v>#NAME?</v>
      </c>
      <c r="AJ84" s="371">
        <f t="shared" ca="1" si="32"/>
        <v>0</v>
      </c>
      <c r="AK84" s="372">
        <f t="shared" ca="1" si="33"/>
        <v>0</v>
      </c>
      <c r="AL84" s="373">
        <f t="shared" ca="1" si="34"/>
        <v>0</v>
      </c>
      <c r="AM84" s="374">
        <f t="shared" ca="1" si="35"/>
        <v>0</v>
      </c>
      <c r="AN84" s="375">
        <f t="shared" ca="1" si="36"/>
        <v>0</v>
      </c>
    </row>
    <row r="85" spans="1:40" x14ac:dyDescent="0.2">
      <c r="A85" s="6" t="s">
        <v>31</v>
      </c>
      <c r="B85" s="7" t="s">
        <v>78</v>
      </c>
      <c r="G85" s="1" t="s">
        <v>489</v>
      </c>
      <c r="H85" s="10" t="s">
        <v>476</v>
      </c>
      <c r="I85" s="25" t="e">
        <f ca="1">_xll.EVPRO($B$1,$H85,"STYLE")</f>
        <v>#NAME?</v>
      </c>
      <c r="J85" s="25" t="e">
        <f ca="1">_xll.EVPRO($B$1,$H85,"CALC")</f>
        <v>#NAME?</v>
      </c>
      <c r="K85" s="24"/>
      <c r="L85" s="24"/>
      <c r="M85" s="24"/>
      <c r="N85" s="24" t="str">
        <f t="shared" si="22"/>
        <v>Retail Kiosk</v>
      </c>
      <c r="O85" s="19">
        <f t="shared" ref="O85:Z85" si="43">IFERROR(O42-O64,"")</f>
        <v>0</v>
      </c>
      <c r="P85" s="19">
        <f t="shared" si="43"/>
        <v>0</v>
      </c>
      <c r="Q85" s="19">
        <f t="shared" si="43"/>
        <v>0</v>
      </c>
      <c r="R85" s="19">
        <f t="shared" si="43"/>
        <v>0</v>
      </c>
      <c r="S85" s="19">
        <f t="shared" si="43"/>
        <v>0</v>
      </c>
      <c r="T85" s="19">
        <f t="shared" si="43"/>
        <v>0</v>
      </c>
      <c r="U85" s="19">
        <f t="shared" si="43"/>
        <v>0</v>
      </c>
      <c r="V85" s="19">
        <f t="shared" si="43"/>
        <v>0</v>
      </c>
      <c r="W85" s="19">
        <f t="shared" si="43"/>
        <v>0</v>
      </c>
      <c r="X85" s="19">
        <f t="shared" si="43"/>
        <v>0</v>
      </c>
      <c r="Y85" s="19">
        <f t="shared" si="43"/>
        <v>0</v>
      </c>
      <c r="Z85" s="19">
        <f t="shared" si="43"/>
        <v>0</v>
      </c>
      <c r="AA85" s="283" t="e">
        <f t="shared" ca="1" si="24"/>
        <v>#NAME?</v>
      </c>
      <c r="AB85" s="15" t="e">
        <f t="shared" ca="1" si="25"/>
        <v>#NAME?</v>
      </c>
      <c r="AD85" s="19">
        <f t="shared" si="26"/>
        <v>0</v>
      </c>
      <c r="AE85" s="15" t="str">
        <f t="shared" si="27"/>
        <v/>
      </c>
      <c r="AF85" s="47" t="e">
        <f t="shared" ca="1" si="28"/>
        <v>#NAME?</v>
      </c>
      <c r="AG85" s="19">
        <f t="shared" si="29"/>
        <v>0</v>
      </c>
      <c r="AH85" s="15" t="str">
        <f t="shared" si="30"/>
        <v/>
      </c>
      <c r="AI85" s="47" t="e">
        <f t="shared" ca="1" si="31"/>
        <v>#NAME?</v>
      </c>
      <c r="AJ85" s="371">
        <f t="shared" ca="1" si="32"/>
        <v>0</v>
      </c>
      <c r="AK85" s="372">
        <f t="shared" ca="1" si="33"/>
        <v>0</v>
      </c>
      <c r="AL85" s="373">
        <f t="shared" ca="1" si="34"/>
        <v>0</v>
      </c>
      <c r="AM85" s="374">
        <f t="shared" ca="1" si="35"/>
        <v>0</v>
      </c>
      <c r="AN85" s="375">
        <f t="shared" ca="1" si="36"/>
        <v>0</v>
      </c>
    </row>
    <row r="86" spans="1:40" x14ac:dyDescent="0.2">
      <c r="A86" s="6" t="s">
        <v>32</v>
      </c>
      <c r="B86" s="7"/>
      <c r="G86" s="1" t="s">
        <v>490</v>
      </c>
      <c r="H86" s="10" t="s">
        <v>477</v>
      </c>
      <c r="I86" s="25" t="e">
        <f ca="1">_xll.EVPRO($B$1,$H86,"STYLE")</f>
        <v>#NAME?</v>
      </c>
      <c r="J86" s="25" t="e">
        <f ca="1">_xll.EVPRO($B$1,$H86,"CALC")</f>
        <v>#NAME?</v>
      </c>
      <c r="K86" s="24"/>
      <c r="L86" s="24"/>
      <c r="M86" s="24"/>
      <c r="N86" s="24" t="str">
        <f t="shared" si="22"/>
        <v>Vending Machines</v>
      </c>
      <c r="O86" s="19">
        <f t="shared" ref="O86:Z86" si="44">IFERROR(O43-O65,"")</f>
        <v>0</v>
      </c>
      <c r="P86" s="19">
        <f t="shared" si="44"/>
        <v>0</v>
      </c>
      <c r="Q86" s="19">
        <f t="shared" si="44"/>
        <v>0</v>
      </c>
      <c r="R86" s="19">
        <f t="shared" si="44"/>
        <v>0</v>
      </c>
      <c r="S86" s="19">
        <f t="shared" si="44"/>
        <v>0</v>
      </c>
      <c r="T86" s="19">
        <f t="shared" si="44"/>
        <v>0</v>
      </c>
      <c r="U86" s="19">
        <f t="shared" si="44"/>
        <v>0</v>
      </c>
      <c r="V86" s="19">
        <f t="shared" si="44"/>
        <v>0</v>
      </c>
      <c r="W86" s="19">
        <f t="shared" si="44"/>
        <v>0</v>
      </c>
      <c r="X86" s="19">
        <f t="shared" si="44"/>
        <v>0</v>
      </c>
      <c r="Y86" s="19">
        <f t="shared" si="44"/>
        <v>0</v>
      </c>
      <c r="Z86" s="19">
        <f t="shared" si="44"/>
        <v>0</v>
      </c>
      <c r="AA86" s="283" t="e">
        <f t="shared" ca="1" si="24"/>
        <v>#NAME?</v>
      </c>
      <c r="AB86" s="15" t="e">
        <f t="shared" ca="1" si="25"/>
        <v>#NAME?</v>
      </c>
      <c r="AD86" s="19">
        <f t="shared" si="26"/>
        <v>0</v>
      </c>
      <c r="AE86" s="15" t="str">
        <f t="shared" si="27"/>
        <v/>
      </c>
      <c r="AF86" s="47" t="e">
        <f t="shared" ca="1" si="28"/>
        <v>#NAME?</v>
      </c>
      <c r="AG86" s="19">
        <f t="shared" si="29"/>
        <v>0</v>
      </c>
      <c r="AH86" s="15" t="str">
        <f t="shared" si="30"/>
        <v/>
      </c>
      <c r="AI86" s="47" t="e">
        <f t="shared" ca="1" si="31"/>
        <v>#NAME?</v>
      </c>
      <c r="AJ86" s="371">
        <f t="shared" ca="1" si="32"/>
        <v>0</v>
      </c>
      <c r="AK86" s="372">
        <f t="shared" ca="1" si="33"/>
        <v>0</v>
      </c>
      <c r="AL86" s="373">
        <f t="shared" ca="1" si="34"/>
        <v>0</v>
      </c>
      <c r="AM86" s="374">
        <f t="shared" ca="1" si="35"/>
        <v>0</v>
      </c>
      <c r="AN86" s="375">
        <f t="shared" ca="1" si="36"/>
        <v>0</v>
      </c>
    </row>
    <row r="87" spans="1:40" x14ac:dyDescent="0.2">
      <c r="A87" s="6" t="s">
        <v>33</v>
      </c>
      <c r="B87" s="7"/>
      <c r="G87" s="1" t="s">
        <v>491</v>
      </c>
      <c r="H87" s="10" t="s">
        <v>478</v>
      </c>
      <c r="I87" s="25" t="e">
        <f ca="1">_xll.EVPRO($B$1,$H87,"STYLE")</f>
        <v>#NAME?</v>
      </c>
      <c r="J87" s="25" t="e">
        <f ca="1">_xll.EVPRO($B$1,$H87,"CALC")</f>
        <v>#NAME?</v>
      </c>
      <c r="K87" s="24"/>
      <c r="L87" s="24"/>
      <c r="M87" s="24"/>
      <c r="N87" s="24" t="str">
        <f t="shared" si="22"/>
        <v>Laundry Machines</v>
      </c>
      <c r="O87" s="19">
        <f t="shared" ref="O87:Z87" si="45">IFERROR(O44-O66,"")</f>
        <v>0</v>
      </c>
      <c r="P87" s="19">
        <f t="shared" si="45"/>
        <v>0</v>
      </c>
      <c r="Q87" s="19">
        <f t="shared" si="45"/>
        <v>0</v>
      </c>
      <c r="R87" s="19">
        <f t="shared" si="45"/>
        <v>0</v>
      </c>
      <c r="S87" s="19">
        <f t="shared" si="45"/>
        <v>0</v>
      </c>
      <c r="T87" s="19">
        <f t="shared" si="45"/>
        <v>0</v>
      </c>
      <c r="U87" s="19">
        <f t="shared" si="45"/>
        <v>0</v>
      </c>
      <c r="V87" s="19">
        <f t="shared" si="45"/>
        <v>0</v>
      </c>
      <c r="W87" s="19">
        <f t="shared" si="45"/>
        <v>0</v>
      </c>
      <c r="X87" s="19">
        <f t="shared" si="45"/>
        <v>0</v>
      </c>
      <c r="Y87" s="19">
        <f t="shared" si="45"/>
        <v>0</v>
      </c>
      <c r="Z87" s="19">
        <f t="shared" si="45"/>
        <v>0</v>
      </c>
      <c r="AA87" s="283" t="e">
        <f t="shared" ca="1" si="24"/>
        <v>#NAME?</v>
      </c>
      <c r="AB87" s="15" t="e">
        <f t="shared" ca="1" si="25"/>
        <v>#NAME?</v>
      </c>
      <c r="AD87" s="19">
        <f t="shared" si="26"/>
        <v>0</v>
      </c>
      <c r="AE87" s="15" t="str">
        <f t="shared" si="27"/>
        <v/>
      </c>
      <c r="AF87" s="47" t="e">
        <f t="shared" ca="1" si="28"/>
        <v>#NAME?</v>
      </c>
      <c r="AG87" s="19">
        <f t="shared" si="29"/>
        <v>0</v>
      </c>
      <c r="AH87" s="15" t="str">
        <f t="shared" si="30"/>
        <v/>
      </c>
      <c r="AI87" s="47" t="e">
        <f t="shared" ca="1" si="31"/>
        <v>#NAME?</v>
      </c>
      <c r="AJ87" s="371">
        <f t="shared" ca="1" si="32"/>
        <v>0</v>
      </c>
      <c r="AK87" s="372">
        <f t="shared" ca="1" si="33"/>
        <v>0</v>
      </c>
      <c r="AL87" s="373">
        <f t="shared" ca="1" si="34"/>
        <v>0</v>
      </c>
      <c r="AM87" s="374">
        <f t="shared" ca="1" si="35"/>
        <v>0</v>
      </c>
      <c r="AN87" s="375">
        <f t="shared" ca="1" si="36"/>
        <v>0</v>
      </c>
    </row>
    <row r="88" spans="1:40" x14ac:dyDescent="0.2">
      <c r="A88" s="6" t="s">
        <v>34</v>
      </c>
      <c r="B88" s="7"/>
      <c r="G88" s="1" t="s">
        <v>492</v>
      </c>
      <c r="H88" s="10" t="s">
        <v>479</v>
      </c>
      <c r="I88" s="25" t="e">
        <f ca="1">_xll.EVPRO($B$1,$H88,"STYLE")</f>
        <v>#NAME?</v>
      </c>
      <c r="J88" s="25" t="e">
        <f ca="1">_xll.EVPRO($B$1,$H88,"CALC")</f>
        <v>#NAME?</v>
      </c>
      <c r="K88" s="24"/>
      <c r="L88" s="24"/>
      <c r="M88" s="24"/>
      <c r="N88" s="24" t="str">
        <f t="shared" si="22"/>
        <v>Occasional F&amp;B</v>
      </c>
      <c r="O88" s="19">
        <f t="shared" ref="O88:Z88" si="46">IFERROR(O45-O67,"")</f>
        <v>0</v>
      </c>
      <c r="P88" s="19">
        <f t="shared" si="46"/>
        <v>0</v>
      </c>
      <c r="Q88" s="19">
        <f t="shared" si="46"/>
        <v>0</v>
      </c>
      <c r="R88" s="19">
        <f t="shared" si="46"/>
        <v>0</v>
      </c>
      <c r="S88" s="19">
        <f t="shared" si="46"/>
        <v>0</v>
      </c>
      <c r="T88" s="19">
        <f t="shared" si="46"/>
        <v>0</v>
      </c>
      <c r="U88" s="19">
        <f t="shared" si="46"/>
        <v>0</v>
      </c>
      <c r="V88" s="19">
        <f t="shared" si="46"/>
        <v>0</v>
      </c>
      <c r="W88" s="19">
        <f t="shared" si="46"/>
        <v>0</v>
      </c>
      <c r="X88" s="19">
        <f t="shared" si="46"/>
        <v>0</v>
      </c>
      <c r="Y88" s="19">
        <f t="shared" si="46"/>
        <v>0</v>
      </c>
      <c r="Z88" s="19">
        <f t="shared" si="46"/>
        <v>0</v>
      </c>
      <c r="AA88" s="283" t="e">
        <f t="shared" ca="1" si="24"/>
        <v>#NAME?</v>
      </c>
      <c r="AB88" s="15" t="e">
        <f t="shared" ca="1" si="25"/>
        <v>#NAME?</v>
      </c>
      <c r="AD88" s="19">
        <f t="shared" si="26"/>
        <v>0</v>
      </c>
      <c r="AE88" s="15" t="str">
        <f t="shared" si="27"/>
        <v/>
      </c>
      <c r="AF88" s="47" t="e">
        <f t="shared" ca="1" si="28"/>
        <v>#NAME?</v>
      </c>
      <c r="AG88" s="19">
        <f t="shared" si="29"/>
        <v>0</v>
      </c>
      <c r="AH88" s="15" t="str">
        <f t="shared" si="30"/>
        <v/>
      </c>
      <c r="AI88" s="47" t="e">
        <f t="shared" ca="1" si="31"/>
        <v>#NAME?</v>
      </c>
      <c r="AJ88" s="371">
        <f t="shared" ca="1" si="32"/>
        <v>0</v>
      </c>
      <c r="AK88" s="372">
        <f t="shared" ca="1" si="33"/>
        <v>0</v>
      </c>
      <c r="AL88" s="373">
        <f t="shared" ca="1" si="34"/>
        <v>0</v>
      </c>
      <c r="AM88" s="374">
        <f t="shared" ca="1" si="35"/>
        <v>0</v>
      </c>
      <c r="AN88" s="375">
        <f t="shared" ca="1" si="36"/>
        <v>0</v>
      </c>
    </row>
    <row r="89" spans="1:40" x14ac:dyDescent="0.2">
      <c r="A89" s="6" t="s">
        <v>35</v>
      </c>
      <c r="B89" s="7"/>
      <c r="G89" s="1" t="s">
        <v>456</v>
      </c>
      <c r="H89" s="10" t="s">
        <v>431</v>
      </c>
      <c r="I89" s="25" t="e">
        <f ca="1">_xll.EVPRO($B$1,$H89,"STYLE")</f>
        <v>#NAME?</v>
      </c>
      <c r="J89" s="25" t="e">
        <f ca="1">_xll.EVPRO($B$1,$H89,"CALC")</f>
        <v>#NAME?</v>
      </c>
      <c r="K89" s="24"/>
      <c r="L89" s="24"/>
      <c r="M89" s="24"/>
      <c r="N89" s="24" t="str">
        <f t="shared" si="22"/>
        <v>Other 1</v>
      </c>
      <c r="O89" s="19">
        <f t="shared" ref="O89:Z89" si="47">IFERROR(O46-O68,"")</f>
        <v>0</v>
      </c>
      <c r="P89" s="19">
        <f t="shared" si="47"/>
        <v>0</v>
      </c>
      <c r="Q89" s="19">
        <f t="shared" si="47"/>
        <v>0</v>
      </c>
      <c r="R89" s="19">
        <f t="shared" si="47"/>
        <v>0</v>
      </c>
      <c r="S89" s="19">
        <f t="shared" si="47"/>
        <v>0</v>
      </c>
      <c r="T89" s="19">
        <f t="shared" si="47"/>
        <v>0</v>
      </c>
      <c r="U89" s="19">
        <f t="shared" si="47"/>
        <v>0</v>
      </c>
      <c r="V89" s="19">
        <f t="shared" si="47"/>
        <v>0</v>
      </c>
      <c r="W89" s="19">
        <f t="shared" si="47"/>
        <v>0</v>
      </c>
      <c r="X89" s="19">
        <f t="shared" si="47"/>
        <v>0</v>
      </c>
      <c r="Y89" s="19">
        <f t="shared" si="47"/>
        <v>0</v>
      </c>
      <c r="Z89" s="19">
        <f t="shared" si="47"/>
        <v>0</v>
      </c>
      <c r="AA89" s="283" t="e">
        <f t="shared" ca="1" si="24"/>
        <v>#NAME?</v>
      </c>
      <c r="AB89" s="15" t="e">
        <f t="shared" ca="1" si="25"/>
        <v>#NAME?</v>
      </c>
      <c r="AD89" s="19">
        <f t="shared" si="26"/>
        <v>0</v>
      </c>
      <c r="AE89" s="15" t="str">
        <f t="shared" si="27"/>
        <v/>
      </c>
      <c r="AF89" s="47" t="e">
        <f t="shared" ca="1" si="28"/>
        <v>#NAME?</v>
      </c>
      <c r="AG89" s="19">
        <f t="shared" si="29"/>
        <v>0</v>
      </c>
      <c r="AH89" s="15" t="str">
        <f t="shared" si="30"/>
        <v/>
      </c>
      <c r="AI89" s="47" t="e">
        <f t="shared" ca="1" si="31"/>
        <v>#NAME?</v>
      </c>
      <c r="AJ89" s="371">
        <f t="shared" ca="1" si="32"/>
        <v>0</v>
      </c>
      <c r="AK89" s="372">
        <f t="shared" ca="1" si="33"/>
        <v>0</v>
      </c>
      <c r="AL89" s="373">
        <f t="shared" ca="1" si="34"/>
        <v>0</v>
      </c>
      <c r="AM89" s="374">
        <f t="shared" ca="1" si="35"/>
        <v>0</v>
      </c>
      <c r="AN89" s="375">
        <f t="shared" ca="1" si="36"/>
        <v>0</v>
      </c>
    </row>
    <row r="90" spans="1:40" x14ac:dyDescent="0.2">
      <c r="A90" s="6" t="s">
        <v>36</v>
      </c>
      <c r="B90" s="7"/>
      <c r="G90" s="1" t="s">
        <v>457</v>
      </c>
      <c r="H90" s="10" t="s">
        <v>432</v>
      </c>
      <c r="I90" s="25" t="e">
        <f ca="1">_xll.EVPRO($B$1,$H90,"STYLE")</f>
        <v>#NAME?</v>
      </c>
      <c r="J90" s="25" t="e">
        <f ca="1">_xll.EVPRO($B$1,$H90,"CALC")</f>
        <v>#NAME?</v>
      </c>
      <c r="K90" s="24"/>
      <c r="L90" s="24"/>
      <c r="M90" s="24"/>
      <c r="N90" s="24" t="str">
        <f t="shared" si="22"/>
        <v>Other 2</v>
      </c>
      <c r="O90" s="19">
        <f t="shared" ref="O90:Z90" si="48">IFERROR(O47-O69,"")</f>
        <v>0</v>
      </c>
      <c r="P90" s="19">
        <f t="shared" si="48"/>
        <v>0</v>
      </c>
      <c r="Q90" s="19">
        <f t="shared" si="48"/>
        <v>0</v>
      </c>
      <c r="R90" s="19">
        <f t="shared" si="48"/>
        <v>0</v>
      </c>
      <c r="S90" s="19">
        <f t="shared" si="48"/>
        <v>0</v>
      </c>
      <c r="T90" s="19">
        <f t="shared" si="48"/>
        <v>0</v>
      </c>
      <c r="U90" s="19">
        <f t="shared" si="48"/>
        <v>0</v>
      </c>
      <c r="V90" s="19">
        <f t="shared" si="48"/>
        <v>0</v>
      </c>
      <c r="W90" s="19">
        <f t="shared" si="48"/>
        <v>0</v>
      </c>
      <c r="X90" s="19">
        <f t="shared" si="48"/>
        <v>0</v>
      </c>
      <c r="Y90" s="19">
        <f t="shared" si="48"/>
        <v>0</v>
      </c>
      <c r="Z90" s="19">
        <f t="shared" si="48"/>
        <v>0</v>
      </c>
      <c r="AA90" s="283" t="e">
        <f t="shared" ca="1" si="24"/>
        <v>#NAME?</v>
      </c>
      <c r="AB90" s="15" t="e">
        <f t="shared" ca="1" si="25"/>
        <v>#NAME?</v>
      </c>
      <c r="AD90" s="19">
        <f t="shared" si="26"/>
        <v>0</v>
      </c>
      <c r="AE90" s="15" t="str">
        <f t="shared" si="27"/>
        <v/>
      </c>
      <c r="AF90" s="47" t="e">
        <f t="shared" ca="1" si="28"/>
        <v>#NAME?</v>
      </c>
      <c r="AG90" s="19">
        <f t="shared" si="29"/>
        <v>0</v>
      </c>
      <c r="AH90" s="15" t="str">
        <f t="shared" si="30"/>
        <v/>
      </c>
      <c r="AI90" s="47" t="e">
        <f t="shared" ca="1" si="31"/>
        <v>#NAME?</v>
      </c>
      <c r="AJ90" s="371">
        <f t="shared" ca="1" si="32"/>
        <v>0</v>
      </c>
      <c r="AK90" s="372">
        <f t="shared" ca="1" si="33"/>
        <v>0</v>
      </c>
      <c r="AL90" s="373">
        <f t="shared" ca="1" si="34"/>
        <v>0</v>
      </c>
      <c r="AM90" s="374">
        <f t="shared" ca="1" si="35"/>
        <v>0</v>
      </c>
      <c r="AN90" s="375">
        <f t="shared" ca="1" si="36"/>
        <v>0</v>
      </c>
    </row>
    <row r="91" spans="1:40" x14ac:dyDescent="0.2">
      <c r="A91" s="6" t="s">
        <v>37</v>
      </c>
      <c r="B91" s="7"/>
      <c r="G91" s="1" t="s">
        <v>458</v>
      </c>
      <c r="H91" s="10" t="s">
        <v>433</v>
      </c>
      <c r="I91" s="25" t="e">
        <f ca="1">_xll.EVPRO($B$1,$H91,"STYLE")</f>
        <v>#NAME?</v>
      </c>
      <c r="J91" s="25" t="e">
        <f ca="1">_xll.EVPRO($B$1,$H91,"CALC")</f>
        <v>#NAME?</v>
      </c>
      <c r="K91" s="24"/>
      <c r="L91" s="24"/>
      <c r="M91" s="24"/>
      <c r="N91" s="24" t="str">
        <f t="shared" si="22"/>
        <v>Other 3</v>
      </c>
      <c r="O91" s="19">
        <f t="shared" ref="O91:Z91" si="49">IFERROR(O48-O70,"")</f>
        <v>0</v>
      </c>
      <c r="P91" s="19">
        <f t="shared" si="49"/>
        <v>0</v>
      </c>
      <c r="Q91" s="19">
        <f t="shared" si="49"/>
        <v>0</v>
      </c>
      <c r="R91" s="19">
        <f t="shared" si="49"/>
        <v>0</v>
      </c>
      <c r="S91" s="19">
        <f t="shared" si="49"/>
        <v>0</v>
      </c>
      <c r="T91" s="19">
        <f t="shared" si="49"/>
        <v>0</v>
      </c>
      <c r="U91" s="19">
        <f t="shared" si="49"/>
        <v>0</v>
      </c>
      <c r="V91" s="19">
        <f t="shared" si="49"/>
        <v>0</v>
      </c>
      <c r="W91" s="19">
        <f t="shared" si="49"/>
        <v>0</v>
      </c>
      <c r="X91" s="19">
        <f t="shared" si="49"/>
        <v>0</v>
      </c>
      <c r="Y91" s="19">
        <f t="shared" si="49"/>
        <v>0</v>
      </c>
      <c r="Z91" s="19">
        <f t="shared" si="49"/>
        <v>182</v>
      </c>
      <c r="AA91" s="283" t="e">
        <f t="shared" ca="1" si="24"/>
        <v>#NAME?</v>
      </c>
      <c r="AB91" s="15" t="e">
        <f t="shared" ca="1" si="25"/>
        <v>#NAME?</v>
      </c>
      <c r="AD91" s="19">
        <f t="shared" si="26"/>
        <v>0</v>
      </c>
      <c r="AE91" s="15" t="str">
        <f t="shared" si="27"/>
        <v/>
      </c>
      <c r="AF91" s="47" t="e">
        <f t="shared" ca="1" si="28"/>
        <v>#NAME?</v>
      </c>
      <c r="AG91" s="19">
        <f t="shared" si="29"/>
        <v>0</v>
      </c>
      <c r="AH91" s="15" t="str">
        <f t="shared" si="30"/>
        <v/>
      </c>
      <c r="AI91" s="47" t="e">
        <f t="shared" ca="1" si="31"/>
        <v>#NAME?</v>
      </c>
      <c r="AJ91" s="371">
        <f t="shared" ca="1" si="32"/>
        <v>0</v>
      </c>
      <c r="AK91" s="372">
        <f t="shared" ca="1" si="33"/>
        <v>0</v>
      </c>
      <c r="AL91" s="373">
        <f t="shared" ca="1" si="34"/>
        <v>0</v>
      </c>
      <c r="AM91" s="374">
        <f t="shared" ca="1" si="35"/>
        <v>0</v>
      </c>
      <c r="AN91" s="375">
        <f t="shared" ca="1" si="36"/>
        <v>0</v>
      </c>
    </row>
    <row r="92" spans="1:40" x14ac:dyDescent="0.2">
      <c r="A92" s="6" t="s">
        <v>38</v>
      </c>
      <c r="B92" s="7"/>
      <c r="G92" s="1" t="s">
        <v>459</v>
      </c>
      <c r="H92" s="10" t="s">
        <v>434</v>
      </c>
      <c r="I92" s="25" t="e">
        <f ca="1">_xll.EVPRO($B$1,$H92,"STYLE")</f>
        <v>#NAME?</v>
      </c>
      <c r="J92" s="25" t="e">
        <f ca="1">_xll.EVPRO($B$1,$H92,"CALC")</f>
        <v>#NAME?</v>
      </c>
      <c r="K92" s="24"/>
      <c r="L92" s="24"/>
      <c r="M92" s="24"/>
      <c r="N92" s="24" t="str">
        <f t="shared" si="22"/>
        <v>Other 4</v>
      </c>
      <c r="O92" s="19">
        <f t="shared" ref="O92:Z92" si="50">IFERROR(O49-O71,"")</f>
        <v>0</v>
      </c>
      <c r="P92" s="19">
        <f t="shared" si="50"/>
        <v>0</v>
      </c>
      <c r="Q92" s="19">
        <f t="shared" si="50"/>
        <v>0</v>
      </c>
      <c r="R92" s="19">
        <f t="shared" si="50"/>
        <v>0</v>
      </c>
      <c r="S92" s="19">
        <f t="shared" si="50"/>
        <v>0</v>
      </c>
      <c r="T92" s="19">
        <f t="shared" si="50"/>
        <v>0</v>
      </c>
      <c r="U92" s="19">
        <f t="shared" si="50"/>
        <v>0</v>
      </c>
      <c r="V92" s="19">
        <f t="shared" si="50"/>
        <v>0</v>
      </c>
      <c r="W92" s="19">
        <f t="shared" si="50"/>
        <v>0</v>
      </c>
      <c r="X92" s="19">
        <f t="shared" si="50"/>
        <v>0</v>
      </c>
      <c r="Y92" s="19">
        <f t="shared" si="50"/>
        <v>0</v>
      </c>
      <c r="Z92" s="19">
        <f t="shared" si="50"/>
        <v>0</v>
      </c>
      <c r="AA92" s="283" t="e">
        <f t="shared" ca="1" si="24"/>
        <v>#NAME?</v>
      </c>
      <c r="AB92" s="15" t="e">
        <f t="shared" ca="1" si="25"/>
        <v>#NAME?</v>
      </c>
      <c r="AD92" s="19">
        <f t="shared" si="26"/>
        <v>0</v>
      </c>
      <c r="AE92" s="15" t="str">
        <f t="shared" si="27"/>
        <v/>
      </c>
      <c r="AF92" s="47" t="e">
        <f t="shared" ca="1" si="28"/>
        <v>#NAME?</v>
      </c>
      <c r="AG92" s="19">
        <f t="shared" si="29"/>
        <v>0</v>
      </c>
      <c r="AH92" s="15" t="str">
        <f t="shared" si="30"/>
        <v/>
      </c>
      <c r="AI92" s="47" t="e">
        <f t="shared" ca="1" si="31"/>
        <v>#NAME?</v>
      </c>
      <c r="AJ92" s="371">
        <f t="shared" ca="1" si="32"/>
        <v>0</v>
      </c>
      <c r="AK92" s="372">
        <f t="shared" ca="1" si="33"/>
        <v>0</v>
      </c>
      <c r="AL92" s="373">
        <f t="shared" ca="1" si="34"/>
        <v>0</v>
      </c>
      <c r="AM92" s="374">
        <f t="shared" ca="1" si="35"/>
        <v>0</v>
      </c>
      <c r="AN92" s="375">
        <f t="shared" ca="1" si="36"/>
        <v>0</v>
      </c>
    </row>
    <row r="93" spans="1:40" x14ac:dyDescent="0.2">
      <c r="A93" s="6" t="s">
        <v>39</v>
      </c>
      <c r="B93" s="7"/>
      <c r="G93" s="1" t="s">
        <v>460</v>
      </c>
      <c r="H93" s="10" t="s">
        <v>435</v>
      </c>
      <c r="I93" s="25" t="e">
        <f ca="1">_xll.EVPRO($B$1,$H93,"STYLE")</f>
        <v>#NAME?</v>
      </c>
      <c r="J93" s="25" t="e">
        <f ca="1">_xll.EVPRO($B$1,$H93,"CALC")</f>
        <v>#NAME?</v>
      </c>
      <c r="K93" s="24"/>
      <c r="L93" s="24"/>
      <c r="M93" s="24"/>
      <c r="N93" s="24" t="str">
        <f t="shared" si="22"/>
        <v>Other 5</v>
      </c>
      <c r="O93" s="19">
        <f t="shared" ref="O93:Z93" si="51">IFERROR(O50-O72,"")</f>
        <v>0</v>
      </c>
      <c r="P93" s="19">
        <f t="shared" si="51"/>
        <v>0</v>
      </c>
      <c r="Q93" s="19">
        <f t="shared" si="51"/>
        <v>0</v>
      </c>
      <c r="R93" s="19">
        <f t="shared" si="51"/>
        <v>0</v>
      </c>
      <c r="S93" s="19">
        <f t="shared" si="51"/>
        <v>0</v>
      </c>
      <c r="T93" s="19">
        <f t="shared" si="51"/>
        <v>0</v>
      </c>
      <c r="U93" s="19">
        <f t="shared" si="51"/>
        <v>0</v>
      </c>
      <c r="V93" s="19">
        <f t="shared" si="51"/>
        <v>0</v>
      </c>
      <c r="W93" s="19">
        <f t="shared" si="51"/>
        <v>0</v>
      </c>
      <c r="X93" s="19">
        <f t="shared" si="51"/>
        <v>0</v>
      </c>
      <c r="Y93" s="19">
        <f t="shared" si="51"/>
        <v>0</v>
      </c>
      <c r="Z93" s="19">
        <f t="shared" si="51"/>
        <v>0</v>
      </c>
      <c r="AA93" s="283" t="e">
        <f t="shared" ca="1" si="24"/>
        <v>#NAME?</v>
      </c>
      <c r="AB93" s="15" t="e">
        <f t="shared" ca="1" si="25"/>
        <v>#NAME?</v>
      </c>
      <c r="AD93" s="19">
        <f t="shared" si="26"/>
        <v>0</v>
      </c>
      <c r="AE93" s="15" t="str">
        <f t="shared" si="27"/>
        <v/>
      </c>
      <c r="AF93" s="47" t="e">
        <f t="shared" ca="1" si="28"/>
        <v>#NAME?</v>
      </c>
      <c r="AG93" s="19">
        <f t="shared" si="29"/>
        <v>0</v>
      </c>
      <c r="AH93" s="15" t="str">
        <f t="shared" si="30"/>
        <v/>
      </c>
      <c r="AI93" s="47" t="e">
        <f t="shared" ca="1" si="31"/>
        <v>#NAME?</v>
      </c>
      <c r="AJ93" s="371">
        <f t="shared" ca="1" si="32"/>
        <v>0</v>
      </c>
      <c r="AK93" s="372">
        <f t="shared" ca="1" si="33"/>
        <v>0</v>
      </c>
      <c r="AL93" s="373">
        <f t="shared" ca="1" si="34"/>
        <v>0</v>
      </c>
      <c r="AM93" s="374">
        <f t="shared" ca="1" si="35"/>
        <v>0</v>
      </c>
      <c r="AN93" s="375">
        <f t="shared" ca="1" si="36"/>
        <v>0</v>
      </c>
    </row>
    <row r="94" spans="1:40" x14ac:dyDescent="0.2">
      <c r="A94" s="6" t="s">
        <v>40</v>
      </c>
      <c r="B94" s="7"/>
      <c r="G94" s="1" t="s">
        <v>461</v>
      </c>
      <c r="H94" s="10" t="s">
        <v>436</v>
      </c>
      <c r="I94" s="25" t="e">
        <f ca="1">_xll.EVPRO($B$1,$H94,"STYLE")</f>
        <v>#NAME?</v>
      </c>
      <c r="J94" s="25" t="e">
        <f ca="1">_xll.EVPRO($B$1,$H94,"CALC")</f>
        <v>#NAME?</v>
      </c>
      <c r="K94" s="24"/>
      <c r="L94" s="24"/>
      <c r="M94" s="24"/>
      <c r="N94" s="24" t="str">
        <f t="shared" si="22"/>
        <v>Other 6</v>
      </c>
      <c r="O94" s="19">
        <f t="shared" ref="O94:Z94" si="52">IFERROR(O51-O73,"")</f>
        <v>0</v>
      </c>
      <c r="P94" s="19">
        <f t="shared" si="52"/>
        <v>0</v>
      </c>
      <c r="Q94" s="19">
        <f t="shared" si="52"/>
        <v>0</v>
      </c>
      <c r="R94" s="19">
        <f t="shared" si="52"/>
        <v>0</v>
      </c>
      <c r="S94" s="19">
        <f t="shared" si="52"/>
        <v>0</v>
      </c>
      <c r="T94" s="19">
        <f t="shared" si="52"/>
        <v>0</v>
      </c>
      <c r="U94" s="19">
        <f t="shared" si="52"/>
        <v>0</v>
      </c>
      <c r="V94" s="19">
        <f t="shared" si="52"/>
        <v>0</v>
      </c>
      <c r="W94" s="19">
        <f t="shared" si="52"/>
        <v>0</v>
      </c>
      <c r="X94" s="19">
        <f t="shared" si="52"/>
        <v>0</v>
      </c>
      <c r="Y94" s="19">
        <f t="shared" si="52"/>
        <v>0</v>
      </c>
      <c r="Z94" s="19">
        <f t="shared" si="52"/>
        <v>0</v>
      </c>
      <c r="AA94" s="283" t="e">
        <f t="shared" ca="1" si="24"/>
        <v>#NAME?</v>
      </c>
      <c r="AB94" s="15" t="e">
        <f t="shared" ca="1" si="25"/>
        <v>#NAME?</v>
      </c>
      <c r="AD94" s="19">
        <f t="shared" si="26"/>
        <v>0</v>
      </c>
      <c r="AE94" s="15" t="str">
        <f t="shared" si="27"/>
        <v/>
      </c>
      <c r="AF94" s="47" t="e">
        <f t="shared" ca="1" si="28"/>
        <v>#NAME?</v>
      </c>
      <c r="AG94" s="19">
        <f t="shared" si="29"/>
        <v>0</v>
      </c>
      <c r="AH94" s="15" t="str">
        <f t="shared" si="30"/>
        <v/>
      </c>
      <c r="AI94" s="47" t="e">
        <f t="shared" ca="1" si="31"/>
        <v>#NAME?</v>
      </c>
      <c r="AJ94" s="371">
        <f t="shared" ca="1" si="32"/>
        <v>0</v>
      </c>
      <c r="AK94" s="372">
        <f t="shared" ca="1" si="33"/>
        <v>0</v>
      </c>
      <c r="AL94" s="373">
        <f t="shared" ca="1" si="34"/>
        <v>0</v>
      </c>
      <c r="AM94" s="374">
        <f t="shared" ca="1" si="35"/>
        <v>0</v>
      </c>
      <c r="AN94" s="375">
        <f t="shared" ca="1" si="36"/>
        <v>0</v>
      </c>
    </row>
    <row r="95" spans="1:40" x14ac:dyDescent="0.2">
      <c r="A95" s="6" t="s">
        <v>41</v>
      </c>
      <c r="B95" s="7"/>
      <c r="H95" s="10" t="s">
        <v>480</v>
      </c>
      <c r="I95" s="25" t="e">
        <f ca="1">_xll.EVPRO($B$1,$H95,"STYLE")</f>
        <v>#NAME?</v>
      </c>
      <c r="J95" s="25" t="e">
        <f ca="1">_xll.EVPRO($B$1,$H95,"CALC")</f>
        <v>#NAME?</v>
      </c>
      <c r="K95" s="24"/>
      <c r="L95" s="24"/>
      <c r="M95" s="24"/>
      <c r="N95" s="24" t="e">
        <f ca="1">IF(_xll.EVDES(H95,$B$1)="#NODATA","",_xll.EVDES(H95,$B$1))</f>
        <v>#NAME?</v>
      </c>
      <c r="O95" s="19"/>
      <c r="P95" s="19"/>
      <c r="Q95" s="19"/>
      <c r="R95" s="19"/>
      <c r="S95" s="19"/>
      <c r="T95" s="19"/>
      <c r="U95" s="19"/>
      <c r="V95" s="19"/>
      <c r="W95" s="19"/>
      <c r="X95" s="19"/>
      <c r="Y95" s="19"/>
      <c r="Z95" s="19"/>
      <c r="AA95" s="283" t="e">
        <f ca="1">IF($I95="B1","",SUM(O95:Z95))</f>
        <v>#NAME?</v>
      </c>
      <c r="AB95" s="15"/>
      <c r="AD95" s="19"/>
      <c r="AE95" s="15"/>
      <c r="AF95" s="47" t="e">
        <f ca="1">IF(AND($AA95="",AD95=""),"",$AA95-AD95)</f>
        <v>#NAME?</v>
      </c>
      <c r="AG95" s="19"/>
      <c r="AH95" s="15"/>
      <c r="AI95" s="47" t="e">
        <f ca="1">IF(AND($AA95="",AG95=""),"",$AA95-AG95)</f>
        <v>#NAME?</v>
      </c>
      <c r="AJ95" s="381">
        <f ca="1">IFERROR(AA95/AA$20,0)</f>
        <v>0</v>
      </c>
      <c r="AK95" s="382">
        <f ca="1">IFERROR(AD95/AD$20,0)</f>
        <v>0</v>
      </c>
      <c r="AL95" s="383">
        <f ca="1">IFERROR(AG95/AG$20,0)</f>
        <v>0</v>
      </c>
      <c r="AM95" s="384" t="str">
        <f>+IFERROR(ROUND(($AB95-AE95)*100,2)&amp;" pts.",0)</f>
        <v>0 pts.</v>
      </c>
      <c r="AN95" s="385" t="str">
        <f>+IFERROR(ROUND(($AB95-AH95)*100,2)&amp;" pts.",0)</f>
        <v>0 pts.</v>
      </c>
    </row>
    <row r="96" spans="1:40" x14ac:dyDescent="0.2">
      <c r="A96" s="6" t="s">
        <v>42</v>
      </c>
      <c r="B96" s="7"/>
      <c r="H96" s="10"/>
      <c r="I96" s="25"/>
      <c r="J96" s="25"/>
      <c r="K96" s="24"/>
      <c r="L96" s="24"/>
      <c r="M96" s="24"/>
      <c r="N96" s="8" t="s">
        <v>462</v>
      </c>
      <c r="O96" s="120">
        <f t="shared" ref="O96:Z96" si="53">SUM(O77:O95)</f>
        <v>1100.99</v>
      </c>
      <c r="P96" s="120">
        <f t="shared" si="53"/>
        <v>1161.17</v>
      </c>
      <c r="Q96" s="120">
        <f t="shared" si="53"/>
        <v>1803.51</v>
      </c>
      <c r="R96" s="120">
        <f t="shared" si="53"/>
        <v>819.31</v>
      </c>
      <c r="S96" s="120">
        <f t="shared" si="53"/>
        <v>391.89</v>
      </c>
      <c r="T96" s="120">
        <f t="shared" si="53"/>
        <v>764.79</v>
      </c>
      <c r="U96" s="120">
        <f t="shared" si="53"/>
        <v>1125.78</v>
      </c>
      <c r="V96" s="120">
        <f t="shared" si="53"/>
        <v>735.16</v>
      </c>
      <c r="W96" s="120">
        <f t="shared" si="53"/>
        <v>516.72</v>
      </c>
      <c r="X96" s="120">
        <f t="shared" si="53"/>
        <v>1069.42</v>
      </c>
      <c r="Y96" s="120">
        <f t="shared" si="53"/>
        <v>1260.69</v>
      </c>
      <c r="Z96" s="120">
        <f t="shared" si="53"/>
        <v>1931.99</v>
      </c>
      <c r="AA96" s="120">
        <f>IF($I96="B1","",SUM(O96:Z96))</f>
        <v>12681.42</v>
      </c>
      <c r="AB96" s="121" t="str">
        <f ca="1">IF(AA96=0,"",IFERROR(AA96/AA19,""))</f>
        <v/>
      </c>
      <c r="AC96" s="123"/>
      <c r="AD96" s="120">
        <f>SUM(AD77:AD95)</f>
        <v>9022.20406</v>
      </c>
      <c r="AE96" s="121" t="str">
        <f ca="1">IF(AD96=0,"",IFERROR(AD96/AD19,""))</f>
        <v/>
      </c>
      <c r="AF96" s="122">
        <f>IF(AND($AA96="",AD96=""),"",$AA96-AD96)</f>
        <v>3659.21594</v>
      </c>
      <c r="AG96" s="120">
        <f>SUM(AG77:AG95)</f>
        <v>8657.6099999999988</v>
      </c>
      <c r="AH96" s="121" t="str">
        <f ca="1">IF(AG96=0,"",IFERROR(AG96/AG19,""))</f>
        <v/>
      </c>
      <c r="AI96" s="122">
        <f>IF(AND($AA96="",AG96=""),"",$AA96-AG96)</f>
        <v>4023.8100000000013</v>
      </c>
      <c r="AJ96" s="364">
        <f ca="1">IFERROR(AA96/AA$20,0)</f>
        <v>0</v>
      </c>
      <c r="AK96" s="365">
        <f ca="1">IFERROR(AD96/AD$20,0)</f>
        <v>0</v>
      </c>
      <c r="AL96" s="366">
        <f ca="1">IFERROR(AG96/AG$20,0)</f>
        <v>0</v>
      </c>
      <c r="AM96" s="367">
        <f ca="1">+IFERROR(ROUND(($AB96-AE96)*100,2)&amp;" pts.",0)</f>
        <v>0</v>
      </c>
      <c r="AN96" s="409">
        <f ca="1">+IFERROR(ROUND(($AB96-AH96)*100,2)&amp;" pts.",0)</f>
        <v>0</v>
      </c>
    </row>
    <row r="97" spans="1:40" x14ac:dyDescent="0.2">
      <c r="A97" s="6" t="s">
        <v>43</v>
      </c>
      <c r="B97" s="7"/>
      <c r="I97" s="1"/>
      <c r="J97" s="1"/>
    </row>
    <row r="98" spans="1:40" ht="16" thickBot="1" x14ac:dyDescent="0.25">
      <c r="A98" s="6" t="s">
        <v>44</v>
      </c>
      <c r="B98" s="7"/>
      <c r="H98" s="10" t="s">
        <v>81</v>
      </c>
      <c r="I98" s="25" t="e">
        <f ca="1">_xll.EVPRO($B$1,$H98,"STYLE")</f>
        <v>#NAME?</v>
      </c>
      <c r="J98" s="25" t="e">
        <f ca="1">_xll.EVPRO($B$1,$H98,"CALC")</f>
        <v>#NAME?</v>
      </c>
      <c r="K98" s="23"/>
      <c r="L98" s="23"/>
      <c r="M98" s="23"/>
      <c r="N98" s="23" t="e">
        <f ca="1">IF(_xll.EVDES(H98,$B$1)="#NODATA","",_xll.EVDES(H98,$B$1))</f>
        <v>#NAME?</v>
      </c>
      <c r="O98" s="58">
        <v>1100.99</v>
      </c>
      <c r="P98" s="58">
        <v>1161.17</v>
      </c>
      <c r="Q98" s="58">
        <v>1803.51</v>
      </c>
      <c r="R98" s="58">
        <v>819.31</v>
      </c>
      <c r="S98" s="58">
        <v>391.89</v>
      </c>
      <c r="T98" s="58">
        <v>764.79</v>
      </c>
      <c r="U98" s="58">
        <v>1125.78</v>
      </c>
      <c r="V98" s="58">
        <v>735.16</v>
      </c>
      <c r="W98" s="58">
        <v>516.72</v>
      </c>
      <c r="X98" s="58">
        <v>1069.42</v>
      </c>
      <c r="Y98" s="58">
        <v>1260.69</v>
      </c>
      <c r="Z98" s="58">
        <v>1931.99</v>
      </c>
      <c r="AA98" s="58" t="e">
        <f ca="1">IF($I98="B1","",SUM(O98:Z98))</f>
        <v>#NAME?</v>
      </c>
      <c r="AB98" s="59" t="e">
        <f ca="1">IF(AA98=0,"",IFERROR(AA98/AA$19,""))</f>
        <v>#NAME?</v>
      </c>
      <c r="AD98" s="58">
        <v>9022.20406</v>
      </c>
      <c r="AE98" s="59" t="str">
        <f ca="1">IF(AD98=0,"",IFERROR(AD98/AD$19,""))</f>
        <v/>
      </c>
      <c r="AF98" s="60" t="e">
        <f ca="1">IF(AND($AA98="",AD98=""),"",$AA98-AD98)</f>
        <v>#NAME?</v>
      </c>
      <c r="AG98" s="58">
        <v>8657.61</v>
      </c>
      <c r="AH98" s="59" t="str">
        <f ca="1">IF(AG98=0,"",IFERROR(AG98/AG$19,""))</f>
        <v/>
      </c>
      <c r="AI98" s="60" t="e">
        <f ca="1">IF(AND($AA98="",AG98=""),"",$AA98-AG98)</f>
        <v>#NAME?</v>
      </c>
      <c r="AJ98" s="402">
        <f ca="1">IFERROR(AA98/AA$20,0)</f>
        <v>0</v>
      </c>
      <c r="AK98" s="403">
        <f ca="1">IFERROR(AD98/AD$20,0)</f>
        <v>0</v>
      </c>
      <c r="AL98" s="404">
        <f ca="1">IFERROR(AG98/AG$20,0)</f>
        <v>0</v>
      </c>
      <c r="AM98" s="405">
        <f ca="1">+IFERROR(ROUND(($AB98-AE98)*100,2)&amp;" pts.",0)</f>
        <v>0</v>
      </c>
      <c r="AN98" s="410">
        <f ca="1">+IFERROR(ROUND(($AB98-AH98)*100,2)&amp;" pts.",0)</f>
        <v>0</v>
      </c>
    </row>
    <row r="99" spans="1:40" ht="16" thickTop="1" x14ac:dyDescent="0.2">
      <c r="A99" s="6" t="s">
        <v>45</v>
      </c>
      <c r="B99" s="7"/>
    </row>
    <row r="100" spans="1:40" x14ac:dyDescent="0.2">
      <c r="A100" s="6" t="s">
        <v>46</v>
      </c>
      <c r="B100" s="7"/>
      <c r="N100" s="24" t="e">
        <f ca="1">N98&amp;" - Check"</f>
        <v>#NAME?</v>
      </c>
      <c r="O100" s="124">
        <f>SUMIF($H$34:$H$74,"400000",O$34:O$74)-SUMIF($H$34:$H$74,"500001",O$34:O$74)-O96</f>
        <v>0</v>
      </c>
      <c r="P100" s="124">
        <f t="shared" ref="P100:AA100" si="54">SUMIF($H$34:$H$74,"400000",P$34:P$74)-SUMIF($H$34:$H$74,"500001",P$34:P$74)-P96</f>
        <v>0</v>
      </c>
      <c r="Q100" s="124">
        <f t="shared" si="54"/>
        <v>0</v>
      </c>
      <c r="R100" s="124">
        <f t="shared" si="54"/>
        <v>0</v>
      </c>
      <c r="S100" s="124">
        <f>SUMIF($H$34:$H$74,"400000",S$34:S$74)-SUMIF($H$34:$H$74,"500001",S$34:S$74)-S96</f>
        <v>0</v>
      </c>
      <c r="T100" s="124">
        <f t="shared" si="54"/>
        <v>0</v>
      </c>
      <c r="U100" s="124">
        <f t="shared" si="54"/>
        <v>0</v>
      </c>
      <c r="V100" s="124">
        <f t="shared" si="54"/>
        <v>0</v>
      </c>
      <c r="W100" s="124">
        <f t="shared" si="54"/>
        <v>0</v>
      </c>
      <c r="X100" s="124">
        <f t="shared" si="54"/>
        <v>0</v>
      </c>
      <c r="Y100" s="124">
        <f t="shared" si="54"/>
        <v>0</v>
      </c>
      <c r="Z100" s="124">
        <f t="shared" si="54"/>
        <v>0</v>
      </c>
      <c r="AA100" s="124" t="e">
        <f t="shared" ca="1" si="54"/>
        <v>#NAME?</v>
      </c>
      <c r="AB100" s="15"/>
      <c r="AD100" s="124">
        <f>SUMIF($H$34:$H$74,"400000",AD$34:AD$74)-SUMIF($H$34:$H$74,"500001",AD$34:AD$74)-AD96</f>
        <v>0</v>
      </c>
      <c r="AE100" s="15"/>
      <c r="AF100" s="19"/>
      <c r="AG100" s="124">
        <f>SUMIF($H$34:$H$74,"400000",AG$34:AG$74)-SUMIF($H$34:$H$74,"500001",AG$34:AG$74)-AG96</f>
        <v>0</v>
      </c>
      <c r="AH100" s="15"/>
      <c r="AI100" s="19"/>
    </row>
    <row r="102" spans="1:40" x14ac:dyDescent="0.2">
      <c r="O102" s="147"/>
      <c r="P102" s="147"/>
      <c r="Q102" s="147"/>
      <c r="R102" s="147"/>
      <c r="S102" s="147"/>
      <c r="T102" s="147"/>
      <c r="U102" s="147"/>
      <c r="V102" s="147"/>
      <c r="W102" s="147"/>
      <c r="X102" s="147"/>
      <c r="Y102" s="147"/>
      <c r="Z102" s="147"/>
      <c r="AA102" s="147"/>
      <c r="AD102" s="147"/>
      <c r="AG102" s="147"/>
    </row>
    <row r="104" spans="1:40" x14ac:dyDescent="0.2">
      <c r="O104" s="147"/>
      <c r="P104" s="147"/>
      <c r="Q104" s="147"/>
      <c r="R104" s="147"/>
      <c r="S104" s="147"/>
      <c r="T104" s="147"/>
      <c r="U104" s="147"/>
      <c r="V104" s="147"/>
      <c r="W104" s="147"/>
      <c r="X104" s="147"/>
      <c r="Y104" s="147"/>
      <c r="Z104" s="147"/>
      <c r="AA104" s="147"/>
      <c r="AD104" s="147"/>
      <c r="AG104" s="147"/>
    </row>
    <row r="107" spans="1:40" x14ac:dyDescent="0.2">
      <c r="J107" s="1"/>
    </row>
    <row r="108" spans="1:40" x14ac:dyDescent="0.2">
      <c r="H108" s="11"/>
      <c r="J108" s="1"/>
    </row>
    <row r="109" spans="1:40" x14ac:dyDescent="0.2">
      <c r="H109" s="11"/>
      <c r="J109" s="1"/>
    </row>
    <row r="110" spans="1:40" x14ac:dyDescent="0.2">
      <c r="H110" s="11"/>
      <c r="J110" s="1"/>
    </row>
    <row r="111" spans="1:40" x14ac:dyDescent="0.2">
      <c r="H111" s="11"/>
      <c r="J111" s="1"/>
    </row>
    <row r="112" spans="1:40" x14ac:dyDescent="0.2">
      <c r="H112" s="11"/>
      <c r="J112" s="1"/>
    </row>
    <row r="113" spans="5:10" x14ac:dyDescent="0.2">
      <c r="H113" s="11"/>
      <c r="J113" s="1"/>
    </row>
    <row r="114" spans="5:10" x14ac:dyDescent="0.2">
      <c r="H114" s="11"/>
      <c r="J114" s="1"/>
    </row>
    <row r="115" spans="5:10" x14ac:dyDescent="0.2">
      <c r="H115" s="11"/>
      <c r="J115" s="1"/>
    </row>
    <row r="116" spans="5:10" x14ac:dyDescent="0.2">
      <c r="H116" s="11"/>
      <c r="J116" s="1"/>
    </row>
    <row r="117" spans="5:10" x14ac:dyDescent="0.2">
      <c r="E117" s="72"/>
      <c r="H117" s="11"/>
      <c r="J117" s="1"/>
    </row>
    <row r="118" spans="5:10" x14ac:dyDescent="0.2">
      <c r="H118" s="11"/>
      <c r="J118" s="1"/>
    </row>
    <row r="119" spans="5:10" x14ac:dyDescent="0.2">
      <c r="H119" s="11"/>
      <c r="J119" s="1"/>
    </row>
    <row r="120" spans="5:10" x14ac:dyDescent="0.2">
      <c r="H120" s="11"/>
      <c r="J120" s="1"/>
    </row>
    <row r="121" spans="5:10" x14ac:dyDescent="0.2">
      <c r="E121" s="72"/>
      <c r="H121" s="11"/>
      <c r="J121" s="1"/>
    </row>
    <row r="122" spans="5:10" x14ac:dyDescent="0.2">
      <c r="H122" s="11"/>
      <c r="J122" s="1"/>
    </row>
    <row r="123" spans="5:10" x14ac:dyDescent="0.2">
      <c r="H123" s="11"/>
      <c r="J123" s="1"/>
    </row>
    <row r="124" spans="5:10" x14ac:dyDescent="0.2">
      <c r="H124" s="11"/>
      <c r="J124" s="1"/>
    </row>
    <row r="125" spans="5:10" x14ac:dyDescent="0.2">
      <c r="H125" s="11"/>
      <c r="J125" s="1"/>
    </row>
    <row r="126" spans="5:10" x14ac:dyDescent="0.2">
      <c r="H126" s="11"/>
      <c r="J126" s="1"/>
    </row>
    <row r="127" spans="5:10" x14ac:dyDescent="0.2">
      <c r="H127" s="11"/>
      <c r="J127" s="1"/>
    </row>
    <row r="128" spans="5:10" x14ac:dyDescent="0.2">
      <c r="H128" s="11"/>
      <c r="J128" s="1"/>
    </row>
    <row r="129" spans="8:10" x14ac:dyDescent="0.2">
      <c r="H129" s="11"/>
      <c r="J129" s="1"/>
    </row>
    <row r="130" spans="8:10" x14ac:dyDescent="0.2">
      <c r="H130" s="11"/>
    </row>
    <row r="170" spans="9:34" x14ac:dyDescent="0.2">
      <c r="J170" s="1"/>
      <c r="K170" s="72"/>
      <c r="L170" s="72"/>
      <c r="M170" s="72"/>
      <c r="O170" s="72"/>
      <c r="P170" s="72"/>
      <c r="Q170" s="72"/>
      <c r="R170" s="72"/>
      <c r="S170" s="72"/>
      <c r="T170" s="72"/>
      <c r="U170" s="72"/>
      <c r="V170" s="72"/>
      <c r="W170" s="72"/>
      <c r="X170" s="72"/>
      <c r="Y170" s="72"/>
      <c r="Z170" s="72"/>
      <c r="AA170" s="72"/>
      <c r="AD170" s="72"/>
      <c r="AF170" s="72"/>
      <c r="AH170" s="72"/>
    </row>
    <row r="171" spans="9:34" x14ac:dyDescent="0.2">
      <c r="I171" s="72"/>
    </row>
    <row r="174" spans="9:34" x14ac:dyDescent="0.2">
      <c r="J174" s="1"/>
      <c r="K174" s="72"/>
      <c r="L174" s="72"/>
      <c r="M174" s="72"/>
      <c r="O174" s="72"/>
      <c r="P174" s="72"/>
      <c r="Q174" s="72"/>
      <c r="R174" s="72"/>
      <c r="S174" s="72"/>
      <c r="T174" s="72"/>
      <c r="U174" s="72"/>
      <c r="V174" s="72"/>
      <c r="W174" s="72"/>
      <c r="X174" s="72"/>
      <c r="Y174" s="72"/>
      <c r="Z174" s="72"/>
      <c r="AA174" s="72"/>
      <c r="AD174" s="72"/>
      <c r="AF174" s="72"/>
      <c r="AH174" s="72"/>
    </row>
    <row r="175" spans="9:34" x14ac:dyDescent="0.2">
      <c r="I175" s="72"/>
    </row>
    <row r="190" spans="7:7" x14ac:dyDescent="0.2">
      <c r="G190" s="72"/>
    </row>
    <row r="194" spans="7:7" x14ac:dyDescent="0.2">
      <c r="G194" s="72"/>
    </row>
  </sheetData>
  <mergeCells count="2">
    <mergeCell ref="AD31:AE31"/>
    <mergeCell ref="AG31:AH31"/>
  </mergeCells>
  <dataValidations disablePrompts="1" count="2">
    <dataValidation type="list" allowBlank="1" sqref="B51 B29" xr:uid="{00000000-0002-0000-4800-000000000000}">
      <formula1>"SELF,ALL,BAS,DEP,BASMEMBERS,MEMBERS,NOEXPAND,GDEP"</formula1>
    </dataValidation>
    <dataValidation type="list" allowBlank="1" sqref="B50 B28" xr:uid="{00000000-0002-0000-48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86">
    <tabColor theme="9" tint="0.39997558519241921"/>
    <pageSetUpPr fitToPage="1"/>
  </sheetPr>
  <dimension ref="A1:AO194"/>
  <sheetViews>
    <sheetView topLeftCell="K25" zoomScale="85" zoomScaleNormal="85" workbookViewId="0">
      <pane xSplit="4" ySplit="8" topLeftCell="O75"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36.6640625" style="1" customWidth="1" collapsed="1"/>
    <col min="15" max="26" width="11.6640625" style="1" customWidth="1" outlineLevel="1"/>
    <col min="27" max="27" width="12.6640625" style="1" customWidth="1"/>
    <col min="28" max="28" width="8.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s">
        <v>980</v>
      </c>
      <c r="I1" s="1"/>
      <c r="J1" s="1"/>
    </row>
    <row r="2" spans="1:35" hidden="1" outlineLevel="1" x14ac:dyDescent="0.2">
      <c r="A2" s="8" t="s">
        <v>22</v>
      </c>
      <c r="B2" s="12" t="s">
        <v>56</v>
      </c>
      <c r="C2" s="1" t="s">
        <v>981</v>
      </c>
      <c r="I2" s="1"/>
      <c r="J2" s="1"/>
    </row>
    <row r="3" spans="1:35" hidden="1" outlineLevel="1" x14ac:dyDescent="0.2">
      <c r="A3" s="8" t="s">
        <v>50</v>
      </c>
      <c r="B3" s="9" t="s">
        <v>979</v>
      </c>
      <c r="C3" s="1" t="s">
        <v>982</v>
      </c>
      <c r="I3" s="1"/>
      <c r="J3" s="1"/>
    </row>
    <row r="4" spans="1:35" hidden="1" outlineLevel="1" x14ac:dyDescent="0.2">
      <c r="A4" s="8" t="s">
        <v>19</v>
      </c>
      <c r="B4" s="9" t="str">
        <f>SetUp!$D$6</f>
        <v>CURRENT</v>
      </c>
      <c r="C4" s="1" t="s">
        <v>960</v>
      </c>
      <c r="E4" s="46">
        <v>20250100</v>
      </c>
      <c r="F4" s="46">
        <v>20250100</v>
      </c>
    </row>
    <row r="5" spans="1:35" hidden="1" outlineLevel="1" x14ac:dyDescent="0.2">
      <c r="A5" s="8" t="s">
        <v>51</v>
      </c>
      <c r="B5" s="12" t="s">
        <v>59</v>
      </c>
      <c r="C5" s="1" t="s">
        <v>59</v>
      </c>
    </row>
    <row r="6" spans="1:35" hidden="1" outlineLevel="1" x14ac:dyDescent="0.2">
      <c r="A6" s="8" t="s">
        <v>52</v>
      </c>
      <c r="B6" s="12" t="s">
        <v>423</v>
      </c>
      <c r="C6" s="1" t="s">
        <v>1245</v>
      </c>
      <c r="E6" s="46" t="s">
        <v>423</v>
      </c>
      <c r="F6" s="1" t="s">
        <v>278</v>
      </c>
    </row>
    <row r="7" spans="1:35" hidden="1" outlineLevel="1" x14ac:dyDescent="0.2">
      <c r="A7" s="8" t="s">
        <v>53</v>
      </c>
      <c r="B7" s="12" t="s">
        <v>61</v>
      </c>
      <c r="C7" s="1" t="s">
        <v>984</v>
      </c>
    </row>
    <row r="8" spans="1:35" hidden="1" outlineLevel="1" x14ac:dyDescent="0.2">
      <c r="A8" s="8" t="s">
        <v>20</v>
      </c>
      <c r="B8" s="12" t="s">
        <v>63</v>
      </c>
      <c r="C8" s="1" t="s">
        <v>985</v>
      </c>
    </row>
    <row r="9" spans="1:35" hidden="1" outlineLevel="1" x14ac:dyDescent="0.2">
      <c r="A9" s="8" t="s">
        <v>54</v>
      </c>
      <c r="B9" s="9" t="str">
        <f>SetUp!$D$10</f>
        <v>LC</v>
      </c>
      <c r="C9" s="1" t="s">
        <v>986</v>
      </c>
    </row>
    <row r="10" spans="1:35" hidden="1" outlineLevel="1" x14ac:dyDescent="0.2">
      <c r="A10" s="8" t="s">
        <v>18</v>
      </c>
      <c r="B10" s="9" t="str">
        <f>SetUp!$D$7</f>
        <v>2024.TOTAL</v>
      </c>
      <c r="C10" s="1" t="s">
        <v>987</v>
      </c>
      <c r="D10" s="212" t="s">
        <v>988</v>
      </c>
    </row>
    <row r="11" spans="1:35" hidden="1" outlineLevel="1" x14ac:dyDescent="0.2">
      <c r="B11" s="8"/>
      <c r="M11" s="46" t="str">
        <f>IF(LEFT(SetUp!$D$6,3)="ALT","Y","N")</f>
        <v>N</v>
      </c>
      <c r="N11" s="1" t="s">
        <v>800</v>
      </c>
      <c r="O11" s="2" t="s">
        <v>682</v>
      </c>
      <c r="P11" s="2" t="s">
        <v>682</v>
      </c>
      <c r="Q11" s="2" t="s">
        <v>682</v>
      </c>
      <c r="R11" s="2" t="s">
        <v>682</v>
      </c>
      <c r="S11" s="2" t="s">
        <v>682</v>
      </c>
      <c r="T11" s="2" t="s">
        <v>682</v>
      </c>
      <c r="U11" s="2" t="s">
        <v>682</v>
      </c>
      <c r="V11" s="2" t="s">
        <v>682</v>
      </c>
      <c r="W11" s="2" t="s">
        <v>682</v>
      </c>
      <c r="X11" s="2" t="s">
        <v>682</v>
      </c>
      <c r="Y11" s="2" t="s">
        <v>682</v>
      </c>
      <c r="Z11" s="2" t="s">
        <v>682</v>
      </c>
    </row>
    <row r="12" spans="1:35" hidden="1" outlineLevel="1" x14ac:dyDescent="0.2">
      <c r="A12" s="1" t="s">
        <v>115</v>
      </c>
      <c r="B12" s="46">
        <v>2024</v>
      </c>
      <c r="M12" s="11"/>
      <c r="N12" s="1" t="s">
        <v>597</v>
      </c>
      <c r="O12" s="213" t="s">
        <v>78</v>
      </c>
      <c r="P12" s="213" t="s">
        <v>78</v>
      </c>
      <c r="Q12" s="213" t="s">
        <v>78</v>
      </c>
      <c r="R12" s="213" t="s">
        <v>78</v>
      </c>
      <c r="S12" s="213" t="s">
        <v>78</v>
      </c>
      <c r="T12" s="213" t="s">
        <v>78</v>
      </c>
      <c r="U12" s="213" t="s">
        <v>78</v>
      </c>
      <c r="V12" s="213" t="s">
        <v>78</v>
      </c>
      <c r="W12" s="213" t="s">
        <v>78</v>
      </c>
      <c r="X12" s="213" t="s">
        <v>78</v>
      </c>
      <c r="Y12" s="213" t="s">
        <v>78</v>
      </c>
      <c r="Z12" s="213" t="s">
        <v>78</v>
      </c>
      <c r="AA12" s="213"/>
      <c r="AD12" s="213"/>
      <c r="AG12" s="213"/>
    </row>
    <row r="13" spans="1:35" hidden="1" outlineLevel="1" x14ac:dyDescent="0.2">
      <c r="A13" s="1" t="s">
        <v>602</v>
      </c>
      <c r="B13" s="46">
        <v>2024</v>
      </c>
      <c r="M13" s="11"/>
      <c r="N13" s="1" t="s">
        <v>598</v>
      </c>
      <c r="O13" s="53">
        <v>20240100</v>
      </c>
      <c r="P13" s="53">
        <v>20240200</v>
      </c>
      <c r="Q13" s="53">
        <v>20240300</v>
      </c>
      <c r="R13" s="53">
        <v>20240400</v>
      </c>
      <c r="S13" s="53">
        <v>20240500</v>
      </c>
      <c r="T13" s="53">
        <v>20240600</v>
      </c>
      <c r="U13" s="53">
        <v>20240700</v>
      </c>
      <c r="V13" s="53">
        <v>20240800</v>
      </c>
      <c r="W13" s="53">
        <v>20240900</v>
      </c>
      <c r="X13" s="53">
        <v>20241000</v>
      </c>
      <c r="Y13" s="53">
        <v>20241100</v>
      </c>
      <c r="Z13" s="53">
        <v>20241200</v>
      </c>
      <c r="AA13" s="53">
        <v>10000193</v>
      </c>
      <c r="AD13" s="53">
        <v>10000193</v>
      </c>
      <c r="AG13" s="53">
        <v>10000183</v>
      </c>
    </row>
    <row r="14" spans="1:35" hidden="1" outlineLevel="1" x14ac:dyDescent="0.2">
      <c r="A14" s="4" t="s">
        <v>989</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s">
        <v>990</v>
      </c>
      <c r="P16" s="2" t="s">
        <v>991</v>
      </c>
      <c r="Q16" s="2" t="s">
        <v>992</v>
      </c>
      <c r="R16" s="2" t="s">
        <v>993</v>
      </c>
      <c r="S16" s="2" t="s">
        <v>994</v>
      </c>
      <c r="T16" s="2" t="s">
        <v>995</v>
      </c>
      <c r="U16" s="2" t="s">
        <v>996</v>
      </c>
      <c r="V16" s="2" t="s">
        <v>997</v>
      </c>
      <c r="W16" s="2" t="s">
        <v>998</v>
      </c>
      <c r="X16" s="2" t="s">
        <v>999</v>
      </c>
      <c r="Y16" s="2" t="s">
        <v>1000</v>
      </c>
      <c r="Z16" s="2" t="str">
        <f>IF(SetUp!$O$1=TRUE,SetUp!$Q$6,IF($D$10="FY",LEFT($B$10,6)&amp;"."&amp;Z15,$B$12&amp;"."&amp;Z14))</f>
        <v>2024.DEC</v>
      </c>
      <c r="AA16" s="2" t="str">
        <f>IF($D$10="FY",LEFT($B$10,6)&amp;"."&amp;AA15,$B$12&amp;"."&amp;AA14)</f>
        <v>2024.TOTAL</v>
      </c>
      <c r="AB16" s="10"/>
      <c r="AC16" s="10"/>
      <c r="AD16" s="2" t="str">
        <f>IF(SetUp!$O$1=TRUE,SetUp!$Q$6,SetUp!$G$7)</f>
        <v>2024.TOTAL</v>
      </c>
      <c r="AE16" s="10"/>
      <c r="AF16" s="10"/>
      <c r="AG16" s="2" t="s">
        <v>955</v>
      </c>
      <c r="AH16" s="10"/>
      <c r="AI16" s="10"/>
    </row>
    <row r="17" spans="1:40" hidden="1" outlineLevel="1" x14ac:dyDescent="0.2">
      <c r="A17" s="6" t="s">
        <v>2</v>
      </c>
      <c r="B17" s="14" t="s">
        <v>1362</v>
      </c>
      <c r="M17" s="11"/>
      <c r="N17" s="1" t="s">
        <v>19</v>
      </c>
      <c r="O17" s="2" t="s">
        <v>682</v>
      </c>
      <c r="P17" s="2" t="s">
        <v>682</v>
      </c>
      <c r="Q17" s="2" t="s">
        <v>682</v>
      </c>
      <c r="R17" s="2" t="s">
        <v>682</v>
      </c>
      <c r="S17" s="2" t="s">
        <v>682</v>
      </c>
      <c r="T17" s="2" t="s">
        <v>682</v>
      </c>
      <c r="U17" s="2" t="s">
        <v>682</v>
      </c>
      <c r="V17" s="2" t="s">
        <v>682</v>
      </c>
      <c r="W17" s="2" t="s">
        <v>682</v>
      </c>
      <c r="X17" s="2" t="s">
        <v>682</v>
      </c>
      <c r="Y17" s="2" t="s">
        <v>682</v>
      </c>
      <c r="Z17" s="2" t="s">
        <v>682</v>
      </c>
      <c r="AA17" s="2"/>
      <c r="AB17" s="10"/>
      <c r="AC17" s="10"/>
      <c r="AD17" s="2" t="str">
        <f>SetUp!$G$6</f>
        <v>BUDGET</v>
      </c>
      <c r="AE17" s="10"/>
      <c r="AF17" s="10"/>
      <c r="AG17" s="2" t="str">
        <f>SetUp!$J$6</f>
        <v>ACTUAL_CON</v>
      </c>
      <c r="AH17" s="10"/>
      <c r="AI17" s="10"/>
    </row>
    <row r="18" spans="1:40" hidden="1" outlineLevel="1" x14ac:dyDescent="0.2">
      <c r="A18" s="6" t="s">
        <v>3</v>
      </c>
      <c r="B18" s="14" t="s">
        <v>1363</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2" t="str">
        <f>IF(SetUp!$O$1=TRUE,"TRAILING12",IF(Z17="CURRENT","ROLLINGFORECAST","PERIODIC"))</f>
        <v>PERIODIC</v>
      </c>
      <c r="AB18" s="10"/>
      <c r="AC18" s="10"/>
      <c r="AD18" s="2" t="str">
        <f>IF(SetUp!$O$1=TRUE,"TRAILING12",IF(AD17="CURRENT","ROLLINGFORECAST","PERIODIC"))</f>
        <v>PERIODIC</v>
      </c>
      <c r="AE18" s="10"/>
      <c r="AF18" s="10"/>
      <c r="AG18" s="2" t="str">
        <f>IF(SetUp!$O$1=TRUE,"TRAILING12",IF(AG17="CURRENT","ROLLINGFORECAST","PERIODIC"))</f>
        <v>PERIODIC</v>
      </c>
      <c r="AH18" s="10"/>
      <c r="AI18" s="10"/>
    </row>
    <row r="19" spans="1:40" hidden="1" outlineLevel="1" x14ac:dyDescent="0.2">
      <c r="A19" s="6" t="s">
        <v>4</v>
      </c>
      <c r="B19" s="14" t="s">
        <v>1364</v>
      </c>
      <c r="G19" s="16" t="str">
        <f>$B$6</f>
        <v>D1138</v>
      </c>
      <c r="H19" s="16">
        <v>400000</v>
      </c>
      <c r="I19" s="17"/>
      <c r="J19" s="17"/>
      <c r="K19" s="16"/>
      <c r="L19" s="16"/>
      <c r="M19" s="16"/>
      <c r="N19" s="16" t="s">
        <v>1001</v>
      </c>
      <c r="O19" s="18">
        <v>1778.05</v>
      </c>
      <c r="P19" s="18">
        <v>1452.64</v>
      </c>
      <c r="Q19" s="18">
        <v>2514.5100000000002</v>
      </c>
      <c r="R19" s="18">
        <v>1461.55</v>
      </c>
      <c r="S19" s="18">
        <v>686.39</v>
      </c>
      <c r="T19" s="18">
        <v>971.47</v>
      </c>
      <c r="U19" s="18">
        <v>1646.04</v>
      </c>
      <c r="V19" s="18">
        <v>900.7</v>
      </c>
      <c r="W19" s="18">
        <v>865.48</v>
      </c>
      <c r="X19" s="18">
        <v>1388.87</v>
      </c>
      <c r="Y19" s="18">
        <v>2028.13</v>
      </c>
      <c r="Z19" s="18">
        <v>2112.59</v>
      </c>
      <c r="AA19" s="18">
        <f>SUM(O19:Z19)</f>
        <v>17806.420000000002</v>
      </c>
      <c r="AB19" s="16"/>
      <c r="AC19" s="16"/>
      <c r="AD19" s="18">
        <v>16092.4</v>
      </c>
      <c r="AE19" s="16"/>
      <c r="AF19" s="16"/>
      <c r="AG19" s="18">
        <v>15866.33</v>
      </c>
      <c r="AH19" s="16"/>
      <c r="AI19" s="16"/>
    </row>
    <row r="20" spans="1:40" hidden="1" outlineLevel="1" x14ac:dyDescent="0.2">
      <c r="A20" s="6" t="s">
        <v>5</v>
      </c>
      <c r="B20" s="7"/>
      <c r="G20" s="16" t="s">
        <v>749</v>
      </c>
      <c r="H20" s="16">
        <v>900200</v>
      </c>
      <c r="I20" s="17"/>
      <c r="J20" s="17"/>
      <c r="K20" s="16"/>
      <c r="L20" s="17"/>
      <c r="M20" s="17"/>
      <c r="N20" s="16" t="s">
        <v>1047</v>
      </c>
      <c r="O20" s="18">
        <v>3694</v>
      </c>
      <c r="P20" s="18">
        <v>3593</v>
      </c>
      <c r="Q20" s="18">
        <v>3831</v>
      </c>
      <c r="R20" s="18">
        <v>3720</v>
      </c>
      <c r="S20" s="18">
        <v>3473</v>
      </c>
      <c r="T20" s="18">
        <v>3105</v>
      </c>
      <c r="U20" s="18">
        <v>3034</v>
      </c>
      <c r="V20" s="18">
        <v>3033</v>
      </c>
      <c r="W20" s="18">
        <v>2632</v>
      </c>
      <c r="X20" s="18">
        <v>3186</v>
      </c>
      <c r="Y20" s="18">
        <v>3534</v>
      </c>
      <c r="Z20" s="18">
        <v>3635</v>
      </c>
      <c r="AA20" s="18">
        <f>SUM(O20:Z20)</f>
        <v>40470</v>
      </c>
      <c r="AB20" s="16"/>
      <c r="AC20" s="16"/>
      <c r="AD20" s="18">
        <v>40231</v>
      </c>
      <c r="AE20" s="16"/>
      <c r="AF20" s="16"/>
      <c r="AG20" s="18">
        <v>39886</v>
      </c>
      <c r="AH20" s="16"/>
      <c r="AI20" s="16"/>
    </row>
    <row r="21" spans="1:40" hidden="1" outlineLevel="1" x14ac:dyDescent="0.2">
      <c r="A21" s="6" t="s">
        <v>6</v>
      </c>
      <c r="B21" s="7"/>
      <c r="I21" s="1"/>
      <c r="J21" s="1"/>
    </row>
    <row r="22" spans="1:40" hidden="1" outlineLevel="1" x14ac:dyDescent="0.2">
      <c r="A22" s="6" t="s">
        <v>7</v>
      </c>
      <c r="B22" s="14" t="s">
        <v>1365</v>
      </c>
      <c r="I22" s="1"/>
      <c r="J22" s="1"/>
    </row>
    <row r="23" spans="1:40" hidden="1" outlineLevel="1" x14ac:dyDescent="0.2">
      <c r="A23" s="6" t="s">
        <v>47</v>
      </c>
      <c r="B23" s="14" t="s">
        <v>1366</v>
      </c>
      <c r="K23" s="53"/>
      <c r="L23" s="53"/>
      <c r="M23" s="53"/>
      <c r="AD23" s="136"/>
    </row>
    <row r="24" spans="1:40" hidden="1" outlineLevel="1" x14ac:dyDescent="0.2">
      <c r="A24" s="6" t="s">
        <v>8</v>
      </c>
      <c r="B24" s="7"/>
    </row>
    <row r="25" spans="1:40" collapsed="1" x14ac:dyDescent="0.2"/>
    <row r="26" spans="1:40" ht="23" x14ac:dyDescent="0.25">
      <c r="A26" s="3" t="s">
        <v>9</v>
      </c>
      <c r="B26" s="5" t="s">
        <v>10</v>
      </c>
      <c r="N26" s="61" t="s">
        <v>982</v>
      </c>
    </row>
    <row r="27" spans="1:40" ht="18" x14ac:dyDescent="0.2">
      <c r="A27" s="6" t="s">
        <v>11</v>
      </c>
      <c r="B27" s="7" t="s">
        <v>21</v>
      </c>
      <c r="N27" s="66" t="s">
        <v>1245</v>
      </c>
    </row>
    <row r="28" spans="1:40" ht="16" x14ac:dyDescent="0.2">
      <c r="A28" s="6" t="s">
        <v>12</v>
      </c>
      <c r="B28" s="7" t="s">
        <v>22</v>
      </c>
      <c r="N28" s="67" t="s">
        <v>1002</v>
      </c>
    </row>
    <row r="29" spans="1:40" ht="15" customHeight="1" x14ac:dyDescent="0.2">
      <c r="A29" s="6" t="s">
        <v>13</v>
      </c>
      <c r="B29" s="7" t="str">
        <f>"DEP(450000) AND "&amp;$E$6&amp;"=Y,400000|DEP(550000) AND "&amp;$E$6&amp;"=Y,500001"</f>
        <v>DEP(450000) AND D1138=Y,400000|DEP(550000) AND D1138=Y,500001</v>
      </c>
      <c r="N29" s="67" t="s">
        <v>986</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748</v>
      </c>
      <c r="AK30" s="209"/>
      <c r="AL30" s="210"/>
      <c r="AM30" s="209" t="s">
        <v>750</v>
      </c>
      <c r="AN30" s="209"/>
    </row>
    <row r="31" spans="1:40" x14ac:dyDescent="0.2">
      <c r="A31" s="6" t="s">
        <v>15</v>
      </c>
      <c r="B31" s="7"/>
      <c r="G31" s="13"/>
      <c r="K31" s="11"/>
      <c r="L31" s="11"/>
      <c r="M31" s="11"/>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tr">
        <f>AA14</f>
        <v>TOTAL</v>
      </c>
      <c r="AB31" s="207"/>
      <c r="AD31" s="540" t="s">
        <v>987</v>
      </c>
      <c r="AE31" s="541"/>
      <c r="AF31" s="211" t="s">
        <v>631</v>
      </c>
      <c r="AG31" s="540" t="s">
        <v>1003</v>
      </c>
      <c r="AH31" s="541"/>
      <c r="AI31" s="211" t="s">
        <v>631</v>
      </c>
      <c r="AJ31" s="211">
        <v>2024</v>
      </c>
      <c r="AK31" s="238">
        <v>2024</v>
      </c>
      <c r="AL31" s="238">
        <v>2023</v>
      </c>
      <c r="AM31" s="211" t="str">
        <f>"vs "&amp;AK31</f>
        <v>vs 2024</v>
      </c>
      <c r="AN31" s="211" t="str">
        <f>"vs "&amp;AL31</f>
        <v>vs 2023</v>
      </c>
    </row>
    <row r="32" spans="1:40" s="232" customFormat="1" ht="30" customHeight="1" x14ac:dyDescent="0.2">
      <c r="A32" s="230" t="s">
        <v>16</v>
      </c>
      <c r="B32" s="231"/>
      <c r="G32" s="317"/>
      <c r="H32" s="233"/>
      <c r="I32" s="234"/>
      <c r="J32" s="234"/>
      <c r="K32" s="235" t="s">
        <v>117</v>
      </c>
      <c r="L32" s="235"/>
      <c r="M32" s="235"/>
      <c r="N32" s="236" t="s">
        <v>120</v>
      </c>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c r="AD32" s="237" t="s">
        <v>959</v>
      </c>
      <c r="AE32" s="238" t="s">
        <v>58</v>
      </c>
      <c r="AF32" s="237" t="s">
        <v>57</v>
      </c>
      <c r="AG32" s="237" t="s">
        <v>957</v>
      </c>
      <c r="AH32" s="238" t="s">
        <v>58</v>
      </c>
      <c r="AI32" s="237" t="s">
        <v>57</v>
      </c>
      <c r="AJ32" s="237" t="str">
        <f>Z32</f>
        <v>Actual</v>
      </c>
      <c r="AK32" s="238" t="str">
        <f>AD32</f>
        <v>Budget</v>
      </c>
      <c r="AL32" s="237" t="str">
        <f>AG32</f>
        <v>Actual</v>
      </c>
      <c r="AM32" s="211" t="s">
        <v>747</v>
      </c>
      <c r="AN32" s="211" t="s">
        <v>747</v>
      </c>
    </row>
    <row r="33" spans="1:40" x14ac:dyDescent="0.2">
      <c r="A33" s="6" t="s">
        <v>17</v>
      </c>
      <c r="B33" s="7"/>
      <c r="H33" s="1" t="s">
        <v>69</v>
      </c>
      <c r="I33" s="11" t="s">
        <v>1006</v>
      </c>
      <c r="J33" s="11" t="s">
        <v>78</v>
      </c>
      <c r="N33" s="37" t="s">
        <v>1013</v>
      </c>
      <c r="O33" s="38"/>
      <c r="P33" s="42"/>
      <c r="Q33" s="42"/>
      <c r="R33" s="42"/>
      <c r="S33" s="42"/>
      <c r="T33" s="42"/>
      <c r="U33" s="42"/>
      <c r="V33" s="42"/>
      <c r="W33" s="42"/>
      <c r="X33" s="42"/>
      <c r="Y33" s="42"/>
      <c r="Z33" s="42"/>
      <c r="AA33" s="42"/>
      <c r="AB33" s="39"/>
      <c r="AD33" s="38"/>
      <c r="AE33" s="42"/>
      <c r="AF33" s="39"/>
      <c r="AG33" s="38"/>
      <c r="AH33" s="42"/>
      <c r="AI33" s="39"/>
    </row>
    <row r="34" spans="1:40" x14ac:dyDescent="0.2">
      <c r="H34" s="10" t="s">
        <v>424</v>
      </c>
      <c r="I34" s="25" t="s">
        <v>1052</v>
      </c>
      <c r="J34" s="25" t="s">
        <v>78</v>
      </c>
      <c r="K34" s="64" t="str">
        <f t="shared" ref="K34:K53" si="0">IF(AND(I34&gt;="T5"),"&gt;","")</f>
        <v>&gt;</v>
      </c>
      <c r="L34" s="24">
        <v>410000</v>
      </c>
      <c r="M34" s="24"/>
      <c r="N34" s="24" t="s">
        <v>1367</v>
      </c>
      <c r="O34" s="19">
        <v>-5.6</v>
      </c>
      <c r="P34" s="19">
        <v>55.04</v>
      </c>
      <c r="Q34" s="19">
        <v>50.72</v>
      </c>
      <c r="R34" s="19">
        <v>49.53</v>
      </c>
      <c r="S34" s="19">
        <v>36.36</v>
      </c>
      <c r="T34" s="19">
        <v>125.94</v>
      </c>
      <c r="U34" s="19">
        <v>90.37</v>
      </c>
      <c r="V34" s="19">
        <v>196.65</v>
      </c>
      <c r="W34" s="19">
        <v>79.5</v>
      </c>
      <c r="X34" s="19">
        <v>63.5</v>
      </c>
      <c r="Y34" s="19">
        <v>19.64</v>
      </c>
      <c r="Z34" s="19">
        <v>368.74</v>
      </c>
      <c r="AA34" s="283">
        <f t="shared" ref="AA34:AA53" si="1">IF($I34="B1","",SUM(O34:Z34))</f>
        <v>1130.3899999999999</v>
      </c>
      <c r="AB34" s="15">
        <f t="shared" ref="AB34:AB53" si="2">IF(AA34=0,"",IFERROR(AA34/AA$19,""))</f>
        <v>6.3482159805283697E-2</v>
      </c>
      <c r="AD34" s="19">
        <v>1206.93</v>
      </c>
      <c r="AE34" s="15">
        <f t="shared" ref="AE34:AE53" si="3">IF(AD34=0,"",IFERROR(AD34/AD$19,""))</f>
        <v>7.5000000000000011E-2</v>
      </c>
      <c r="AF34" s="47">
        <f t="shared" ref="AF34:AF53" si="4">IF(AND($AA34="",AD34=""),"",$AA34-AD34)</f>
        <v>-76.540000000000191</v>
      </c>
      <c r="AG34" s="19">
        <v>1261.7</v>
      </c>
      <c r="AH34" s="15">
        <f t="shared" ref="AH34:AH53" si="5">IF(AG34=0,"",IFERROR(AG34/AG$19,""))</f>
        <v>7.9520594869765093E-2</v>
      </c>
      <c r="AI34" s="47">
        <f t="shared" ref="AI34:AI53" si="6">IF(AND($AA34="",AG34=""),"",$AA34-AG34)</f>
        <v>-131.31000000000017</v>
      </c>
      <c r="AJ34" s="371">
        <f t="shared" ref="AJ34:AJ53" si="7">IFERROR(AA34/AA$20,0)</f>
        <v>2.7931554237706942E-2</v>
      </c>
      <c r="AK34" s="372">
        <f t="shared" ref="AK34:AK53" si="8">IFERROR(AD34/AD$20,0)</f>
        <v>3.0000000000000002E-2</v>
      </c>
      <c r="AL34" s="373">
        <f t="shared" ref="AL34:AL53" si="9">IFERROR(AG34/AG$20,0)</f>
        <v>3.1632653061224494E-2</v>
      </c>
      <c r="AM34" s="374" t="str">
        <f t="shared" ref="AM34:AM53" si="10">+IFERROR(ROUND(($AB34-AE34)*100,2)&amp;" pts.",0)</f>
        <v>-1.15 pts.</v>
      </c>
      <c r="AN34" s="375" t="str">
        <f t="shared" ref="AN34:AN53" si="11">+IFERROR(ROUND(($AB34-AH34)*100,2)&amp;" pts.",0)</f>
        <v>-1.6 pts.</v>
      </c>
    </row>
    <row r="35" spans="1:40" x14ac:dyDescent="0.2">
      <c r="H35" s="10" t="s">
        <v>425</v>
      </c>
      <c r="I35" s="25" t="s">
        <v>1052</v>
      </c>
      <c r="J35" s="25" t="s">
        <v>78</v>
      </c>
      <c r="K35" s="64" t="str">
        <f t="shared" si="0"/>
        <v>&gt;</v>
      </c>
      <c r="L35" s="24">
        <v>450100</v>
      </c>
      <c r="M35" s="24"/>
      <c r="N35" s="24" t="s">
        <v>1368</v>
      </c>
      <c r="O35" s="19"/>
      <c r="P35" s="19"/>
      <c r="Q35" s="19"/>
      <c r="R35" s="19"/>
      <c r="S35" s="19"/>
      <c r="T35" s="19"/>
      <c r="U35" s="19"/>
      <c r="V35" s="19"/>
      <c r="W35" s="19"/>
      <c r="X35" s="19"/>
      <c r="Y35" s="19"/>
      <c r="Z35" s="19"/>
      <c r="AA35" s="283">
        <f t="shared" si="1"/>
        <v>0</v>
      </c>
      <c r="AB35" s="15" t="str">
        <f t="shared" si="2"/>
        <v/>
      </c>
      <c r="AD35" s="19"/>
      <c r="AE35" s="15" t="str">
        <f t="shared" si="3"/>
        <v/>
      </c>
      <c r="AF35" s="47">
        <f t="shared" si="4"/>
        <v>0</v>
      </c>
      <c r="AG35" s="19"/>
      <c r="AH35" s="15" t="str">
        <f t="shared" si="5"/>
        <v/>
      </c>
      <c r="AI35" s="47">
        <f t="shared" si="6"/>
        <v>0</v>
      </c>
      <c r="AJ35" s="371">
        <f t="shared" si="7"/>
        <v>0</v>
      </c>
      <c r="AK35" s="372">
        <f t="shared" si="8"/>
        <v>0</v>
      </c>
      <c r="AL35" s="373">
        <f t="shared" si="9"/>
        <v>0</v>
      </c>
      <c r="AM35" s="374">
        <f t="shared" si="10"/>
        <v>0</v>
      </c>
      <c r="AN35" s="375">
        <f t="shared" si="11"/>
        <v>0</v>
      </c>
    </row>
    <row r="36" spans="1:40" x14ac:dyDescent="0.2">
      <c r="A36" s="4" t="s">
        <v>989</v>
      </c>
      <c r="H36" s="10" t="s">
        <v>426</v>
      </c>
      <c r="I36" s="25" t="s">
        <v>1052</v>
      </c>
      <c r="J36" s="25" t="s">
        <v>78</v>
      </c>
      <c r="K36" s="64" t="str">
        <f t="shared" si="0"/>
        <v>&gt;</v>
      </c>
      <c r="L36" s="24">
        <v>450150</v>
      </c>
      <c r="M36" s="24"/>
      <c r="N36" s="24" t="s">
        <v>1369</v>
      </c>
      <c r="O36" s="19">
        <v>846.65</v>
      </c>
      <c r="P36" s="19">
        <v>341.6</v>
      </c>
      <c r="Q36" s="19">
        <v>764.79</v>
      </c>
      <c r="R36" s="19">
        <v>764.02</v>
      </c>
      <c r="S36" s="19">
        <v>325.27999999999997</v>
      </c>
      <c r="T36" s="19">
        <v>191.53</v>
      </c>
      <c r="U36" s="19">
        <v>619.27</v>
      </c>
      <c r="V36" s="19">
        <v>91.49</v>
      </c>
      <c r="W36" s="19">
        <v>400.98</v>
      </c>
      <c r="X36" s="19">
        <v>372.37</v>
      </c>
      <c r="Y36" s="19">
        <v>983.49</v>
      </c>
      <c r="Z36" s="19">
        <v>146.85</v>
      </c>
      <c r="AA36" s="283">
        <f t="shared" si="1"/>
        <v>5848.3200000000006</v>
      </c>
      <c r="AB36" s="15">
        <f t="shared" si="2"/>
        <v>0.32843884396751283</v>
      </c>
      <c r="AD36" s="19">
        <v>7241.58</v>
      </c>
      <c r="AE36" s="15">
        <f t="shared" si="3"/>
        <v>0.45</v>
      </c>
      <c r="AF36" s="47">
        <f t="shared" si="4"/>
        <v>-1393.2599999999993</v>
      </c>
      <c r="AG36" s="19">
        <v>7096.69</v>
      </c>
      <c r="AH36" s="15">
        <f t="shared" si="5"/>
        <v>0.44727986875351766</v>
      </c>
      <c r="AI36" s="47">
        <f t="shared" si="6"/>
        <v>-1248.369999999999</v>
      </c>
      <c r="AJ36" s="371">
        <f t="shared" si="7"/>
        <v>0.14451000741289846</v>
      </c>
      <c r="AK36" s="372">
        <f t="shared" si="8"/>
        <v>0.18</v>
      </c>
      <c r="AL36" s="373">
        <f t="shared" si="9"/>
        <v>0.17792433435290578</v>
      </c>
      <c r="AM36" s="374" t="str">
        <f t="shared" si="10"/>
        <v>-12.16 pts.</v>
      </c>
      <c r="AN36" s="375" t="str">
        <f t="shared" si="11"/>
        <v>-11.88 pts.</v>
      </c>
    </row>
    <row r="37" spans="1:40" x14ac:dyDescent="0.2">
      <c r="H37" s="10" t="s">
        <v>427</v>
      </c>
      <c r="I37" s="25" t="s">
        <v>1052</v>
      </c>
      <c r="J37" s="25" t="s">
        <v>78</v>
      </c>
      <c r="K37" s="64" t="str">
        <f t="shared" si="0"/>
        <v>&gt;</v>
      </c>
      <c r="L37" s="24">
        <v>450200</v>
      </c>
      <c r="M37" s="24"/>
      <c r="N37" s="24" t="s">
        <v>453</v>
      </c>
      <c r="O37" s="19"/>
      <c r="P37" s="19"/>
      <c r="Q37" s="19"/>
      <c r="R37" s="19"/>
      <c r="S37" s="19"/>
      <c r="T37" s="19"/>
      <c r="U37" s="19"/>
      <c r="V37" s="19"/>
      <c r="W37" s="19"/>
      <c r="X37" s="19"/>
      <c r="Y37" s="19"/>
      <c r="Z37" s="19"/>
      <c r="AA37" s="283">
        <f t="shared" si="1"/>
        <v>0</v>
      </c>
      <c r="AB37" s="15" t="str">
        <f t="shared" si="2"/>
        <v/>
      </c>
      <c r="AD37" s="19"/>
      <c r="AE37" s="15" t="str">
        <f t="shared" si="3"/>
        <v/>
      </c>
      <c r="AF37" s="47">
        <f t="shared" si="4"/>
        <v>0</v>
      </c>
      <c r="AG37" s="19"/>
      <c r="AH37" s="15" t="str">
        <f t="shared" si="5"/>
        <v/>
      </c>
      <c r="AI37" s="47">
        <f t="shared" si="6"/>
        <v>0</v>
      </c>
      <c r="AJ37" s="371">
        <f t="shared" si="7"/>
        <v>0</v>
      </c>
      <c r="AK37" s="372">
        <f t="shared" si="8"/>
        <v>0</v>
      </c>
      <c r="AL37" s="373">
        <f t="shared" si="9"/>
        <v>0</v>
      </c>
      <c r="AM37" s="374">
        <f t="shared" si="10"/>
        <v>0</v>
      </c>
      <c r="AN37" s="375">
        <f t="shared" si="11"/>
        <v>0</v>
      </c>
    </row>
    <row r="38" spans="1:40" x14ac:dyDescent="0.2">
      <c r="A38" s="3" t="s">
        <v>0</v>
      </c>
      <c r="B38" s="5" t="s">
        <v>1</v>
      </c>
      <c r="H38" s="10" t="s">
        <v>428</v>
      </c>
      <c r="I38" s="25" t="s">
        <v>1052</v>
      </c>
      <c r="J38" s="25" t="s">
        <v>78</v>
      </c>
      <c r="K38" s="64" t="str">
        <f t="shared" si="0"/>
        <v>&gt;</v>
      </c>
      <c r="L38" s="24">
        <v>450250</v>
      </c>
      <c r="M38" s="24"/>
      <c r="N38" s="24" t="s">
        <v>454</v>
      </c>
      <c r="O38" s="19">
        <v>937</v>
      </c>
      <c r="P38" s="19">
        <v>1056</v>
      </c>
      <c r="Q38" s="19">
        <v>1699</v>
      </c>
      <c r="R38" s="19">
        <v>648</v>
      </c>
      <c r="S38" s="19">
        <v>324.75</v>
      </c>
      <c r="T38" s="19">
        <v>654</v>
      </c>
      <c r="U38" s="19">
        <v>936.4</v>
      </c>
      <c r="V38" s="19">
        <v>612.55999999999995</v>
      </c>
      <c r="W38" s="19">
        <v>385</v>
      </c>
      <c r="X38" s="19">
        <v>953</v>
      </c>
      <c r="Y38" s="19">
        <v>1025</v>
      </c>
      <c r="Z38" s="19">
        <v>1415</v>
      </c>
      <c r="AA38" s="283">
        <f t="shared" si="1"/>
        <v>10645.71</v>
      </c>
      <c r="AB38" s="15">
        <f t="shared" si="2"/>
        <v>0.59785796358841348</v>
      </c>
      <c r="AD38" s="19">
        <v>7643.89</v>
      </c>
      <c r="AE38" s="15">
        <f t="shared" si="3"/>
        <v>0.47500000000000003</v>
      </c>
      <c r="AF38" s="47">
        <f t="shared" si="4"/>
        <v>3001.8199999999988</v>
      </c>
      <c r="AG38" s="19">
        <v>7507.94</v>
      </c>
      <c r="AH38" s="15">
        <f t="shared" si="5"/>
        <v>0.47319953637671719</v>
      </c>
      <c r="AI38" s="47">
        <f t="shared" si="6"/>
        <v>3137.7699999999995</v>
      </c>
      <c r="AJ38" s="371">
        <f t="shared" si="7"/>
        <v>0.26305189028910303</v>
      </c>
      <c r="AK38" s="372">
        <f t="shared" si="8"/>
        <v>0.19</v>
      </c>
      <c r="AL38" s="373">
        <f t="shared" si="9"/>
        <v>0.18823496966354109</v>
      </c>
      <c r="AM38" s="374" t="str">
        <f t="shared" si="10"/>
        <v>12.29 pts.</v>
      </c>
      <c r="AN38" s="375" t="str">
        <f t="shared" si="11"/>
        <v>12.47 pts.</v>
      </c>
    </row>
    <row r="39" spans="1:40" x14ac:dyDescent="0.2">
      <c r="A39" s="6" t="s">
        <v>2</v>
      </c>
      <c r="B39" s="14" t="s">
        <v>1362</v>
      </c>
      <c r="H39" s="10" t="s">
        <v>429</v>
      </c>
      <c r="I39" s="25" t="s">
        <v>1052</v>
      </c>
      <c r="J39" s="25" t="s">
        <v>78</v>
      </c>
      <c r="K39" s="64" t="str">
        <f t="shared" si="0"/>
        <v>&gt;</v>
      </c>
      <c r="L39" s="24">
        <v>450300</v>
      </c>
      <c r="M39" s="24"/>
      <c r="N39" s="24" t="s">
        <v>1370</v>
      </c>
      <c r="O39" s="19"/>
      <c r="P39" s="19"/>
      <c r="Q39" s="19"/>
      <c r="R39" s="19"/>
      <c r="S39" s="19"/>
      <c r="T39" s="19"/>
      <c r="U39" s="19"/>
      <c r="V39" s="19"/>
      <c r="W39" s="19"/>
      <c r="X39" s="19"/>
      <c r="Y39" s="19"/>
      <c r="Z39" s="19"/>
      <c r="AA39" s="283">
        <f t="shared" si="1"/>
        <v>0</v>
      </c>
      <c r="AB39" s="15" t="str">
        <f t="shared" si="2"/>
        <v/>
      </c>
      <c r="AD39" s="19"/>
      <c r="AE39" s="15" t="str">
        <f t="shared" si="3"/>
        <v/>
      </c>
      <c r="AF39" s="47">
        <f t="shared" si="4"/>
        <v>0</v>
      </c>
      <c r="AG39" s="19"/>
      <c r="AH39" s="15" t="str">
        <f t="shared" si="5"/>
        <v/>
      </c>
      <c r="AI39" s="47">
        <f t="shared" si="6"/>
        <v>0</v>
      </c>
      <c r="AJ39" s="371">
        <f t="shared" si="7"/>
        <v>0</v>
      </c>
      <c r="AK39" s="372">
        <f t="shared" si="8"/>
        <v>0</v>
      </c>
      <c r="AL39" s="373">
        <f t="shared" si="9"/>
        <v>0</v>
      </c>
      <c r="AM39" s="374">
        <f t="shared" si="10"/>
        <v>0</v>
      </c>
      <c r="AN39" s="375">
        <f t="shared" si="11"/>
        <v>0</v>
      </c>
    </row>
    <row r="40" spans="1:40" x14ac:dyDescent="0.2">
      <c r="A40" s="6" t="s">
        <v>3</v>
      </c>
      <c r="B40" s="14" t="s">
        <v>1363</v>
      </c>
      <c r="H40" s="10" t="s">
        <v>430</v>
      </c>
      <c r="I40" s="25" t="s">
        <v>1052</v>
      </c>
      <c r="J40" s="25" t="s">
        <v>78</v>
      </c>
      <c r="K40" s="64" t="str">
        <f t="shared" si="0"/>
        <v>&gt;</v>
      </c>
      <c r="L40" s="24">
        <v>450350</v>
      </c>
      <c r="M40" s="24"/>
      <c r="N40" s="24" t="s">
        <v>1371</v>
      </c>
      <c r="O40" s="19"/>
      <c r="P40" s="19"/>
      <c r="Q40" s="19"/>
      <c r="R40" s="19"/>
      <c r="S40" s="19"/>
      <c r="T40" s="19"/>
      <c r="U40" s="19"/>
      <c r="V40" s="19"/>
      <c r="W40" s="19"/>
      <c r="X40" s="19"/>
      <c r="Y40" s="19"/>
      <c r="Z40" s="19"/>
      <c r="AA40" s="283">
        <f t="shared" si="1"/>
        <v>0</v>
      </c>
      <c r="AB40" s="15" t="str">
        <f t="shared" si="2"/>
        <v/>
      </c>
      <c r="AD40" s="19"/>
      <c r="AE40" s="15" t="str">
        <f t="shared" si="3"/>
        <v/>
      </c>
      <c r="AF40" s="47">
        <f t="shared" si="4"/>
        <v>0</v>
      </c>
      <c r="AG40" s="19"/>
      <c r="AH40" s="15" t="str">
        <f t="shared" si="5"/>
        <v/>
      </c>
      <c r="AI40" s="47">
        <f t="shared" si="6"/>
        <v>0</v>
      </c>
      <c r="AJ40" s="371">
        <f t="shared" si="7"/>
        <v>0</v>
      </c>
      <c r="AK40" s="372">
        <f t="shared" si="8"/>
        <v>0</v>
      </c>
      <c r="AL40" s="373">
        <f t="shared" si="9"/>
        <v>0</v>
      </c>
      <c r="AM40" s="374">
        <f t="shared" si="10"/>
        <v>0</v>
      </c>
      <c r="AN40" s="375">
        <f t="shared" si="11"/>
        <v>0</v>
      </c>
    </row>
    <row r="41" spans="1:40" x14ac:dyDescent="0.2">
      <c r="A41" s="6" t="s">
        <v>4</v>
      </c>
      <c r="B41" s="14" t="s">
        <v>1374</v>
      </c>
      <c r="H41" s="10" t="s">
        <v>475</v>
      </c>
      <c r="I41" s="25" t="s">
        <v>1004</v>
      </c>
      <c r="J41" s="25" t="s">
        <v>1004</v>
      </c>
      <c r="K41" s="64" t="str">
        <f t="shared" si="0"/>
        <v/>
      </c>
      <c r="L41" s="24">
        <v>450375</v>
      </c>
      <c r="M41" s="24">
        <v>207005</v>
      </c>
      <c r="N41" s="24" t="s">
        <v>1372</v>
      </c>
      <c r="O41" s="19"/>
      <c r="P41" s="19"/>
      <c r="Q41" s="19"/>
      <c r="R41" s="19"/>
      <c r="S41" s="19"/>
      <c r="T41" s="19"/>
      <c r="U41" s="19"/>
      <c r="V41" s="19"/>
      <c r="W41" s="19"/>
      <c r="X41" s="19"/>
      <c r="Y41" s="19"/>
      <c r="Z41" s="19"/>
      <c r="AA41" s="283">
        <f t="shared" si="1"/>
        <v>0</v>
      </c>
      <c r="AB41" s="15" t="str">
        <f t="shared" si="2"/>
        <v/>
      </c>
      <c r="AD41" s="19"/>
      <c r="AE41" s="15" t="str">
        <f t="shared" si="3"/>
        <v/>
      </c>
      <c r="AF41" s="47">
        <f t="shared" si="4"/>
        <v>0</v>
      </c>
      <c r="AG41" s="19"/>
      <c r="AH41" s="15" t="str">
        <f t="shared" si="5"/>
        <v/>
      </c>
      <c r="AI41" s="47">
        <f t="shared" si="6"/>
        <v>0</v>
      </c>
      <c r="AJ41" s="371">
        <f t="shared" si="7"/>
        <v>0</v>
      </c>
      <c r="AK41" s="372">
        <f t="shared" si="8"/>
        <v>0</v>
      </c>
      <c r="AL41" s="373">
        <f t="shared" si="9"/>
        <v>0</v>
      </c>
      <c r="AM41" s="374">
        <f t="shared" si="10"/>
        <v>0</v>
      </c>
      <c r="AN41" s="375">
        <f t="shared" si="11"/>
        <v>0</v>
      </c>
    </row>
    <row r="42" spans="1:40" x14ac:dyDescent="0.2">
      <c r="A42" s="6" t="s">
        <v>5</v>
      </c>
      <c r="B42" s="7"/>
      <c r="H42" s="10" t="s">
        <v>476</v>
      </c>
      <c r="I42" s="25" t="s">
        <v>1052</v>
      </c>
      <c r="J42" s="25" t="s">
        <v>78</v>
      </c>
      <c r="K42" s="64" t="str">
        <f t="shared" si="0"/>
        <v>&gt;</v>
      </c>
      <c r="L42" s="24">
        <v>450380</v>
      </c>
      <c r="M42" s="24"/>
      <c r="N42" s="24" t="s">
        <v>489</v>
      </c>
      <c r="O42" s="19"/>
      <c r="P42" s="19"/>
      <c r="Q42" s="19"/>
      <c r="R42" s="19"/>
      <c r="S42" s="19"/>
      <c r="T42" s="19"/>
      <c r="U42" s="19"/>
      <c r="V42" s="19"/>
      <c r="W42" s="19"/>
      <c r="X42" s="19"/>
      <c r="Y42" s="19"/>
      <c r="Z42" s="19"/>
      <c r="AA42" s="283">
        <f t="shared" si="1"/>
        <v>0</v>
      </c>
      <c r="AB42" s="15" t="str">
        <f t="shared" si="2"/>
        <v/>
      </c>
      <c r="AD42" s="19"/>
      <c r="AE42" s="15" t="str">
        <f t="shared" si="3"/>
        <v/>
      </c>
      <c r="AF42" s="47">
        <f t="shared" si="4"/>
        <v>0</v>
      </c>
      <c r="AG42" s="19"/>
      <c r="AH42" s="15" t="str">
        <f t="shared" si="5"/>
        <v/>
      </c>
      <c r="AI42" s="47">
        <f t="shared" si="6"/>
        <v>0</v>
      </c>
      <c r="AJ42" s="371">
        <f t="shared" si="7"/>
        <v>0</v>
      </c>
      <c r="AK42" s="372">
        <f t="shared" si="8"/>
        <v>0</v>
      </c>
      <c r="AL42" s="373">
        <f t="shared" si="9"/>
        <v>0</v>
      </c>
      <c r="AM42" s="374">
        <f t="shared" si="10"/>
        <v>0</v>
      </c>
      <c r="AN42" s="375">
        <f t="shared" si="11"/>
        <v>0</v>
      </c>
    </row>
    <row r="43" spans="1:40" x14ac:dyDescent="0.2">
      <c r="A43" s="6" t="s">
        <v>6</v>
      </c>
      <c r="B43" s="7"/>
      <c r="H43" s="10" t="s">
        <v>477</v>
      </c>
      <c r="I43" s="25" t="s">
        <v>1052</v>
      </c>
      <c r="J43" s="25" t="s">
        <v>78</v>
      </c>
      <c r="K43" s="64" t="str">
        <f t="shared" si="0"/>
        <v>&gt;</v>
      </c>
      <c r="L43" s="24">
        <v>450385</v>
      </c>
      <c r="M43" s="24"/>
      <c r="N43" s="24" t="s">
        <v>490</v>
      </c>
      <c r="O43" s="19"/>
      <c r="P43" s="19"/>
      <c r="Q43" s="19"/>
      <c r="R43" s="19"/>
      <c r="S43" s="19"/>
      <c r="T43" s="19"/>
      <c r="U43" s="19"/>
      <c r="V43" s="19"/>
      <c r="W43" s="19"/>
      <c r="X43" s="19"/>
      <c r="Y43" s="19"/>
      <c r="Z43" s="19"/>
      <c r="AA43" s="283">
        <f t="shared" si="1"/>
        <v>0</v>
      </c>
      <c r="AB43" s="15" t="str">
        <f t="shared" si="2"/>
        <v/>
      </c>
      <c r="AD43" s="19"/>
      <c r="AE43" s="15" t="str">
        <f t="shared" si="3"/>
        <v/>
      </c>
      <c r="AF43" s="47">
        <f t="shared" si="4"/>
        <v>0</v>
      </c>
      <c r="AG43" s="19"/>
      <c r="AH43" s="15" t="str">
        <f t="shared" si="5"/>
        <v/>
      </c>
      <c r="AI43" s="47">
        <f t="shared" si="6"/>
        <v>0</v>
      </c>
      <c r="AJ43" s="371">
        <f t="shared" si="7"/>
        <v>0</v>
      </c>
      <c r="AK43" s="372">
        <f t="shared" si="8"/>
        <v>0</v>
      </c>
      <c r="AL43" s="373">
        <f t="shared" si="9"/>
        <v>0</v>
      </c>
      <c r="AM43" s="374">
        <f t="shared" si="10"/>
        <v>0</v>
      </c>
      <c r="AN43" s="375">
        <f t="shared" si="11"/>
        <v>0</v>
      </c>
    </row>
    <row r="44" spans="1:40" x14ac:dyDescent="0.2">
      <c r="A44" s="6" t="s">
        <v>7</v>
      </c>
      <c r="B44" s="14" t="s">
        <v>1365</v>
      </c>
      <c r="H44" s="10" t="s">
        <v>478</v>
      </c>
      <c r="I44" s="25" t="s">
        <v>1052</v>
      </c>
      <c r="J44" s="25" t="s">
        <v>78</v>
      </c>
      <c r="K44" s="64" t="str">
        <f t="shared" si="0"/>
        <v>&gt;</v>
      </c>
      <c r="L44" s="24">
        <v>450390</v>
      </c>
      <c r="M44" s="24"/>
      <c r="N44" s="24" t="s">
        <v>491</v>
      </c>
      <c r="O44" s="19"/>
      <c r="P44" s="19"/>
      <c r="Q44" s="19"/>
      <c r="R44" s="19"/>
      <c r="S44" s="19"/>
      <c r="T44" s="19"/>
      <c r="U44" s="19"/>
      <c r="V44" s="19"/>
      <c r="W44" s="19"/>
      <c r="X44" s="19"/>
      <c r="Y44" s="19"/>
      <c r="Z44" s="19"/>
      <c r="AA44" s="283">
        <f t="shared" si="1"/>
        <v>0</v>
      </c>
      <c r="AB44" s="15" t="str">
        <f t="shared" si="2"/>
        <v/>
      </c>
      <c r="AD44" s="19"/>
      <c r="AE44" s="15" t="str">
        <f t="shared" si="3"/>
        <v/>
      </c>
      <c r="AF44" s="47">
        <f t="shared" si="4"/>
        <v>0</v>
      </c>
      <c r="AG44" s="19"/>
      <c r="AH44" s="15" t="str">
        <f t="shared" si="5"/>
        <v/>
      </c>
      <c r="AI44" s="47">
        <f t="shared" si="6"/>
        <v>0</v>
      </c>
      <c r="AJ44" s="371">
        <f t="shared" si="7"/>
        <v>0</v>
      </c>
      <c r="AK44" s="372">
        <f t="shared" si="8"/>
        <v>0</v>
      </c>
      <c r="AL44" s="373">
        <f t="shared" si="9"/>
        <v>0</v>
      </c>
      <c r="AM44" s="374">
        <f t="shared" si="10"/>
        <v>0</v>
      </c>
      <c r="AN44" s="375">
        <f t="shared" si="11"/>
        <v>0</v>
      </c>
    </row>
    <row r="45" spans="1:40" x14ac:dyDescent="0.2">
      <c r="A45" s="6" t="s">
        <v>47</v>
      </c>
      <c r="B45" s="14" t="s">
        <v>1366</v>
      </c>
      <c r="H45" s="10" t="s">
        <v>479</v>
      </c>
      <c r="I45" s="25" t="s">
        <v>1052</v>
      </c>
      <c r="J45" s="25" t="s">
        <v>78</v>
      </c>
      <c r="K45" s="64" t="str">
        <f t="shared" si="0"/>
        <v>&gt;</v>
      </c>
      <c r="L45" s="24">
        <v>450395</v>
      </c>
      <c r="M45" s="24"/>
      <c r="N45" s="24" t="s">
        <v>492</v>
      </c>
      <c r="O45" s="19"/>
      <c r="P45" s="19"/>
      <c r="Q45" s="19"/>
      <c r="R45" s="19"/>
      <c r="S45" s="19"/>
      <c r="T45" s="19"/>
      <c r="U45" s="19"/>
      <c r="V45" s="19"/>
      <c r="W45" s="19"/>
      <c r="X45" s="19"/>
      <c r="Y45" s="19"/>
      <c r="Z45" s="19"/>
      <c r="AA45" s="283">
        <f t="shared" si="1"/>
        <v>0</v>
      </c>
      <c r="AB45" s="15" t="str">
        <f t="shared" si="2"/>
        <v/>
      </c>
      <c r="AD45" s="19"/>
      <c r="AE45" s="15" t="str">
        <f t="shared" si="3"/>
        <v/>
      </c>
      <c r="AF45" s="47">
        <f t="shared" si="4"/>
        <v>0</v>
      </c>
      <c r="AG45" s="19"/>
      <c r="AH45" s="15" t="str">
        <f t="shared" si="5"/>
        <v/>
      </c>
      <c r="AI45" s="47">
        <f t="shared" si="6"/>
        <v>0</v>
      </c>
      <c r="AJ45" s="371">
        <f t="shared" si="7"/>
        <v>0</v>
      </c>
      <c r="AK45" s="372">
        <f t="shared" si="8"/>
        <v>0</v>
      </c>
      <c r="AL45" s="373">
        <f t="shared" si="9"/>
        <v>0</v>
      </c>
      <c r="AM45" s="374">
        <f t="shared" si="10"/>
        <v>0</v>
      </c>
      <c r="AN45" s="375">
        <f t="shared" si="11"/>
        <v>0</v>
      </c>
    </row>
    <row r="46" spans="1:40" x14ac:dyDescent="0.2">
      <c r="A46" s="6" t="s">
        <v>8</v>
      </c>
      <c r="B46" s="7"/>
      <c r="H46" s="10" t="s">
        <v>431</v>
      </c>
      <c r="I46" s="25" t="s">
        <v>1052</v>
      </c>
      <c r="J46" s="25" t="s">
        <v>78</v>
      </c>
      <c r="K46" s="64" t="str">
        <f t="shared" si="0"/>
        <v>&gt;</v>
      </c>
      <c r="L46" s="24">
        <v>450400</v>
      </c>
      <c r="M46" s="24"/>
      <c r="N46" s="24" t="s">
        <v>456</v>
      </c>
      <c r="O46" s="19"/>
      <c r="P46" s="19"/>
      <c r="Q46" s="19"/>
      <c r="R46" s="19"/>
      <c r="S46" s="19"/>
      <c r="T46" s="19"/>
      <c r="U46" s="19"/>
      <c r="V46" s="19"/>
      <c r="W46" s="19"/>
      <c r="X46" s="19"/>
      <c r="Y46" s="19"/>
      <c r="Z46" s="19"/>
      <c r="AA46" s="283">
        <f t="shared" si="1"/>
        <v>0</v>
      </c>
      <c r="AB46" s="15" t="str">
        <f t="shared" si="2"/>
        <v/>
      </c>
      <c r="AD46" s="19"/>
      <c r="AE46" s="15" t="str">
        <f t="shared" si="3"/>
        <v/>
      </c>
      <c r="AF46" s="47">
        <f t="shared" si="4"/>
        <v>0</v>
      </c>
      <c r="AG46" s="19"/>
      <c r="AH46" s="15" t="str">
        <f t="shared" si="5"/>
        <v/>
      </c>
      <c r="AI46" s="47">
        <f t="shared" si="6"/>
        <v>0</v>
      </c>
      <c r="AJ46" s="371">
        <f t="shared" si="7"/>
        <v>0</v>
      </c>
      <c r="AK46" s="372">
        <f t="shared" si="8"/>
        <v>0</v>
      </c>
      <c r="AL46" s="373">
        <f t="shared" si="9"/>
        <v>0</v>
      </c>
      <c r="AM46" s="374">
        <f t="shared" si="10"/>
        <v>0</v>
      </c>
      <c r="AN46" s="375">
        <f t="shared" si="11"/>
        <v>0</v>
      </c>
    </row>
    <row r="47" spans="1:40" x14ac:dyDescent="0.2">
      <c r="H47" s="10" t="s">
        <v>432</v>
      </c>
      <c r="I47" s="25" t="s">
        <v>1052</v>
      </c>
      <c r="J47" s="25" t="s">
        <v>78</v>
      </c>
      <c r="K47" s="64" t="str">
        <f t="shared" si="0"/>
        <v>&gt;</v>
      </c>
      <c r="L47" s="24">
        <v>450450</v>
      </c>
      <c r="M47" s="24"/>
      <c r="N47" s="24" t="s">
        <v>457</v>
      </c>
      <c r="O47" s="19"/>
      <c r="P47" s="19"/>
      <c r="Q47" s="19"/>
      <c r="R47" s="19"/>
      <c r="S47" s="19"/>
      <c r="T47" s="19"/>
      <c r="U47" s="19"/>
      <c r="V47" s="19"/>
      <c r="W47" s="19"/>
      <c r="X47" s="19"/>
      <c r="Y47" s="19"/>
      <c r="Z47" s="19"/>
      <c r="AA47" s="283">
        <f t="shared" si="1"/>
        <v>0</v>
      </c>
      <c r="AB47" s="15" t="str">
        <f t="shared" si="2"/>
        <v/>
      </c>
      <c r="AD47" s="19"/>
      <c r="AE47" s="15" t="str">
        <f t="shared" si="3"/>
        <v/>
      </c>
      <c r="AF47" s="47">
        <f t="shared" si="4"/>
        <v>0</v>
      </c>
      <c r="AG47" s="19"/>
      <c r="AH47" s="15" t="str">
        <f t="shared" si="5"/>
        <v/>
      </c>
      <c r="AI47" s="47">
        <f t="shared" si="6"/>
        <v>0</v>
      </c>
      <c r="AJ47" s="371">
        <f t="shared" si="7"/>
        <v>0</v>
      </c>
      <c r="AK47" s="372">
        <f t="shared" si="8"/>
        <v>0</v>
      </c>
      <c r="AL47" s="373">
        <f t="shared" si="9"/>
        <v>0</v>
      </c>
      <c r="AM47" s="374">
        <f t="shared" si="10"/>
        <v>0</v>
      </c>
      <c r="AN47" s="375">
        <f t="shared" si="11"/>
        <v>0</v>
      </c>
    </row>
    <row r="48" spans="1:40" x14ac:dyDescent="0.2">
      <c r="A48" s="3" t="s">
        <v>9</v>
      </c>
      <c r="B48" s="5" t="s">
        <v>10</v>
      </c>
      <c r="H48" s="10" t="s">
        <v>433</v>
      </c>
      <c r="I48" s="25" t="s">
        <v>1052</v>
      </c>
      <c r="J48" s="25" t="s">
        <v>78</v>
      </c>
      <c r="K48" s="64" t="str">
        <f t="shared" si="0"/>
        <v>&gt;</v>
      </c>
      <c r="L48" s="24">
        <v>450500</v>
      </c>
      <c r="M48" s="24"/>
      <c r="N48" s="24" t="s">
        <v>458</v>
      </c>
      <c r="O48" s="19"/>
      <c r="P48" s="19"/>
      <c r="Q48" s="19"/>
      <c r="R48" s="19"/>
      <c r="S48" s="19"/>
      <c r="T48" s="19"/>
      <c r="U48" s="19"/>
      <c r="V48" s="19"/>
      <c r="W48" s="19"/>
      <c r="X48" s="19"/>
      <c r="Y48" s="19"/>
      <c r="Z48" s="19">
        <v>182</v>
      </c>
      <c r="AA48" s="283">
        <f t="shared" si="1"/>
        <v>182</v>
      </c>
      <c r="AB48" s="15">
        <f t="shared" si="2"/>
        <v>1.0221032638789828E-2</v>
      </c>
      <c r="AD48" s="19"/>
      <c r="AE48" s="15" t="str">
        <f t="shared" si="3"/>
        <v/>
      </c>
      <c r="AF48" s="47">
        <f t="shared" si="4"/>
        <v>182</v>
      </c>
      <c r="AG48" s="19"/>
      <c r="AH48" s="15" t="str">
        <f t="shared" si="5"/>
        <v/>
      </c>
      <c r="AI48" s="47">
        <f t="shared" si="6"/>
        <v>182</v>
      </c>
      <c r="AJ48" s="371">
        <f t="shared" si="7"/>
        <v>4.4971583889300715E-3</v>
      </c>
      <c r="AK48" s="372">
        <f t="shared" si="8"/>
        <v>0</v>
      </c>
      <c r="AL48" s="373">
        <f t="shared" si="9"/>
        <v>0</v>
      </c>
      <c r="AM48" s="374">
        <f t="shared" si="10"/>
        <v>0</v>
      </c>
      <c r="AN48" s="375">
        <f t="shared" si="11"/>
        <v>0</v>
      </c>
    </row>
    <row r="49" spans="1:40" x14ac:dyDescent="0.2">
      <c r="A49" s="6" t="s">
        <v>11</v>
      </c>
      <c r="B49" s="7" t="s">
        <v>21</v>
      </c>
      <c r="H49" s="10" t="s">
        <v>434</v>
      </c>
      <c r="I49" s="25" t="s">
        <v>1052</v>
      </c>
      <c r="J49" s="25" t="s">
        <v>78</v>
      </c>
      <c r="K49" s="64" t="str">
        <f t="shared" si="0"/>
        <v>&gt;</v>
      </c>
      <c r="L49" s="24">
        <v>450550</v>
      </c>
      <c r="M49" s="24"/>
      <c r="N49" s="24" t="s">
        <v>459</v>
      </c>
      <c r="O49" s="19"/>
      <c r="P49" s="19"/>
      <c r="Q49" s="19"/>
      <c r="R49" s="19"/>
      <c r="S49" s="19"/>
      <c r="T49" s="19"/>
      <c r="U49" s="19"/>
      <c r="V49" s="19"/>
      <c r="W49" s="19"/>
      <c r="X49" s="19"/>
      <c r="Y49" s="19"/>
      <c r="Z49" s="19"/>
      <c r="AA49" s="283">
        <f t="shared" si="1"/>
        <v>0</v>
      </c>
      <c r="AB49" s="15" t="str">
        <f t="shared" si="2"/>
        <v/>
      </c>
      <c r="AD49" s="19"/>
      <c r="AE49" s="15" t="str">
        <f t="shared" si="3"/>
        <v/>
      </c>
      <c r="AF49" s="47">
        <f t="shared" si="4"/>
        <v>0</v>
      </c>
      <c r="AG49" s="19"/>
      <c r="AH49" s="15" t="str">
        <f t="shared" si="5"/>
        <v/>
      </c>
      <c r="AI49" s="47">
        <f t="shared" si="6"/>
        <v>0</v>
      </c>
      <c r="AJ49" s="371">
        <f t="shared" si="7"/>
        <v>0</v>
      </c>
      <c r="AK49" s="372">
        <f t="shared" si="8"/>
        <v>0</v>
      </c>
      <c r="AL49" s="373">
        <f t="shared" si="9"/>
        <v>0</v>
      </c>
      <c r="AM49" s="374">
        <f t="shared" si="10"/>
        <v>0</v>
      </c>
      <c r="AN49" s="375">
        <f t="shared" si="11"/>
        <v>0</v>
      </c>
    </row>
    <row r="50" spans="1:40" x14ac:dyDescent="0.2">
      <c r="A50" s="6" t="s">
        <v>12</v>
      </c>
      <c r="B50" s="7" t="s">
        <v>22</v>
      </c>
      <c r="H50" s="10" t="s">
        <v>435</v>
      </c>
      <c r="I50" s="25" t="s">
        <v>1052</v>
      </c>
      <c r="J50" s="25" t="s">
        <v>78</v>
      </c>
      <c r="K50" s="64" t="str">
        <f t="shared" si="0"/>
        <v>&gt;</v>
      </c>
      <c r="L50" s="24">
        <v>450600</v>
      </c>
      <c r="M50" s="24"/>
      <c r="N50" s="24" t="s">
        <v>460</v>
      </c>
      <c r="O50" s="19"/>
      <c r="P50" s="19"/>
      <c r="Q50" s="19"/>
      <c r="R50" s="19"/>
      <c r="S50" s="19"/>
      <c r="T50" s="19"/>
      <c r="U50" s="19"/>
      <c r="V50" s="19"/>
      <c r="W50" s="19"/>
      <c r="X50" s="19"/>
      <c r="Y50" s="19"/>
      <c r="Z50" s="19"/>
      <c r="AA50" s="283">
        <f t="shared" si="1"/>
        <v>0</v>
      </c>
      <c r="AB50" s="15" t="str">
        <f t="shared" si="2"/>
        <v/>
      </c>
      <c r="AD50" s="19"/>
      <c r="AE50" s="15" t="str">
        <f t="shared" si="3"/>
        <v/>
      </c>
      <c r="AF50" s="47">
        <f t="shared" si="4"/>
        <v>0</v>
      </c>
      <c r="AG50" s="19"/>
      <c r="AH50" s="15" t="str">
        <f t="shared" si="5"/>
        <v/>
      </c>
      <c r="AI50" s="47">
        <f t="shared" si="6"/>
        <v>0</v>
      </c>
      <c r="AJ50" s="371">
        <f t="shared" si="7"/>
        <v>0</v>
      </c>
      <c r="AK50" s="372">
        <f t="shared" si="8"/>
        <v>0</v>
      </c>
      <c r="AL50" s="373">
        <f t="shared" si="9"/>
        <v>0</v>
      </c>
      <c r="AM50" s="374">
        <f t="shared" si="10"/>
        <v>0</v>
      </c>
      <c r="AN50" s="375">
        <f t="shared" si="11"/>
        <v>0</v>
      </c>
    </row>
    <row r="51" spans="1:40" x14ac:dyDescent="0.2">
      <c r="A51" s="6" t="s">
        <v>13</v>
      </c>
      <c r="B51" s="7" t="str">
        <f>"DEP(450000) AND "&amp;$E$6&amp;"=Y AND ID&lt;&gt;ALLOW_MOP"</f>
        <v>DEP(450000) AND D1138=Y AND ID&lt;&gt;ALLOW_MOP</v>
      </c>
      <c r="H51" s="10" t="s">
        <v>436</v>
      </c>
      <c r="I51" s="25" t="s">
        <v>1052</v>
      </c>
      <c r="J51" s="25" t="s">
        <v>78</v>
      </c>
      <c r="K51" s="64" t="str">
        <f t="shared" si="0"/>
        <v>&gt;</v>
      </c>
      <c r="L51" s="24">
        <v>450650</v>
      </c>
      <c r="M51" s="24"/>
      <c r="N51" s="24" t="s">
        <v>461</v>
      </c>
      <c r="O51" s="19"/>
      <c r="P51" s="19"/>
      <c r="Q51" s="19"/>
      <c r="R51" s="19"/>
      <c r="S51" s="19"/>
      <c r="T51" s="19"/>
      <c r="U51" s="19"/>
      <c r="V51" s="19"/>
      <c r="W51" s="19"/>
      <c r="X51" s="19"/>
      <c r="Y51" s="19"/>
      <c r="Z51" s="19"/>
      <c r="AA51" s="283">
        <f t="shared" si="1"/>
        <v>0</v>
      </c>
      <c r="AB51" s="15" t="str">
        <f t="shared" si="2"/>
        <v/>
      </c>
      <c r="AD51" s="19"/>
      <c r="AE51" s="15" t="str">
        <f t="shared" si="3"/>
        <v/>
      </c>
      <c r="AF51" s="47">
        <f t="shared" si="4"/>
        <v>0</v>
      </c>
      <c r="AG51" s="19"/>
      <c r="AH51" s="15" t="str">
        <f t="shared" si="5"/>
        <v/>
      </c>
      <c r="AI51" s="47">
        <f t="shared" si="6"/>
        <v>0</v>
      </c>
      <c r="AJ51" s="371">
        <f t="shared" si="7"/>
        <v>0</v>
      </c>
      <c r="AK51" s="372">
        <f t="shared" si="8"/>
        <v>0</v>
      </c>
      <c r="AL51" s="373">
        <f t="shared" si="9"/>
        <v>0</v>
      </c>
      <c r="AM51" s="374">
        <f t="shared" si="10"/>
        <v>0</v>
      </c>
      <c r="AN51" s="375">
        <f t="shared" si="11"/>
        <v>0</v>
      </c>
    </row>
    <row r="52" spans="1:40" x14ac:dyDescent="0.2">
      <c r="A52" s="6" t="s">
        <v>14</v>
      </c>
      <c r="B52" s="7"/>
      <c r="H52" s="10" t="s">
        <v>480</v>
      </c>
      <c r="I52" s="25" t="s">
        <v>1052</v>
      </c>
      <c r="J52" s="25" t="s">
        <v>78</v>
      </c>
      <c r="K52" s="64" t="str">
        <f t="shared" si="0"/>
        <v>&gt;</v>
      </c>
      <c r="L52" s="24"/>
      <c r="M52" s="24"/>
      <c r="N52" s="24" t="s">
        <v>1373</v>
      </c>
      <c r="O52" s="28"/>
      <c r="P52" s="28"/>
      <c r="Q52" s="28"/>
      <c r="R52" s="28"/>
      <c r="S52" s="28"/>
      <c r="T52" s="28"/>
      <c r="U52" s="28"/>
      <c r="V52" s="28"/>
      <c r="W52" s="28"/>
      <c r="X52" s="28"/>
      <c r="Y52" s="28"/>
      <c r="Z52" s="28"/>
      <c r="AA52" s="296">
        <f t="shared" si="1"/>
        <v>0</v>
      </c>
      <c r="AB52" s="29" t="str">
        <f t="shared" si="2"/>
        <v/>
      </c>
      <c r="AD52" s="28"/>
      <c r="AE52" s="29" t="str">
        <f t="shared" si="3"/>
        <v/>
      </c>
      <c r="AF52" s="48">
        <f t="shared" si="4"/>
        <v>0</v>
      </c>
      <c r="AG52" s="28"/>
      <c r="AH52" s="29" t="str">
        <f t="shared" si="5"/>
        <v/>
      </c>
      <c r="AI52" s="48">
        <f t="shared" si="6"/>
        <v>0</v>
      </c>
      <c r="AJ52" s="381">
        <f t="shared" si="7"/>
        <v>0</v>
      </c>
      <c r="AK52" s="382">
        <f t="shared" si="8"/>
        <v>0</v>
      </c>
      <c r="AL52" s="383">
        <f t="shared" si="9"/>
        <v>0</v>
      </c>
      <c r="AM52" s="384">
        <f t="shared" si="10"/>
        <v>0</v>
      </c>
      <c r="AN52" s="385">
        <f t="shared" si="11"/>
        <v>0</v>
      </c>
    </row>
    <row r="53" spans="1:40" x14ac:dyDescent="0.2">
      <c r="A53" s="6" t="s">
        <v>15</v>
      </c>
      <c r="B53" s="7"/>
      <c r="H53" s="10" t="s">
        <v>280</v>
      </c>
      <c r="I53" s="447" t="s">
        <v>1007</v>
      </c>
      <c r="J53" s="447" t="s">
        <v>78</v>
      </c>
      <c r="K53" s="448" t="str">
        <f t="shared" si="0"/>
        <v/>
      </c>
      <c r="L53" s="151">
        <v>400000</v>
      </c>
      <c r="M53" s="151"/>
      <c r="N53" s="151" t="s">
        <v>1001</v>
      </c>
      <c r="O53" s="120">
        <v>1778.05</v>
      </c>
      <c r="P53" s="120">
        <v>1452.64</v>
      </c>
      <c r="Q53" s="120">
        <v>2514.5100000000002</v>
      </c>
      <c r="R53" s="120">
        <v>1461.55</v>
      </c>
      <c r="S53" s="120">
        <v>686.39</v>
      </c>
      <c r="T53" s="120">
        <v>971.47</v>
      </c>
      <c r="U53" s="120">
        <v>1646.04</v>
      </c>
      <c r="V53" s="120">
        <v>900.7</v>
      </c>
      <c r="W53" s="120">
        <v>865.48</v>
      </c>
      <c r="X53" s="120">
        <v>1388.87</v>
      </c>
      <c r="Y53" s="120">
        <v>2028.13</v>
      </c>
      <c r="Z53" s="120">
        <v>2112.59</v>
      </c>
      <c r="AA53" s="120">
        <f t="shared" si="1"/>
        <v>17806.420000000002</v>
      </c>
      <c r="AB53" s="121">
        <f t="shared" si="2"/>
        <v>1</v>
      </c>
      <c r="AC53" s="123"/>
      <c r="AD53" s="120">
        <v>16092.4</v>
      </c>
      <c r="AE53" s="121">
        <f t="shared" si="3"/>
        <v>1</v>
      </c>
      <c r="AF53" s="122">
        <f t="shared" si="4"/>
        <v>1714.0200000000023</v>
      </c>
      <c r="AG53" s="120">
        <v>15866.33</v>
      </c>
      <c r="AH53" s="121">
        <f t="shared" si="5"/>
        <v>1</v>
      </c>
      <c r="AI53" s="122">
        <f t="shared" si="6"/>
        <v>1940.090000000002</v>
      </c>
      <c r="AJ53" s="332">
        <f t="shared" si="7"/>
        <v>0.43999061032863857</v>
      </c>
      <c r="AK53" s="333">
        <f t="shared" si="8"/>
        <v>0.39999999999999997</v>
      </c>
      <c r="AL53" s="335">
        <f t="shared" si="9"/>
        <v>0.39779195707767134</v>
      </c>
      <c r="AM53" s="377" t="str">
        <f t="shared" si="10"/>
        <v>0 pts.</v>
      </c>
      <c r="AN53" s="378" t="str">
        <f t="shared" si="11"/>
        <v>0 pts.</v>
      </c>
    </row>
    <row r="54" spans="1:40" x14ac:dyDescent="0.2">
      <c r="A54" s="6" t="s">
        <v>16</v>
      </c>
      <c r="B54" s="7"/>
      <c r="O54" s="50"/>
      <c r="AB54" s="51"/>
      <c r="AD54" s="50"/>
      <c r="AF54" s="51"/>
      <c r="AG54" s="50"/>
      <c r="AI54" s="51"/>
    </row>
    <row r="55" spans="1:40" x14ac:dyDescent="0.2">
      <c r="A55" s="6" t="s">
        <v>17</v>
      </c>
      <c r="B55" s="7"/>
      <c r="H55" s="1" t="s">
        <v>281</v>
      </c>
      <c r="I55" s="11" t="s">
        <v>1006</v>
      </c>
      <c r="J55" s="11" t="s">
        <v>78</v>
      </c>
      <c r="N55" s="37" t="s">
        <v>1210</v>
      </c>
      <c r="O55" s="50"/>
      <c r="AB55" s="51"/>
      <c r="AD55" s="50"/>
      <c r="AF55" s="51"/>
      <c r="AG55" s="50"/>
      <c r="AI55" s="51"/>
    </row>
    <row r="56" spans="1:40" x14ac:dyDescent="0.2">
      <c r="G56" s="13"/>
      <c r="H56" s="10" t="s">
        <v>437</v>
      </c>
      <c r="I56" s="25" t="s">
        <v>1052</v>
      </c>
      <c r="J56" s="25" t="s">
        <v>78</v>
      </c>
      <c r="K56" s="64" t="str">
        <f t="shared" ref="K56:K74" si="12">IF(AND(I56&gt;="T5"),"&gt;","")</f>
        <v>&gt;</v>
      </c>
      <c r="L56" s="24">
        <v>510000</v>
      </c>
      <c r="M56" s="24"/>
      <c r="N56" s="24" t="s">
        <v>1375</v>
      </c>
      <c r="O56" s="19"/>
      <c r="P56" s="19">
        <v>25</v>
      </c>
      <c r="Q56" s="19">
        <v>23</v>
      </c>
      <c r="R56" s="19">
        <v>23</v>
      </c>
      <c r="S56" s="19">
        <v>17</v>
      </c>
      <c r="T56" s="19">
        <v>57.68</v>
      </c>
      <c r="U56" s="19">
        <v>41</v>
      </c>
      <c r="V56" s="19">
        <v>90</v>
      </c>
      <c r="W56" s="19">
        <v>36</v>
      </c>
      <c r="X56" s="19">
        <v>29</v>
      </c>
      <c r="Y56" s="19"/>
      <c r="Z56" s="19"/>
      <c r="AA56" s="283">
        <f t="shared" ref="AA56:AA74" si="13">IF($I56="B1","",SUM(O56:Z56))</f>
        <v>341.68</v>
      </c>
      <c r="AB56" s="15">
        <v>0.30226735905307001</v>
      </c>
      <c r="AD56" s="19">
        <v>552.77394000000004</v>
      </c>
      <c r="AE56" s="15">
        <v>0.45800000000000002</v>
      </c>
      <c r="AF56" s="47">
        <f t="shared" ref="AF56:AF74" si="14">IF(AND($AA56="",AD56=""),"",$AA56-AD56)</f>
        <v>-211.09394000000003</v>
      </c>
      <c r="AG56" s="19">
        <v>879.63</v>
      </c>
      <c r="AH56" s="15">
        <v>0.69717841008163595</v>
      </c>
      <c r="AI56" s="47">
        <f t="shared" ref="AI56:AI74" si="15">IF(AND($AA56="",AG56=""),"",$AA56-AG56)</f>
        <v>-537.95000000000005</v>
      </c>
      <c r="AJ56" s="371">
        <f t="shared" ref="AJ56:AJ74" si="16">IFERROR(AA56/AA$20,0)</f>
        <v>8.4427971336792692E-3</v>
      </c>
      <c r="AK56" s="372">
        <f t="shared" ref="AK56:AK74" si="17">IFERROR(AD56/AD$20,0)</f>
        <v>1.374E-2</v>
      </c>
      <c r="AL56" s="373">
        <f t="shared" ref="AL56:AL74" si="18">IFERROR(AG56/AG$20,0)</f>
        <v>2.2053602767888481E-2</v>
      </c>
      <c r="AM56" s="374" t="str">
        <f t="shared" ref="AM56:AM74" si="19">+IFERROR(ROUND(($AB56-AE56)*100,2)&amp;" pts.",0)</f>
        <v>-15.57 pts.</v>
      </c>
      <c r="AN56" s="375" t="str">
        <f t="shared" ref="AN56:AN74" si="20">+IFERROR(ROUND(($AB56-AH56)*100,2)&amp;" pts.",0)</f>
        <v>-39.49 pts.</v>
      </c>
    </row>
    <row r="57" spans="1:40" x14ac:dyDescent="0.2">
      <c r="A57" s="20" t="s">
        <v>92</v>
      </c>
      <c r="B57" s="21" t="s">
        <v>93</v>
      </c>
      <c r="C57" s="21" t="s">
        <v>94</v>
      </c>
      <c r="D57" s="21" t="s">
        <v>95</v>
      </c>
      <c r="E57" s="21" t="s">
        <v>96</v>
      </c>
      <c r="F57" s="22" t="s">
        <v>97</v>
      </c>
      <c r="H57" s="10" t="s">
        <v>438</v>
      </c>
      <c r="I57" s="25" t="s">
        <v>1004</v>
      </c>
      <c r="J57" s="25" t="s">
        <v>1004</v>
      </c>
      <c r="K57" s="64" t="str">
        <f t="shared" si="12"/>
        <v/>
      </c>
      <c r="L57" s="24">
        <v>550100</v>
      </c>
      <c r="M57" s="24">
        <v>306025</v>
      </c>
      <c r="N57" s="24" t="s">
        <v>1376</v>
      </c>
      <c r="O57" s="19"/>
      <c r="P57" s="19"/>
      <c r="Q57" s="19"/>
      <c r="R57" s="19"/>
      <c r="S57" s="19"/>
      <c r="T57" s="19"/>
      <c r="U57" s="19"/>
      <c r="V57" s="19"/>
      <c r="W57" s="19"/>
      <c r="X57" s="19"/>
      <c r="Y57" s="19"/>
      <c r="Z57" s="19"/>
      <c r="AA57" s="283">
        <f t="shared" si="13"/>
        <v>0</v>
      </c>
      <c r="AB57" s="15"/>
      <c r="AD57" s="19"/>
      <c r="AE57" s="15"/>
      <c r="AF57" s="47">
        <f t="shared" si="14"/>
        <v>0</v>
      </c>
      <c r="AG57" s="19"/>
      <c r="AH57" s="15"/>
      <c r="AI57" s="47">
        <f t="shared" si="15"/>
        <v>0</v>
      </c>
      <c r="AJ57" s="371">
        <f t="shared" si="16"/>
        <v>0</v>
      </c>
      <c r="AK57" s="372">
        <f t="shared" si="17"/>
        <v>0</v>
      </c>
      <c r="AL57" s="373">
        <f t="shared" si="18"/>
        <v>0</v>
      </c>
      <c r="AM57" s="374" t="str">
        <f t="shared" si="19"/>
        <v>0 pts.</v>
      </c>
      <c r="AN57" s="375" t="str">
        <f t="shared" si="20"/>
        <v>0 pts.</v>
      </c>
    </row>
    <row r="58" spans="1:40" x14ac:dyDescent="0.2">
      <c r="H58" s="10" t="s">
        <v>439</v>
      </c>
      <c r="I58" s="25" t="s">
        <v>1004</v>
      </c>
      <c r="J58" s="25" t="s">
        <v>1004</v>
      </c>
      <c r="K58" s="64" t="str">
        <f t="shared" si="12"/>
        <v/>
      </c>
      <c r="L58" s="24">
        <v>550150</v>
      </c>
      <c r="M58" s="24">
        <v>307065</v>
      </c>
      <c r="N58" s="24" t="s">
        <v>1377</v>
      </c>
      <c r="O58" s="19">
        <v>677.06</v>
      </c>
      <c r="P58" s="19">
        <v>266.47000000000003</v>
      </c>
      <c r="Q58" s="19">
        <v>688</v>
      </c>
      <c r="R58" s="19">
        <v>619.24</v>
      </c>
      <c r="S58" s="19">
        <v>277.5</v>
      </c>
      <c r="T58" s="19">
        <v>149</v>
      </c>
      <c r="U58" s="19">
        <v>479.26</v>
      </c>
      <c r="V58" s="19">
        <v>75.540000000000006</v>
      </c>
      <c r="W58" s="19">
        <v>312.76</v>
      </c>
      <c r="X58" s="19">
        <v>290.45</v>
      </c>
      <c r="Y58" s="19">
        <v>767.44</v>
      </c>
      <c r="Z58" s="19">
        <v>180.6</v>
      </c>
      <c r="AA58" s="283">
        <f t="shared" si="13"/>
        <v>4783.32</v>
      </c>
      <c r="AB58" s="15">
        <v>0.81789642153644104</v>
      </c>
      <c r="AD58" s="19">
        <v>6517.4219999999996</v>
      </c>
      <c r="AE58" s="15">
        <v>0.9</v>
      </c>
      <c r="AF58" s="47">
        <f t="shared" si="14"/>
        <v>-1734.1019999999999</v>
      </c>
      <c r="AG58" s="19">
        <v>6329.09</v>
      </c>
      <c r="AH58" s="15">
        <v>0.89183689861047899</v>
      </c>
      <c r="AI58" s="47">
        <f t="shared" si="15"/>
        <v>-1545.7700000000004</v>
      </c>
      <c r="AJ58" s="371">
        <f t="shared" si="16"/>
        <v>0.11819421793921422</v>
      </c>
      <c r="AK58" s="372">
        <f t="shared" si="17"/>
        <v>0.16199999999999998</v>
      </c>
      <c r="AL58" s="373">
        <f t="shared" si="18"/>
        <v>0.15867948653662939</v>
      </c>
      <c r="AM58" s="374" t="str">
        <f t="shared" si="19"/>
        <v>-8.21 pts.</v>
      </c>
      <c r="AN58" s="375" t="str">
        <f t="shared" si="20"/>
        <v>-7.39 pts.</v>
      </c>
    </row>
    <row r="59" spans="1:40" x14ac:dyDescent="0.2">
      <c r="A59" s="1" t="s">
        <v>105</v>
      </c>
      <c r="C59" s="24" t="s">
        <v>101</v>
      </c>
      <c r="D59" s="1" t="s">
        <v>106</v>
      </c>
      <c r="F59" s="1" t="s">
        <v>98</v>
      </c>
      <c r="H59" s="10" t="s">
        <v>440</v>
      </c>
      <c r="I59" s="25" t="s">
        <v>1004</v>
      </c>
      <c r="J59" s="25" t="s">
        <v>1004</v>
      </c>
      <c r="K59" s="64" t="str">
        <f t="shared" si="12"/>
        <v/>
      </c>
      <c r="L59" s="24">
        <v>550200</v>
      </c>
      <c r="M59" s="24">
        <v>306099</v>
      </c>
      <c r="N59" s="24" t="s">
        <v>1378</v>
      </c>
      <c r="O59" s="19"/>
      <c r="P59" s="19"/>
      <c r="Q59" s="19"/>
      <c r="R59" s="19"/>
      <c r="S59" s="19"/>
      <c r="T59" s="19"/>
      <c r="U59" s="19"/>
      <c r="V59" s="19"/>
      <c r="W59" s="19"/>
      <c r="X59" s="19"/>
      <c r="Y59" s="19"/>
      <c r="Z59" s="19"/>
      <c r="AA59" s="283">
        <f t="shared" si="13"/>
        <v>0</v>
      </c>
      <c r="AB59" s="15"/>
      <c r="AD59" s="19"/>
      <c r="AE59" s="15"/>
      <c r="AF59" s="47">
        <f t="shared" si="14"/>
        <v>0</v>
      </c>
      <c r="AG59" s="19"/>
      <c r="AH59" s="15"/>
      <c r="AI59" s="47">
        <f t="shared" si="15"/>
        <v>0</v>
      </c>
      <c r="AJ59" s="371">
        <f t="shared" si="16"/>
        <v>0</v>
      </c>
      <c r="AK59" s="372">
        <f t="shared" si="17"/>
        <v>0</v>
      </c>
      <c r="AL59" s="373">
        <f t="shared" si="18"/>
        <v>0</v>
      </c>
      <c r="AM59" s="374" t="str">
        <f t="shared" si="19"/>
        <v>0 pts.</v>
      </c>
      <c r="AN59" s="375" t="str">
        <f t="shared" si="20"/>
        <v>0 pts.</v>
      </c>
    </row>
    <row r="60" spans="1:40" x14ac:dyDescent="0.2">
      <c r="A60" s="1" t="s">
        <v>104</v>
      </c>
      <c r="C60" s="24" t="s">
        <v>101</v>
      </c>
      <c r="D60" s="1" t="s">
        <v>106</v>
      </c>
      <c r="F60" s="1" t="s">
        <v>98</v>
      </c>
      <c r="H60" s="10" t="s">
        <v>441</v>
      </c>
      <c r="I60" s="25" t="s">
        <v>1004</v>
      </c>
      <c r="J60" s="25" t="s">
        <v>1004</v>
      </c>
      <c r="K60" s="64" t="str">
        <f t="shared" si="12"/>
        <v/>
      </c>
      <c r="L60" s="24">
        <v>550250</v>
      </c>
      <c r="M60" s="24">
        <v>306055</v>
      </c>
      <c r="N60" s="24" t="s">
        <v>1379</v>
      </c>
      <c r="O60" s="19"/>
      <c r="P60" s="19"/>
      <c r="Q60" s="19"/>
      <c r="R60" s="19"/>
      <c r="S60" s="19"/>
      <c r="T60" s="19"/>
      <c r="U60" s="19"/>
      <c r="V60" s="19"/>
      <c r="W60" s="19"/>
      <c r="X60" s="19"/>
      <c r="Y60" s="19"/>
      <c r="Z60" s="19"/>
      <c r="AA60" s="283">
        <f t="shared" si="13"/>
        <v>0</v>
      </c>
      <c r="AB60" s="15"/>
      <c r="AD60" s="19"/>
      <c r="AE60" s="15"/>
      <c r="AF60" s="47">
        <f t="shared" si="14"/>
        <v>0</v>
      </c>
      <c r="AG60" s="19"/>
      <c r="AH60" s="15"/>
      <c r="AI60" s="47">
        <f t="shared" si="15"/>
        <v>0</v>
      </c>
      <c r="AJ60" s="371">
        <f t="shared" si="16"/>
        <v>0</v>
      </c>
      <c r="AK60" s="372">
        <f t="shared" si="17"/>
        <v>0</v>
      </c>
      <c r="AL60" s="373">
        <f t="shared" si="18"/>
        <v>0</v>
      </c>
      <c r="AM60" s="374" t="str">
        <f t="shared" si="19"/>
        <v>0 pts.</v>
      </c>
      <c r="AN60" s="375" t="str">
        <f t="shared" si="20"/>
        <v>0 pts.</v>
      </c>
    </row>
    <row r="61" spans="1:40" x14ac:dyDescent="0.2">
      <c r="A61" s="1" t="s">
        <v>108</v>
      </c>
      <c r="C61" s="23" t="s">
        <v>101</v>
      </c>
      <c r="D61" s="1" t="s">
        <v>106</v>
      </c>
      <c r="F61" s="1" t="s">
        <v>98</v>
      </c>
      <c r="H61" s="10" t="s">
        <v>442</v>
      </c>
      <c r="I61" s="25" t="s">
        <v>1004</v>
      </c>
      <c r="J61" s="25" t="s">
        <v>1004</v>
      </c>
      <c r="K61" s="64" t="str">
        <f t="shared" si="12"/>
        <v/>
      </c>
      <c r="L61" s="24">
        <v>550300</v>
      </c>
      <c r="M61" s="24">
        <v>305015</v>
      </c>
      <c r="N61" s="24" t="s">
        <v>1380</v>
      </c>
      <c r="O61" s="19"/>
      <c r="P61" s="19"/>
      <c r="Q61" s="19"/>
      <c r="R61" s="19"/>
      <c r="S61" s="19"/>
      <c r="T61" s="19"/>
      <c r="U61" s="19"/>
      <c r="V61" s="19"/>
      <c r="W61" s="19"/>
      <c r="X61" s="19"/>
      <c r="Y61" s="19"/>
      <c r="Z61" s="19"/>
      <c r="AA61" s="283">
        <f t="shared" si="13"/>
        <v>0</v>
      </c>
      <c r="AB61" s="15"/>
      <c r="AD61" s="19"/>
      <c r="AE61" s="15"/>
      <c r="AF61" s="47">
        <f t="shared" si="14"/>
        <v>0</v>
      </c>
      <c r="AG61" s="19"/>
      <c r="AH61" s="15"/>
      <c r="AI61" s="47">
        <f t="shared" si="15"/>
        <v>0</v>
      </c>
      <c r="AJ61" s="371">
        <f t="shared" si="16"/>
        <v>0</v>
      </c>
      <c r="AK61" s="372">
        <f t="shared" si="17"/>
        <v>0</v>
      </c>
      <c r="AL61" s="373">
        <f t="shared" si="18"/>
        <v>0</v>
      </c>
      <c r="AM61" s="374" t="str">
        <f t="shared" si="19"/>
        <v>0 pts.</v>
      </c>
      <c r="AN61" s="375" t="str">
        <f t="shared" si="20"/>
        <v>0 pts.</v>
      </c>
    </row>
    <row r="62" spans="1:40" x14ac:dyDescent="0.2">
      <c r="A62" s="1" t="s">
        <v>108</v>
      </c>
      <c r="C62" s="135" t="s">
        <v>101</v>
      </c>
      <c r="D62" s="1" t="s">
        <v>107</v>
      </c>
      <c r="F62" s="1" t="s">
        <v>99</v>
      </c>
      <c r="H62" s="10" t="s">
        <v>443</v>
      </c>
      <c r="I62" s="25" t="s">
        <v>1004</v>
      </c>
      <c r="J62" s="25" t="s">
        <v>1004</v>
      </c>
      <c r="K62" s="64" t="str">
        <f t="shared" si="12"/>
        <v/>
      </c>
      <c r="L62" s="24">
        <v>550350</v>
      </c>
      <c r="M62" s="24">
        <v>306099</v>
      </c>
      <c r="N62" s="24" t="s">
        <v>1381</v>
      </c>
      <c r="O62" s="19"/>
      <c r="P62" s="19"/>
      <c r="Q62" s="19"/>
      <c r="R62" s="19"/>
      <c r="S62" s="19"/>
      <c r="T62" s="19"/>
      <c r="U62" s="19"/>
      <c r="V62" s="19"/>
      <c r="W62" s="19"/>
      <c r="X62" s="19"/>
      <c r="Y62" s="19"/>
      <c r="Z62" s="19"/>
      <c r="AA62" s="283">
        <f t="shared" si="13"/>
        <v>0</v>
      </c>
      <c r="AB62" s="15"/>
      <c r="AD62" s="19"/>
      <c r="AE62" s="15"/>
      <c r="AF62" s="47">
        <f t="shared" si="14"/>
        <v>0</v>
      </c>
      <c r="AG62" s="19"/>
      <c r="AH62" s="15"/>
      <c r="AI62" s="47">
        <f t="shared" si="15"/>
        <v>0</v>
      </c>
      <c r="AJ62" s="371">
        <f t="shared" si="16"/>
        <v>0</v>
      </c>
      <c r="AK62" s="372">
        <f t="shared" si="17"/>
        <v>0</v>
      </c>
      <c r="AL62" s="373">
        <f t="shared" si="18"/>
        <v>0</v>
      </c>
      <c r="AM62" s="374" t="str">
        <f t="shared" si="19"/>
        <v>0 pts.</v>
      </c>
      <c r="AN62" s="375" t="str">
        <f t="shared" si="20"/>
        <v>0 pts.</v>
      </c>
    </row>
    <row r="63" spans="1:40" x14ac:dyDescent="0.2">
      <c r="H63" s="10" t="s">
        <v>481</v>
      </c>
      <c r="I63" s="25" t="s">
        <v>1004</v>
      </c>
      <c r="J63" s="25" t="s">
        <v>1004</v>
      </c>
      <c r="K63" s="64" t="str">
        <f t="shared" si="12"/>
        <v/>
      </c>
      <c r="L63" s="24">
        <v>550375</v>
      </c>
      <c r="M63" s="24">
        <v>307005</v>
      </c>
      <c r="N63" s="24" t="s">
        <v>1382</v>
      </c>
      <c r="O63" s="19"/>
      <c r="P63" s="19"/>
      <c r="Q63" s="19"/>
      <c r="R63" s="19"/>
      <c r="S63" s="19"/>
      <c r="T63" s="19"/>
      <c r="U63" s="19"/>
      <c r="V63" s="19"/>
      <c r="W63" s="19"/>
      <c r="X63" s="19"/>
      <c r="Y63" s="19"/>
      <c r="Z63" s="19"/>
      <c r="AA63" s="283">
        <f t="shared" si="13"/>
        <v>0</v>
      </c>
      <c r="AB63" s="15"/>
      <c r="AD63" s="19"/>
      <c r="AE63" s="15"/>
      <c r="AF63" s="47">
        <f t="shared" si="14"/>
        <v>0</v>
      </c>
      <c r="AG63" s="19"/>
      <c r="AH63" s="15"/>
      <c r="AI63" s="47">
        <f t="shared" si="15"/>
        <v>0</v>
      </c>
      <c r="AJ63" s="371">
        <f t="shared" si="16"/>
        <v>0</v>
      </c>
      <c r="AK63" s="372">
        <f t="shared" si="17"/>
        <v>0</v>
      </c>
      <c r="AL63" s="373">
        <f t="shared" si="18"/>
        <v>0</v>
      </c>
      <c r="AM63" s="374" t="str">
        <f t="shared" si="19"/>
        <v>0 pts.</v>
      </c>
      <c r="AN63" s="375" t="str">
        <f t="shared" si="20"/>
        <v>0 pts.</v>
      </c>
    </row>
    <row r="64" spans="1:40" x14ac:dyDescent="0.2">
      <c r="C64" s="23"/>
      <c r="H64" s="10" t="s">
        <v>482</v>
      </c>
      <c r="I64" s="25" t="s">
        <v>1004</v>
      </c>
      <c r="J64" s="25" t="s">
        <v>1004</v>
      </c>
      <c r="K64" s="64" t="str">
        <f t="shared" si="12"/>
        <v/>
      </c>
      <c r="L64" s="24">
        <v>550380</v>
      </c>
      <c r="M64" s="24">
        <v>306020</v>
      </c>
      <c r="N64" s="24" t="s">
        <v>1383</v>
      </c>
      <c r="O64" s="19"/>
      <c r="P64" s="19"/>
      <c r="Q64" s="19"/>
      <c r="R64" s="19"/>
      <c r="S64" s="19"/>
      <c r="T64" s="19"/>
      <c r="U64" s="19"/>
      <c r="V64" s="19"/>
      <c r="W64" s="19"/>
      <c r="X64" s="19"/>
      <c r="Y64" s="19"/>
      <c r="Z64" s="19"/>
      <c r="AA64" s="283">
        <f t="shared" si="13"/>
        <v>0</v>
      </c>
      <c r="AB64" s="15"/>
      <c r="AD64" s="19"/>
      <c r="AE64" s="15"/>
      <c r="AF64" s="47">
        <f t="shared" si="14"/>
        <v>0</v>
      </c>
      <c r="AG64" s="19"/>
      <c r="AH64" s="15"/>
      <c r="AI64" s="47">
        <f t="shared" si="15"/>
        <v>0</v>
      </c>
      <c r="AJ64" s="371">
        <f t="shared" si="16"/>
        <v>0</v>
      </c>
      <c r="AK64" s="372">
        <f t="shared" si="17"/>
        <v>0</v>
      </c>
      <c r="AL64" s="373">
        <f t="shared" si="18"/>
        <v>0</v>
      </c>
      <c r="AM64" s="374" t="str">
        <f t="shared" si="19"/>
        <v>0 pts.</v>
      </c>
      <c r="AN64" s="375" t="str">
        <f t="shared" si="20"/>
        <v>0 pts.</v>
      </c>
    </row>
    <row r="65" spans="1:40" x14ac:dyDescent="0.2">
      <c r="A65" s="4" t="s">
        <v>989</v>
      </c>
      <c r="B65" s="1" t="s">
        <v>736</v>
      </c>
      <c r="H65" s="10" t="s">
        <v>483</v>
      </c>
      <c r="I65" s="25" t="s">
        <v>1004</v>
      </c>
      <c r="J65" s="25" t="s">
        <v>1004</v>
      </c>
      <c r="K65" s="64" t="str">
        <f t="shared" si="12"/>
        <v/>
      </c>
      <c r="L65" s="24">
        <v>550385</v>
      </c>
      <c r="M65" s="24">
        <v>306045</v>
      </c>
      <c r="N65" s="24" t="s">
        <v>1384</v>
      </c>
      <c r="O65" s="19"/>
      <c r="P65" s="19"/>
      <c r="Q65" s="19"/>
      <c r="R65" s="19"/>
      <c r="S65" s="19"/>
      <c r="T65" s="19"/>
      <c r="U65" s="19"/>
      <c r="V65" s="19"/>
      <c r="W65" s="19"/>
      <c r="X65" s="19"/>
      <c r="Y65" s="19"/>
      <c r="Z65" s="19"/>
      <c r="AA65" s="283">
        <f t="shared" si="13"/>
        <v>0</v>
      </c>
      <c r="AB65" s="15"/>
      <c r="AD65" s="19"/>
      <c r="AE65" s="15"/>
      <c r="AF65" s="47">
        <f t="shared" si="14"/>
        <v>0</v>
      </c>
      <c r="AG65" s="19"/>
      <c r="AH65" s="15"/>
      <c r="AI65" s="47">
        <f t="shared" si="15"/>
        <v>0</v>
      </c>
      <c r="AJ65" s="371">
        <f t="shared" si="16"/>
        <v>0</v>
      </c>
      <c r="AK65" s="372">
        <f t="shared" si="17"/>
        <v>0</v>
      </c>
      <c r="AL65" s="373">
        <f t="shared" si="18"/>
        <v>0</v>
      </c>
      <c r="AM65" s="374" t="str">
        <f t="shared" si="19"/>
        <v>0 pts.</v>
      </c>
      <c r="AN65" s="375" t="str">
        <f t="shared" si="20"/>
        <v>0 pts.</v>
      </c>
    </row>
    <row r="66" spans="1:40" x14ac:dyDescent="0.2">
      <c r="H66" s="10" t="s">
        <v>484</v>
      </c>
      <c r="I66" s="25" t="s">
        <v>1004</v>
      </c>
      <c r="J66" s="25" t="s">
        <v>1004</v>
      </c>
      <c r="K66" s="64" t="str">
        <f t="shared" si="12"/>
        <v/>
      </c>
      <c r="L66" s="24">
        <v>550390</v>
      </c>
      <c r="M66" s="24">
        <v>306015</v>
      </c>
      <c r="N66" s="24" t="s">
        <v>1385</v>
      </c>
      <c r="O66" s="19"/>
      <c r="P66" s="19"/>
      <c r="Q66" s="19"/>
      <c r="R66" s="19"/>
      <c r="S66" s="19"/>
      <c r="T66" s="19"/>
      <c r="U66" s="19"/>
      <c r="V66" s="19"/>
      <c r="W66" s="19"/>
      <c r="X66" s="19"/>
      <c r="Y66" s="19"/>
      <c r="Z66" s="19"/>
      <c r="AA66" s="283">
        <f t="shared" si="13"/>
        <v>0</v>
      </c>
      <c r="AB66" s="15"/>
      <c r="AD66" s="19"/>
      <c r="AE66" s="15"/>
      <c r="AF66" s="47">
        <f t="shared" si="14"/>
        <v>0</v>
      </c>
      <c r="AG66" s="19"/>
      <c r="AH66" s="15"/>
      <c r="AI66" s="47">
        <f t="shared" si="15"/>
        <v>0</v>
      </c>
      <c r="AJ66" s="371">
        <f t="shared" si="16"/>
        <v>0</v>
      </c>
      <c r="AK66" s="372">
        <f t="shared" si="17"/>
        <v>0</v>
      </c>
      <c r="AL66" s="373">
        <f t="shared" si="18"/>
        <v>0</v>
      </c>
      <c r="AM66" s="374" t="str">
        <f t="shared" si="19"/>
        <v>0 pts.</v>
      </c>
      <c r="AN66" s="375" t="str">
        <f t="shared" si="20"/>
        <v>0 pts.</v>
      </c>
    </row>
    <row r="67" spans="1:40" x14ac:dyDescent="0.2">
      <c r="A67" s="3" t="s">
        <v>0</v>
      </c>
      <c r="B67" s="5" t="s">
        <v>1</v>
      </c>
      <c r="H67" s="10" t="s">
        <v>485</v>
      </c>
      <c r="I67" s="25" t="s">
        <v>1004</v>
      </c>
      <c r="J67" s="25" t="s">
        <v>1004</v>
      </c>
      <c r="K67" s="64" t="str">
        <f t="shared" si="12"/>
        <v/>
      </c>
      <c r="L67" s="24">
        <v>550395</v>
      </c>
      <c r="M67" s="24">
        <v>307010</v>
      </c>
      <c r="N67" s="24" t="s">
        <v>1386</v>
      </c>
      <c r="O67" s="19"/>
      <c r="P67" s="19"/>
      <c r="Q67" s="19"/>
      <c r="R67" s="19"/>
      <c r="S67" s="19"/>
      <c r="T67" s="19"/>
      <c r="U67" s="19"/>
      <c r="V67" s="19"/>
      <c r="W67" s="19"/>
      <c r="X67" s="19"/>
      <c r="Y67" s="19"/>
      <c r="Z67" s="19"/>
      <c r="AA67" s="283">
        <f t="shared" si="13"/>
        <v>0</v>
      </c>
      <c r="AB67" s="15"/>
      <c r="AD67" s="19"/>
      <c r="AE67" s="15"/>
      <c r="AF67" s="47">
        <f t="shared" si="14"/>
        <v>0</v>
      </c>
      <c r="AG67" s="19"/>
      <c r="AH67" s="15"/>
      <c r="AI67" s="47">
        <f t="shared" si="15"/>
        <v>0</v>
      </c>
      <c r="AJ67" s="371">
        <f t="shared" si="16"/>
        <v>0</v>
      </c>
      <c r="AK67" s="372">
        <f t="shared" si="17"/>
        <v>0</v>
      </c>
      <c r="AL67" s="373">
        <f t="shared" si="18"/>
        <v>0</v>
      </c>
      <c r="AM67" s="374" t="str">
        <f t="shared" si="19"/>
        <v>0 pts.</v>
      </c>
      <c r="AN67" s="375" t="str">
        <f t="shared" si="20"/>
        <v>0 pts.</v>
      </c>
    </row>
    <row r="68" spans="1:40" x14ac:dyDescent="0.2">
      <c r="A68" s="6" t="s">
        <v>2</v>
      </c>
      <c r="B68" s="14" t="s">
        <v>1362</v>
      </c>
      <c r="H68" s="10" t="s">
        <v>444</v>
      </c>
      <c r="I68" s="25" t="s">
        <v>1004</v>
      </c>
      <c r="J68" s="25" t="s">
        <v>1004</v>
      </c>
      <c r="K68" s="64" t="str">
        <f t="shared" si="12"/>
        <v/>
      </c>
      <c r="L68" s="24">
        <v>550400</v>
      </c>
      <c r="M68" s="24">
        <v>307014</v>
      </c>
      <c r="N68" s="24" t="s">
        <v>1387</v>
      </c>
      <c r="O68" s="19"/>
      <c r="P68" s="19"/>
      <c r="Q68" s="19"/>
      <c r="R68" s="19"/>
      <c r="S68" s="19"/>
      <c r="T68" s="19"/>
      <c r="U68" s="19"/>
      <c r="V68" s="19"/>
      <c r="W68" s="19"/>
      <c r="X68" s="19"/>
      <c r="Y68" s="19"/>
      <c r="Z68" s="19"/>
      <c r="AA68" s="283">
        <f t="shared" si="13"/>
        <v>0</v>
      </c>
      <c r="AB68" s="15"/>
      <c r="AD68" s="19"/>
      <c r="AE68" s="15"/>
      <c r="AF68" s="47">
        <f t="shared" si="14"/>
        <v>0</v>
      </c>
      <c r="AG68" s="19"/>
      <c r="AH68" s="15"/>
      <c r="AI68" s="47">
        <f t="shared" si="15"/>
        <v>0</v>
      </c>
      <c r="AJ68" s="371">
        <f t="shared" si="16"/>
        <v>0</v>
      </c>
      <c r="AK68" s="372">
        <f t="shared" si="17"/>
        <v>0</v>
      </c>
      <c r="AL68" s="373">
        <f t="shared" si="18"/>
        <v>0</v>
      </c>
      <c r="AM68" s="374" t="str">
        <f t="shared" si="19"/>
        <v>0 pts.</v>
      </c>
      <c r="AN68" s="375" t="str">
        <f t="shared" si="20"/>
        <v>0 pts.</v>
      </c>
    </row>
    <row r="69" spans="1:40" x14ac:dyDescent="0.2">
      <c r="A69" s="6" t="s">
        <v>3</v>
      </c>
      <c r="B69" s="14" t="s">
        <v>1363</v>
      </c>
      <c r="H69" s="10" t="s">
        <v>445</v>
      </c>
      <c r="I69" s="25" t="s">
        <v>1004</v>
      </c>
      <c r="J69" s="25" t="s">
        <v>1004</v>
      </c>
      <c r="K69" s="64" t="str">
        <f t="shared" si="12"/>
        <v/>
      </c>
      <c r="L69" s="24">
        <v>550450</v>
      </c>
      <c r="M69" s="24">
        <v>307015</v>
      </c>
      <c r="N69" s="24" t="s">
        <v>1388</v>
      </c>
      <c r="O69" s="19"/>
      <c r="P69" s="19"/>
      <c r="Q69" s="19"/>
      <c r="R69" s="19"/>
      <c r="S69" s="19"/>
      <c r="T69" s="19"/>
      <c r="U69" s="19"/>
      <c r="V69" s="19"/>
      <c r="W69" s="19"/>
      <c r="X69" s="19"/>
      <c r="Y69" s="19"/>
      <c r="Z69" s="19"/>
      <c r="AA69" s="283">
        <f t="shared" si="13"/>
        <v>0</v>
      </c>
      <c r="AB69" s="15"/>
      <c r="AD69" s="19"/>
      <c r="AE69" s="15"/>
      <c r="AF69" s="47">
        <f t="shared" si="14"/>
        <v>0</v>
      </c>
      <c r="AG69" s="19"/>
      <c r="AH69" s="15"/>
      <c r="AI69" s="47">
        <f t="shared" si="15"/>
        <v>0</v>
      </c>
      <c r="AJ69" s="371">
        <f t="shared" si="16"/>
        <v>0</v>
      </c>
      <c r="AK69" s="372">
        <f t="shared" si="17"/>
        <v>0</v>
      </c>
      <c r="AL69" s="373">
        <f t="shared" si="18"/>
        <v>0</v>
      </c>
      <c r="AM69" s="374" t="str">
        <f t="shared" si="19"/>
        <v>0 pts.</v>
      </c>
      <c r="AN69" s="375" t="str">
        <f t="shared" si="20"/>
        <v>0 pts.</v>
      </c>
    </row>
    <row r="70" spans="1:40" x14ac:dyDescent="0.2">
      <c r="A70" s="6" t="s">
        <v>4</v>
      </c>
      <c r="B70" s="14" t="s">
        <v>1393</v>
      </c>
      <c r="H70" s="10" t="s">
        <v>446</v>
      </c>
      <c r="I70" s="25" t="s">
        <v>1004</v>
      </c>
      <c r="J70" s="25" t="s">
        <v>1004</v>
      </c>
      <c r="K70" s="64" t="str">
        <f t="shared" si="12"/>
        <v/>
      </c>
      <c r="L70" s="24">
        <v>550500</v>
      </c>
      <c r="M70" s="24">
        <v>307016</v>
      </c>
      <c r="N70" s="24" t="s">
        <v>1389</v>
      </c>
      <c r="O70" s="19"/>
      <c r="P70" s="19"/>
      <c r="Q70" s="19"/>
      <c r="R70" s="19"/>
      <c r="S70" s="19"/>
      <c r="T70" s="19"/>
      <c r="U70" s="19"/>
      <c r="V70" s="19"/>
      <c r="W70" s="19"/>
      <c r="X70" s="19"/>
      <c r="Y70" s="19"/>
      <c r="Z70" s="19"/>
      <c r="AA70" s="283">
        <f t="shared" si="13"/>
        <v>0</v>
      </c>
      <c r="AB70" s="15"/>
      <c r="AD70" s="19"/>
      <c r="AE70" s="15"/>
      <c r="AF70" s="47">
        <f t="shared" si="14"/>
        <v>0</v>
      </c>
      <c r="AG70" s="19"/>
      <c r="AH70" s="15"/>
      <c r="AI70" s="47">
        <f t="shared" si="15"/>
        <v>0</v>
      </c>
      <c r="AJ70" s="371">
        <f t="shared" si="16"/>
        <v>0</v>
      </c>
      <c r="AK70" s="372">
        <f t="shared" si="17"/>
        <v>0</v>
      </c>
      <c r="AL70" s="373">
        <f t="shared" si="18"/>
        <v>0</v>
      </c>
      <c r="AM70" s="374" t="str">
        <f t="shared" si="19"/>
        <v>0 pts.</v>
      </c>
      <c r="AN70" s="375" t="str">
        <f t="shared" si="20"/>
        <v>0 pts.</v>
      </c>
    </row>
    <row r="71" spans="1:40" x14ac:dyDescent="0.2">
      <c r="A71" s="6" t="s">
        <v>5</v>
      </c>
      <c r="B71" s="7"/>
      <c r="H71" s="10" t="s">
        <v>447</v>
      </c>
      <c r="I71" s="25" t="s">
        <v>1004</v>
      </c>
      <c r="J71" s="25" t="s">
        <v>1004</v>
      </c>
      <c r="K71" s="64" t="str">
        <f t="shared" si="12"/>
        <v/>
      </c>
      <c r="L71" s="24">
        <v>550550</v>
      </c>
      <c r="M71" s="24">
        <v>307017</v>
      </c>
      <c r="N71" s="24" t="s">
        <v>1390</v>
      </c>
      <c r="O71" s="19"/>
      <c r="P71" s="19"/>
      <c r="Q71" s="19"/>
      <c r="R71" s="19"/>
      <c r="S71" s="19"/>
      <c r="T71" s="19"/>
      <c r="U71" s="19"/>
      <c r="V71" s="19"/>
      <c r="W71" s="19"/>
      <c r="X71" s="19"/>
      <c r="Y71" s="19"/>
      <c r="Z71" s="19"/>
      <c r="AA71" s="283">
        <f t="shared" si="13"/>
        <v>0</v>
      </c>
      <c r="AB71" s="15"/>
      <c r="AD71" s="19"/>
      <c r="AE71" s="15"/>
      <c r="AF71" s="47">
        <f t="shared" si="14"/>
        <v>0</v>
      </c>
      <c r="AG71" s="19"/>
      <c r="AH71" s="15"/>
      <c r="AI71" s="47">
        <f t="shared" si="15"/>
        <v>0</v>
      </c>
      <c r="AJ71" s="371">
        <f t="shared" si="16"/>
        <v>0</v>
      </c>
      <c r="AK71" s="372">
        <f t="shared" si="17"/>
        <v>0</v>
      </c>
      <c r="AL71" s="373">
        <f t="shared" si="18"/>
        <v>0</v>
      </c>
      <c r="AM71" s="374" t="str">
        <f t="shared" si="19"/>
        <v>0 pts.</v>
      </c>
      <c r="AN71" s="375" t="str">
        <f t="shared" si="20"/>
        <v>0 pts.</v>
      </c>
    </row>
    <row r="72" spans="1:40" x14ac:dyDescent="0.2">
      <c r="A72" s="6" t="s">
        <v>6</v>
      </c>
      <c r="B72" s="7"/>
      <c r="H72" s="10" t="s">
        <v>448</v>
      </c>
      <c r="I72" s="25" t="s">
        <v>1004</v>
      </c>
      <c r="J72" s="25" t="s">
        <v>1004</v>
      </c>
      <c r="K72" s="64" t="str">
        <f t="shared" si="12"/>
        <v/>
      </c>
      <c r="L72" s="24">
        <v>550600</v>
      </c>
      <c r="M72" s="24">
        <v>307018</v>
      </c>
      <c r="N72" s="24" t="s">
        <v>1391</v>
      </c>
      <c r="O72" s="19"/>
      <c r="P72" s="19"/>
      <c r="Q72" s="19"/>
      <c r="R72" s="19"/>
      <c r="S72" s="19"/>
      <c r="T72" s="19"/>
      <c r="U72" s="19"/>
      <c r="V72" s="19"/>
      <c r="W72" s="19"/>
      <c r="X72" s="19"/>
      <c r="Y72" s="19"/>
      <c r="Z72" s="19"/>
      <c r="AA72" s="283">
        <f t="shared" si="13"/>
        <v>0</v>
      </c>
      <c r="AB72" s="15"/>
      <c r="AD72" s="19"/>
      <c r="AE72" s="15"/>
      <c r="AF72" s="47">
        <f t="shared" si="14"/>
        <v>0</v>
      </c>
      <c r="AG72" s="19"/>
      <c r="AH72" s="15"/>
      <c r="AI72" s="47">
        <f t="shared" si="15"/>
        <v>0</v>
      </c>
      <c r="AJ72" s="371">
        <f t="shared" si="16"/>
        <v>0</v>
      </c>
      <c r="AK72" s="372">
        <f t="shared" si="17"/>
        <v>0</v>
      </c>
      <c r="AL72" s="373">
        <f t="shared" si="18"/>
        <v>0</v>
      </c>
      <c r="AM72" s="374" t="str">
        <f t="shared" si="19"/>
        <v>0 pts.</v>
      </c>
      <c r="AN72" s="375" t="str">
        <f t="shared" si="20"/>
        <v>0 pts.</v>
      </c>
    </row>
    <row r="73" spans="1:40" x14ac:dyDescent="0.2">
      <c r="A73" s="6" t="s">
        <v>7</v>
      </c>
      <c r="B73" s="7"/>
      <c r="H73" s="10" t="s">
        <v>449</v>
      </c>
      <c r="I73" s="25" t="s">
        <v>1004</v>
      </c>
      <c r="J73" s="25" t="s">
        <v>1004</v>
      </c>
      <c r="K73" s="64" t="str">
        <f t="shared" si="12"/>
        <v/>
      </c>
      <c r="L73" s="24">
        <v>550650</v>
      </c>
      <c r="M73" s="24">
        <v>307019</v>
      </c>
      <c r="N73" s="24" t="s">
        <v>1392</v>
      </c>
      <c r="O73" s="28"/>
      <c r="P73" s="28"/>
      <c r="Q73" s="28"/>
      <c r="R73" s="28"/>
      <c r="S73" s="28"/>
      <c r="T73" s="28"/>
      <c r="U73" s="28"/>
      <c r="V73" s="28"/>
      <c r="W73" s="28"/>
      <c r="X73" s="28"/>
      <c r="Y73" s="28"/>
      <c r="Z73" s="28"/>
      <c r="AA73" s="296">
        <f t="shared" si="13"/>
        <v>0</v>
      </c>
      <c r="AB73" s="29"/>
      <c r="AD73" s="28"/>
      <c r="AE73" s="29"/>
      <c r="AF73" s="48">
        <f t="shared" si="14"/>
        <v>0</v>
      </c>
      <c r="AG73" s="28"/>
      <c r="AH73" s="29"/>
      <c r="AI73" s="48">
        <f t="shared" si="15"/>
        <v>0</v>
      </c>
      <c r="AJ73" s="381">
        <f t="shared" si="16"/>
        <v>0</v>
      </c>
      <c r="AK73" s="382">
        <f t="shared" si="17"/>
        <v>0</v>
      </c>
      <c r="AL73" s="383">
        <f t="shared" si="18"/>
        <v>0</v>
      </c>
      <c r="AM73" s="384" t="str">
        <f t="shared" si="19"/>
        <v>0 pts.</v>
      </c>
      <c r="AN73" s="385" t="str">
        <f t="shared" si="20"/>
        <v>0 pts.</v>
      </c>
    </row>
    <row r="74" spans="1:40" x14ac:dyDescent="0.2">
      <c r="A74" s="6" t="s">
        <v>47</v>
      </c>
      <c r="B74" s="14" t="s">
        <v>1366</v>
      </c>
      <c r="H74" s="10" t="s">
        <v>289</v>
      </c>
      <c r="I74" s="447" t="s">
        <v>1007</v>
      </c>
      <c r="J74" s="447" t="s">
        <v>78</v>
      </c>
      <c r="K74" s="448" t="str">
        <f t="shared" si="12"/>
        <v/>
      </c>
      <c r="L74" s="151">
        <v>500001</v>
      </c>
      <c r="M74" s="151"/>
      <c r="N74" s="151" t="s">
        <v>1219</v>
      </c>
      <c r="O74" s="120">
        <v>677.06</v>
      </c>
      <c r="P74" s="120">
        <v>291.47000000000003</v>
      </c>
      <c r="Q74" s="120">
        <v>711</v>
      </c>
      <c r="R74" s="120">
        <v>642.24</v>
      </c>
      <c r="S74" s="120">
        <v>294.5</v>
      </c>
      <c r="T74" s="120">
        <v>206.68</v>
      </c>
      <c r="U74" s="120">
        <v>520.26</v>
      </c>
      <c r="V74" s="120">
        <v>165.54</v>
      </c>
      <c r="W74" s="120">
        <v>348.76</v>
      </c>
      <c r="X74" s="120">
        <v>319.45</v>
      </c>
      <c r="Y74" s="120">
        <v>767.44</v>
      </c>
      <c r="Z74" s="120">
        <v>180.6</v>
      </c>
      <c r="AA74" s="120">
        <f t="shared" si="13"/>
        <v>5125</v>
      </c>
      <c r="AB74" s="121">
        <v>0.28781753996592202</v>
      </c>
      <c r="AC74" s="123"/>
      <c r="AD74" s="120">
        <v>7070.1959399999996</v>
      </c>
      <c r="AE74" s="121">
        <v>0.43935000000000002</v>
      </c>
      <c r="AF74" s="122">
        <f t="shared" si="14"/>
        <v>-1945.1959399999996</v>
      </c>
      <c r="AG74" s="120">
        <v>7208.72</v>
      </c>
      <c r="AH74" s="121">
        <v>0.45434073286008803</v>
      </c>
      <c r="AI74" s="122">
        <f t="shared" si="15"/>
        <v>-2083.7200000000003</v>
      </c>
      <c r="AJ74" s="332">
        <f t="shared" si="16"/>
        <v>0.12663701507289349</v>
      </c>
      <c r="AK74" s="333">
        <f t="shared" si="17"/>
        <v>0.17573999999999998</v>
      </c>
      <c r="AL74" s="335">
        <f t="shared" si="18"/>
        <v>0.18073308930451787</v>
      </c>
      <c r="AM74" s="377" t="str">
        <f t="shared" si="19"/>
        <v>-15.15 pts.</v>
      </c>
      <c r="AN74" s="378" t="str">
        <f t="shared" si="20"/>
        <v>-16.65 pts.</v>
      </c>
    </row>
    <row r="75" spans="1:40" x14ac:dyDescent="0.2">
      <c r="A75" s="6" t="s">
        <v>8</v>
      </c>
      <c r="B75" s="7"/>
      <c r="I75" s="1"/>
      <c r="J75" s="1"/>
      <c r="O75" s="50"/>
      <c r="AB75" s="51"/>
      <c r="AD75" s="50"/>
      <c r="AF75" s="51"/>
      <c r="AG75" s="50"/>
      <c r="AI75" s="51"/>
    </row>
    <row r="76" spans="1:40" x14ac:dyDescent="0.2">
      <c r="H76" s="1" t="s">
        <v>81</v>
      </c>
      <c r="I76" s="1" t="s">
        <v>1007</v>
      </c>
      <c r="J76" s="1" t="s">
        <v>78</v>
      </c>
      <c r="N76" s="37" t="s">
        <v>1113</v>
      </c>
      <c r="O76" s="50"/>
      <c r="AB76" s="51"/>
      <c r="AD76" s="50"/>
      <c r="AF76" s="51"/>
      <c r="AG76" s="50"/>
      <c r="AI76" s="51"/>
    </row>
    <row r="77" spans="1:40" x14ac:dyDescent="0.2">
      <c r="G77" s="1" t="s">
        <v>450</v>
      </c>
      <c r="H77" s="10" t="s">
        <v>424</v>
      </c>
      <c r="I77" s="25" t="s">
        <v>1052</v>
      </c>
      <c r="J77" s="25" t="s">
        <v>78</v>
      </c>
      <c r="K77" s="24"/>
      <c r="L77" s="24"/>
      <c r="M77" s="24"/>
      <c r="N77" s="24" t="str">
        <f t="shared" ref="N77:N94" si="21">G77</f>
        <v>Guest Communication</v>
      </c>
      <c r="O77" s="19">
        <f t="shared" ref="O77:Z77" si="22">IFERROR(O34-O56,"")</f>
        <v>-5.6</v>
      </c>
      <c r="P77" s="19">
        <f t="shared" si="22"/>
        <v>30.04</v>
      </c>
      <c r="Q77" s="19">
        <f t="shared" si="22"/>
        <v>27.72</v>
      </c>
      <c r="R77" s="19">
        <f t="shared" si="22"/>
        <v>26.53</v>
      </c>
      <c r="S77" s="19">
        <f t="shared" si="22"/>
        <v>19.36</v>
      </c>
      <c r="T77" s="19">
        <f t="shared" si="22"/>
        <v>68.259999999999991</v>
      </c>
      <c r="U77" s="19">
        <f t="shared" si="22"/>
        <v>49.370000000000005</v>
      </c>
      <c r="V77" s="19">
        <f t="shared" si="22"/>
        <v>106.65</v>
      </c>
      <c r="W77" s="19">
        <f t="shared" si="22"/>
        <v>43.5</v>
      </c>
      <c r="X77" s="19">
        <f t="shared" si="22"/>
        <v>34.5</v>
      </c>
      <c r="Y77" s="19">
        <f t="shared" si="22"/>
        <v>19.64</v>
      </c>
      <c r="Z77" s="19">
        <f t="shared" si="22"/>
        <v>368.74</v>
      </c>
      <c r="AA77" s="283">
        <f t="shared" ref="AA77:AA96" si="23">IF($I77="B1","",SUM(O77:Z77))</f>
        <v>788.71</v>
      </c>
      <c r="AB77" s="15">
        <f t="shared" ref="AB77:AB94" si="24">IF(AA77=0,"",IFERROR(AA77/AA34,""))</f>
        <v>0.69773264094692988</v>
      </c>
      <c r="AD77" s="19">
        <f t="shared" ref="AD77:AD94" si="25">IFERROR(AD34-AD56,"")</f>
        <v>654.15606000000002</v>
      </c>
      <c r="AE77" s="15">
        <f t="shared" ref="AE77:AE94" si="26">IF(AD77=0,"",IFERROR(AD77/AD34,""))</f>
        <v>0.54200000000000004</v>
      </c>
      <c r="AF77" s="47">
        <f t="shared" ref="AF77:AF96" si="27">IF(AND($AA77="",AD77=""),"",$AA77-AD77)</f>
        <v>134.55394000000001</v>
      </c>
      <c r="AG77" s="19">
        <f t="shared" ref="AG77:AG94" si="28">IFERROR(AG34-AG56,"")</f>
        <v>382.07000000000005</v>
      </c>
      <c r="AH77" s="15">
        <f t="shared" ref="AH77:AH94" si="29">IF(AG77=0,"",IFERROR(AG77/AG34,""))</f>
        <v>0.30282158991836416</v>
      </c>
      <c r="AI77" s="47">
        <f t="shared" ref="AI77:AI96" si="30">IF(AND($AA77="",AG77=""),"",$AA77-AG77)</f>
        <v>406.64</v>
      </c>
      <c r="AJ77" s="371">
        <f t="shared" ref="AJ77:AJ96" si="31">IFERROR(AA77/AA$20,0)</f>
        <v>1.9488757104027674E-2</v>
      </c>
      <c r="AK77" s="372">
        <f t="shared" ref="AK77:AK96" si="32">IFERROR(AD77/AD$20,0)</f>
        <v>1.626E-2</v>
      </c>
      <c r="AL77" s="373">
        <f t="shared" ref="AL77:AL96" si="33">IFERROR(AG77/AG$20,0)</f>
        <v>9.5790502933360087E-3</v>
      </c>
      <c r="AM77" s="374" t="str">
        <f t="shared" ref="AM77:AM96" si="34">+IFERROR(ROUND(($AB77-AE77)*100,2)&amp;" pts.",0)</f>
        <v>15.57 pts.</v>
      </c>
      <c r="AN77" s="375" t="str">
        <f t="shared" ref="AN77:AN96" si="35">+IFERROR(ROUND(($AB77-AH77)*100,2)&amp;" pts.",0)</f>
        <v>39.49 pts.</v>
      </c>
    </row>
    <row r="78" spans="1:40" x14ac:dyDescent="0.2">
      <c r="A78" s="3" t="s">
        <v>23</v>
      </c>
      <c r="B78" s="5" t="s">
        <v>24</v>
      </c>
      <c r="G78" s="1" t="s">
        <v>451</v>
      </c>
      <c r="H78" s="10" t="s">
        <v>425</v>
      </c>
      <c r="I78" s="25" t="s">
        <v>1052</v>
      </c>
      <c r="J78" s="25" t="s">
        <v>78</v>
      </c>
      <c r="K78" s="24"/>
      <c r="L78" s="24"/>
      <c r="M78" s="24"/>
      <c r="N78" s="24" t="str">
        <f t="shared" si="21"/>
        <v>Movie</v>
      </c>
      <c r="O78" s="19">
        <f t="shared" ref="O78:Z78" si="36">IFERROR(O35-O57,"")</f>
        <v>0</v>
      </c>
      <c r="P78" s="19">
        <f t="shared" si="36"/>
        <v>0</v>
      </c>
      <c r="Q78" s="19">
        <f t="shared" si="36"/>
        <v>0</v>
      </c>
      <c r="R78" s="19">
        <f t="shared" si="36"/>
        <v>0</v>
      </c>
      <c r="S78" s="19">
        <f t="shared" si="36"/>
        <v>0</v>
      </c>
      <c r="T78" s="19">
        <f t="shared" si="36"/>
        <v>0</v>
      </c>
      <c r="U78" s="19">
        <f t="shared" si="36"/>
        <v>0</v>
      </c>
      <c r="V78" s="19">
        <f t="shared" si="36"/>
        <v>0</v>
      </c>
      <c r="W78" s="19">
        <f t="shared" si="36"/>
        <v>0</v>
      </c>
      <c r="X78" s="19">
        <f t="shared" si="36"/>
        <v>0</v>
      </c>
      <c r="Y78" s="19">
        <f t="shared" si="36"/>
        <v>0</v>
      </c>
      <c r="Z78" s="19">
        <f t="shared" si="36"/>
        <v>0</v>
      </c>
      <c r="AA78" s="283">
        <f t="shared" si="23"/>
        <v>0</v>
      </c>
      <c r="AB78" s="15" t="str">
        <f t="shared" si="24"/>
        <v/>
      </c>
      <c r="AD78" s="19">
        <f t="shared" si="25"/>
        <v>0</v>
      </c>
      <c r="AE78" s="15" t="str">
        <f t="shared" si="26"/>
        <v/>
      </c>
      <c r="AF78" s="47">
        <f t="shared" si="27"/>
        <v>0</v>
      </c>
      <c r="AG78" s="19">
        <f t="shared" si="28"/>
        <v>0</v>
      </c>
      <c r="AH78" s="15" t="str">
        <f t="shared" si="29"/>
        <v/>
      </c>
      <c r="AI78" s="47">
        <f t="shared" si="30"/>
        <v>0</v>
      </c>
      <c r="AJ78" s="371">
        <f t="shared" si="31"/>
        <v>0</v>
      </c>
      <c r="AK78" s="372">
        <f t="shared" si="32"/>
        <v>0</v>
      </c>
      <c r="AL78" s="373">
        <f t="shared" si="33"/>
        <v>0</v>
      </c>
      <c r="AM78" s="374">
        <f t="shared" si="34"/>
        <v>0</v>
      </c>
      <c r="AN78" s="375">
        <f t="shared" si="35"/>
        <v>0</v>
      </c>
    </row>
    <row r="79" spans="1:40" x14ac:dyDescent="0.2">
      <c r="A79" s="6" t="s">
        <v>25</v>
      </c>
      <c r="B79" s="7"/>
      <c r="G79" s="1" t="s">
        <v>452</v>
      </c>
      <c r="H79" s="10" t="s">
        <v>426</v>
      </c>
      <c r="I79" s="25" t="s">
        <v>1052</v>
      </c>
      <c r="J79" s="25" t="s">
        <v>78</v>
      </c>
      <c r="K79" s="24"/>
      <c r="L79" s="24"/>
      <c r="M79" s="24"/>
      <c r="N79" s="24" t="str">
        <f t="shared" si="21"/>
        <v>Guest Laundry</v>
      </c>
      <c r="O79" s="19">
        <f t="shared" ref="O79:Z79" si="37">IFERROR(O36-O58,"")</f>
        <v>169.59000000000003</v>
      </c>
      <c r="P79" s="19">
        <f t="shared" si="37"/>
        <v>75.13</v>
      </c>
      <c r="Q79" s="19">
        <f t="shared" si="37"/>
        <v>76.789999999999964</v>
      </c>
      <c r="R79" s="19">
        <f t="shared" si="37"/>
        <v>144.77999999999997</v>
      </c>
      <c r="S79" s="19">
        <f t="shared" si="37"/>
        <v>47.779999999999973</v>
      </c>
      <c r="T79" s="19">
        <f t="shared" si="37"/>
        <v>42.53</v>
      </c>
      <c r="U79" s="19">
        <f t="shared" si="37"/>
        <v>140.01</v>
      </c>
      <c r="V79" s="19">
        <f t="shared" si="37"/>
        <v>15.949999999999989</v>
      </c>
      <c r="W79" s="19">
        <f t="shared" si="37"/>
        <v>88.220000000000027</v>
      </c>
      <c r="X79" s="19">
        <f t="shared" si="37"/>
        <v>81.920000000000016</v>
      </c>
      <c r="Y79" s="19">
        <f t="shared" si="37"/>
        <v>216.04999999999995</v>
      </c>
      <c r="Z79" s="19">
        <f t="shared" si="37"/>
        <v>-33.75</v>
      </c>
      <c r="AA79" s="283">
        <f t="shared" si="23"/>
        <v>1065</v>
      </c>
      <c r="AB79" s="15">
        <f t="shared" si="24"/>
        <v>0.18210357846355874</v>
      </c>
      <c r="AD79" s="19">
        <f t="shared" si="25"/>
        <v>724.15800000000036</v>
      </c>
      <c r="AE79" s="15">
        <f t="shared" si="26"/>
        <v>0.10000000000000005</v>
      </c>
      <c r="AF79" s="47">
        <f t="shared" si="27"/>
        <v>340.84199999999964</v>
      </c>
      <c r="AG79" s="19">
        <f t="shared" si="28"/>
        <v>767.59999999999945</v>
      </c>
      <c r="AH79" s="15">
        <f t="shared" si="29"/>
        <v>0.10816310138952095</v>
      </c>
      <c r="AI79" s="47">
        <f t="shared" si="30"/>
        <v>297.40000000000055</v>
      </c>
      <c r="AJ79" s="371">
        <f t="shared" si="31"/>
        <v>2.6315789473684209E-2</v>
      </c>
      <c r="AK79" s="372">
        <f t="shared" si="32"/>
        <v>1.8000000000000009E-2</v>
      </c>
      <c r="AL79" s="373">
        <f t="shared" si="33"/>
        <v>1.9244847816276375E-2</v>
      </c>
      <c r="AM79" s="374" t="str">
        <f t="shared" si="34"/>
        <v>8.21 pts.</v>
      </c>
      <c r="AN79" s="375" t="str">
        <f t="shared" si="35"/>
        <v>7.39 pts.</v>
      </c>
    </row>
    <row r="80" spans="1:40" x14ac:dyDescent="0.2">
      <c r="A80" s="6" t="s">
        <v>26</v>
      </c>
      <c r="B80" s="7"/>
      <c r="G80" s="1" t="s">
        <v>453</v>
      </c>
      <c r="H80" s="10" t="s">
        <v>427</v>
      </c>
      <c r="I80" s="25" t="s">
        <v>1052</v>
      </c>
      <c r="J80" s="25" t="s">
        <v>78</v>
      </c>
      <c r="K80" s="24"/>
      <c r="L80" s="24"/>
      <c r="M80" s="24"/>
      <c r="N80" s="24" t="str">
        <f t="shared" si="21"/>
        <v>In Room Fax</v>
      </c>
      <c r="O80" s="19">
        <f t="shared" ref="O80:Z80" si="38">IFERROR(O37-O59,"")</f>
        <v>0</v>
      </c>
      <c r="P80" s="19">
        <f t="shared" si="38"/>
        <v>0</v>
      </c>
      <c r="Q80" s="19">
        <f t="shared" si="38"/>
        <v>0</v>
      </c>
      <c r="R80" s="19">
        <f t="shared" si="38"/>
        <v>0</v>
      </c>
      <c r="S80" s="19">
        <f t="shared" si="38"/>
        <v>0</v>
      </c>
      <c r="T80" s="19">
        <f t="shared" si="38"/>
        <v>0</v>
      </c>
      <c r="U80" s="19">
        <f t="shared" si="38"/>
        <v>0</v>
      </c>
      <c r="V80" s="19">
        <f t="shared" si="38"/>
        <v>0</v>
      </c>
      <c r="W80" s="19">
        <f t="shared" si="38"/>
        <v>0</v>
      </c>
      <c r="X80" s="19">
        <f t="shared" si="38"/>
        <v>0</v>
      </c>
      <c r="Y80" s="19">
        <f t="shared" si="38"/>
        <v>0</v>
      </c>
      <c r="Z80" s="19">
        <f t="shared" si="38"/>
        <v>0</v>
      </c>
      <c r="AA80" s="283">
        <f t="shared" si="23"/>
        <v>0</v>
      </c>
      <c r="AB80" s="15" t="str">
        <f t="shared" si="24"/>
        <v/>
      </c>
      <c r="AD80" s="19">
        <f t="shared" si="25"/>
        <v>0</v>
      </c>
      <c r="AE80" s="15" t="str">
        <f t="shared" si="26"/>
        <v/>
      </c>
      <c r="AF80" s="47">
        <f t="shared" si="27"/>
        <v>0</v>
      </c>
      <c r="AG80" s="19">
        <f t="shared" si="28"/>
        <v>0</v>
      </c>
      <c r="AH80" s="15" t="str">
        <f t="shared" si="29"/>
        <v/>
      </c>
      <c r="AI80" s="47">
        <f t="shared" si="30"/>
        <v>0</v>
      </c>
      <c r="AJ80" s="371">
        <f t="shared" si="31"/>
        <v>0</v>
      </c>
      <c r="AK80" s="372">
        <f t="shared" si="32"/>
        <v>0</v>
      </c>
      <c r="AL80" s="373">
        <f t="shared" si="33"/>
        <v>0</v>
      </c>
      <c r="AM80" s="374">
        <f t="shared" si="34"/>
        <v>0</v>
      </c>
      <c r="AN80" s="375">
        <f t="shared" si="35"/>
        <v>0</v>
      </c>
    </row>
    <row r="81" spans="1:40" x14ac:dyDescent="0.2">
      <c r="A81" s="6" t="s">
        <v>27</v>
      </c>
      <c r="B81" s="7"/>
      <c r="G81" s="1" t="s">
        <v>454</v>
      </c>
      <c r="H81" s="10" t="s">
        <v>428</v>
      </c>
      <c r="I81" s="25" t="s">
        <v>1052</v>
      </c>
      <c r="J81" s="25" t="s">
        <v>78</v>
      </c>
      <c r="K81" s="24"/>
      <c r="L81" s="24"/>
      <c r="M81" s="24"/>
      <c r="N81" s="24" t="str">
        <f t="shared" si="21"/>
        <v>In Room Items</v>
      </c>
      <c r="O81" s="19">
        <f t="shared" ref="O81:Z81" si="39">IFERROR(O38-O60,"")</f>
        <v>937</v>
      </c>
      <c r="P81" s="19">
        <f t="shared" si="39"/>
        <v>1056</v>
      </c>
      <c r="Q81" s="19">
        <f t="shared" si="39"/>
        <v>1699</v>
      </c>
      <c r="R81" s="19">
        <f t="shared" si="39"/>
        <v>648</v>
      </c>
      <c r="S81" s="19">
        <f t="shared" si="39"/>
        <v>324.75</v>
      </c>
      <c r="T81" s="19">
        <f t="shared" si="39"/>
        <v>654</v>
      </c>
      <c r="U81" s="19">
        <f t="shared" si="39"/>
        <v>936.4</v>
      </c>
      <c r="V81" s="19">
        <f t="shared" si="39"/>
        <v>612.55999999999995</v>
      </c>
      <c r="W81" s="19">
        <f t="shared" si="39"/>
        <v>385</v>
      </c>
      <c r="X81" s="19">
        <f t="shared" si="39"/>
        <v>953</v>
      </c>
      <c r="Y81" s="19">
        <f t="shared" si="39"/>
        <v>1025</v>
      </c>
      <c r="Z81" s="19">
        <f t="shared" si="39"/>
        <v>1415</v>
      </c>
      <c r="AA81" s="283">
        <f t="shared" si="23"/>
        <v>10645.71</v>
      </c>
      <c r="AB81" s="15">
        <f t="shared" si="24"/>
        <v>1</v>
      </c>
      <c r="AD81" s="19">
        <f t="shared" si="25"/>
        <v>7643.89</v>
      </c>
      <c r="AE81" s="15">
        <f t="shared" si="26"/>
        <v>1</v>
      </c>
      <c r="AF81" s="47">
        <f t="shared" si="27"/>
        <v>3001.8199999999988</v>
      </c>
      <c r="AG81" s="19">
        <f t="shared" si="28"/>
        <v>7507.94</v>
      </c>
      <c r="AH81" s="15">
        <f t="shared" si="29"/>
        <v>1</v>
      </c>
      <c r="AI81" s="47">
        <f t="shared" si="30"/>
        <v>3137.7699999999995</v>
      </c>
      <c r="AJ81" s="371">
        <f t="shared" si="31"/>
        <v>0.26305189028910303</v>
      </c>
      <c r="AK81" s="372">
        <f t="shared" si="32"/>
        <v>0.19</v>
      </c>
      <c r="AL81" s="373">
        <f t="shared" si="33"/>
        <v>0.18823496966354109</v>
      </c>
      <c r="AM81" s="374" t="str">
        <f t="shared" si="34"/>
        <v>0 pts.</v>
      </c>
      <c r="AN81" s="375" t="str">
        <f t="shared" si="35"/>
        <v>0 pts.</v>
      </c>
    </row>
    <row r="82" spans="1:40" x14ac:dyDescent="0.2">
      <c r="A82" s="6" t="s">
        <v>28</v>
      </c>
      <c r="B82" s="7"/>
      <c r="G82" s="1" t="s">
        <v>455</v>
      </c>
      <c r="H82" s="10" t="s">
        <v>429</v>
      </c>
      <c r="I82" s="25" t="s">
        <v>1052</v>
      </c>
      <c r="J82" s="25" t="s">
        <v>78</v>
      </c>
      <c r="K82" s="24"/>
      <c r="L82" s="24"/>
      <c r="M82" s="24"/>
      <c r="N82" s="24" t="str">
        <f t="shared" si="21"/>
        <v>Massage</v>
      </c>
      <c r="O82" s="19">
        <f t="shared" ref="O82:Z82" si="40">IFERROR(O39-O61,"")</f>
        <v>0</v>
      </c>
      <c r="P82" s="19">
        <f t="shared" si="40"/>
        <v>0</v>
      </c>
      <c r="Q82" s="19">
        <f t="shared" si="40"/>
        <v>0</v>
      </c>
      <c r="R82" s="19">
        <f t="shared" si="40"/>
        <v>0</v>
      </c>
      <c r="S82" s="19">
        <f t="shared" si="40"/>
        <v>0</v>
      </c>
      <c r="T82" s="19">
        <f t="shared" si="40"/>
        <v>0</v>
      </c>
      <c r="U82" s="19">
        <f t="shared" si="40"/>
        <v>0</v>
      </c>
      <c r="V82" s="19">
        <f t="shared" si="40"/>
        <v>0</v>
      </c>
      <c r="W82" s="19">
        <f t="shared" si="40"/>
        <v>0</v>
      </c>
      <c r="X82" s="19">
        <f t="shared" si="40"/>
        <v>0</v>
      </c>
      <c r="Y82" s="19">
        <f t="shared" si="40"/>
        <v>0</v>
      </c>
      <c r="Z82" s="19">
        <f t="shared" si="40"/>
        <v>0</v>
      </c>
      <c r="AA82" s="283">
        <f t="shared" si="23"/>
        <v>0</v>
      </c>
      <c r="AB82" s="15" t="str">
        <f t="shared" si="24"/>
        <v/>
      </c>
      <c r="AD82" s="19">
        <f t="shared" si="25"/>
        <v>0</v>
      </c>
      <c r="AE82" s="15" t="str">
        <f t="shared" si="26"/>
        <v/>
      </c>
      <c r="AF82" s="47">
        <f t="shared" si="27"/>
        <v>0</v>
      </c>
      <c r="AG82" s="19">
        <f t="shared" si="28"/>
        <v>0</v>
      </c>
      <c r="AH82" s="15" t="str">
        <f t="shared" si="29"/>
        <v/>
      </c>
      <c r="AI82" s="47">
        <f t="shared" si="30"/>
        <v>0</v>
      </c>
      <c r="AJ82" s="371">
        <f t="shared" si="31"/>
        <v>0</v>
      </c>
      <c r="AK82" s="372">
        <f t="shared" si="32"/>
        <v>0</v>
      </c>
      <c r="AL82" s="373">
        <f t="shared" si="33"/>
        <v>0</v>
      </c>
      <c r="AM82" s="374">
        <f t="shared" si="34"/>
        <v>0</v>
      </c>
      <c r="AN82" s="375">
        <f t="shared" si="35"/>
        <v>0</v>
      </c>
    </row>
    <row r="83" spans="1:40" x14ac:dyDescent="0.2">
      <c r="A83" s="6" t="s">
        <v>29</v>
      </c>
      <c r="B83" s="7"/>
      <c r="G83" s="1" t="s">
        <v>487</v>
      </c>
      <c r="H83" s="10" t="s">
        <v>430</v>
      </c>
      <c r="I83" s="25" t="s">
        <v>1052</v>
      </c>
      <c r="J83" s="25" t="s">
        <v>78</v>
      </c>
      <c r="K83" s="24"/>
      <c r="L83" s="24"/>
      <c r="M83" s="24"/>
      <c r="N83" s="24" t="str">
        <f t="shared" si="21"/>
        <v>Gym Pass</v>
      </c>
      <c r="O83" s="19">
        <f t="shared" ref="O83:Z83" si="41">IFERROR(O40-O62,"")</f>
        <v>0</v>
      </c>
      <c r="P83" s="19">
        <f t="shared" si="41"/>
        <v>0</v>
      </c>
      <c r="Q83" s="19">
        <f t="shared" si="41"/>
        <v>0</v>
      </c>
      <c r="R83" s="19">
        <f t="shared" si="41"/>
        <v>0</v>
      </c>
      <c r="S83" s="19">
        <f t="shared" si="41"/>
        <v>0</v>
      </c>
      <c r="T83" s="19">
        <f t="shared" si="41"/>
        <v>0</v>
      </c>
      <c r="U83" s="19">
        <f t="shared" si="41"/>
        <v>0</v>
      </c>
      <c r="V83" s="19">
        <f t="shared" si="41"/>
        <v>0</v>
      </c>
      <c r="W83" s="19">
        <f t="shared" si="41"/>
        <v>0</v>
      </c>
      <c r="X83" s="19">
        <f t="shared" si="41"/>
        <v>0</v>
      </c>
      <c r="Y83" s="19">
        <f t="shared" si="41"/>
        <v>0</v>
      </c>
      <c r="Z83" s="19">
        <f t="shared" si="41"/>
        <v>0</v>
      </c>
      <c r="AA83" s="283">
        <f t="shared" si="23"/>
        <v>0</v>
      </c>
      <c r="AB83" s="15" t="str">
        <f t="shared" si="24"/>
        <v/>
      </c>
      <c r="AD83" s="19">
        <f t="shared" si="25"/>
        <v>0</v>
      </c>
      <c r="AE83" s="15" t="str">
        <f t="shared" si="26"/>
        <v/>
      </c>
      <c r="AF83" s="47">
        <f t="shared" si="27"/>
        <v>0</v>
      </c>
      <c r="AG83" s="19">
        <f t="shared" si="28"/>
        <v>0</v>
      </c>
      <c r="AH83" s="15" t="str">
        <f t="shared" si="29"/>
        <v/>
      </c>
      <c r="AI83" s="47">
        <f t="shared" si="30"/>
        <v>0</v>
      </c>
      <c r="AJ83" s="371">
        <f t="shared" si="31"/>
        <v>0</v>
      </c>
      <c r="AK83" s="372">
        <f t="shared" si="32"/>
        <v>0</v>
      </c>
      <c r="AL83" s="373">
        <f t="shared" si="33"/>
        <v>0</v>
      </c>
      <c r="AM83" s="374">
        <f t="shared" si="34"/>
        <v>0</v>
      </c>
      <c r="AN83" s="375">
        <f t="shared" si="35"/>
        <v>0</v>
      </c>
    </row>
    <row r="84" spans="1:40" x14ac:dyDescent="0.2">
      <c r="A84" s="6" t="s">
        <v>30</v>
      </c>
      <c r="B84" s="7" t="s">
        <v>78</v>
      </c>
      <c r="G84" s="1" t="s">
        <v>488</v>
      </c>
      <c r="H84" s="10" t="s">
        <v>475</v>
      </c>
      <c r="I84" s="25" t="s">
        <v>1004</v>
      </c>
      <c r="J84" s="25" t="s">
        <v>1004</v>
      </c>
      <c r="K84" s="24"/>
      <c r="L84" s="24"/>
      <c r="M84" s="24"/>
      <c r="N84" s="24" t="str">
        <f t="shared" si="21"/>
        <v>Shared Facilities &amp; Services</v>
      </c>
      <c r="O84" s="19">
        <f t="shared" ref="O84:Z84" si="42">IFERROR(O41-O63,"")</f>
        <v>0</v>
      </c>
      <c r="P84" s="19">
        <f t="shared" si="42"/>
        <v>0</v>
      </c>
      <c r="Q84" s="19">
        <f t="shared" si="42"/>
        <v>0</v>
      </c>
      <c r="R84" s="19">
        <f t="shared" si="42"/>
        <v>0</v>
      </c>
      <c r="S84" s="19">
        <f t="shared" si="42"/>
        <v>0</v>
      </c>
      <c r="T84" s="19">
        <f t="shared" si="42"/>
        <v>0</v>
      </c>
      <c r="U84" s="19">
        <f t="shared" si="42"/>
        <v>0</v>
      </c>
      <c r="V84" s="19">
        <f t="shared" si="42"/>
        <v>0</v>
      </c>
      <c r="W84" s="19">
        <f t="shared" si="42"/>
        <v>0</v>
      </c>
      <c r="X84" s="19">
        <f t="shared" si="42"/>
        <v>0</v>
      </c>
      <c r="Y84" s="19">
        <f t="shared" si="42"/>
        <v>0</v>
      </c>
      <c r="Z84" s="19">
        <f t="shared" si="42"/>
        <v>0</v>
      </c>
      <c r="AA84" s="283">
        <f t="shared" si="23"/>
        <v>0</v>
      </c>
      <c r="AB84" s="15" t="str">
        <f t="shared" si="24"/>
        <v/>
      </c>
      <c r="AD84" s="19">
        <f t="shared" si="25"/>
        <v>0</v>
      </c>
      <c r="AE84" s="15" t="str">
        <f t="shared" si="26"/>
        <v/>
      </c>
      <c r="AF84" s="47">
        <f t="shared" si="27"/>
        <v>0</v>
      </c>
      <c r="AG84" s="19">
        <f t="shared" si="28"/>
        <v>0</v>
      </c>
      <c r="AH84" s="15" t="str">
        <f t="shared" si="29"/>
        <v/>
      </c>
      <c r="AI84" s="47">
        <f t="shared" si="30"/>
        <v>0</v>
      </c>
      <c r="AJ84" s="371">
        <f t="shared" si="31"/>
        <v>0</v>
      </c>
      <c r="AK84" s="372">
        <f t="shared" si="32"/>
        <v>0</v>
      </c>
      <c r="AL84" s="373">
        <f t="shared" si="33"/>
        <v>0</v>
      </c>
      <c r="AM84" s="374">
        <f t="shared" si="34"/>
        <v>0</v>
      </c>
      <c r="AN84" s="375">
        <f t="shared" si="35"/>
        <v>0</v>
      </c>
    </row>
    <row r="85" spans="1:40" x14ac:dyDescent="0.2">
      <c r="A85" s="6" t="s">
        <v>31</v>
      </c>
      <c r="B85" s="7" t="s">
        <v>78</v>
      </c>
      <c r="G85" s="1" t="s">
        <v>489</v>
      </c>
      <c r="H85" s="10" t="s">
        <v>476</v>
      </c>
      <c r="I85" s="25" t="s">
        <v>1052</v>
      </c>
      <c r="J85" s="25" t="s">
        <v>78</v>
      </c>
      <c r="K85" s="24"/>
      <c r="L85" s="24"/>
      <c r="M85" s="24"/>
      <c r="N85" s="24" t="str">
        <f t="shared" si="21"/>
        <v>Retail Kiosk</v>
      </c>
      <c r="O85" s="19">
        <f t="shared" ref="O85:Z85" si="43">IFERROR(O42-O64,"")</f>
        <v>0</v>
      </c>
      <c r="P85" s="19">
        <f t="shared" si="43"/>
        <v>0</v>
      </c>
      <c r="Q85" s="19">
        <f t="shared" si="43"/>
        <v>0</v>
      </c>
      <c r="R85" s="19">
        <f t="shared" si="43"/>
        <v>0</v>
      </c>
      <c r="S85" s="19">
        <f t="shared" si="43"/>
        <v>0</v>
      </c>
      <c r="T85" s="19">
        <f t="shared" si="43"/>
        <v>0</v>
      </c>
      <c r="U85" s="19">
        <f t="shared" si="43"/>
        <v>0</v>
      </c>
      <c r="V85" s="19">
        <f t="shared" si="43"/>
        <v>0</v>
      </c>
      <c r="W85" s="19">
        <f t="shared" si="43"/>
        <v>0</v>
      </c>
      <c r="X85" s="19">
        <f t="shared" si="43"/>
        <v>0</v>
      </c>
      <c r="Y85" s="19">
        <f t="shared" si="43"/>
        <v>0</v>
      </c>
      <c r="Z85" s="19">
        <f t="shared" si="43"/>
        <v>0</v>
      </c>
      <c r="AA85" s="283">
        <f t="shared" si="23"/>
        <v>0</v>
      </c>
      <c r="AB85" s="15" t="str">
        <f t="shared" si="24"/>
        <v/>
      </c>
      <c r="AD85" s="19">
        <f t="shared" si="25"/>
        <v>0</v>
      </c>
      <c r="AE85" s="15" t="str">
        <f t="shared" si="26"/>
        <v/>
      </c>
      <c r="AF85" s="47">
        <f t="shared" si="27"/>
        <v>0</v>
      </c>
      <c r="AG85" s="19">
        <f t="shared" si="28"/>
        <v>0</v>
      </c>
      <c r="AH85" s="15" t="str">
        <f t="shared" si="29"/>
        <v/>
      </c>
      <c r="AI85" s="47">
        <f t="shared" si="30"/>
        <v>0</v>
      </c>
      <c r="AJ85" s="371">
        <f t="shared" si="31"/>
        <v>0</v>
      </c>
      <c r="AK85" s="372">
        <f t="shared" si="32"/>
        <v>0</v>
      </c>
      <c r="AL85" s="373">
        <f t="shared" si="33"/>
        <v>0</v>
      </c>
      <c r="AM85" s="374">
        <f t="shared" si="34"/>
        <v>0</v>
      </c>
      <c r="AN85" s="375">
        <f t="shared" si="35"/>
        <v>0</v>
      </c>
    </row>
    <row r="86" spans="1:40" x14ac:dyDescent="0.2">
      <c r="A86" s="6" t="s">
        <v>32</v>
      </c>
      <c r="B86" s="7"/>
      <c r="G86" s="1" t="s">
        <v>490</v>
      </c>
      <c r="H86" s="10" t="s">
        <v>477</v>
      </c>
      <c r="I86" s="25" t="s">
        <v>1052</v>
      </c>
      <c r="J86" s="25" t="s">
        <v>78</v>
      </c>
      <c r="K86" s="24"/>
      <c r="L86" s="24"/>
      <c r="M86" s="24"/>
      <c r="N86" s="24" t="str">
        <f t="shared" si="21"/>
        <v>Vending Machines</v>
      </c>
      <c r="O86" s="19">
        <f t="shared" ref="O86:Z86" si="44">IFERROR(O43-O65,"")</f>
        <v>0</v>
      </c>
      <c r="P86" s="19">
        <f t="shared" si="44"/>
        <v>0</v>
      </c>
      <c r="Q86" s="19">
        <f t="shared" si="44"/>
        <v>0</v>
      </c>
      <c r="R86" s="19">
        <f t="shared" si="44"/>
        <v>0</v>
      </c>
      <c r="S86" s="19">
        <f t="shared" si="44"/>
        <v>0</v>
      </c>
      <c r="T86" s="19">
        <f t="shared" si="44"/>
        <v>0</v>
      </c>
      <c r="U86" s="19">
        <f t="shared" si="44"/>
        <v>0</v>
      </c>
      <c r="V86" s="19">
        <f t="shared" si="44"/>
        <v>0</v>
      </c>
      <c r="W86" s="19">
        <f t="shared" si="44"/>
        <v>0</v>
      </c>
      <c r="X86" s="19">
        <f t="shared" si="44"/>
        <v>0</v>
      </c>
      <c r="Y86" s="19">
        <f t="shared" si="44"/>
        <v>0</v>
      </c>
      <c r="Z86" s="19">
        <f t="shared" si="44"/>
        <v>0</v>
      </c>
      <c r="AA86" s="283">
        <f t="shared" si="23"/>
        <v>0</v>
      </c>
      <c r="AB86" s="15" t="str">
        <f t="shared" si="24"/>
        <v/>
      </c>
      <c r="AD86" s="19">
        <f t="shared" si="25"/>
        <v>0</v>
      </c>
      <c r="AE86" s="15" t="str">
        <f t="shared" si="26"/>
        <v/>
      </c>
      <c r="AF86" s="47">
        <f t="shared" si="27"/>
        <v>0</v>
      </c>
      <c r="AG86" s="19">
        <f t="shared" si="28"/>
        <v>0</v>
      </c>
      <c r="AH86" s="15" t="str">
        <f t="shared" si="29"/>
        <v/>
      </c>
      <c r="AI86" s="47">
        <f t="shared" si="30"/>
        <v>0</v>
      </c>
      <c r="AJ86" s="371">
        <f t="shared" si="31"/>
        <v>0</v>
      </c>
      <c r="AK86" s="372">
        <f t="shared" si="32"/>
        <v>0</v>
      </c>
      <c r="AL86" s="373">
        <f t="shared" si="33"/>
        <v>0</v>
      </c>
      <c r="AM86" s="374">
        <f t="shared" si="34"/>
        <v>0</v>
      </c>
      <c r="AN86" s="375">
        <f t="shared" si="35"/>
        <v>0</v>
      </c>
    </row>
    <row r="87" spans="1:40" x14ac:dyDescent="0.2">
      <c r="A87" s="6" t="s">
        <v>33</v>
      </c>
      <c r="B87" s="7"/>
      <c r="G87" s="1" t="s">
        <v>491</v>
      </c>
      <c r="H87" s="10" t="s">
        <v>478</v>
      </c>
      <c r="I87" s="25" t="s">
        <v>1052</v>
      </c>
      <c r="J87" s="25" t="s">
        <v>78</v>
      </c>
      <c r="K87" s="24"/>
      <c r="L87" s="24"/>
      <c r="M87" s="24"/>
      <c r="N87" s="24" t="str">
        <f t="shared" si="21"/>
        <v>Laundry Machines</v>
      </c>
      <c r="O87" s="19">
        <f t="shared" ref="O87:Z87" si="45">IFERROR(O44-O66,"")</f>
        <v>0</v>
      </c>
      <c r="P87" s="19">
        <f t="shared" si="45"/>
        <v>0</v>
      </c>
      <c r="Q87" s="19">
        <f t="shared" si="45"/>
        <v>0</v>
      </c>
      <c r="R87" s="19">
        <f t="shared" si="45"/>
        <v>0</v>
      </c>
      <c r="S87" s="19">
        <f t="shared" si="45"/>
        <v>0</v>
      </c>
      <c r="T87" s="19">
        <f t="shared" si="45"/>
        <v>0</v>
      </c>
      <c r="U87" s="19">
        <f t="shared" si="45"/>
        <v>0</v>
      </c>
      <c r="V87" s="19">
        <f t="shared" si="45"/>
        <v>0</v>
      </c>
      <c r="W87" s="19">
        <f t="shared" si="45"/>
        <v>0</v>
      </c>
      <c r="X87" s="19">
        <f t="shared" si="45"/>
        <v>0</v>
      </c>
      <c r="Y87" s="19">
        <f t="shared" si="45"/>
        <v>0</v>
      </c>
      <c r="Z87" s="19">
        <f t="shared" si="45"/>
        <v>0</v>
      </c>
      <c r="AA87" s="283">
        <f t="shared" si="23"/>
        <v>0</v>
      </c>
      <c r="AB87" s="15" t="str">
        <f t="shared" si="24"/>
        <v/>
      </c>
      <c r="AD87" s="19">
        <f t="shared" si="25"/>
        <v>0</v>
      </c>
      <c r="AE87" s="15" t="str">
        <f t="shared" si="26"/>
        <v/>
      </c>
      <c r="AF87" s="47">
        <f t="shared" si="27"/>
        <v>0</v>
      </c>
      <c r="AG87" s="19">
        <f t="shared" si="28"/>
        <v>0</v>
      </c>
      <c r="AH87" s="15" t="str">
        <f t="shared" si="29"/>
        <v/>
      </c>
      <c r="AI87" s="47">
        <f t="shared" si="30"/>
        <v>0</v>
      </c>
      <c r="AJ87" s="371">
        <f t="shared" si="31"/>
        <v>0</v>
      </c>
      <c r="AK87" s="372">
        <f t="shared" si="32"/>
        <v>0</v>
      </c>
      <c r="AL87" s="373">
        <f t="shared" si="33"/>
        <v>0</v>
      </c>
      <c r="AM87" s="374">
        <f t="shared" si="34"/>
        <v>0</v>
      </c>
      <c r="AN87" s="375">
        <f t="shared" si="35"/>
        <v>0</v>
      </c>
    </row>
    <row r="88" spans="1:40" x14ac:dyDescent="0.2">
      <c r="A88" s="6" t="s">
        <v>34</v>
      </c>
      <c r="B88" s="7"/>
      <c r="G88" s="1" t="s">
        <v>492</v>
      </c>
      <c r="H88" s="10" t="s">
        <v>479</v>
      </c>
      <c r="I88" s="25" t="s">
        <v>1052</v>
      </c>
      <c r="J88" s="25" t="s">
        <v>78</v>
      </c>
      <c r="K88" s="24"/>
      <c r="L88" s="24"/>
      <c r="M88" s="24"/>
      <c r="N88" s="24" t="str">
        <f t="shared" si="21"/>
        <v>Occasional F&amp;B</v>
      </c>
      <c r="O88" s="19">
        <f t="shared" ref="O88:Z88" si="46">IFERROR(O45-O67,"")</f>
        <v>0</v>
      </c>
      <c r="P88" s="19">
        <f t="shared" si="46"/>
        <v>0</v>
      </c>
      <c r="Q88" s="19">
        <f t="shared" si="46"/>
        <v>0</v>
      </c>
      <c r="R88" s="19">
        <f t="shared" si="46"/>
        <v>0</v>
      </c>
      <c r="S88" s="19">
        <f t="shared" si="46"/>
        <v>0</v>
      </c>
      <c r="T88" s="19">
        <f t="shared" si="46"/>
        <v>0</v>
      </c>
      <c r="U88" s="19">
        <f t="shared" si="46"/>
        <v>0</v>
      </c>
      <c r="V88" s="19">
        <f t="shared" si="46"/>
        <v>0</v>
      </c>
      <c r="W88" s="19">
        <f t="shared" si="46"/>
        <v>0</v>
      </c>
      <c r="X88" s="19">
        <f t="shared" si="46"/>
        <v>0</v>
      </c>
      <c r="Y88" s="19">
        <f t="shared" si="46"/>
        <v>0</v>
      </c>
      <c r="Z88" s="19">
        <f t="shared" si="46"/>
        <v>0</v>
      </c>
      <c r="AA88" s="283">
        <f t="shared" si="23"/>
        <v>0</v>
      </c>
      <c r="AB88" s="15" t="str">
        <f t="shared" si="24"/>
        <v/>
      </c>
      <c r="AD88" s="19">
        <f t="shared" si="25"/>
        <v>0</v>
      </c>
      <c r="AE88" s="15" t="str">
        <f t="shared" si="26"/>
        <v/>
      </c>
      <c r="AF88" s="47">
        <f t="shared" si="27"/>
        <v>0</v>
      </c>
      <c r="AG88" s="19">
        <f t="shared" si="28"/>
        <v>0</v>
      </c>
      <c r="AH88" s="15" t="str">
        <f t="shared" si="29"/>
        <v/>
      </c>
      <c r="AI88" s="47">
        <f t="shared" si="30"/>
        <v>0</v>
      </c>
      <c r="AJ88" s="371">
        <f t="shared" si="31"/>
        <v>0</v>
      </c>
      <c r="AK88" s="372">
        <f t="shared" si="32"/>
        <v>0</v>
      </c>
      <c r="AL88" s="373">
        <f t="shared" si="33"/>
        <v>0</v>
      </c>
      <c r="AM88" s="374">
        <f t="shared" si="34"/>
        <v>0</v>
      </c>
      <c r="AN88" s="375">
        <f t="shared" si="35"/>
        <v>0</v>
      </c>
    </row>
    <row r="89" spans="1:40" x14ac:dyDescent="0.2">
      <c r="A89" s="6" t="s">
        <v>35</v>
      </c>
      <c r="B89" s="7"/>
      <c r="G89" s="1" t="s">
        <v>456</v>
      </c>
      <c r="H89" s="10" t="s">
        <v>431</v>
      </c>
      <c r="I89" s="25" t="s">
        <v>1052</v>
      </c>
      <c r="J89" s="25" t="s">
        <v>78</v>
      </c>
      <c r="K89" s="24"/>
      <c r="L89" s="24"/>
      <c r="M89" s="24"/>
      <c r="N89" s="24" t="str">
        <f t="shared" si="21"/>
        <v>Other 1</v>
      </c>
      <c r="O89" s="19">
        <f t="shared" ref="O89:Z89" si="47">IFERROR(O46-O68,"")</f>
        <v>0</v>
      </c>
      <c r="P89" s="19">
        <f t="shared" si="47"/>
        <v>0</v>
      </c>
      <c r="Q89" s="19">
        <f t="shared" si="47"/>
        <v>0</v>
      </c>
      <c r="R89" s="19">
        <f t="shared" si="47"/>
        <v>0</v>
      </c>
      <c r="S89" s="19">
        <f t="shared" si="47"/>
        <v>0</v>
      </c>
      <c r="T89" s="19">
        <f t="shared" si="47"/>
        <v>0</v>
      </c>
      <c r="U89" s="19">
        <f t="shared" si="47"/>
        <v>0</v>
      </c>
      <c r="V89" s="19">
        <f t="shared" si="47"/>
        <v>0</v>
      </c>
      <c r="W89" s="19">
        <f t="shared" si="47"/>
        <v>0</v>
      </c>
      <c r="X89" s="19">
        <f t="shared" si="47"/>
        <v>0</v>
      </c>
      <c r="Y89" s="19">
        <f t="shared" si="47"/>
        <v>0</v>
      </c>
      <c r="Z89" s="19">
        <f t="shared" si="47"/>
        <v>0</v>
      </c>
      <c r="AA89" s="283">
        <f t="shared" si="23"/>
        <v>0</v>
      </c>
      <c r="AB89" s="15" t="str">
        <f t="shared" si="24"/>
        <v/>
      </c>
      <c r="AD89" s="19">
        <f t="shared" si="25"/>
        <v>0</v>
      </c>
      <c r="AE89" s="15" t="str">
        <f t="shared" si="26"/>
        <v/>
      </c>
      <c r="AF89" s="47">
        <f t="shared" si="27"/>
        <v>0</v>
      </c>
      <c r="AG89" s="19">
        <f t="shared" si="28"/>
        <v>0</v>
      </c>
      <c r="AH89" s="15" t="str">
        <f t="shared" si="29"/>
        <v/>
      </c>
      <c r="AI89" s="47">
        <f t="shared" si="30"/>
        <v>0</v>
      </c>
      <c r="AJ89" s="371">
        <f t="shared" si="31"/>
        <v>0</v>
      </c>
      <c r="AK89" s="372">
        <f t="shared" si="32"/>
        <v>0</v>
      </c>
      <c r="AL89" s="373">
        <f t="shared" si="33"/>
        <v>0</v>
      </c>
      <c r="AM89" s="374">
        <f t="shared" si="34"/>
        <v>0</v>
      </c>
      <c r="AN89" s="375">
        <f t="shared" si="35"/>
        <v>0</v>
      </c>
    </row>
    <row r="90" spans="1:40" x14ac:dyDescent="0.2">
      <c r="A90" s="6" t="s">
        <v>36</v>
      </c>
      <c r="B90" s="7"/>
      <c r="G90" s="1" t="s">
        <v>457</v>
      </c>
      <c r="H90" s="10" t="s">
        <v>432</v>
      </c>
      <c r="I90" s="25" t="s">
        <v>1052</v>
      </c>
      <c r="J90" s="25" t="s">
        <v>78</v>
      </c>
      <c r="K90" s="24"/>
      <c r="L90" s="24"/>
      <c r="M90" s="24"/>
      <c r="N90" s="24" t="str">
        <f t="shared" si="21"/>
        <v>Other 2</v>
      </c>
      <c r="O90" s="19">
        <f t="shared" ref="O90:Z90" si="48">IFERROR(O47-O69,"")</f>
        <v>0</v>
      </c>
      <c r="P90" s="19">
        <f t="shared" si="48"/>
        <v>0</v>
      </c>
      <c r="Q90" s="19">
        <f t="shared" si="48"/>
        <v>0</v>
      </c>
      <c r="R90" s="19">
        <f t="shared" si="48"/>
        <v>0</v>
      </c>
      <c r="S90" s="19">
        <f t="shared" si="48"/>
        <v>0</v>
      </c>
      <c r="T90" s="19">
        <f t="shared" si="48"/>
        <v>0</v>
      </c>
      <c r="U90" s="19">
        <f t="shared" si="48"/>
        <v>0</v>
      </c>
      <c r="V90" s="19">
        <f t="shared" si="48"/>
        <v>0</v>
      </c>
      <c r="W90" s="19">
        <f t="shared" si="48"/>
        <v>0</v>
      </c>
      <c r="X90" s="19">
        <f t="shared" si="48"/>
        <v>0</v>
      </c>
      <c r="Y90" s="19">
        <f t="shared" si="48"/>
        <v>0</v>
      </c>
      <c r="Z90" s="19">
        <f t="shared" si="48"/>
        <v>0</v>
      </c>
      <c r="AA90" s="283">
        <f t="shared" si="23"/>
        <v>0</v>
      </c>
      <c r="AB90" s="15" t="str">
        <f t="shared" si="24"/>
        <v/>
      </c>
      <c r="AD90" s="19">
        <f t="shared" si="25"/>
        <v>0</v>
      </c>
      <c r="AE90" s="15" t="str">
        <f t="shared" si="26"/>
        <v/>
      </c>
      <c r="AF90" s="47">
        <f t="shared" si="27"/>
        <v>0</v>
      </c>
      <c r="AG90" s="19">
        <f t="shared" si="28"/>
        <v>0</v>
      </c>
      <c r="AH90" s="15" t="str">
        <f t="shared" si="29"/>
        <v/>
      </c>
      <c r="AI90" s="47">
        <f t="shared" si="30"/>
        <v>0</v>
      </c>
      <c r="AJ90" s="371">
        <f t="shared" si="31"/>
        <v>0</v>
      </c>
      <c r="AK90" s="372">
        <f t="shared" si="32"/>
        <v>0</v>
      </c>
      <c r="AL90" s="373">
        <f t="shared" si="33"/>
        <v>0</v>
      </c>
      <c r="AM90" s="374">
        <f t="shared" si="34"/>
        <v>0</v>
      </c>
      <c r="AN90" s="375">
        <f t="shared" si="35"/>
        <v>0</v>
      </c>
    </row>
    <row r="91" spans="1:40" x14ac:dyDescent="0.2">
      <c r="A91" s="6" t="s">
        <v>37</v>
      </c>
      <c r="B91" s="7"/>
      <c r="G91" s="1" t="s">
        <v>458</v>
      </c>
      <c r="H91" s="10" t="s">
        <v>433</v>
      </c>
      <c r="I91" s="25" t="s">
        <v>1052</v>
      </c>
      <c r="J91" s="25" t="s">
        <v>78</v>
      </c>
      <c r="K91" s="24"/>
      <c r="L91" s="24"/>
      <c r="M91" s="24"/>
      <c r="N91" s="24" t="str">
        <f t="shared" si="21"/>
        <v>Other 3</v>
      </c>
      <c r="O91" s="19">
        <f t="shared" ref="O91:Z91" si="49">IFERROR(O48-O70,"")</f>
        <v>0</v>
      </c>
      <c r="P91" s="19">
        <f t="shared" si="49"/>
        <v>0</v>
      </c>
      <c r="Q91" s="19">
        <f t="shared" si="49"/>
        <v>0</v>
      </c>
      <c r="R91" s="19">
        <f t="shared" si="49"/>
        <v>0</v>
      </c>
      <c r="S91" s="19">
        <f t="shared" si="49"/>
        <v>0</v>
      </c>
      <c r="T91" s="19">
        <f t="shared" si="49"/>
        <v>0</v>
      </c>
      <c r="U91" s="19">
        <f t="shared" si="49"/>
        <v>0</v>
      </c>
      <c r="V91" s="19">
        <f t="shared" si="49"/>
        <v>0</v>
      </c>
      <c r="W91" s="19">
        <f t="shared" si="49"/>
        <v>0</v>
      </c>
      <c r="X91" s="19">
        <f t="shared" si="49"/>
        <v>0</v>
      </c>
      <c r="Y91" s="19">
        <f t="shared" si="49"/>
        <v>0</v>
      </c>
      <c r="Z91" s="19">
        <f t="shared" si="49"/>
        <v>182</v>
      </c>
      <c r="AA91" s="283">
        <f t="shared" si="23"/>
        <v>182</v>
      </c>
      <c r="AB91" s="15">
        <f t="shared" si="24"/>
        <v>1</v>
      </c>
      <c r="AD91" s="19">
        <f t="shared" si="25"/>
        <v>0</v>
      </c>
      <c r="AE91" s="15" t="str">
        <f t="shared" si="26"/>
        <v/>
      </c>
      <c r="AF91" s="47">
        <f t="shared" si="27"/>
        <v>182</v>
      </c>
      <c r="AG91" s="19">
        <f t="shared" si="28"/>
        <v>0</v>
      </c>
      <c r="AH91" s="15" t="str">
        <f t="shared" si="29"/>
        <v/>
      </c>
      <c r="AI91" s="47">
        <f t="shared" si="30"/>
        <v>182</v>
      </c>
      <c r="AJ91" s="371">
        <f t="shared" si="31"/>
        <v>4.4971583889300715E-3</v>
      </c>
      <c r="AK91" s="372">
        <f t="shared" si="32"/>
        <v>0</v>
      </c>
      <c r="AL91" s="373">
        <f t="shared" si="33"/>
        <v>0</v>
      </c>
      <c r="AM91" s="374">
        <f t="shared" si="34"/>
        <v>0</v>
      </c>
      <c r="AN91" s="375">
        <f t="shared" si="35"/>
        <v>0</v>
      </c>
    </row>
    <row r="92" spans="1:40" x14ac:dyDescent="0.2">
      <c r="A92" s="6" t="s">
        <v>38</v>
      </c>
      <c r="B92" s="7"/>
      <c r="G92" s="1" t="s">
        <v>459</v>
      </c>
      <c r="H92" s="10" t="s">
        <v>434</v>
      </c>
      <c r="I92" s="25" t="s">
        <v>1052</v>
      </c>
      <c r="J92" s="25" t="s">
        <v>78</v>
      </c>
      <c r="K92" s="24"/>
      <c r="L92" s="24"/>
      <c r="M92" s="24"/>
      <c r="N92" s="24" t="str">
        <f t="shared" si="21"/>
        <v>Other 4</v>
      </c>
      <c r="O92" s="19">
        <f t="shared" ref="O92:Z92" si="50">IFERROR(O49-O71,"")</f>
        <v>0</v>
      </c>
      <c r="P92" s="19">
        <f t="shared" si="50"/>
        <v>0</v>
      </c>
      <c r="Q92" s="19">
        <f t="shared" si="50"/>
        <v>0</v>
      </c>
      <c r="R92" s="19">
        <f t="shared" si="50"/>
        <v>0</v>
      </c>
      <c r="S92" s="19">
        <f t="shared" si="50"/>
        <v>0</v>
      </c>
      <c r="T92" s="19">
        <f t="shared" si="50"/>
        <v>0</v>
      </c>
      <c r="U92" s="19">
        <f t="shared" si="50"/>
        <v>0</v>
      </c>
      <c r="V92" s="19">
        <f t="shared" si="50"/>
        <v>0</v>
      </c>
      <c r="W92" s="19">
        <f t="shared" si="50"/>
        <v>0</v>
      </c>
      <c r="X92" s="19">
        <f t="shared" si="50"/>
        <v>0</v>
      </c>
      <c r="Y92" s="19">
        <f t="shared" si="50"/>
        <v>0</v>
      </c>
      <c r="Z92" s="19">
        <f t="shared" si="50"/>
        <v>0</v>
      </c>
      <c r="AA92" s="283">
        <f t="shared" si="23"/>
        <v>0</v>
      </c>
      <c r="AB92" s="15" t="str">
        <f t="shared" si="24"/>
        <v/>
      </c>
      <c r="AD92" s="19">
        <f t="shared" si="25"/>
        <v>0</v>
      </c>
      <c r="AE92" s="15" t="str">
        <f t="shared" si="26"/>
        <v/>
      </c>
      <c r="AF92" s="47">
        <f t="shared" si="27"/>
        <v>0</v>
      </c>
      <c r="AG92" s="19">
        <f t="shared" si="28"/>
        <v>0</v>
      </c>
      <c r="AH92" s="15" t="str">
        <f t="shared" si="29"/>
        <v/>
      </c>
      <c r="AI92" s="47">
        <f t="shared" si="30"/>
        <v>0</v>
      </c>
      <c r="AJ92" s="371">
        <f t="shared" si="31"/>
        <v>0</v>
      </c>
      <c r="AK92" s="372">
        <f t="shared" si="32"/>
        <v>0</v>
      </c>
      <c r="AL92" s="373">
        <f t="shared" si="33"/>
        <v>0</v>
      </c>
      <c r="AM92" s="374">
        <f t="shared" si="34"/>
        <v>0</v>
      </c>
      <c r="AN92" s="375">
        <f t="shared" si="35"/>
        <v>0</v>
      </c>
    </row>
    <row r="93" spans="1:40" x14ac:dyDescent="0.2">
      <c r="A93" s="6" t="s">
        <v>39</v>
      </c>
      <c r="B93" s="7"/>
      <c r="G93" s="1" t="s">
        <v>460</v>
      </c>
      <c r="H93" s="10" t="s">
        <v>435</v>
      </c>
      <c r="I93" s="25" t="s">
        <v>1052</v>
      </c>
      <c r="J93" s="25" t="s">
        <v>78</v>
      </c>
      <c r="K93" s="24"/>
      <c r="L93" s="24"/>
      <c r="M93" s="24"/>
      <c r="N93" s="24" t="str">
        <f t="shared" si="21"/>
        <v>Other 5</v>
      </c>
      <c r="O93" s="19">
        <f t="shared" ref="O93:Z93" si="51">IFERROR(O50-O72,"")</f>
        <v>0</v>
      </c>
      <c r="P93" s="19">
        <f t="shared" si="51"/>
        <v>0</v>
      </c>
      <c r="Q93" s="19">
        <f t="shared" si="51"/>
        <v>0</v>
      </c>
      <c r="R93" s="19">
        <f t="shared" si="51"/>
        <v>0</v>
      </c>
      <c r="S93" s="19">
        <f t="shared" si="51"/>
        <v>0</v>
      </c>
      <c r="T93" s="19">
        <f t="shared" si="51"/>
        <v>0</v>
      </c>
      <c r="U93" s="19">
        <f t="shared" si="51"/>
        <v>0</v>
      </c>
      <c r="V93" s="19">
        <f t="shared" si="51"/>
        <v>0</v>
      </c>
      <c r="W93" s="19">
        <f t="shared" si="51"/>
        <v>0</v>
      </c>
      <c r="X93" s="19">
        <f t="shared" si="51"/>
        <v>0</v>
      </c>
      <c r="Y93" s="19">
        <f t="shared" si="51"/>
        <v>0</v>
      </c>
      <c r="Z93" s="19">
        <f t="shared" si="51"/>
        <v>0</v>
      </c>
      <c r="AA93" s="283">
        <f t="shared" si="23"/>
        <v>0</v>
      </c>
      <c r="AB93" s="15" t="str">
        <f t="shared" si="24"/>
        <v/>
      </c>
      <c r="AD93" s="19">
        <f t="shared" si="25"/>
        <v>0</v>
      </c>
      <c r="AE93" s="15" t="str">
        <f t="shared" si="26"/>
        <v/>
      </c>
      <c r="AF93" s="47">
        <f t="shared" si="27"/>
        <v>0</v>
      </c>
      <c r="AG93" s="19">
        <f t="shared" si="28"/>
        <v>0</v>
      </c>
      <c r="AH93" s="15" t="str">
        <f t="shared" si="29"/>
        <v/>
      </c>
      <c r="AI93" s="47">
        <f t="shared" si="30"/>
        <v>0</v>
      </c>
      <c r="AJ93" s="371">
        <f t="shared" si="31"/>
        <v>0</v>
      </c>
      <c r="AK93" s="372">
        <f t="shared" si="32"/>
        <v>0</v>
      </c>
      <c r="AL93" s="373">
        <f t="shared" si="33"/>
        <v>0</v>
      </c>
      <c r="AM93" s="374">
        <f t="shared" si="34"/>
        <v>0</v>
      </c>
      <c r="AN93" s="375">
        <f t="shared" si="35"/>
        <v>0</v>
      </c>
    </row>
    <row r="94" spans="1:40" x14ac:dyDescent="0.2">
      <c r="A94" s="6" t="s">
        <v>40</v>
      </c>
      <c r="B94" s="7"/>
      <c r="G94" s="1" t="s">
        <v>461</v>
      </c>
      <c r="H94" s="10" t="s">
        <v>436</v>
      </c>
      <c r="I94" s="25" t="s">
        <v>1052</v>
      </c>
      <c r="J94" s="25" t="s">
        <v>78</v>
      </c>
      <c r="K94" s="24"/>
      <c r="L94" s="24"/>
      <c r="M94" s="24"/>
      <c r="N94" s="24" t="str">
        <f t="shared" si="21"/>
        <v>Other 6</v>
      </c>
      <c r="O94" s="19">
        <f t="shared" ref="O94:Z94" si="52">IFERROR(O51-O73,"")</f>
        <v>0</v>
      </c>
      <c r="P94" s="19">
        <f t="shared" si="52"/>
        <v>0</v>
      </c>
      <c r="Q94" s="19">
        <f t="shared" si="52"/>
        <v>0</v>
      </c>
      <c r="R94" s="19">
        <f t="shared" si="52"/>
        <v>0</v>
      </c>
      <c r="S94" s="19">
        <f t="shared" si="52"/>
        <v>0</v>
      </c>
      <c r="T94" s="19">
        <f t="shared" si="52"/>
        <v>0</v>
      </c>
      <c r="U94" s="19">
        <f t="shared" si="52"/>
        <v>0</v>
      </c>
      <c r="V94" s="19">
        <f t="shared" si="52"/>
        <v>0</v>
      </c>
      <c r="W94" s="19">
        <f t="shared" si="52"/>
        <v>0</v>
      </c>
      <c r="X94" s="19">
        <f t="shared" si="52"/>
        <v>0</v>
      </c>
      <c r="Y94" s="19">
        <f t="shared" si="52"/>
        <v>0</v>
      </c>
      <c r="Z94" s="19">
        <f t="shared" si="52"/>
        <v>0</v>
      </c>
      <c r="AA94" s="283">
        <f t="shared" si="23"/>
        <v>0</v>
      </c>
      <c r="AB94" s="15" t="str">
        <f t="shared" si="24"/>
        <v/>
      </c>
      <c r="AD94" s="19">
        <f t="shared" si="25"/>
        <v>0</v>
      </c>
      <c r="AE94" s="15" t="str">
        <f t="shared" si="26"/>
        <v/>
      </c>
      <c r="AF94" s="47">
        <f t="shared" si="27"/>
        <v>0</v>
      </c>
      <c r="AG94" s="19">
        <f t="shared" si="28"/>
        <v>0</v>
      </c>
      <c r="AH94" s="15" t="str">
        <f t="shared" si="29"/>
        <v/>
      </c>
      <c r="AI94" s="47">
        <f t="shared" si="30"/>
        <v>0</v>
      </c>
      <c r="AJ94" s="371">
        <f t="shared" si="31"/>
        <v>0</v>
      </c>
      <c r="AK94" s="372">
        <f t="shared" si="32"/>
        <v>0</v>
      </c>
      <c r="AL94" s="373">
        <f t="shared" si="33"/>
        <v>0</v>
      </c>
      <c r="AM94" s="374">
        <f t="shared" si="34"/>
        <v>0</v>
      </c>
      <c r="AN94" s="375">
        <f t="shared" si="35"/>
        <v>0</v>
      </c>
    </row>
    <row r="95" spans="1:40" x14ac:dyDescent="0.2">
      <c r="A95" s="6" t="s">
        <v>41</v>
      </c>
      <c r="B95" s="7"/>
      <c r="H95" s="10" t="s">
        <v>480</v>
      </c>
      <c r="I95" s="25" t="s">
        <v>1052</v>
      </c>
      <c r="J95" s="25" t="s">
        <v>78</v>
      </c>
      <c r="K95" s="24"/>
      <c r="L95" s="24"/>
      <c r="M95" s="24"/>
      <c r="N95" s="24" t="s">
        <v>1373</v>
      </c>
      <c r="O95" s="19"/>
      <c r="P95" s="19"/>
      <c r="Q95" s="19"/>
      <c r="R95" s="19"/>
      <c r="S95" s="19"/>
      <c r="T95" s="19"/>
      <c r="U95" s="19"/>
      <c r="V95" s="19"/>
      <c r="W95" s="19"/>
      <c r="X95" s="19"/>
      <c r="Y95" s="19"/>
      <c r="Z95" s="19"/>
      <c r="AA95" s="283">
        <f t="shared" si="23"/>
        <v>0</v>
      </c>
      <c r="AB95" s="15"/>
      <c r="AD95" s="19"/>
      <c r="AE95" s="15"/>
      <c r="AF95" s="47">
        <f t="shared" si="27"/>
        <v>0</v>
      </c>
      <c r="AG95" s="19"/>
      <c r="AH95" s="15"/>
      <c r="AI95" s="47">
        <f t="shared" si="30"/>
        <v>0</v>
      </c>
      <c r="AJ95" s="381">
        <f t="shared" si="31"/>
        <v>0</v>
      </c>
      <c r="AK95" s="382">
        <f t="shared" si="32"/>
        <v>0</v>
      </c>
      <c r="AL95" s="383">
        <f t="shared" si="33"/>
        <v>0</v>
      </c>
      <c r="AM95" s="384" t="str">
        <f t="shared" si="34"/>
        <v>0 pts.</v>
      </c>
      <c r="AN95" s="385" t="str">
        <f t="shared" si="35"/>
        <v>0 pts.</v>
      </c>
    </row>
    <row r="96" spans="1:40" x14ac:dyDescent="0.2">
      <c r="A96" s="6" t="s">
        <v>42</v>
      </c>
      <c r="B96" s="7"/>
      <c r="H96" s="10"/>
      <c r="I96" s="25"/>
      <c r="J96" s="25"/>
      <c r="K96" s="24"/>
      <c r="L96" s="24"/>
      <c r="M96" s="24"/>
      <c r="N96" s="8" t="s">
        <v>462</v>
      </c>
      <c r="O96" s="120">
        <f t="shared" ref="O96:Z96" si="53">SUM(O77:O95)</f>
        <v>1100.99</v>
      </c>
      <c r="P96" s="120">
        <f t="shared" si="53"/>
        <v>1161.17</v>
      </c>
      <c r="Q96" s="120">
        <f t="shared" si="53"/>
        <v>1803.51</v>
      </c>
      <c r="R96" s="120">
        <f t="shared" si="53"/>
        <v>819.31</v>
      </c>
      <c r="S96" s="120">
        <f t="shared" si="53"/>
        <v>391.89</v>
      </c>
      <c r="T96" s="120">
        <f t="shared" si="53"/>
        <v>764.79</v>
      </c>
      <c r="U96" s="120">
        <f t="shared" si="53"/>
        <v>1125.78</v>
      </c>
      <c r="V96" s="120">
        <f t="shared" si="53"/>
        <v>735.16</v>
      </c>
      <c r="W96" s="120">
        <f t="shared" si="53"/>
        <v>516.72</v>
      </c>
      <c r="X96" s="120">
        <f t="shared" si="53"/>
        <v>1069.42</v>
      </c>
      <c r="Y96" s="120">
        <f t="shared" si="53"/>
        <v>1260.69</v>
      </c>
      <c r="Z96" s="120">
        <f t="shared" si="53"/>
        <v>1931.99</v>
      </c>
      <c r="AA96" s="120">
        <f t="shared" si="23"/>
        <v>12681.42</v>
      </c>
      <c r="AB96" s="121">
        <f>IF(AA96=0,"",IFERROR(AA96/AA19,""))</f>
        <v>0.71218246003407748</v>
      </c>
      <c r="AC96" s="123"/>
      <c r="AD96" s="120">
        <f>SUM(AD77:AD95)</f>
        <v>9022.20406</v>
      </c>
      <c r="AE96" s="121">
        <f>IF(AD96=0,"",IFERROR(AD96/AD19,""))</f>
        <v>0.56064999999999998</v>
      </c>
      <c r="AF96" s="122">
        <f t="shared" si="27"/>
        <v>3659.21594</v>
      </c>
      <c r="AG96" s="120">
        <f>SUM(AG77:AG95)</f>
        <v>8657.6099999999988</v>
      </c>
      <c r="AH96" s="121">
        <f>IF(AG96=0,"",IFERROR(AG96/AG19,""))</f>
        <v>0.54565926713991197</v>
      </c>
      <c r="AI96" s="122">
        <f t="shared" si="30"/>
        <v>4023.8100000000013</v>
      </c>
      <c r="AJ96" s="364">
        <f t="shared" si="31"/>
        <v>0.31335359525574502</v>
      </c>
      <c r="AK96" s="365">
        <f t="shared" si="32"/>
        <v>0.22425999999999999</v>
      </c>
      <c r="AL96" s="366">
        <f t="shared" si="33"/>
        <v>0.21705886777315345</v>
      </c>
      <c r="AM96" s="367" t="str">
        <f t="shared" si="34"/>
        <v>15.15 pts.</v>
      </c>
      <c r="AN96" s="409" t="str">
        <f t="shared" si="35"/>
        <v>16.65 pts.</v>
      </c>
    </row>
    <row r="97" spans="1:40" x14ac:dyDescent="0.2">
      <c r="A97" s="6" t="s">
        <v>43</v>
      </c>
      <c r="B97" s="7"/>
      <c r="I97" s="1"/>
      <c r="J97" s="1"/>
    </row>
    <row r="98" spans="1:40" ht="16" thickBot="1" x14ac:dyDescent="0.25">
      <c r="A98" s="6" t="s">
        <v>44</v>
      </c>
      <c r="B98" s="7"/>
      <c r="H98" s="10" t="s">
        <v>81</v>
      </c>
      <c r="I98" s="25" t="s">
        <v>1007</v>
      </c>
      <c r="J98" s="25" t="s">
        <v>78</v>
      </c>
      <c r="K98" s="23"/>
      <c r="L98" s="23"/>
      <c r="M98" s="23"/>
      <c r="N98" s="23" t="s">
        <v>1113</v>
      </c>
      <c r="O98" s="58">
        <v>1100.99</v>
      </c>
      <c r="P98" s="58">
        <v>1161.17</v>
      </c>
      <c r="Q98" s="58">
        <v>1803.51</v>
      </c>
      <c r="R98" s="58">
        <v>819.31</v>
      </c>
      <c r="S98" s="58">
        <v>391.89</v>
      </c>
      <c r="T98" s="58">
        <v>764.79</v>
      </c>
      <c r="U98" s="58">
        <v>1125.78</v>
      </c>
      <c r="V98" s="58">
        <v>735.16</v>
      </c>
      <c r="W98" s="58">
        <v>516.72</v>
      </c>
      <c r="X98" s="58">
        <v>1069.42</v>
      </c>
      <c r="Y98" s="58">
        <v>1260.69</v>
      </c>
      <c r="Z98" s="58">
        <v>1931.99</v>
      </c>
      <c r="AA98" s="58">
        <f>IF($I98="B1","",SUM(O98:Z98))</f>
        <v>12681.42</v>
      </c>
      <c r="AB98" s="59">
        <f>IF(AA98=0,"",IFERROR(AA98/AA$19,""))</f>
        <v>0.71218246003407748</v>
      </c>
      <c r="AD98" s="58">
        <v>9022.20406</v>
      </c>
      <c r="AE98" s="59">
        <f>IF(AD98=0,"",IFERROR(AD98/AD$19,""))</f>
        <v>0.56064999999999998</v>
      </c>
      <c r="AF98" s="60">
        <f>IF(AND($AA98="",AD98=""),"",$AA98-AD98)</f>
        <v>3659.21594</v>
      </c>
      <c r="AG98" s="58">
        <v>8657.61</v>
      </c>
      <c r="AH98" s="59">
        <f>IF(AG98=0,"",IFERROR(AG98/AG$19,""))</f>
        <v>0.54565926713991209</v>
      </c>
      <c r="AI98" s="60">
        <f>IF(AND($AA98="",AG98=""),"",$AA98-AG98)</f>
        <v>4023.8099999999995</v>
      </c>
      <c r="AJ98" s="402">
        <f>IFERROR(AA98/AA$20,0)</f>
        <v>0.31335359525574502</v>
      </c>
      <c r="AK98" s="403">
        <f>IFERROR(AD98/AD$20,0)</f>
        <v>0.22425999999999999</v>
      </c>
      <c r="AL98" s="404">
        <f>IFERROR(AG98/AG$20,0)</f>
        <v>0.2170588677731535</v>
      </c>
      <c r="AM98" s="405" t="str">
        <f>+IFERROR(ROUND(($AB98-AE98)*100,2)&amp;" pts.",0)</f>
        <v>15.15 pts.</v>
      </c>
      <c r="AN98" s="410" t="str">
        <f>+IFERROR(ROUND(($AB98-AH98)*100,2)&amp;" pts.",0)</f>
        <v>16.65 pts.</v>
      </c>
    </row>
    <row r="99" spans="1:40" ht="16" thickTop="1" x14ac:dyDescent="0.2">
      <c r="A99" s="6" t="s">
        <v>45</v>
      </c>
      <c r="B99" s="7"/>
    </row>
    <row r="100" spans="1:40" x14ac:dyDescent="0.2">
      <c r="A100" s="6" t="s">
        <v>46</v>
      </c>
      <c r="B100" s="7"/>
      <c r="N100" s="24" t="str">
        <f>N98&amp;" - Check"</f>
        <v>Department Profit (Loss) - Check</v>
      </c>
      <c r="O100" s="124">
        <f t="shared" ref="O100:AA100" si="54">SUMIF($H$34:$H$74,"400000",O$34:O$74)-SUMIF($H$34:$H$74,"500001",O$34:O$74)-O96</f>
        <v>0</v>
      </c>
      <c r="P100" s="124">
        <f t="shared" si="54"/>
        <v>0</v>
      </c>
      <c r="Q100" s="124">
        <f t="shared" si="54"/>
        <v>0</v>
      </c>
      <c r="R100" s="124">
        <f t="shared" si="54"/>
        <v>0</v>
      </c>
      <c r="S100" s="124">
        <f t="shared" si="54"/>
        <v>0</v>
      </c>
      <c r="T100" s="124">
        <f t="shared" si="54"/>
        <v>0</v>
      </c>
      <c r="U100" s="124">
        <f t="shared" si="54"/>
        <v>0</v>
      </c>
      <c r="V100" s="124">
        <f t="shared" si="54"/>
        <v>0</v>
      </c>
      <c r="W100" s="124">
        <f t="shared" si="54"/>
        <v>0</v>
      </c>
      <c r="X100" s="124">
        <f t="shared" si="54"/>
        <v>0</v>
      </c>
      <c r="Y100" s="124">
        <f t="shared" si="54"/>
        <v>0</v>
      </c>
      <c r="Z100" s="124">
        <f t="shared" si="54"/>
        <v>0</v>
      </c>
      <c r="AA100" s="124">
        <f t="shared" si="54"/>
        <v>0</v>
      </c>
      <c r="AB100" s="15"/>
      <c r="AD100" s="124">
        <f>SUMIF($H$34:$H$74,"400000",AD$34:AD$74)-SUMIF($H$34:$H$74,"500001",AD$34:AD$74)-AD96</f>
        <v>0</v>
      </c>
      <c r="AE100" s="15"/>
      <c r="AF100" s="19"/>
      <c r="AG100" s="124">
        <f>SUMIF($H$34:$H$74,"400000",AG$34:AG$74)-SUMIF($H$34:$H$74,"500001",AG$34:AG$74)-AG96</f>
        <v>0</v>
      </c>
      <c r="AH100" s="15"/>
      <c r="AI100" s="19"/>
    </row>
    <row r="102" spans="1:40" x14ac:dyDescent="0.2">
      <c r="O102" s="147"/>
      <c r="P102" s="147"/>
      <c r="Q102" s="147"/>
      <c r="R102" s="147"/>
      <c r="S102" s="147"/>
      <c r="T102" s="147"/>
      <c r="U102" s="147"/>
      <c r="V102" s="147"/>
      <c r="W102" s="147"/>
      <c r="X102" s="147"/>
      <c r="Y102" s="147"/>
      <c r="Z102" s="147"/>
      <c r="AA102" s="147"/>
      <c r="AD102" s="147"/>
      <c r="AG102" s="147"/>
    </row>
    <row r="104" spans="1:40" x14ac:dyDescent="0.2">
      <c r="O104" s="147"/>
      <c r="P104" s="147"/>
      <c r="Q104" s="147"/>
      <c r="R104" s="147"/>
      <c r="S104" s="147"/>
      <c r="T104" s="147"/>
      <c r="U104" s="147"/>
      <c r="V104" s="147"/>
      <c r="W104" s="147"/>
      <c r="X104" s="147"/>
      <c r="Y104" s="147"/>
      <c r="Z104" s="147"/>
      <c r="AA104" s="147"/>
      <c r="AD104" s="147"/>
      <c r="AG104" s="147"/>
    </row>
    <row r="107" spans="1:40" x14ac:dyDescent="0.2">
      <c r="J107" s="1"/>
    </row>
    <row r="108" spans="1:40" x14ac:dyDescent="0.2">
      <c r="H108" s="11"/>
      <c r="J108" s="1"/>
    </row>
    <row r="109" spans="1:40" x14ac:dyDescent="0.2">
      <c r="H109" s="11"/>
      <c r="J109" s="1"/>
    </row>
    <row r="110" spans="1:40" x14ac:dyDescent="0.2">
      <c r="H110" s="11"/>
      <c r="J110" s="1"/>
    </row>
    <row r="111" spans="1:40" x14ac:dyDescent="0.2">
      <c r="H111" s="11"/>
      <c r="J111" s="1"/>
    </row>
    <row r="112" spans="1:40" x14ac:dyDescent="0.2">
      <c r="H112" s="11"/>
      <c r="J112" s="1"/>
    </row>
    <row r="113" spans="5:10" x14ac:dyDescent="0.2">
      <c r="H113" s="11"/>
      <c r="J113" s="1"/>
    </row>
    <row r="114" spans="5:10" x14ac:dyDescent="0.2">
      <c r="H114" s="11"/>
      <c r="J114" s="1"/>
    </row>
    <row r="115" spans="5:10" x14ac:dyDescent="0.2">
      <c r="H115" s="11"/>
      <c r="J115" s="1"/>
    </row>
    <row r="116" spans="5:10" x14ac:dyDescent="0.2">
      <c r="H116" s="11"/>
      <c r="J116" s="1"/>
    </row>
    <row r="117" spans="5:10" x14ac:dyDescent="0.2">
      <c r="E117" s="72"/>
      <c r="H117" s="11"/>
      <c r="J117" s="1"/>
    </row>
    <row r="118" spans="5:10" x14ac:dyDescent="0.2">
      <c r="H118" s="11"/>
      <c r="J118" s="1"/>
    </row>
    <row r="119" spans="5:10" x14ac:dyDescent="0.2">
      <c r="H119" s="11"/>
      <c r="J119" s="1"/>
    </row>
    <row r="120" spans="5:10" x14ac:dyDescent="0.2">
      <c r="H120" s="11"/>
      <c r="J120" s="1"/>
    </row>
    <row r="121" spans="5:10" x14ac:dyDescent="0.2">
      <c r="E121" s="72"/>
      <c r="H121" s="11"/>
      <c r="J121" s="1"/>
    </row>
    <row r="122" spans="5:10" x14ac:dyDescent="0.2">
      <c r="H122" s="11"/>
      <c r="J122" s="1"/>
    </row>
    <row r="123" spans="5:10" x14ac:dyDescent="0.2">
      <c r="H123" s="11"/>
      <c r="J123" s="1"/>
    </row>
    <row r="124" spans="5:10" x14ac:dyDescent="0.2">
      <c r="H124" s="11"/>
      <c r="J124" s="1"/>
    </row>
    <row r="125" spans="5:10" x14ac:dyDescent="0.2">
      <c r="H125" s="11"/>
      <c r="J125" s="1"/>
    </row>
    <row r="126" spans="5:10" x14ac:dyDescent="0.2">
      <c r="H126" s="11"/>
      <c r="J126" s="1"/>
    </row>
    <row r="127" spans="5:10" x14ac:dyDescent="0.2">
      <c r="H127" s="11"/>
      <c r="J127" s="1"/>
    </row>
    <row r="128" spans="5:10" x14ac:dyDescent="0.2">
      <c r="H128" s="11"/>
      <c r="J128" s="1"/>
    </row>
    <row r="129" spans="8:10" x14ac:dyDescent="0.2">
      <c r="H129" s="11"/>
      <c r="J129" s="1"/>
    </row>
    <row r="130" spans="8:10" x14ac:dyDescent="0.2">
      <c r="H130" s="11"/>
    </row>
    <row r="170" spans="9:34" x14ac:dyDescent="0.2">
      <c r="J170" s="1"/>
      <c r="K170" s="72"/>
      <c r="L170" s="72"/>
      <c r="M170" s="72"/>
      <c r="O170" s="72"/>
      <c r="P170" s="72"/>
      <c r="Q170" s="72"/>
      <c r="R170" s="72"/>
      <c r="S170" s="72"/>
      <c r="T170" s="72"/>
      <c r="U170" s="72"/>
      <c r="V170" s="72"/>
      <c r="W170" s="72"/>
      <c r="X170" s="72"/>
      <c r="Y170" s="72"/>
      <c r="Z170" s="72"/>
      <c r="AA170" s="72"/>
      <c r="AD170" s="72"/>
      <c r="AF170" s="72"/>
      <c r="AH170" s="72"/>
    </row>
    <row r="171" spans="9:34" x14ac:dyDescent="0.2">
      <c r="I171" s="72"/>
    </row>
    <row r="174" spans="9:34" x14ac:dyDescent="0.2">
      <c r="J174" s="1"/>
      <c r="K174" s="72"/>
      <c r="L174" s="72"/>
      <c r="M174" s="72"/>
      <c r="O174" s="72"/>
      <c r="P174" s="72"/>
      <c r="Q174" s="72"/>
      <c r="R174" s="72"/>
      <c r="S174" s="72"/>
      <c r="T174" s="72"/>
      <c r="U174" s="72"/>
      <c r="V174" s="72"/>
      <c r="W174" s="72"/>
      <c r="X174" s="72"/>
      <c r="Y174" s="72"/>
      <c r="Z174" s="72"/>
      <c r="AA174" s="72"/>
      <c r="AD174" s="72"/>
      <c r="AF174" s="72"/>
      <c r="AH174" s="72"/>
    </row>
    <row r="175" spans="9:34" x14ac:dyDescent="0.2">
      <c r="I175" s="72"/>
    </row>
    <row r="190" spans="7:7" x14ac:dyDescent="0.2">
      <c r="G190" s="72"/>
    </row>
    <row r="194" spans="7:7" x14ac:dyDescent="0.2">
      <c r="G194" s="72"/>
    </row>
  </sheetData>
  <mergeCells count="2">
    <mergeCell ref="AD31:AE31"/>
    <mergeCell ref="AG31:AH31"/>
  </mergeCells>
  <dataValidations count="2">
    <dataValidation type="list" allowBlank="1" sqref="B50 B28" xr:uid="{00000000-0002-0000-4900-000000000000}">
      <formula1>"ACCOUNT,BUSINESSUNIT,CATEGORY,DATASRC,DEPARTMENT,INTCO,MEASURES,RPTCURRENCY,TIME"</formula1>
    </dataValidation>
    <dataValidation type="list" allowBlank="1" sqref="B51 B29" xr:uid="{00000000-0002-0000-49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21">
    <pageSetUpPr fitToPage="1"/>
  </sheetPr>
  <dimension ref="A1:AO16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52" sqref="O52"/>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40.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row>
    <row r="2" spans="1:35" hidden="1" outlineLevel="1" x14ac:dyDescent="0.2">
      <c r="A2" s="8" t="s">
        <v>22</v>
      </c>
      <c r="B2" s="12" t="s">
        <v>56</v>
      </c>
      <c r="C2" s="1" t="e">
        <f ca="1">_xll.EVDES(B2,$B$1)</f>
        <v>#NAME?</v>
      </c>
      <c r="I2" s="1"/>
      <c r="J2" s="1"/>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472</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row>
    <row r="12" spans="1:35" hidden="1" outlineLevel="1" x14ac:dyDescent="0.2">
      <c r="A12" s="1" t="s">
        <v>115</v>
      </c>
      <c r="B12" s="46" t="e">
        <f ca="1">_xll.EVPRO($B$1,$B$10,"YEAR")</f>
        <v>#NAME?</v>
      </c>
      <c r="M12" s="11"/>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M13" s="11"/>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M17" s="11"/>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_xll.EVRNG(H34:H50)</f>
        <v>#NAME?</v>
      </c>
      <c r="G19" s="16" t="str">
        <f>$B$6</f>
        <v>D_ROI_CON</v>
      </c>
      <c r="H19" s="16">
        <v>400000</v>
      </c>
      <c r="I19" s="17"/>
      <c r="J19" s="17"/>
      <c r="K19" s="16"/>
      <c r="L19" s="16"/>
      <c r="M19" s="16"/>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
        <v>749</v>
      </c>
      <c r="H20" s="16">
        <v>900200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I21" s="1"/>
      <c r="J21" s="1"/>
    </row>
    <row r="22" spans="1:40" hidden="1" outlineLevel="1" x14ac:dyDescent="0.2">
      <c r="A22" s="6" t="s">
        <v>7</v>
      </c>
      <c r="B22" s="7" t="e">
        <f ca="1">_xll.EVRNG(A36:F41)</f>
        <v>#NAME?</v>
      </c>
      <c r="I22" s="1"/>
      <c r="J22" s="1"/>
    </row>
    <row r="23" spans="1:40" hidden="1" outlineLevel="1" x14ac:dyDescent="0.2">
      <c r="A23" s="6" t="s">
        <v>47</v>
      </c>
      <c r="B23" s="7" t="e">
        <f ca="1">_xll.EVRNG($A$45:$B$66)</f>
        <v>#NAME?</v>
      </c>
      <c r="K23" s="53"/>
      <c r="L23" s="53"/>
      <c r="M23" s="53"/>
      <c r="AD23" s="136"/>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f>
        <v>#NAME?</v>
      </c>
    </row>
    <row r="28" spans="1:40" ht="16" x14ac:dyDescent="0.2">
      <c r="A28" s="6" t="s">
        <v>12</v>
      </c>
      <c r="B28" s="7" t="s">
        <v>22</v>
      </c>
      <c r="N28" s="67" t="e">
        <f ca="1">"For the Period ended"&amp;" "&amp;IF(_xll.EVDES($B$10,$B$1)="#NODATA","",_xll.EVDES($B$10,$B$1))</f>
        <v>#NAME?</v>
      </c>
    </row>
    <row r="29" spans="1:40" ht="15" customHeight="1" x14ac:dyDescent="0.2">
      <c r="A29" s="6" t="s">
        <v>13</v>
      </c>
      <c r="B29" s="7" t="e">
        <f ca="1">"DEP(455000) AND "&amp;$E$6&amp;"=Y,400000"</f>
        <v>#NAME?</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748</v>
      </c>
      <c r="AK30" s="209"/>
      <c r="AL30" s="210"/>
      <c r="AM30" s="209" t="s">
        <v>750</v>
      </c>
      <c r="AN30" s="209"/>
    </row>
    <row r="31" spans="1:40" x14ac:dyDescent="0.2">
      <c r="A31" s="6" t="s">
        <v>15</v>
      </c>
      <c r="B31" s="7"/>
      <c r="G31" s="13"/>
      <c r="K31" s="11"/>
      <c r="L31" s="11"/>
      <c r="M31" s="11"/>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G32" s="317"/>
      <c r="H32" s="233"/>
      <c r="I32" s="234"/>
      <c r="J32" s="234"/>
      <c r="K32" s="235" t="s">
        <v>117</v>
      </c>
      <c r="L32" s="235"/>
      <c r="M32" s="235"/>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69</v>
      </c>
      <c r="I33" s="11" t="e">
        <f ca="1">_xll.EVPRO($B$1,$H33,"STYLE")</f>
        <v>#NAME?</v>
      </c>
      <c r="J33" s="11" t="e">
        <f ca="1">_xll.EVPRO($B$1,$H33,"CALC")</f>
        <v>#NAME?</v>
      </c>
      <c r="N33" s="37" t="e">
        <f ca="1">IF(_xll.EVDES(H33,$B$1)="#NODATA","",_xll.EVDES(H33,$B$1))</f>
        <v>#NAME?</v>
      </c>
      <c r="O33" s="38"/>
      <c r="P33" s="42"/>
      <c r="Q33" s="42"/>
      <c r="R33" s="42"/>
      <c r="S33" s="42"/>
      <c r="T33" s="42"/>
      <c r="U33" s="42"/>
      <c r="V33" s="42"/>
      <c r="W33" s="42"/>
      <c r="X33" s="42"/>
      <c r="Y33" s="42"/>
      <c r="Z33" s="42"/>
      <c r="AA33" s="42"/>
      <c r="AB33" s="39"/>
      <c r="AD33" s="38"/>
      <c r="AE33" s="42"/>
      <c r="AF33" s="39"/>
      <c r="AG33" s="38"/>
      <c r="AH33" s="42"/>
      <c r="AI33" s="39"/>
    </row>
    <row r="34" spans="1:40" x14ac:dyDescent="0.2">
      <c r="H34" s="10" t="s">
        <v>640</v>
      </c>
      <c r="I34" s="25" t="e">
        <f ca="1">_xll.EVPRO($B$1,$H34,"STYLE")</f>
        <v>#NAME?</v>
      </c>
      <c r="J34" s="25" t="e">
        <f ca="1">_xll.EVPRO($B$1,$H34,"CALC")</f>
        <v>#NAME?</v>
      </c>
      <c r="K34" s="64" t="e">
        <f ca="1">IF(AND(I34&gt;="T5"),"&gt;","")</f>
        <v>#NAME?</v>
      </c>
      <c r="L34" s="24" t="e">
        <f ca="1">_xll.EVPRO($B$1,H34,"JDEID")</f>
        <v>#NAME?</v>
      </c>
      <c r="M34" s="24" t="e">
        <f ca="1">IF(AND(I34="N",J34="N"),_xll.EVPRO($B$1,H34,"PSFTID"),"")</f>
        <v>#NAME?</v>
      </c>
      <c r="N34" s="24" t="e">
        <f ca="1">IF(_xll.EVDES(H34,$B$1)="#NODATA","",_xll.EVDES(H34,$B$1))</f>
        <v>#NAME?</v>
      </c>
      <c r="O34" s="295"/>
      <c r="P34" s="296"/>
      <c r="Q34" s="296"/>
      <c r="R34" s="296"/>
      <c r="S34" s="296"/>
      <c r="T34" s="296"/>
      <c r="U34" s="296"/>
      <c r="V34" s="296"/>
      <c r="W34" s="296"/>
      <c r="X34" s="296"/>
      <c r="Y34" s="296"/>
      <c r="Z34" s="296"/>
      <c r="AA34" s="296" t="e">
        <f t="shared" ref="AA34:AA50" ca="1" si="0">IF($I34="B1","",SUM(O34:Z34))</f>
        <v>#NAME?</v>
      </c>
      <c r="AB34" s="297" t="e">
        <f t="shared" ref="AB34:AB50" ca="1" si="1">IF(AA34=0,"",IFERROR(AA34/AA$19,""))</f>
        <v>#NAME?</v>
      </c>
      <c r="AC34" s="263"/>
      <c r="AD34" s="296"/>
      <c r="AE34" s="297" t="str">
        <f t="shared" ref="AE34:AE50" si="2">IF(AD34=0,"",IFERROR(AD34/AD$19,""))</f>
        <v/>
      </c>
      <c r="AF34" s="298" t="e">
        <f t="shared" ref="AF34:AF50" ca="1" si="3">IF(AND($AA34="",AD34=""),"",$AA34-AD34)</f>
        <v>#NAME?</v>
      </c>
      <c r="AG34" s="296"/>
      <c r="AH34" s="297" t="str">
        <f>IF(AG34=0,"",IFERROR(AG34/AG$19,""))</f>
        <v/>
      </c>
      <c r="AI34" s="299" t="e">
        <f ca="1">IF(AND($AA34="",AG34=""),"",$AA34-AG34)</f>
        <v>#NAME?</v>
      </c>
      <c r="AJ34" s="371">
        <f ca="1">IFERROR(AA34/AA$20,0)</f>
        <v>0</v>
      </c>
      <c r="AK34" s="372">
        <f ca="1">IFERROR(AD34/AD$20,0)</f>
        <v>0</v>
      </c>
      <c r="AL34" s="373">
        <f ca="1">IFERROR(AG34/AG$20,0)</f>
        <v>0</v>
      </c>
      <c r="AM34" s="374">
        <f ca="1">+IFERROR(ROUND(($AB34-AE34)*100,2)&amp;" pts.",0)</f>
        <v>0</v>
      </c>
      <c r="AN34" s="375">
        <f ca="1">+IFERROR(ROUND(($AB34-AH34)*100,2)&amp;" pts.",0)</f>
        <v>0</v>
      </c>
    </row>
    <row r="35" spans="1:40" x14ac:dyDescent="0.2">
      <c r="A35" s="20" t="s">
        <v>92</v>
      </c>
      <c r="B35" s="21" t="s">
        <v>93</v>
      </c>
      <c r="C35" s="21" t="s">
        <v>94</v>
      </c>
      <c r="D35" s="21" t="s">
        <v>95</v>
      </c>
      <c r="E35" s="21" t="s">
        <v>96</v>
      </c>
      <c r="F35" s="22" t="s">
        <v>97</v>
      </c>
      <c r="H35" s="10" t="s">
        <v>641</v>
      </c>
      <c r="I35" s="25" t="e">
        <f ca="1">_xll.EVPRO($B$1,$H35,"STYLE")</f>
        <v>#NAME?</v>
      </c>
      <c r="J35" s="25" t="e">
        <f ca="1">_xll.EVPRO($B$1,$H35,"CALC")</f>
        <v>#NAME?</v>
      </c>
      <c r="K35" s="64" t="e">
        <f t="shared" ref="K35:K50" ca="1" si="4">IF(AND(I35&gt;="T5"),"&gt;","")</f>
        <v>#NAME?</v>
      </c>
      <c r="L35" s="24" t="e">
        <f ca="1">_xll.EVPRO($B$1,H35,"JDEID")</f>
        <v>#NAME?</v>
      </c>
      <c r="M35" s="24" t="e">
        <f ca="1">IF(AND(I35="N",J35="N"),_xll.EVPRO($B$1,H35,"PSFTID"),"")</f>
        <v>#NAME?</v>
      </c>
      <c r="N35" s="24" t="e">
        <f ca="1">IF(_xll.EVDES(H35,$B$1)="#NODATA","",_xll.EVDES(H35,$B$1))</f>
        <v>#NAME?</v>
      </c>
      <c r="O35" s="295">
        <v>2048.79</v>
      </c>
      <c r="P35" s="296">
        <v>-5833</v>
      </c>
      <c r="Q35" s="296">
        <v>1709.11</v>
      </c>
      <c r="R35" s="296">
        <v>930.4</v>
      </c>
      <c r="S35" s="296">
        <v>3152.49</v>
      </c>
      <c r="T35" s="296">
        <v>3316.38</v>
      </c>
      <c r="U35" s="296">
        <v>6444.29</v>
      </c>
      <c r="V35" s="296">
        <v>4790.87</v>
      </c>
      <c r="W35" s="296">
        <v>6700</v>
      </c>
      <c r="X35" s="296">
        <v>6700</v>
      </c>
      <c r="Y35" s="296">
        <v>6700</v>
      </c>
      <c r="Z35" s="296">
        <v>12575.12</v>
      </c>
      <c r="AA35" s="296" t="e">
        <f t="shared" ca="1" si="0"/>
        <v>#NAME?</v>
      </c>
      <c r="AB35" s="297" t="e">
        <f t="shared" ca="1" si="1"/>
        <v>#NAME?</v>
      </c>
      <c r="AC35" s="263"/>
      <c r="AD35" s="296">
        <v>64055</v>
      </c>
      <c r="AE35" s="297" t="str">
        <f t="shared" ca="1" si="2"/>
        <v/>
      </c>
      <c r="AF35" s="298" t="e">
        <f t="shared" ca="1" si="3"/>
        <v>#NAME?</v>
      </c>
      <c r="AG35" s="296">
        <v>9788.7099999999991</v>
      </c>
      <c r="AH35" s="297" t="str">
        <f t="shared" ref="AH35:AH50" ca="1" si="5">IF(AG35=0,"",IFERROR(AG35/AG$19,""))</f>
        <v/>
      </c>
      <c r="AI35" s="299" t="e">
        <f t="shared" ref="AI35:AI50" ca="1" si="6">IF(AND($AA35="",AG35=""),"",$AA35-AG35)</f>
        <v>#NAME?</v>
      </c>
      <c r="AJ35" s="371">
        <f t="shared" ref="AJ35:AJ50" ca="1" si="7">IFERROR(AA35/AA$20,0)</f>
        <v>0</v>
      </c>
      <c r="AK35" s="372">
        <f t="shared" ref="AK35:AK50" ca="1" si="8">IFERROR(AD35/AD$20,0)</f>
        <v>0</v>
      </c>
      <c r="AL35" s="373">
        <f t="shared" ref="AL35:AL50" ca="1" si="9">IFERROR(AG35/AG$20,0)</f>
        <v>0</v>
      </c>
      <c r="AM35" s="374">
        <f t="shared" ref="AM35:AM50" ca="1" si="10">+IFERROR(ROUND(($AB35-AE35)*100,2)&amp;" pts.",0)</f>
        <v>0</v>
      </c>
      <c r="AN35" s="375">
        <f t="shared" ref="AN35:AN50" ca="1" si="11">+IFERROR(ROUND(($AB35-AH35)*100,2)&amp;" pts.",0)</f>
        <v>0</v>
      </c>
    </row>
    <row r="36" spans="1:40" x14ac:dyDescent="0.2">
      <c r="H36" s="10" t="s">
        <v>642</v>
      </c>
      <c r="I36" s="25" t="e">
        <f ca="1">_xll.EVPRO($B$1,$H36,"STYLE")</f>
        <v>#NAME?</v>
      </c>
      <c r="J36" s="25" t="e">
        <f ca="1">_xll.EVPRO($B$1,$H36,"CALC")</f>
        <v>#NAME?</v>
      </c>
      <c r="K36" s="64" t="e">
        <f t="shared" ca="1" si="4"/>
        <v>#NAME?</v>
      </c>
      <c r="L36" s="24" t="e">
        <f ca="1">_xll.EVPRO($B$1,H36,"JDEID")</f>
        <v>#NAME?</v>
      </c>
      <c r="M36" s="24" t="e">
        <f ca="1">IF(AND(I36="N",J36="N"),_xll.EVPRO($B$1,H36,"PSFTID"),"")</f>
        <v>#NAME?</v>
      </c>
      <c r="N36" s="24" t="e">
        <f ca="1">IF(_xll.EVDES(H36,$B$1)="#NODATA","",_xll.EVDES(H36,$B$1))</f>
        <v>#NAME?</v>
      </c>
      <c r="O36" s="295"/>
      <c r="P36" s="296"/>
      <c r="Q36" s="296"/>
      <c r="R36" s="296"/>
      <c r="S36" s="296"/>
      <c r="T36" s="296">
        <v>2656.64</v>
      </c>
      <c r="U36" s="296"/>
      <c r="V36" s="296"/>
      <c r="W36" s="296"/>
      <c r="X36" s="296"/>
      <c r="Y36" s="296"/>
      <c r="Z36" s="296"/>
      <c r="AA36" s="296" t="e">
        <f t="shared" ca="1" si="0"/>
        <v>#NAME?</v>
      </c>
      <c r="AB36" s="297" t="e">
        <f t="shared" ca="1" si="1"/>
        <v>#NAME?</v>
      </c>
      <c r="AC36" s="263"/>
      <c r="AD36" s="296">
        <v>3706</v>
      </c>
      <c r="AE36" s="297" t="str">
        <f t="shared" ca="1" si="2"/>
        <v/>
      </c>
      <c r="AF36" s="298" t="e">
        <f t="shared" ca="1" si="3"/>
        <v>#NAME?</v>
      </c>
      <c r="AG36" s="296">
        <v>3705.66</v>
      </c>
      <c r="AH36" s="297" t="str">
        <f t="shared" ca="1" si="5"/>
        <v/>
      </c>
      <c r="AI36" s="299" t="e">
        <f t="shared" ca="1" si="6"/>
        <v>#NAME?</v>
      </c>
      <c r="AJ36" s="371">
        <f t="shared" ca="1" si="7"/>
        <v>0</v>
      </c>
      <c r="AK36" s="372">
        <f t="shared" ca="1" si="8"/>
        <v>0</v>
      </c>
      <c r="AL36" s="373">
        <f t="shared" ca="1" si="9"/>
        <v>0</v>
      </c>
      <c r="AM36" s="374">
        <f t="shared" ca="1" si="10"/>
        <v>0</v>
      </c>
      <c r="AN36" s="375">
        <f t="shared" ca="1" si="11"/>
        <v>0</v>
      </c>
    </row>
    <row r="37" spans="1:40" x14ac:dyDescent="0.2">
      <c r="A37" s="1" t="s">
        <v>209</v>
      </c>
      <c r="B37" s="1" t="s">
        <v>21</v>
      </c>
      <c r="C37" s="70"/>
      <c r="D37" s="1" t="s">
        <v>590</v>
      </c>
      <c r="F37" s="1" t="s">
        <v>99</v>
      </c>
      <c r="H37" s="10" t="s">
        <v>643</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295"/>
      <c r="P37" s="296"/>
      <c r="Q37" s="296">
        <v>1946.8</v>
      </c>
      <c r="R37" s="296"/>
      <c r="S37" s="296">
        <v>590.79999999999995</v>
      </c>
      <c r="T37" s="296">
        <v>229</v>
      </c>
      <c r="U37" s="296"/>
      <c r="V37" s="296"/>
      <c r="W37" s="296"/>
      <c r="X37" s="296"/>
      <c r="Y37" s="296">
        <v>2427.8000000000002</v>
      </c>
      <c r="Z37" s="296">
        <v>1271.5999999999999</v>
      </c>
      <c r="AA37" s="296" t="e">
        <f t="shared" ca="1" si="0"/>
        <v>#NAME?</v>
      </c>
      <c r="AB37" s="297" t="e">
        <f t="shared" ca="1" si="1"/>
        <v>#NAME?</v>
      </c>
      <c r="AC37" s="263"/>
      <c r="AD37" s="296">
        <v>6118</v>
      </c>
      <c r="AE37" s="297" t="str">
        <f t="shared" ca="1" si="2"/>
        <v/>
      </c>
      <c r="AF37" s="298" t="e">
        <f t="shared" ca="1" si="3"/>
        <v>#NAME?</v>
      </c>
      <c r="AG37" s="296">
        <v>6117.54</v>
      </c>
      <c r="AH37" s="297" t="str">
        <f t="shared" ca="1" si="5"/>
        <v/>
      </c>
      <c r="AI37" s="299" t="e">
        <f t="shared" ca="1" si="6"/>
        <v>#NAME?</v>
      </c>
      <c r="AJ37" s="371">
        <f t="shared" ca="1" si="7"/>
        <v>0</v>
      </c>
      <c r="AK37" s="372">
        <f t="shared" ca="1" si="8"/>
        <v>0</v>
      </c>
      <c r="AL37" s="373">
        <f t="shared" ca="1" si="9"/>
        <v>0</v>
      </c>
      <c r="AM37" s="374">
        <f t="shared" ca="1" si="10"/>
        <v>0</v>
      </c>
      <c r="AN37" s="375">
        <f t="shared" ca="1" si="11"/>
        <v>0</v>
      </c>
    </row>
    <row r="38" spans="1:40" x14ac:dyDescent="0.2">
      <c r="A38" s="1" t="s">
        <v>105</v>
      </c>
      <c r="C38" s="24" t="s">
        <v>101</v>
      </c>
      <c r="D38" s="1" t="s">
        <v>106</v>
      </c>
      <c r="F38" s="1" t="s">
        <v>98</v>
      </c>
      <c r="H38" s="10" t="s">
        <v>644</v>
      </c>
      <c r="I38" s="25" t="e">
        <f ca="1">_xll.EVPRO($B$1,$H38,"STYLE")</f>
        <v>#NAME?</v>
      </c>
      <c r="J38" s="25" t="e">
        <f ca="1">_xll.EVPRO($B$1,$H38,"CALC")</f>
        <v>#NAME?</v>
      </c>
      <c r="K38" s="64" t="e">
        <f t="shared" ca="1" si="4"/>
        <v>#NAME?</v>
      </c>
      <c r="L38" s="24" t="e">
        <f ca="1">_xll.EVPRO($B$1,H38,"JDEID")</f>
        <v>#NAME?</v>
      </c>
      <c r="M38" s="24" t="e">
        <f ca="1">IF(AND(I38="N",J38="N"),_xll.EVPRO($B$1,H38,"PSFTID"),"")</f>
        <v>#NAME?</v>
      </c>
      <c r="N38" s="24" t="e">
        <f ca="1">IF(_xll.EVDES(H38,$B$1)="#NODATA","",_xll.EVDES(H38,$B$1))</f>
        <v>#NAME?</v>
      </c>
      <c r="O38" s="295">
        <v>1484.62</v>
      </c>
      <c r="P38" s="296">
        <v>28655.43</v>
      </c>
      <c r="Q38" s="296">
        <v>1360.54</v>
      </c>
      <c r="R38" s="296">
        <v>6592.02</v>
      </c>
      <c r="S38" s="296">
        <v>6284.18</v>
      </c>
      <c r="T38" s="296">
        <v>953.31</v>
      </c>
      <c r="U38" s="296">
        <v>2138.63</v>
      </c>
      <c r="V38" s="296">
        <v>1149.57</v>
      </c>
      <c r="W38" s="296">
        <v>646.73</v>
      </c>
      <c r="X38" s="296">
        <v>2665.42</v>
      </c>
      <c r="Y38" s="296">
        <v>1642.93</v>
      </c>
      <c r="Z38" s="296">
        <v>1311.25</v>
      </c>
      <c r="AA38" s="296" t="e">
        <f t="shared" ca="1" si="0"/>
        <v>#NAME?</v>
      </c>
      <c r="AB38" s="297" t="e">
        <f t="shared" ca="1" si="1"/>
        <v>#NAME?</v>
      </c>
      <c r="AC38" s="263"/>
      <c r="AD38" s="296">
        <v>23137</v>
      </c>
      <c r="AE38" s="297" t="str">
        <f t="shared" ca="1" si="2"/>
        <v/>
      </c>
      <c r="AF38" s="298" t="e">
        <f t="shared" ca="1" si="3"/>
        <v>#NAME?</v>
      </c>
      <c r="AG38" s="296">
        <v>24859.83</v>
      </c>
      <c r="AH38" s="297" t="str">
        <f t="shared" ca="1" si="5"/>
        <v/>
      </c>
      <c r="AI38" s="299" t="e">
        <f t="shared" ca="1" si="6"/>
        <v>#NAME?</v>
      </c>
      <c r="AJ38" s="371">
        <f t="shared" ca="1" si="7"/>
        <v>0</v>
      </c>
      <c r="AK38" s="372">
        <f t="shared" ca="1" si="8"/>
        <v>0</v>
      </c>
      <c r="AL38" s="373">
        <f t="shared" ca="1" si="9"/>
        <v>0</v>
      </c>
      <c r="AM38" s="374">
        <f t="shared" ca="1" si="10"/>
        <v>0</v>
      </c>
      <c r="AN38" s="375">
        <f t="shared" ca="1" si="11"/>
        <v>0</v>
      </c>
    </row>
    <row r="39" spans="1:40" x14ac:dyDescent="0.2">
      <c r="A39" s="1" t="s">
        <v>104</v>
      </c>
      <c r="C39" s="24" t="s">
        <v>101</v>
      </c>
      <c r="D39" s="1" t="s">
        <v>106</v>
      </c>
      <c r="F39" s="1" t="s">
        <v>98</v>
      </c>
      <c r="H39" s="10" t="s">
        <v>645</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295"/>
      <c r="P39" s="296"/>
      <c r="Q39" s="296"/>
      <c r="R39" s="296"/>
      <c r="S39" s="296"/>
      <c r="T39" s="296"/>
      <c r="U39" s="296"/>
      <c r="V39" s="296"/>
      <c r="W39" s="296"/>
      <c r="X39" s="296"/>
      <c r="Y39" s="296"/>
      <c r="Z39" s="296"/>
      <c r="AA39" s="296" t="e">
        <f t="shared" ca="1" si="0"/>
        <v>#NAME?</v>
      </c>
      <c r="AB39" s="297" t="e">
        <f t="shared" ca="1" si="1"/>
        <v>#NAME?</v>
      </c>
      <c r="AC39" s="263"/>
      <c r="AD39" s="296"/>
      <c r="AE39" s="297" t="str">
        <f t="shared" si="2"/>
        <v/>
      </c>
      <c r="AF39" s="298" t="e">
        <f t="shared" ca="1" si="3"/>
        <v>#NAME?</v>
      </c>
      <c r="AG39" s="296"/>
      <c r="AH39" s="297" t="str">
        <f t="shared" si="5"/>
        <v/>
      </c>
      <c r="AI39" s="299" t="e">
        <f t="shared" ca="1" si="6"/>
        <v>#NAME?</v>
      </c>
      <c r="AJ39" s="371">
        <f t="shared" ca="1" si="7"/>
        <v>0</v>
      </c>
      <c r="AK39" s="372">
        <f t="shared" ca="1" si="8"/>
        <v>0</v>
      </c>
      <c r="AL39" s="373">
        <f t="shared" ca="1" si="9"/>
        <v>0</v>
      </c>
      <c r="AM39" s="374">
        <f t="shared" ca="1" si="10"/>
        <v>0</v>
      </c>
      <c r="AN39" s="375">
        <f t="shared" ca="1" si="11"/>
        <v>0</v>
      </c>
    </row>
    <row r="40" spans="1:40" x14ac:dyDescent="0.2">
      <c r="A40" s="1" t="s">
        <v>108</v>
      </c>
      <c r="C40" s="23" t="s">
        <v>101</v>
      </c>
      <c r="D40" s="1" t="s">
        <v>106</v>
      </c>
      <c r="F40" s="1" t="s">
        <v>98</v>
      </c>
      <c r="H40" s="10" t="s">
        <v>646</v>
      </c>
      <c r="I40" s="25" t="e">
        <f ca="1">_xll.EVPRO($B$1,$H40,"STYLE")</f>
        <v>#NAME?</v>
      </c>
      <c r="J40" s="25" t="e">
        <f ca="1">_xll.EVPRO($B$1,$H40,"CALC")</f>
        <v>#NAME?</v>
      </c>
      <c r="K40" s="64" t="e">
        <f t="shared" ca="1" si="4"/>
        <v>#NAME?</v>
      </c>
      <c r="L40" s="24" t="e">
        <f ca="1">_xll.EVPRO($B$1,H40,"JDEID")</f>
        <v>#NAME?</v>
      </c>
      <c r="M40" s="24" t="e">
        <f ca="1">IF(AND(I40="N",J40="N"),_xll.EVPRO($B$1,H40,"PSFTID"),"")</f>
        <v>#NAME?</v>
      </c>
      <c r="N40" s="24" t="e">
        <f ca="1">IF(_xll.EVDES(H40,$B$1)="#NODATA","",_xll.EVDES(H40,$B$1))</f>
        <v>#NAME?</v>
      </c>
      <c r="O40" s="295"/>
      <c r="P40" s="296"/>
      <c r="Q40" s="296"/>
      <c r="R40" s="296"/>
      <c r="S40" s="296"/>
      <c r="T40" s="296"/>
      <c r="U40" s="296"/>
      <c r="V40" s="296"/>
      <c r="W40" s="296"/>
      <c r="X40" s="296"/>
      <c r="Y40" s="296"/>
      <c r="Z40" s="296"/>
      <c r="AA40" s="296" t="e">
        <f t="shared" ca="1" si="0"/>
        <v>#NAME?</v>
      </c>
      <c r="AB40" s="297" t="e">
        <f t="shared" ca="1" si="1"/>
        <v>#NAME?</v>
      </c>
      <c r="AC40" s="263"/>
      <c r="AD40" s="296"/>
      <c r="AE40" s="297" t="str">
        <f t="shared" si="2"/>
        <v/>
      </c>
      <c r="AF40" s="298" t="e">
        <f t="shared" ca="1" si="3"/>
        <v>#NAME?</v>
      </c>
      <c r="AG40" s="296"/>
      <c r="AH40" s="297" t="str">
        <f t="shared" si="5"/>
        <v/>
      </c>
      <c r="AI40" s="299" t="e">
        <f t="shared" ca="1" si="6"/>
        <v>#NAME?</v>
      </c>
      <c r="AJ40" s="371">
        <f t="shared" ca="1" si="7"/>
        <v>0</v>
      </c>
      <c r="AK40" s="372">
        <f t="shared" ca="1" si="8"/>
        <v>0</v>
      </c>
      <c r="AL40" s="373">
        <f t="shared" ca="1" si="9"/>
        <v>0</v>
      </c>
      <c r="AM40" s="374">
        <f t="shared" ca="1" si="10"/>
        <v>0</v>
      </c>
      <c r="AN40" s="375">
        <f t="shared" ca="1" si="11"/>
        <v>0</v>
      </c>
    </row>
    <row r="41" spans="1:40" x14ac:dyDescent="0.2">
      <c r="A41" s="1" t="s">
        <v>108</v>
      </c>
      <c r="C41" s="135" t="s">
        <v>101</v>
      </c>
      <c r="D41" s="1" t="s">
        <v>107</v>
      </c>
      <c r="F41" s="1" t="s">
        <v>99</v>
      </c>
      <c r="H41" s="10" t="s">
        <v>647</v>
      </c>
      <c r="I41" s="25" t="e">
        <f ca="1">_xll.EVPRO($B$1,$H41,"STYLE")</f>
        <v>#NAME?</v>
      </c>
      <c r="J41" s="25" t="e">
        <f ca="1">_xll.EVPRO($B$1,$H41,"CALC")</f>
        <v>#NAME?</v>
      </c>
      <c r="K41" s="64" t="e">
        <f t="shared" ca="1" si="4"/>
        <v>#NAME?</v>
      </c>
      <c r="L41" s="24" t="e">
        <f ca="1">_xll.EVPRO($B$1,H41,"JDEID")</f>
        <v>#NAME?</v>
      </c>
      <c r="M41" s="24" t="e">
        <f ca="1">IF(AND(I41="N",J41="N"),_xll.EVPRO($B$1,H41,"PSFTID"),"")</f>
        <v>#NAME?</v>
      </c>
      <c r="N41" s="24" t="e">
        <f ca="1">IF(_xll.EVDES(H41,$B$1)="#NODATA","",_xll.EVDES(H41,$B$1))</f>
        <v>#NAME?</v>
      </c>
      <c r="O41" s="295"/>
      <c r="P41" s="296"/>
      <c r="Q41" s="296"/>
      <c r="R41" s="296"/>
      <c r="S41" s="296"/>
      <c r="T41" s="296"/>
      <c r="U41" s="296"/>
      <c r="V41" s="296"/>
      <c r="W41" s="296"/>
      <c r="X41" s="296"/>
      <c r="Y41" s="296"/>
      <c r="Z41" s="296"/>
      <c r="AA41" s="296" t="e">
        <f t="shared" ca="1" si="0"/>
        <v>#NAME?</v>
      </c>
      <c r="AB41" s="297" t="e">
        <f t="shared" ca="1" si="1"/>
        <v>#NAME?</v>
      </c>
      <c r="AC41" s="263"/>
      <c r="AD41" s="296"/>
      <c r="AE41" s="297" t="str">
        <f t="shared" si="2"/>
        <v/>
      </c>
      <c r="AF41" s="298" t="e">
        <f t="shared" ca="1" si="3"/>
        <v>#NAME?</v>
      </c>
      <c r="AG41" s="296"/>
      <c r="AH41" s="297" t="str">
        <f t="shared" si="5"/>
        <v/>
      </c>
      <c r="AI41" s="299" t="e">
        <f t="shared" ca="1" si="6"/>
        <v>#NAME?</v>
      </c>
      <c r="AJ41" s="371">
        <f t="shared" ca="1" si="7"/>
        <v>0</v>
      </c>
      <c r="AK41" s="372">
        <f t="shared" ca="1" si="8"/>
        <v>0</v>
      </c>
      <c r="AL41" s="373">
        <f t="shared" ca="1" si="9"/>
        <v>0</v>
      </c>
      <c r="AM41" s="374">
        <f t="shared" ca="1" si="10"/>
        <v>0</v>
      </c>
      <c r="AN41" s="375">
        <f t="shared" ca="1" si="11"/>
        <v>0</v>
      </c>
    </row>
    <row r="42" spans="1:40" x14ac:dyDescent="0.2">
      <c r="H42" s="10" t="s">
        <v>648</v>
      </c>
      <c r="I42" s="25" t="e">
        <f ca="1">_xll.EVPRO($B$1,$H42,"STYLE")</f>
        <v>#NAME?</v>
      </c>
      <c r="J42" s="25" t="e">
        <f ca="1">_xll.EVPRO($B$1,$H42,"CALC")</f>
        <v>#NAME?</v>
      </c>
      <c r="K42" s="64" t="e">
        <f t="shared" ca="1" si="4"/>
        <v>#NAME?</v>
      </c>
      <c r="L42" s="24" t="e">
        <f ca="1">_xll.EVPRO($B$1,H42,"JDEID")</f>
        <v>#NAME?</v>
      </c>
      <c r="M42" s="24" t="e">
        <f ca="1">IF(AND(I42="N",J42="N"),_xll.EVPRO($B$1,H42,"PSFTID"),"")</f>
        <v>#NAME?</v>
      </c>
      <c r="N42" s="24" t="e">
        <f ca="1">IF(_xll.EVDES(H42,$B$1)="#NODATA","",_xll.EVDES(H42,$B$1))</f>
        <v>#NAME?</v>
      </c>
      <c r="O42" s="295"/>
      <c r="P42" s="296"/>
      <c r="Q42" s="296"/>
      <c r="R42" s="296"/>
      <c r="S42" s="296"/>
      <c r="T42" s="296"/>
      <c r="U42" s="296"/>
      <c r="V42" s="296"/>
      <c r="W42" s="296"/>
      <c r="X42" s="296"/>
      <c r="Y42" s="296"/>
      <c r="Z42" s="296"/>
      <c r="AA42" s="296" t="e">
        <f t="shared" ca="1" si="0"/>
        <v>#NAME?</v>
      </c>
      <c r="AB42" s="297" t="e">
        <f t="shared" ca="1" si="1"/>
        <v>#NAME?</v>
      </c>
      <c r="AC42" s="263"/>
      <c r="AD42" s="296"/>
      <c r="AE42" s="297" t="str">
        <f t="shared" si="2"/>
        <v/>
      </c>
      <c r="AF42" s="298" t="e">
        <f t="shared" ca="1" si="3"/>
        <v>#NAME?</v>
      </c>
      <c r="AG42" s="296"/>
      <c r="AH42" s="297" t="str">
        <f t="shared" si="5"/>
        <v/>
      </c>
      <c r="AI42" s="299" t="e">
        <f t="shared" ca="1" si="6"/>
        <v>#NAME?</v>
      </c>
      <c r="AJ42" s="371">
        <f t="shared" ca="1" si="7"/>
        <v>0</v>
      </c>
      <c r="AK42" s="372">
        <f t="shared" ca="1" si="8"/>
        <v>0</v>
      </c>
      <c r="AL42" s="373">
        <f t="shared" ca="1" si="9"/>
        <v>0</v>
      </c>
      <c r="AM42" s="374">
        <f t="shared" ca="1" si="10"/>
        <v>0</v>
      </c>
      <c r="AN42" s="375">
        <f t="shared" ca="1" si="11"/>
        <v>0</v>
      </c>
    </row>
    <row r="43" spans="1:40" x14ac:dyDescent="0.2">
      <c r="H43" s="10" t="s">
        <v>649</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295"/>
      <c r="P43" s="296"/>
      <c r="Q43" s="296"/>
      <c r="R43" s="296"/>
      <c r="S43" s="296"/>
      <c r="T43" s="296"/>
      <c r="U43" s="296"/>
      <c r="V43" s="296"/>
      <c r="W43" s="296"/>
      <c r="X43" s="296"/>
      <c r="Y43" s="296"/>
      <c r="Z43" s="296"/>
      <c r="AA43" s="296" t="e">
        <f t="shared" ca="1" si="0"/>
        <v>#NAME?</v>
      </c>
      <c r="AB43" s="297" t="e">
        <f t="shared" ca="1" si="1"/>
        <v>#NAME?</v>
      </c>
      <c r="AC43" s="263"/>
      <c r="AD43" s="296"/>
      <c r="AE43" s="297" t="str">
        <f t="shared" si="2"/>
        <v/>
      </c>
      <c r="AF43" s="298" t="e">
        <f t="shared" ca="1" si="3"/>
        <v>#NAME?</v>
      </c>
      <c r="AG43" s="296"/>
      <c r="AH43" s="297" t="str">
        <f t="shared" si="5"/>
        <v/>
      </c>
      <c r="AI43" s="299" t="e">
        <f t="shared" ca="1" si="6"/>
        <v>#NAME?</v>
      </c>
      <c r="AJ43" s="371">
        <f t="shared" ca="1" si="7"/>
        <v>0</v>
      </c>
      <c r="AK43" s="372">
        <f t="shared" ca="1" si="8"/>
        <v>0</v>
      </c>
      <c r="AL43" s="373">
        <f t="shared" ca="1" si="9"/>
        <v>0</v>
      </c>
      <c r="AM43" s="374">
        <f t="shared" ca="1" si="10"/>
        <v>0</v>
      </c>
      <c r="AN43" s="375">
        <f t="shared" ca="1" si="11"/>
        <v>0</v>
      </c>
    </row>
    <row r="44" spans="1:40" x14ac:dyDescent="0.2">
      <c r="A44" s="3" t="s">
        <v>23</v>
      </c>
      <c r="B44" s="5" t="s">
        <v>24</v>
      </c>
      <c r="H44" s="10" t="s">
        <v>650</v>
      </c>
      <c r="I44" s="25" t="e">
        <f ca="1">_xll.EVPRO($B$1,$H44,"STYLE")</f>
        <v>#NAME?</v>
      </c>
      <c r="J44" s="25" t="e">
        <f ca="1">_xll.EVPRO($B$1,$H44,"CALC")</f>
        <v>#NAME?</v>
      </c>
      <c r="K44" s="64" t="e">
        <f t="shared" ca="1" si="4"/>
        <v>#NAME?</v>
      </c>
      <c r="L44" s="24" t="e">
        <f ca="1">_xll.EVPRO($B$1,H44,"JDEID")</f>
        <v>#NAME?</v>
      </c>
      <c r="M44" s="24" t="e">
        <f ca="1">IF(AND(I44="N",J44="N"),_xll.EVPRO($B$1,H44,"PSFTID"),"")</f>
        <v>#NAME?</v>
      </c>
      <c r="N44" s="24" t="e">
        <f ca="1">IF(_xll.EVDES(H44,$B$1)="#NODATA","",_xll.EVDES(H44,$B$1))</f>
        <v>#NAME?</v>
      </c>
      <c r="O44" s="295"/>
      <c r="P44" s="296"/>
      <c r="Q44" s="296"/>
      <c r="R44" s="296"/>
      <c r="S44" s="296"/>
      <c r="T44" s="296"/>
      <c r="U44" s="296"/>
      <c r="V44" s="296"/>
      <c r="W44" s="296"/>
      <c r="X44" s="296"/>
      <c r="Y44" s="296"/>
      <c r="Z44" s="296"/>
      <c r="AA44" s="296" t="e">
        <f t="shared" ca="1" si="0"/>
        <v>#NAME?</v>
      </c>
      <c r="AB44" s="297" t="e">
        <f t="shared" ca="1" si="1"/>
        <v>#NAME?</v>
      </c>
      <c r="AC44" s="263"/>
      <c r="AD44" s="296"/>
      <c r="AE44" s="297" t="str">
        <f t="shared" si="2"/>
        <v/>
      </c>
      <c r="AF44" s="298" t="e">
        <f t="shared" ca="1" si="3"/>
        <v>#NAME?</v>
      </c>
      <c r="AG44" s="296"/>
      <c r="AH44" s="297" t="str">
        <f t="shared" si="5"/>
        <v/>
      </c>
      <c r="AI44" s="299" t="e">
        <f t="shared" ca="1" si="6"/>
        <v>#NAME?</v>
      </c>
      <c r="AJ44" s="371">
        <f t="shared" ca="1" si="7"/>
        <v>0</v>
      </c>
      <c r="AK44" s="372">
        <f t="shared" ca="1" si="8"/>
        <v>0</v>
      </c>
      <c r="AL44" s="373">
        <f t="shared" ca="1" si="9"/>
        <v>0</v>
      </c>
      <c r="AM44" s="374">
        <f t="shared" ca="1" si="10"/>
        <v>0</v>
      </c>
      <c r="AN44" s="375">
        <f t="shared" ca="1" si="11"/>
        <v>0</v>
      </c>
    </row>
    <row r="45" spans="1:40" ht="14.25" customHeight="1" x14ac:dyDescent="0.2">
      <c r="A45" s="6" t="s">
        <v>25</v>
      </c>
      <c r="B45" s="7"/>
      <c r="H45" s="10" t="s">
        <v>651</v>
      </c>
      <c r="I45" s="25" t="e">
        <f ca="1">_xll.EVPRO($B$1,$H45,"STYLE")</f>
        <v>#NAME?</v>
      </c>
      <c r="J45" s="25" t="e">
        <f ca="1">_xll.EVPRO($B$1,$H45,"CALC")</f>
        <v>#NAME?</v>
      </c>
      <c r="K45" s="64" t="e">
        <f t="shared" ca="1" si="4"/>
        <v>#NAME?</v>
      </c>
      <c r="L45" s="24" t="e">
        <f ca="1">_xll.EVPRO($B$1,H45,"JDEID")</f>
        <v>#NAME?</v>
      </c>
      <c r="M45" s="24" t="e">
        <f ca="1">IF(AND(I45="N",J45="N"),_xll.EVPRO($B$1,H45,"PSFTID"),"")</f>
        <v>#NAME?</v>
      </c>
      <c r="N45" s="24" t="e">
        <f ca="1">IF(_xll.EVDES(H45,$B$1)="#NODATA","",_xll.EVDES(H45,$B$1))</f>
        <v>#NAME?</v>
      </c>
      <c r="O45" s="295"/>
      <c r="P45" s="296"/>
      <c r="Q45" s="296"/>
      <c r="R45" s="296"/>
      <c r="S45" s="296"/>
      <c r="T45" s="296"/>
      <c r="U45" s="296"/>
      <c r="V45" s="296"/>
      <c r="W45" s="296">
        <v>0</v>
      </c>
      <c r="X45" s="296">
        <v>0</v>
      </c>
      <c r="Y45" s="296"/>
      <c r="Z45" s="296">
        <v>76.959999999999994</v>
      </c>
      <c r="AA45" s="296" t="e">
        <f t="shared" ca="1" si="0"/>
        <v>#NAME?</v>
      </c>
      <c r="AB45" s="297" t="e">
        <f t="shared" ca="1" si="1"/>
        <v>#NAME?</v>
      </c>
      <c r="AC45" s="263"/>
      <c r="AD45" s="296"/>
      <c r="AE45" s="297" t="str">
        <f t="shared" si="2"/>
        <v/>
      </c>
      <c r="AF45" s="298" t="e">
        <f t="shared" ca="1" si="3"/>
        <v>#NAME?</v>
      </c>
      <c r="AG45" s="296"/>
      <c r="AH45" s="297" t="str">
        <f t="shared" si="5"/>
        <v/>
      </c>
      <c r="AI45" s="299" t="e">
        <f t="shared" ca="1" si="6"/>
        <v>#NAME?</v>
      </c>
      <c r="AJ45" s="371">
        <f t="shared" ca="1" si="7"/>
        <v>0</v>
      </c>
      <c r="AK45" s="372">
        <f t="shared" ca="1" si="8"/>
        <v>0</v>
      </c>
      <c r="AL45" s="373">
        <f t="shared" ca="1" si="9"/>
        <v>0</v>
      </c>
      <c r="AM45" s="374">
        <f t="shared" ca="1" si="10"/>
        <v>0</v>
      </c>
      <c r="AN45" s="375">
        <f t="shared" ca="1" si="11"/>
        <v>0</v>
      </c>
    </row>
    <row r="46" spans="1:40" x14ac:dyDescent="0.2">
      <c r="A46" s="6" t="s">
        <v>26</v>
      </c>
      <c r="B46" s="7"/>
      <c r="H46" s="10" t="s">
        <v>652</v>
      </c>
      <c r="I46" s="25" t="e">
        <f ca="1">_xll.EVPRO($B$1,$H46,"STYLE")</f>
        <v>#NAME?</v>
      </c>
      <c r="J46" s="25" t="e">
        <f ca="1">_xll.EVPRO($B$1,$H46,"CALC")</f>
        <v>#NAME?</v>
      </c>
      <c r="K46" s="64" t="e">
        <f t="shared" ca="1" si="4"/>
        <v>#NAME?</v>
      </c>
      <c r="L46" s="24" t="e">
        <f ca="1">_xll.EVPRO($B$1,H46,"JDEID")</f>
        <v>#NAME?</v>
      </c>
      <c r="M46" s="24" t="e">
        <f ca="1">IF(AND(I46="N",J46="N"),_xll.EVPRO($B$1,H46,"PSFTID"),"")</f>
        <v>#NAME?</v>
      </c>
      <c r="N46" s="24" t="e">
        <f ca="1">IF(_xll.EVDES(H46,$B$1)="#NODATA","",_xll.EVDES(H46,$B$1))</f>
        <v>#NAME?</v>
      </c>
      <c r="O46" s="295">
        <v>84024.22</v>
      </c>
      <c r="P46" s="296">
        <v>78056.179999999993</v>
      </c>
      <c r="Q46" s="296">
        <v>96587.72</v>
      </c>
      <c r="R46" s="296">
        <v>105262.75</v>
      </c>
      <c r="S46" s="296">
        <v>100891.8</v>
      </c>
      <c r="T46" s="296">
        <v>86152.95</v>
      </c>
      <c r="U46" s="296">
        <v>94092.06</v>
      </c>
      <c r="V46" s="296">
        <v>95461.38</v>
      </c>
      <c r="W46" s="296">
        <v>68022.320000000007</v>
      </c>
      <c r="X46" s="296">
        <v>92734.85</v>
      </c>
      <c r="Y46" s="296">
        <v>103751.83</v>
      </c>
      <c r="Z46" s="296">
        <v>110119.2</v>
      </c>
      <c r="AA46" s="296" t="e">
        <f t="shared" ca="1" si="0"/>
        <v>#NAME?</v>
      </c>
      <c r="AB46" s="297" t="e">
        <f t="shared" ca="1" si="1"/>
        <v>#NAME?</v>
      </c>
      <c r="AC46" s="263"/>
      <c r="AD46" s="296">
        <v>1070792.95</v>
      </c>
      <c r="AE46" s="297" t="str">
        <f t="shared" ca="1" si="2"/>
        <v/>
      </c>
      <c r="AF46" s="298" t="e">
        <f t="shared" ca="1" si="3"/>
        <v>#NAME?</v>
      </c>
      <c r="AG46" s="296">
        <v>960320.53</v>
      </c>
      <c r="AH46" s="297" t="str">
        <f t="shared" ca="1" si="5"/>
        <v/>
      </c>
      <c r="AI46" s="299" t="e">
        <f t="shared" ca="1" si="6"/>
        <v>#NAME?</v>
      </c>
      <c r="AJ46" s="371">
        <f t="shared" ca="1" si="7"/>
        <v>0</v>
      </c>
      <c r="AK46" s="372">
        <f t="shared" ca="1" si="8"/>
        <v>0</v>
      </c>
      <c r="AL46" s="373">
        <f t="shared" ca="1" si="9"/>
        <v>0</v>
      </c>
      <c r="AM46" s="374">
        <f t="shared" ca="1" si="10"/>
        <v>0</v>
      </c>
      <c r="AN46" s="375">
        <f t="shared" ca="1" si="11"/>
        <v>0</v>
      </c>
    </row>
    <row r="47" spans="1:40" x14ac:dyDescent="0.2">
      <c r="A47" s="6" t="s">
        <v>27</v>
      </c>
      <c r="B47" s="7"/>
      <c r="H47" s="10" t="s">
        <v>653</v>
      </c>
      <c r="I47" s="25" t="e">
        <f ca="1">_xll.EVPRO($B$1,$H47,"STYLE")</f>
        <v>#NAME?</v>
      </c>
      <c r="J47" s="25" t="e">
        <f ca="1">_xll.EVPRO($B$1,$H47,"CALC")</f>
        <v>#NAME?</v>
      </c>
      <c r="K47" s="64" t="e">
        <f t="shared" ca="1" si="4"/>
        <v>#NAME?</v>
      </c>
      <c r="L47" s="24" t="e">
        <f ca="1">_xll.EVPRO($B$1,H47,"JDEID")</f>
        <v>#NAME?</v>
      </c>
      <c r="M47" s="24" t="e">
        <f ca="1">IF(AND(I47="N",J47="N"),_xll.EVPRO($B$1,H47,"PSFTID"),"")</f>
        <v>#NAME?</v>
      </c>
      <c r="N47" s="24" t="e">
        <f ca="1">IF(_xll.EVDES(H47,$B$1)="#NODATA","",_xll.EVDES(H47,$B$1))</f>
        <v>#NAME?</v>
      </c>
      <c r="O47" s="295"/>
      <c r="P47" s="296"/>
      <c r="Q47" s="296"/>
      <c r="R47" s="296"/>
      <c r="S47" s="296"/>
      <c r="T47" s="296"/>
      <c r="U47" s="296"/>
      <c r="V47" s="296"/>
      <c r="W47" s="296"/>
      <c r="X47" s="296"/>
      <c r="Y47" s="296"/>
      <c r="Z47" s="296"/>
      <c r="AA47" s="296" t="e">
        <f t="shared" ca="1" si="0"/>
        <v>#NAME?</v>
      </c>
      <c r="AB47" s="297" t="e">
        <f t="shared" ca="1" si="1"/>
        <v>#NAME?</v>
      </c>
      <c r="AC47" s="263"/>
      <c r="AD47" s="296"/>
      <c r="AE47" s="297" t="str">
        <f t="shared" si="2"/>
        <v/>
      </c>
      <c r="AF47" s="298" t="e">
        <f t="shared" ca="1" si="3"/>
        <v>#NAME?</v>
      </c>
      <c r="AG47" s="296"/>
      <c r="AH47" s="297" t="str">
        <f t="shared" si="5"/>
        <v/>
      </c>
      <c r="AI47" s="299" t="e">
        <f t="shared" ca="1" si="6"/>
        <v>#NAME?</v>
      </c>
      <c r="AJ47" s="371">
        <f t="shared" ca="1" si="7"/>
        <v>0</v>
      </c>
      <c r="AK47" s="372">
        <f t="shared" ca="1" si="8"/>
        <v>0</v>
      </c>
      <c r="AL47" s="373">
        <f t="shared" ca="1" si="9"/>
        <v>0</v>
      </c>
      <c r="AM47" s="374">
        <f t="shared" ca="1" si="10"/>
        <v>0</v>
      </c>
      <c r="AN47" s="375">
        <f t="shared" ca="1" si="11"/>
        <v>0</v>
      </c>
    </row>
    <row r="48" spans="1:40" x14ac:dyDescent="0.2">
      <c r="A48" s="6" t="s">
        <v>28</v>
      </c>
      <c r="B48" s="7"/>
      <c r="H48" s="10" t="s">
        <v>654</v>
      </c>
      <c r="I48" s="25" t="e">
        <f ca="1">_xll.EVPRO($B$1,$H48,"STYLE")</f>
        <v>#NAME?</v>
      </c>
      <c r="J48" s="25" t="e">
        <f ca="1">_xll.EVPRO($B$1,$H48,"CALC")</f>
        <v>#NAME?</v>
      </c>
      <c r="K48" s="64" t="e">
        <f t="shared" ca="1" si="4"/>
        <v>#NAME?</v>
      </c>
      <c r="L48" s="24" t="e">
        <f ca="1">_xll.EVPRO($B$1,H48,"JDEID")</f>
        <v>#NAME?</v>
      </c>
      <c r="M48" s="24" t="e">
        <f ca="1">IF(AND(I48="N",J48="N"),_xll.EVPRO($B$1,H48,"PSFTID"),"")</f>
        <v>#NAME?</v>
      </c>
      <c r="N48" s="24" t="e">
        <f ca="1">IF(_xll.EVDES(H48,$B$1)="#NODATA","",_xll.EVDES(H48,$B$1))</f>
        <v>#NAME?</v>
      </c>
      <c r="O48" s="295"/>
      <c r="P48" s="296"/>
      <c r="Q48" s="296"/>
      <c r="R48" s="296"/>
      <c r="S48" s="296"/>
      <c r="T48" s="296"/>
      <c r="U48" s="296"/>
      <c r="V48" s="296"/>
      <c r="W48" s="296"/>
      <c r="X48" s="296"/>
      <c r="Y48" s="296"/>
      <c r="Z48" s="296"/>
      <c r="AA48" s="296" t="e">
        <f t="shared" ca="1" si="0"/>
        <v>#NAME?</v>
      </c>
      <c r="AB48" s="297" t="e">
        <f t="shared" ca="1" si="1"/>
        <v>#NAME?</v>
      </c>
      <c r="AC48" s="263"/>
      <c r="AD48" s="296"/>
      <c r="AE48" s="297" t="str">
        <f t="shared" si="2"/>
        <v/>
      </c>
      <c r="AF48" s="298" t="e">
        <f t="shared" ca="1" si="3"/>
        <v>#NAME?</v>
      </c>
      <c r="AG48" s="296"/>
      <c r="AH48" s="297" t="str">
        <f t="shared" si="5"/>
        <v/>
      </c>
      <c r="AI48" s="299" t="e">
        <f t="shared" ca="1" si="6"/>
        <v>#NAME?</v>
      </c>
      <c r="AJ48" s="371">
        <f t="shared" ca="1" si="7"/>
        <v>0</v>
      </c>
      <c r="AK48" s="372">
        <f t="shared" ca="1" si="8"/>
        <v>0</v>
      </c>
      <c r="AL48" s="373">
        <f t="shared" ca="1" si="9"/>
        <v>0</v>
      </c>
      <c r="AM48" s="374">
        <f t="shared" ca="1" si="10"/>
        <v>0</v>
      </c>
      <c r="AN48" s="375">
        <f t="shared" ca="1" si="11"/>
        <v>0</v>
      </c>
    </row>
    <row r="49" spans="1:40" x14ac:dyDescent="0.2">
      <c r="A49" s="6" t="s">
        <v>29</v>
      </c>
      <c r="B49" s="7"/>
      <c r="H49" s="10" t="s">
        <v>655</v>
      </c>
      <c r="I49" s="25" t="e">
        <f ca="1">_xll.EVPRO($B$1,$H49,"STYLE")</f>
        <v>#NAME?</v>
      </c>
      <c r="J49" s="25" t="e">
        <f ca="1">_xll.EVPRO($B$1,$H49,"CALC")</f>
        <v>#NAME?</v>
      </c>
      <c r="K49" s="64" t="e">
        <f t="shared" ca="1" si="4"/>
        <v>#NAME?</v>
      </c>
      <c r="L49" s="24" t="e">
        <f ca="1">_xll.EVPRO($B$1,H49,"JDEID")</f>
        <v>#NAME?</v>
      </c>
      <c r="M49" s="24" t="e">
        <f ca="1">IF(AND(I49="N",J49="N"),_xll.EVPRO($B$1,H49,"PSFTID"),"")</f>
        <v>#NAME?</v>
      </c>
      <c r="N49" s="24" t="e">
        <f ca="1">IF(_xll.EVDES(H49,$B$1)="#NODATA","",_xll.EVDES(H49,$B$1))</f>
        <v>#NAME?</v>
      </c>
      <c r="O49" s="295"/>
      <c r="P49" s="296"/>
      <c r="Q49" s="296"/>
      <c r="R49" s="296"/>
      <c r="S49" s="296"/>
      <c r="T49" s="296"/>
      <c r="U49" s="296"/>
      <c r="V49" s="296"/>
      <c r="W49" s="296"/>
      <c r="X49" s="296"/>
      <c r="Y49" s="296"/>
      <c r="Z49" s="296"/>
      <c r="AA49" s="296" t="e">
        <f t="shared" ca="1" si="0"/>
        <v>#NAME?</v>
      </c>
      <c r="AB49" s="297" t="e">
        <f t="shared" ca="1" si="1"/>
        <v>#NAME?</v>
      </c>
      <c r="AC49" s="263"/>
      <c r="AD49" s="296"/>
      <c r="AE49" s="297" t="str">
        <f t="shared" si="2"/>
        <v/>
      </c>
      <c r="AF49" s="298" t="e">
        <f t="shared" ca="1" si="3"/>
        <v>#NAME?</v>
      </c>
      <c r="AG49" s="296"/>
      <c r="AH49" s="297" t="str">
        <f t="shared" si="5"/>
        <v/>
      </c>
      <c r="AI49" s="299" t="e">
        <f t="shared" ca="1" si="6"/>
        <v>#NAME?</v>
      </c>
      <c r="AJ49" s="381">
        <f t="shared" ca="1" si="7"/>
        <v>0</v>
      </c>
      <c r="AK49" s="382">
        <f t="shared" ca="1" si="8"/>
        <v>0</v>
      </c>
      <c r="AL49" s="383">
        <f t="shared" ca="1" si="9"/>
        <v>0</v>
      </c>
      <c r="AM49" s="384">
        <f t="shared" ca="1" si="10"/>
        <v>0</v>
      </c>
      <c r="AN49" s="385">
        <f t="shared" ca="1" si="11"/>
        <v>0</v>
      </c>
    </row>
    <row r="50" spans="1:40" x14ac:dyDescent="0.2">
      <c r="A50" s="6" t="s">
        <v>30</v>
      </c>
      <c r="B50" s="7" t="s">
        <v>78</v>
      </c>
      <c r="H50" s="10" t="s">
        <v>280</v>
      </c>
      <c r="I50" s="447" t="e">
        <f ca="1">_xll.EVPRO($B$1,$H50,"STYLE")</f>
        <v>#NAME?</v>
      </c>
      <c r="J50" s="447" t="e">
        <f ca="1">_xll.EVPRO($B$1,$H50,"CALC")</f>
        <v>#NAME?</v>
      </c>
      <c r="K50" s="448" t="e">
        <f t="shared" ca="1" si="4"/>
        <v>#NAME?</v>
      </c>
      <c r="L50" s="151" t="e">
        <f ca="1">_xll.EVPRO($B$1,H50,"JDEID")</f>
        <v>#NAME?</v>
      </c>
      <c r="M50" s="151" t="e">
        <f ca="1">IF(AND(I50="N",J50="N"),_xll.EVPRO($B$1,H50,"PSFTID"),"")</f>
        <v>#NAME?</v>
      </c>
      <c r="N50" s="151" t="e">
        <f ca="1">IF(_xll.EVDES(H50,$B$1)="#NODATA","",_xll.EVDES(H50,$B$1))</f>
        <v>#NAME?</v>
      </c>
      <c r="O50" s="202">
        <v>87557.63</v>
      </c>
      <c r="P50" s="120">
        <v>100878.61</v>
      </c>
      <c r="Q50" s="120">
        <v>101604.17</v>
      </c>
      <c r="R50" s="120">
        <v>112785.17</v>
      </c>
      <c r="S50" s="120">
        <v>110919.27</v>
      </c>
      <c r="T50" s="120">
        <v>93308.28</v>
      </c>
      <c r="U50" s="120">
        <v>102674.98</v>
      </c>
      <c r="V50" s="120">
        <v>101401.82</v>
      </c>
      <c r="W50" s="120">
        <v>75369.05</v>
      </c>
      <c r="X50" s="120">
        <v>102100.27</v>
      </c>
      <c r="Y50" s="120">
        <v>114522.56</v>
      </c>
      <c r="Z50" s="120">
        <v>125354.13</v>
      </c>
      <c r="AA50" s="120" t="e">
        <f t="shared" ca="1" si="0"/>
        <v>#NAME?</v>
      </c>
      <c r="AB50" s="121" t="e">
        <f t="shared" ca="1" si="1"/>
        <v>#NAME?</v>
      </c>
      <c r="AC50" s="123"/>
      <c r="AD50" s="120">
        <v>1167808.95</v>
      </c>
      <c r="AE50" s="121" t="str">
        <f t="shared" ca="1" si="2"/>
        <v/>
      </c>
      <c r="AF50" s="122" t="e">
        <f t="shared" ca="1" si="3"/>
        <v>#NAME?</v>
      </c>
      <c r="AG50" s="120">
        <v>1004792.27</v>
      </c>
      <c r="AH50" s="121" t="str">
        <f t="shared" ca="1" si="5"/>
        <v/>
      </c>
      <c r="AI50" s="264" t="e">
        <f t="shared" ca="1" si="6"/>
        <v>#NAME?</v>
      </c>
      <c r="AJ50" s="332">
        <f t="shared" ca="1" si="7"/>
        <v>0</v>
      </c>
      <c r="AK50" s="333">
        <f t="shared" ca="1" si="8"/>
        <v>0</v>
      </c>
      <c r="AL50" s="335">
        <f t="shared" ca="1" si="9"/>
        <v>0</v>
      </c>
      <c r="AM50" s="377">
        <f t="shared" ca="1" si="10"/>
        <v>0</v>
      </c>
      <c r="AN50" s="378">
        <f t="shared" ca="1" si="11"/>
        <v>0</v>
      </c>
    </row>
    <row r="51" spans="1:40" x14ac:dyDescent="0.2">
      <c r="A51" s="6" t="s">
        <v>31</v>
      </c>
      <c r="B51" s="7" t="s">
        <v>78</v>
      </c>
      <c r="I51" s="1"/>
      <c r="J51" s="1"/>
    </row>
    <row r="52" spans="1:40" ht="16" thickBot="1" x14ac:dyDescent="0.25">
      <c r="A52" s="6" t="s">
        <v>32</v>
      </c>
      <c r="B52" s="7"/>
      <c r="H52" s="10" t="s">
        <v>81</v>
      </c>
      <c r="I52" s="25" t="e">
        <f ca="1">_xll.EVPRO($B$1,$H52,"STYLE")</f>
        <v>#NAME?</v>
      </c>
      <c r="J52" s="25" t="e">
        <f ca="1">_xll.EVPRO($B$1,$H52,"CALC")</f>
        <v>#NAME?</v>
      </c>
      <c r="K52" s="23"/>
      <c r="L52" s="23"/>
      <c r="M52" s="23"/>
      <c r="N52" s="23" t="e">
        <f ca="1">IF(_xll.EVDES(H52,$B$1)="#NODATA","",_xll.EVDES(H52,$B$1))</f>
        <v>#NAME?</v>
      </c>
      <c r="O52" s="58" t="e">
        <f ca="1">_xll.EVGTS($B$1,1,$B$3,$B$5,$B$7,$B$9,O$16,O$17,O$18,$B$6,$H52)</f>
        <v>#NAME?</v>
      </c>
      <c r="P52" s="58" t="e">
        <f ca="1">_xll.EVGTS($B$1,1,$B$3,$B$5,$B$7,$B$9,P$16,P$17,P$18,$B$6,$H52)</f>
        <v>#NAME?</v>
      </c>
      <c r="Q52" s="58" t="e">
        <f ca="1">_xll.EVGTS($B$1,1,$B$3,$B$5,$B$7,$B$9,Q$16,Q$17,Q$18,$B$6,$H52)</f>
        <v>#NAME?</v>
      </c>
      <c r="R52" s="58" t="e">
        <f ca="1">_xll.EVGTS($B$1,1,$B$3,$B$5,$B$7,$B$9,R$16,R$17,R$18,$B$6,$H52)</f>
        <v>#NAME?</v>
      </c>
      <c r="S52" s="58" t="e">
        <f ca="1">_xll.EVGTS($B$1,1,$B$3,$B$5,$B$7,$B$9,S$16,S$17,S$18,$B$6,$H52)</f>
        <v>#NAME?</v>
      </c>
      <c r="T52" s="58" t="e">
        <f ca="1">_xll.EVGTS($B$1,1,$B$3,$B$5,$B$7,$B$9,T$16,T$17,T$18,$B$6,$H52)</f>
        <v>#NAME?</v>
      </c>
      <c r="U52" s="58" t="e">
        <f ca="1">_xll.EVGTS($B$1,1,$B$3,$B$5,$B$7,$B$9,U$16,U$17,U$18,$B$6,$H52)</f>
        <v>#NAME?</v>
      </c>
      <c r="V52" s="58" t="e">
        <f ca="1">_xll.EVGTS($B$1,1,$B$3,$B$5,$B$7,$B$9,V$16,V$17,V$18,$B$6,$H52)</f>
        <v>#NAME?</v>
      </c>
      <c r="W52" s="58" t="e">
        <f ca="1">_xll.EVGTS($B$1,1,$B$3,$B$5,$B$7,$B$9,W$16,W$17,W$18,$B$6,$H52)</f>
        <v>#NAME?</v>
      </c>
      <c r="X52" s="58" t="e">
        <f ca="1">_xll.EVGTS($B$1,1,$B$3,$B$5,$B$7,$B$9,X$16,X$17,X$18,$B$6,$H52)</f>
        <v>#NAME?</v>
      </c>
      <c r="Y52" s="58" t="e">
        <f ca="1">_xll.EVGTS($B$1,1,$B$3,$B$5,$B$7,$B$9,Y$16,Y$17,Y$18,$B$6,$H52)</f>
        <v>#NAME?</v>
      </c>
      <c r="Z52" s="58" t="e">
        <f ca="1">_xll.EVGTS($B$1,1,$B$3,$B$5,$B$7,$B$9,Z$16,Z$17,Z$18,$B$6,$H52)</f>
        <v>#NAME?</v>
      </c>
      <c r="AA52" s="58" t="e">
        <f ca="1">IF($I52="B1","",SUM(O52:Z52))</f>
        <v>#NAME?</v>
      </c>
      <c r="AB52" s="59" t="e">
        <f ca="1">IF(AA52=0,"",IFERROR(AA52/AA$19,""))</f>
        <v>#NAME?</v>
      </c>
      <c r="AD52" s="58" t="e">
        <f ca="1">_xll.EVGTS($B$1,1,$B$3,$B$5,$B$7,$B$9,AD$16,AD$17,AD$18,$B$6,$H52)</f>
        <v>#NAME?</v>
      </c>
      <c r="AE52" s="59" t="e">
        <f ca="1">IF(AD52=0,"",IFERROR(AD52/AD$19,""))</f>
        <v>#NAME?</v>
      </c>
      <c r="AF52" s="60" t="e">
        <f ca="1">IF(AND($AA52="",AD52=""),"",$AA52-AD52)</f>
        <v>#NAME?</v>
      </c>
      <c r="AG52" s="58" t="e">
        <f ca="1">_xll.EVGTS($B$1,1,$B$3,$B$5,$B$7,$B$9,AG$16,AG$17,AG$18,$B$6,$H52)</f>
        <v>#NAME?</v>
      </c>
      <c r="AH52" s="59" t="e">
        <f ca="1">IF(AG52=0,"",IFERROR(AG52/AG$19,""))</f>
        <v>#NAME?</v>
      </c>
      <c r="AI52" s="60" t="e">
        <f ca="1">IF(AND($AA52="",AG52=""),"",$AA52-AG52)</f>
        <v>#NAME?</v>
      </c>
      <c r="AJ52" s="402">
        <f ca="1">IFERROR(AA52/AA$20,0)</f>
        <v>0</v>
      </c>
      <c r="AK52" s="403">
        <f ca="1">IFERROR(AD52/AD$20,0)</f>
        <v>0</v>
      </c>
      <c r="AL52" s="404">
        <f ca="1">IFERROR(AG52/AG$20,0)</f>
        <v>0</v>
      </c>
      <c r="AM52" s="405">
        <f ca="1">+IFERROR(ROUND(($AB52-AE52)*100,2)&amp;" pts.",0)</f>
        <v>0</v>
      </c>
      <c r="AN52" s="410">
        <f ca="1">+IFERROR(ROUND(($AB52-AH52)*100,2)&amp;" pts.",0)</f>
        <v>0</v>
      </c>
    </row>
    <row r="53" spans="1:40" ht="16" thickTop="1" x14ac:dyDescent="0.2">
      <c r="A53" s="6" t="s">
        <v>33</v>
      </c>
      <c r="B53" s="7"/>
    </row>
    <row r="54" spans="1:40" x14ac:dyDescent="0.2">
      <c r="A54" s="6" t="s">
        <v>34</v>
      </c>
      <c r="B54" s="7"/>
      <c r="N54" s="24" t="e">
        <f ca="1">N52&amp;" - Check"</f>
        <v>#NAME?</v>
      </c>
      <c r="O54" s="124" t="e">
        <f t="shared" ref="O54:AA54" ca="1" si="12">SUMIF($H$34:$H$50,"400000",O$34:O$50)-O52</f>
        <v>#NAME?</v>
      </c>
      <c r="P54" s="124" t="e">
        <f t="shared" ca="1" si="12"/>
        <v>#NAME?</v>
      </c>
      <c r="Q54" s="124" t="e">
        <f t="shared" ca="1" si="12"/>
        <v>#NAME?</v>
      </c>
      <c r="R54" s="124" t="e">
        <f t="shared" ca="1" si="12"/>
        <v>#NAME?</v>
      </c>
      <c r="S54" s="124" t="e">
        <f t="shared" ca="1" si="12"/>
        <v>#NAME?</v>
      </c>
      <c r="T54" s="124" t="e">
        <f t="shared" ca="1" si="12"/>
        <v>#NAME?</v>
      </c>
      <c r="U54" s="124" t="e">
        <f t="shared" ca="1" si="12"/>
        <v>#NAME?</v>
      </c>
      <c r="V54" s="124" t="e">
        <f t="shared" ca="1" si="12"/>
        <v>#NAME?</v>
      </c>
      <c r="W54" s="124" t="e">
        <f t="shared" ca="1" si="12"/>
        <v>#NAME?</v>
      </c>
      <c r="X54" s="124" t="e">
        <f t="shared" ca="1" si="12"/>
        <v>#NAME?</v>
      </c>
      <c r="Y54" s="124" t="e">
        <f t="shared" ca="1" si="12"/>
        <v>#NAME?</v>
      </c>
      <c r="Z54" s="124" t="e">
        <f t="shared" ca="1" si="12"/>
        <v>#NAME?</v>
      </c>
      <c r="AA54" s="124" t="e">
        <f t="shared" ca="1" si="12"/>
        <v>#NAME?</v>
      </c>
      <c r="AB54" s="15"/>
      <c r="AD54" s="124" t="e">
        <f ca="1">SUMIF($H$34:$H$50,"400000",AD$34:AD$50)-AD52</f>
        <v>#NAME?</v>
      </c>
      <c r="AE54" s="124"/>
      <c r="AF54" s="19"/>
      <c r="AG54" s="124" t="e">
        <f ca="1">SUMIF($H$34:$H$50,"400000",AG$34:AG$50)-AG52</f>
        <v>#NAME?</v>
      </c>
      <c r="AH54" s="15"/>
      <c r="AI54" s="19"/>
    </row>
    <row r="55" spans="1:40" x14ac:dyDescent="0.2">
      <c r="A55" s="6" t="s">
        <v>35</v>
      </c>
      <c r="B55" s="7"/>
    </row>
    <row r="56" spans="1:40" x14ac:dyDescent="0.2">
      <c r="A56" s="6" t="s">
        <v>36</v>
      </c>
      <c r="B56" s="7"/>
      <c r="O56" s="147"/>
      <c r="P56" s="147"/>
      <c r="Q56" s="147"/>
      <c r="R56" s="147"/>
      <c r="S56" s="147"/>
      <c r="T56" s="147"/>
      <c r="U56" s="147"/>
      <c r="V56" s="147"/>
      <c r="W56" s="147"/>
      <c r="X56" s="147"/>
      <c r="Y56" s="147"/>
      <c r="Z56" s="147"/>
      <c r="AA56" s="147"/>
      <c r="AD56" s="147"/>
      <c r="AG56" s="147"/>
    </row>
    <row r="57" spans="1:40" x14ac:dyDescent="0.2">
      <c r="A57" s="6" t="s">
        <v>37</v>
      </c>
      <c r="B57" s="7"/>
    </row>
    <row r="58" spans="1:40" x14ac:dyDescent="0.2">
      <c r="A58" s="6" t="s">
        <v>38</v>
      </c>
      <c r="B58" s="7"/>
      <c r="O58" s="147"/>
      <c r="P58" s="147"/>
      <c r="Q58" s="147"/>
      <c r="R58" s="147"/>
      <c r="S58" s="147"/>
      <c r="T58" s="147"/>
      <c r="U58" s="147"/>
      <c r="V58" s="147"/>
      <c r="W58" s="147"/>
      <c r="X58" s="147"/>
      <c r="Y58" s="147"/>
      <c r="Z58" s="147"/>
      <c r="AA58" s="147"/>
      <c r="AD58" s="147"/>
      <c r="AG58" s="147"/>
    </row>
    <row r="59" spans="1:40" x14ac:dyDescent="0.2">
      <c r="A59" s="6" t="s">
        <v>39</v>
      </c>
      <c r="B59" s="7"/>
    </row>
    <row r="60" spans="1:40" x14ac:dyDescent="0.2">
      <c r="A60" s="6" t="s">
        <v>40</v>
      </c>
      <c r="B60" s="7"/>
    </row>
    <row r="61" spans="1:40" x14ac:dyDescent="0.2">
      <c r="A61" s="6" t="s">
        <v>41</v>
      </c>
      <c r="B61" s="7"/>
      <c r="J61" s="1"/>
    </row>
    <row r="62" spans="1:40" x14ac:dyDescent="0.2">
      <c r="A62" s="6" t="s">
        <v>42</v>
      </c>
      <c r="B62" s="7"/>
      <c r="H62" s="11"/>
      <c r="J62" s="1"/>
    </row>
    <row r="63" spans="1:40" x14ac:dyDescent="0.2">
      <c r="A63" s="6" t="s">
        <v>43</v>
      </c>
      <c r="B63" s="7"/>
      <c r="H63" s="11"/>
      <c r="J63" s="1"/>
    </row>
    <row r="64" spans="1:40" x14ac:dyDescent="0.2">
      <c r="A64" s="6" t="s">
        <v>44</v>
      </c>
      <c r="B64" s="7"/>
      <c r="H64" s="11"/>
      <c r="J64" s="1"/>
    </row>
    <row r="65" spans="1:10" x14ac:dyDescent="0.2">
      <c r="A65" s="6" t="s">
        <v>45</v>
      </c>
      <c r="B65" s="7"/>
      <c r="H65" s="11"/>
      <c r="J65" s="1"/>
    </row>
    <row r="66" spans="1:10" x14ac:dyDescent="0.2">
      <c r="A66" s="6" t="s">
        <v>46</v>
      </c>
      <c r="B66" s="7"/>
      <c r="H66" s="11"/>
      <c r="J66" s="1"/>
    </row>
    <row r="67" spans="1:10" x14ac:dyDescent="0.2">
      <c r="C67" s="23"/>
      <c r="H67" s="11"/>
      <c r="J67" s="1"/>
    </row>
    <row r="68" spans="1:10" x14ac:dyDescent="0.2">
      <c r="C68" s="23"/>
      <c r="H68" s="11"/>
      <c r="J68" s="1"/>
    </row>
    <row r="69" spans="1:10" x14ac:dyDescent="0.2">
      <c r="H69" s="11"/>
      <c r="J69" s="1"/>
    </row>
    <row r="70" spans="1:10" x14ac:dyDescent="0.2">
      <c r="H70" s="11"/>
      <c r="J70" s="1"/>
    </row>
    <row r="71" spans="1:10" x14ac:dyDescent="0.2">
      <c r="H71" s="11"/>
      <c r="J71" s="1"/>
    </row>
    <row r="72" spans="1:10" x14ac:dyDescent="0.2">
      <c r="H72" s="11"/>
      <c r="J72" s="1"/>
    </row>
    <row r="73" spans="1:10" x14ac:dyDescent="0.2">
      <c r="H73" s="11"/>
      <c r="J73" s="1"/>
    </row>
    <row r="74" spans="1:10" x14ac:dyDescent="0.2">
      <c r="H74" s="11"/>
      <c r="J74" s="1"/>
    </row>
    <row r="75" spans="1:10" x14ac:dyDescent="0.2">
      <c r="H75" s="11"/>
      <c r="J75" s="1"/>
    </row>
    <row r="76" spans="1:10" x14ac:dyDescent="0.2">
      <c r="H76" s="11"/>
      <c r="J76" s="1"/>
    </row>
    <row r="77" spans="1:10" x14ac:dyDescent="0.2">
      <c r="H77" s="11"/>
      <c r="J77" s="1"/>
    </row>
    <row r="78" spans="1:10" x14ac:dyDescent="0.2">
      <c r="H78" s="11"/>
      <c r="J78" s="1"/>
    </row>
    <row r="79" spans="1:10" x14ac:dyDescent="0.2">
      <c r="H79" s="11"/>
      <c r="J79" s="1"/>
    </row>
    <row r="80" spans="1:10" x14ac:dyDescent="0.2">
      <c r="H80" s="11"/>
      <c r="J80" s="1"/>
    </row>
    <row r="81" spans="8:10" x14ac:dyDescent="0.2">
      <c r="H81" s="11"/>
      <c r="J81" s="1"/>
    </row>
    <row r="82" spans="8:10" x14ac:dyDescent="0.2">
      <c r="H82" s="11"/>
      <c r="J82" s="1"/>
    </row>
    <row r="83" spans="8:10" x14ac:dyDescent="0.2">
      <c r="H83" s="11"/>
      <c r="J83" s="1"/>
    </row>
    <row r="84" spans="8:10" x14ac:dyDescent="0.2">
      <c r="H84" s="11"/>
    </row>
    <row r="100" spans="5:5" x14ac:dyDescent="0.2">
      <c r="E100" s="72"/>
    </row>
    <row r="104" spans="5:5" x14ac:dyDescent="0.2">
      <c r="E104" s="72"/>
    </row>
    <row r="124" spans="9:34" x14ac:dyDescent="0.2">
      <c r="J124" s="1"/>
      <c r="K124" s="72"/>
      <c r="L124" s="72"/>
      <c r="M124" s="72"/>
      <c r="O124" s="72"/>
      <c r="P124" s="72"/>
      <c r="Q124" s="72"/>
      <c r="R124" s="72"/>
      <c r="S124" s="72"/>
      <c r="T124" s="72"/>
      <c r="U124" s="72"/>
      <c r="V124" s="72"/>
      <c r="W124" s="72"/>
      <c r="X124" s="72"/>
      <c r="Y124" s="72"/>
      <c r="Z124" s="72"/>
      <c r="AA124" s="72"/>
      <c r="AD124" s="72"/>
      <c r="AF124" s="72"/>
      <c r="AH124" s="72"/>
    </row>
    <row r="125" spans="9:34" x14ac:dyDescent="0.2">
      <c r="I125" s="72"/>
    </row>
    <row r="128" spans="9:34" x14ac:dyDescent="0.2">
      <c r="J128" s="1"/>
      <c r="K128" s="72"/>
      <c r="L128" s="72"/>
      <c r="M128" s="72"/>
      <c r="O128" s="72"/>
      <c r="P128" s="72"/>
      <c r="Q128" s="72"/>
      <c r="R128" s="72"/>
      <c r="S128" s="72"/>
      <c r="T128" s="72"/>
      <c r="U128" s="72"/>
      <c r="V128" s="72"/>
      <c r="W128" s="72"/>
      <c r="X128" s="72"/>
      <c r="Y128" s="72"/>
      <c r="Z128" s="72"/>
      <c r="AA128" s="72"/>
      <c r="AD128" s="72"/>
      <c r="AF128" s="72"/>
      <c r="AH128" s="72"/>
    </row>
    <row r="129" spans="9:9" x14ac:dyDescent="0.2">
      <c r="I129" s="72"/>
    </row>
    <row r="157" spans="7:7" x14ac:dyDescent="0.2">
      <c r="G157" s="72"/>
    </row>
    <row r="161" spans="7:7" x14ac:dyDescent="0.2">
      <c r="G161" s="72"/>
    </row>
  </sheetData>
  <mergeCells count="2">
    <mergeCell ref="AD31:AE31"/>
    <mergeCell ref="AG31:AH31"/>
  </mergeCells>
  <dataValidations disablePrompts="1" count="2">
    <dataValidation type="list" allowBlank="1" sqref="B28" xr:uid="{00000000-0002-0000-4A00-000000000000}">
      <formula1>"ACCOUNT,BUSINESSUNIT,CATEGORY,DATASRC,DEPARTMENT,INTCO,MEASURES,RPTCURRENCY,TIME"</formula1>
    </dataValidation>
    <dataValidation type="list" allowBlank="1" sqref="B29" xr:uid="{00000000-0002-0000-4A00-000001000000}">
      <formula1>"SELF,ALL,BAS,DEP,BASMEMBERS,MEMBERS,NOEXPAND,GDEP"</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87">
    <pageSetUpPr fitToPage="1"/>
  </sheetPr>
  <dimension ref="A1:AO16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52" sqref="O52"/>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3" width="9.6640625" style="1" hidden="1" customWidth="1" outlineLevel="1"/>
    <col min="14" max="14" width="40.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s">
        <v>980</v>
      </c>
      <c r="I1" s="1"/>
      <c r="J1" s="1"/>
    </row>
    <row r="2" spans="1:35" hidden="1" outlineLevel="1" x14ac:dyDescent="0.2">
      <c r="A2" s="8" t="s">
        <v>22</v>
      </c>
      <c r="B2" s="12" t="s">
        <v>56</v>
      </c>
      <c r="C2" s="1" t="s">
        <v>981</v>
      </c>
      <c r="I2" s="1"/>
      <c r="J2" s="1"/>
    </row>
    <row r="3" spans="1:35" hidden="1" outlineLevel="1" x14ac:dyDescent="0.2">
      <c r="A3" s="8" t="s">
        <v>50</v>
      </c>
      <c r="B3" s="9" t="s">
        <v>979</v>
      </c>
      <c r="C3" s="1" t="s">
        <v>982</v>
      </c>
      <c r="I3" s="1"/>
      <c r="J3" s="1"/>
    </row>
    <row r="4" spans="1:35" hidden="1" outlineLevel="1" x14ac:dyDescent="0.2">
      <c r="A4" s="8" t="s">
        <v>19</v>
      </c>
      <c r="B4" s="9" t="str">
        <f>SetUp!$D$6</f>
        <v>CURRENT</v>
      </c>
      <c r="C4" s="1" t="s">
        <v>960</v>
      </c>
      <c r="E4" s="46">
        <v>20250100</v>
      </c>
      <c r="F4" s="46">
        <v>20250100</v>
      </c>
    </row>
    <row r="5" spans="1:35" hidden="1" outlineLevel="1" x14ac:dyDescent="0.2">
      <c r="A5" s="8" t="s">
        <v>51</v>
      </c>
      <c r="B5" s="12" t="s">
        <v>59</v>
      </c>
      <c r="C5" s="1" t="s">
        <v>59</v>
      </c>
    </row>
    <row r="6" spans="1:35" hidden="1" outlineLevel="1" x14ac:dyDescent="0.2">
      <c r="A6" s="8" t="s">
        <v>52</v>
      </c>
      <c r="B6" s="12" t="s">
        <v>472</v>
      </c>
      <c r="C6" s="1" t="s">
        <v>1016</v>
      </c>
      <c r="E6" s="46" t="s">
        <v>1394</v>
      </c>
      <c r="F6" s="1" t="s">
        <v>278</v>
      </c>
    </row>
    <row r="7" spans="1:35" hidden="1" outlineLevel="1" x14ac:dyDescent="0.2">
      <c r="A7" s="8" t="s">
        <v>53</v>
      </c>
      <c r="B7" s="12" t="s">
        <v>61</v>
      </c>
      <c r="C7" s="1" t="s">
        <v>984</v>
      </c>
    </row>
    <row r="8" spans="1:35" hidden="1" outlineLevel="1" x14ac:dyDescent="0.2">
      <c r="A8" s="8" t="s">
        <v>20</v>
      </c>
      <c r="B8" s="12" t="s">
        <v>63</v>
      </c>
      <c r="C8" s="1" t="s">
        <v>985</v>
      </c>
    </row>
    <row r="9" spans="1:35" hidden="1" outlineLevel="1" x14ac:dyDescent="0.2">
      <c r="A9" s="8" t="s">
        <v>54</v>
      </c>
      <c r="B9" s="9" t="str">
        <f>SetUp!$D$10</f>
        <v>LC</v>
      </c>
      <c r="C9" s="1" t="s">
        <v>986</v>
      </c>
    </row>
    <row r="10" spans="1:35" hidden="1" outlineLevel="1" x14ac:dyDescent="0.2">
      <c r="A10" s="8" t="s">
        <v>18</v>
      </c>
      <c r="B10" s="9" t="str">
        <f>SetUp!$D$7</f>
        <v>2024.TOTAL</v>
      </c>
      <c r="C10" s="1" t="s">
        <v>987</v>
      </c>
      <c r="D10" s="212" t="s">
        <v>988</v>
      </c>
    </row>
    <row r="11" spans="1:35" hidden="1" outlineLevel="1" x14ac:dyDescent="0.2">
      <c r="B11" s="8"/>
      <c r="M11" s="46" t="str">
        <f>IF(LEFT(SetUp!$D$6,3)="ALT","Y","N")</f>
        <v>N</v>
      </c>
      <c r="N11" s="1" t="s">
        <v>800</v>
      </c>
      <c r="O11" s="2" t="s">
        <v>682</v>
      </c>
      <c r="P11" s="2" t="s">
        <v>682</v>
      </c>
      <c r="Q11" s="2" t="s">
        <v>682</v>
      </c>
      <c r="R11" s="2" t="s">
        <v>682</v>
      </c>
      <c r="S11" s="2" t="s">
        <v>682</v>
      </c>
      <c r="T11" s="2" t="s">
        <v>682</v>
      </c>
      <c r="U11" s="2" t="s">
        <v>682</v>
      </c>
      <c r="V11" s="2" t="s">
        <v>682</v>
      </c>
      <c r="W11" s="2" t="s">
        <v>682</v>
      </c>
      <c r="X11" s="2" t="s">
        <v>682</v>
      </c>
      <c r="Y11" s="2" t="s">
        <v>682</v>
      </c>
      <c r="Z11" s="2" t="s">
        <v>682</v>
      </c>
    </row>
    <row r="12" spans="1:35" hidden="1" outlineLevel="1" x14ac:dyDescent="0.2">
      <c r="A12" s="1" t="s">
        <v>115</v>
      </c>
      <c r="B12" s="46">
        <v>2024</v>
      </c>
      <c r="M12" s="11"/>
      <c r="N12" s="1" t="s">
        <v>597</v>
      </c>
      <c r="O12" s="213" t="s">
        <v>78</v>
      </c>
      <c r="P12" s="213" t="s">
        <v>78</v>
      </c>
      <c r="Q12" s="213" t="s">
        <v>78</v>
      </c>
      <c r="R12" s="213" t="s">
        <v>78</v>
      </c>
      <c r="S12" s="213" t="s">
        <v>78</v>
      </c>
      <c r="T12" s="213" t="s">
        <v>78</v>
      </c>
      <c r="U12" s="213" t="s">
        <v>78</v>
      </c>
      <c r="V12" s="213" t="s">
        <v>78</v>
      </c>
      <c r="W12" s="213" t="s">
        <v>78</v>
      </c>
      <c r="X12" s="213" t="s">
        <v>78</v>
      </c>
      <c r="Y12" s="213" t="s">
        <v>78</v>
      </c>
      <c r="Z12" s="213" t="s">
        <v>78</v>
      </c>
      <c r="AA12" s="213"/>
      <c r="AD12" s="213"/>
      <c r="AG12" s="213"/>
    </row>
    <row r="13" spans="1:35" hidden="1" outlineLevel="1" x14ac:dyDescent="0.2">
      <c r="A13" s="1" t="s">
        <v>602</v>
      </c>
      <c r="B13" s="46">
        <v>2024</v>
      </c>
      <c r="M13" s="11"/>
      <c r="N13" s="1" t="s">
        <v>598</v>
      </c>
      <c r="O13" s="53">
        <v>20240100</v>
      </c>
      <c r="P13" s="53">
        <v>20240200</v>
      </c>
      <c r="Q13" s="53">
        <v>20240300</v>
      </c>
      <c r="R13" s="53">
        <v>20240400</v>
      </c>
      <c r="S13" s="53">
        <v>20240500</v>
      </c>
      <c r="T13" s="53">
        <v>20240600</v>
      </c>
      <c r="U13" s="53">
        <v>20240700</v>
      </c>
      <c r="V13" s="53">
        <v>20240800</v>
      </c>
      <c r="W13" s="53">
        <v>20240900</v>
      </c>
      <c r="X13" s="53">
        <v>20241000</v>
      </c>
      <c r="Y13" s="53">
        <v>20241100</v>
      </c>
      <c r="Z13" s="53">
        <v>20241200</v>
      </c>
      <c r="AA13" s="53">
        <v>10000193</v>
      </c>
      <c r="AD13" s="53">
        <v>10000193</v>
      </c>
      <c r="AG13" s="53">
        <v>10000183</v>
      </c>
    </row>
    <row r="14" spans="1:35" hidden="1" outlineLevel="1" x14ac:dyDescent="0.2">
      <c r="A14" s="4" t="s">
        <v>989</v>
      </c>
      <c r="M14" s="11"/>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M15" s="11"/>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M16" s="11"/>
      <c r="N16" s="1" t="s">
        <v>18</v>
      </c>
      <c r="O16" s="2" t="s">
        <v>990</v>
      </c>
      <c r="P16" s="2" t="s">
        <v>991</v>
      </c>
      <c r="Q16" s="2" t="s">
        <v>992</v>
      </c>
      <c r="R16" s="2" t="s">
        <v>993</v>
      </c>
      <c r="S16" s="2" t="s">
        <v>994</v>
      </c>
      <c r="T16" s="2" t="s">
        <v>995</v>
      </c>
      <c r="U16" s="2" t="s">
        <v>996</v>
      </c>
      <c r="V16" s="2" t="s">
        <v>997</v>
      </c>
      <c r="W16" s="2" t="s">
        <v>998</v>
      </c>
      <c r="X16" s="2" t="s">
        <v>999</v>
      </c>
      <c r="Y16" s="2" t="s">
        <v>1000</v>
      </c>
      <c r="Z16" s="2" t="str">
        <f>IF(SetUp!$O$1=TRUE,SetUp!$Q$6,IF($D$10="FY",LEFT($B$10,6)&amp;"."&amp;Z15,$B$12&amp;"."&amp;Z14))</f>
        <v>2024.DEC</v>
      </c>
      <c r="AA16" s="2" t="str">
        <f>IF($D$10="FY",LEFT($B$10,6)&amp;"."&amp;AA15,$B$12&amp;"."&amp;AA14)</f>
        <v>2024.TOTAL</v>
      </c>
      <c r="AB16" s="10"/>
      <c r="AC16" s="10"/>
      <c r="AD16" s="2" t="str">
        <f>IF(SetUp!$O$1=TRUE,SetUp!$Q$6,SetUp!$G$7)</f>
        <v>2024.TOTAL</v>
      </c>
      <c r="AE16" s="10"/>
      <c r="AF16" s="10"/>
      <c r="AG16" s="2" t="s">
        <v>955</v>
      </c>
      <c r="AH16" s="10"/>
      <c r="AI16" s="10"/>
    </row>
    <row r="17" spans="1:40" hidden="1" outlineLevel="1" x14ac:dyDescent="0.2">
      <c r="A17" s="6" t="s">
        <v>2</v>
      </c>
      <c r="B17" s="14" t="s">
        <v>1395</v>
      </c>
      <c r="M17" s="11"/>
      <c r="N17" s="1" t="s">
        <v>19</v>
      </c>
      <c r="O17" s="2" t="s">
        <v>682</v>
      </c>
      <c r="P17" s="2" t="s">
        <v>682</v>
      </c>
      <c r="Q17" s="2" t="s">
        <v>682</v>
      </c>
      <c r="R17" s="2" t="s">
        <v>682</v>
      </c>
      <c r="S17" s="2" t="s">
        <v>682</v>
      </c>
      <c r="T17" s="2" t="s">
        <v>682</v>
      </c>
      <c r="U17" s="2" t="s">
        <v>682</v>
      </c>
      <c r="V17" s="2" t="s">
        <v>682</v>
      </c>
      <c r="W17" s="2" t="s">
        <v>682</v>
      </c>
      <c r="X17" s="2" t="s">
        <v>682</v>
      </c>
      <c r="Y17" s="2" t="s">
        <v>682</v>
      </c>
      <c r="Z17" s="2" t="s">
        <v>682</v>
      </c>
      <c r="AA17" s="2"/>
      <c r="AB17" s="10"/>
      <c r="AC17" s="10"/>
      <c r="AD17" s="2" t="str">
        <f>SetUp!$G$6</f>
        <v>BUDGET</v>
      </c>
      <c r="AE17" s="10"/>
      <c r="AF17" s="10"/>
      <c r="AG17" s="2" t="str">
        <f>SetUp!$J$6</f>
        <v>ACTUAL_CON</v>
      </c>
      <c r="AH17" s="10"/>
      <c r="AI17" s="10"/>
    </row>
    <row r="18" spans="1:40" hidden="1" outlineLevel="1" x14ac:dyDescent="0.2">
      <c r="A18" s="6" t="s">
        <v>3</v>
      </c>
      <c r="B18" s="14" t="s">
        <v>1396</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str">
        <f>IF(SetUp!$O$1=TRUE,"TRAILING12",IF(AD17="CURRENT","ROLLINGFORECAST","PERIODIC"))</f>
        <v>PERIODIC</v>
      </c>
      <c r="AE18" s="10"/>
      <c r="AF18" s="10"/>
      <c r="AG18" s="2" t="str">
        <f>IF(SetUp!$O$1=TRUE,"TRAILING12",IF(AG17="CURRENT","ROLLINGFORECAST","PERIODIC"))</f>
        <v>PERIODIC</v>
      </c>
      <c r="AH18" s="10"/>
      <c r="AI18" s="10"/>
    </row>
    <row r="19" spans="1:40" hidden="1" outlineLevel="1" x14ac:dyDescent="0.2">
      <c r="A19" s="6" t="s">
        <v>4</v>
      </c>
      <c r="B19" s="14" t="s">
        <v>1397</v>
      </c>
      <c r="G19" s="16" t="str">
        <f>$B$6</f>
        <v>D_ROI_CON</v>
      </c>
      <c r="H19" s="16">
        <v>400000</v>
      </c>
      <c r="I19" s="17"/>
      <c r="J19" s="17"/>
      <c r="K19" s="16"/>
      <c r="L19" s="16"/>
      <c r="M19" s="16"/>
      <c r="N19" s="16" t="s">
        <v>1001</v>
      </c>
      <c r="O19" s="18">
        <v>87557.63</v>
      </c>
      <c r="P19" s="18">
        <v>100878.61</v>
      </c>
      <c r="Q19" s="18">
        <v>101604.17</v>
      </c>
      <c r="R19" s="18">
        <v>112785.17</v>
      </c>
      <c r="S19" s="18">
        <v>110919.27</v>
      </c>
      <c r="T19" s="18">
        <v>93308.28</v>
      </c>
      <c r="U19" s="18">
        <v>102674.98</v>
      </c>
      <c r="V19" s="18">
        <v>101401.82</v>
      </c>
      <c r="W19" s="18">
        <v>75369.05</v>
      </c>
      <c r="X19" s="18">
        <v>102100.27</v>
      </c>
      <c r="Y19" s="18">
        <v>114522.56</v>
      </c>
      <c r="Z19" s="18">
        <v>125354.13</v>
      </c>
      <c r="AA19" s="18">
        <f>SUM(O19:Z19)</f>
        <v>1228475.94</v>
      </c>
      <c r="AB19" s="16"/>
      <c r="AC19" s="16"/>
      <c r="AD19" s="18">
        <v>1167808.95</v>
      </c>
      <c r="AE19" s="16"/>
      <c r="AF19" s="16"/>
      <c r="AG19" s="18">
        <v>1004792.27</v>
      </c>
      <c r="AH19" s="16"/>
      <c r="AI19" s="16"/>
    </row>
    <row r="20" spans="1:40" hidden="1" outlineLevel="1" x14ac:dyDescent="0.2">
      <c r="A20" s="6" t="s">
        <v>5</v>
      </c>
      <c r="B20" s="7"/>
      <c r="G20" s="16" t="s">
        <v>749</v>
      </c>
      <c r="H20" s="16">
        <v>900200</v>
      </c>
      <c r="I20" s="17"/>
      <c r="J20" s="17"/>
      <c r="K20" s="16"/>
      <c r="L20" s="17"/>
      <c r="M20" s="17"/>
      <c r="N20" s="16" t="s">
        <v>1047</v>
      </c>
      <c r="O20" s="18">
        <v>3694</v>
      </c>
      <c r="P20" s="18">
        <v>3593</v>
      </c>
      <c r="Q20" s="18">
        <v>3831</v>
      </c>
      <c r="R20" s="18">
        <v>3720</v>
      </c>
      <c r="S20" s="18">
        <v>3473</v>
      </c>
      <c r="T20" s="18">
        <v>3105</v>
      </c>
      <c r="U20" s="18">
        <v>3034</v>
      </c>
      <c r="V20" s="18">
        <v>3033</v>
      </c>
      <c r="W20" s="18">
        <v>2632</v>
      </c>
      <c r="X20" s="18">
        <v>3186</v>
      </c>
      <c r="Y20" s="18">
        <v>3534</v>
      </c>
      <c r="Z20" s="18">
        <v>3635</v>
      </c>
      <c r="AA20" s="18">
        <f>SUM(O20:Z20)</f>
        <v>40470</v>
      </c>
      <c r="AB20" s="16"/>
      <c r="AC20" s="16"/>
      <c r="AD20" s="18">
        <v>40231</v>
      </c>
      <c r="AE20" s="16"/>
      <c r="AF20" s="16"/>
      <c r="AG20" s="18">
        <v>39886</v>
      </c>
      <c r="AH20" s="16"/>
      <c r="AI20" s="16"/>
    </row>
    <row r="21" spans="1:40" hidden="1" outlineLevel="1" x14ac:dyDescent="0.2">
      <c r="A21" s="6" t="s">
        <v>6</v>
      </c>
      <c r="B21" s="7"/>
      <c r="I21" s="1"/>
      <c r="J21" s="1"/>
    </row>
    <row r="22" spans="1:40" hidden="1" outlineLevel="1" x14ac:dyDescent="0.2">
      <c r="A22" s="6" t="s">
        <v>7</v>
      </c>
      <c r="B22" s="14" t="s">
        <v>1398</v>
      </c>
      <c r="I22" s="1"/>
      <c r="J22" s="1"/>
    </row>
    <row r="23" spans="1:40" hidden="1" outlineLevel="1" x14ac:dyDescent="0.2">
      <c r="A23" s="6" t="s">
        <v>47</v>
      </c>
      <c r="B23" s="14" t="s">
        <v>1399</v>
      </c>
      <c r="K23" s="53"/>
      <c r="L23" s="53"/>
      <c r="M23" s="53"/>
      <c r="AD23" s="136"/>
    </row>
    <row r="24" spans="1:40" hidden="1" outlineLevel="1" x14ac:dyDescent="0.2">
      <c r="A24" s="6" t="s">
        <v>8</v>
      </c>
      <c r="B24" s="7"/>
    </row>
    <row r="25" spans="1:40" collapsed="1" x14ac:dyDescent="0.2"/>
    <row r="26" spans="1:40" ht="23" x14ac:dyDescent="0.25">
      <c r="A26" s="3" t="s">
        <v>9</v>
      </c>
      <c r="B26" s="5" t="s">
        <v>10</v>
      </c>
      <c r="N26" s="61" t="s">
        <v>982</v>
      </c>
    </row>
    <row r="27" spans="1:40" ht="18" x14ac:dyDescent="0.2">
      <c r="A27" s="6" t="s">
        <v>11</v>
      </c>
      <c r="B27" s="7" t="s">
        <v>21</v>
      </c>
      <c r="N27" s="66" t="s">
        <v>1016</v>
      </c>
    </row>
    <row r="28" spans="1:40" ht="16" x14ac:dyDescent="0.2">
      <c r="A28" s="6" t="s">
        <v>12</v>
      </c>
      <c r="B28" s="7" t="s">
        <v>22</v>
      </c>
      <c r="N28" s="67" t="s">
        <v>1002</v>
      </c>
    </row>
    <row r="29" spans="1:40" ht="15" customHeight="1" x14ac:dyDescent="0.2">
      <c r="A29" s="6" t="s">
        <v>13</v>
      </c>
      <c r="B29" s="7" t="str">
        <f>"DEP(455000) AND "&amp;$E$6&amp;"=Y,400000"</f>
        <v>DEP(455000) AND D1139=Y,400000</v>
      </c>
      <c r="N29" s="67" t="s">
        <v>986</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748</v>
      </c>
      <c r="AK30" s="209"/>
      <c r="AL30" s="210"/>
      <c r="AM30" s="209" t="s">
        <v>750</v>
      </c>
      <c r="AN30" s="209"/>
    </row>
    <row r="31" spans="1:40" x14ac:dyDescent="0.2">
      <c r="A31" s="6" t="s">
        <v>15</v>
      </c>
      <c r="B31" s="7"/>
      <c r="G31" s="13"/>
      <c r="K31" s="11"/>
      <c r="L31" s="11"/>
      <c r="M31" s="11"/>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tr">
        <f>AA14</f>
        <v>TOTAL</v>
      </c>
      <c r="AB31" s="207"/>
      <c r="AD31" s="540" t="s">
        <v>987</v>
      </c>
      <c r="AE31" s="541"/>
      <c r="AF31" s="211" t="s">
        <v>631</v>
      </c>
      <c r="AG31" s="540" t="s">
        <v>1003</v>
      </c>
      <c r="AH31" s="541"/>
      <c r="AI31" s="211" t="s">
        <v>631</v>
      </c>
      <c r="AJ31" s="211">
        <v>2024</v>
      </c>
      <c r="AK31" s="238">
        <v>2024</v>
      </c>
      <c r="AL31" s="238">
        <v>2023</v>
      </c>
      <c r="AM31" s="211" t="str">
        <f>"vs "&amp;AK31</f>
        <v>vs 2024</v>
      </c>
      <c r="AN31" s="211" t="str">
        <f>"vs "&amp;AL31</f>
        <v>vs 2023</v>
      </c>
    </row>
    <row r="32" spans="1:40" s="232" customFormat="1" ht="30" customHeight="1" x14ac:dyDescent="0.2">
      <c r="A32" s="230" t="s">
        <v>16</v>
      </c>
      <c r="B32" s="231"/>
      <c r="G32" s="317"/>
      <c r="H32" s="233"/>
      <c r="I32" s="234"/>
      <c r="J32" s="234"/>
      <c r="K32" s="235" t="s">
        <v>117</v>
      </c>
      <c r="L32" s="235"/>
      <c r="M32" s="235"/>
      <c r="N32" s="236" t="s">
        <v>120</v>
      </c>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c r="AD32" s="237" t="s">
        <v>959</v>
      </c>
      <c r="AE32" s="238" t="s">
        <v>58</v>
      </c>
      <c r="AF32" s="237" t="s">
        <v>57</v>
      </c>
      <c r="AG32" s="237" t="s">
        <v>957</v>
      </c>
      <c r="AH32" s="238" t="s">
        <v>58</v>
      </c>
      <c r="AI32" s="237" t="s">
        <v>57</v>
      </c>
      <c r="AJ32" s="237" t="str">
        <f>Z32</f>
        <v>Actual</v>
      </c>
      <c r="AK32" s="238" t="str">
        <f>AD32</f>
        <v>Budget</v>
      </c>
      <c r="AL32" s="237" t="str">
        <f>AG32</f>
        <v>Actual</v>
      </c>
      <c r="AM32" s="211" t="s">
        <v>747</v>
      </c>
      <c r="AN32" s="211" t="s">
        <v>747</v>
      </c>
    </row>
    <row r="33" spans="1:40" x14ac:dyDescent="0.2">
      <c r="A33" s="6" t="s">
        <v>17</v>
      </c>
      <c r="B33" s="7"/>
      <c r="H33" s="1" t="s">
        <v>69</v>
      </c>
      <c r="I33" s="11" t="s">
        <v>1006</v>
      </c>
      <c r="J33" s="11" t="s">
        <v>78</v>
      </c>
      <c r="N33" s="37" t="s">
        <v>1013</v>
      </c>
      <c r="O33" s="38"/>
      <c r="P33" s="42"/>
      <c r="Q33" s="42"/>
      <c r="R33" s="42"/>
      <c r="S33" s="42"/>
      <c r="T33" s="42"/>
      <c r="U33" s="42"/>
      <c r="V33" s="42"/>
      <c r="W33" s="42"/>
      <c r="X33" s="42"/>
      <c r="Y33" s="42"/>
      <c r="Z33" s="42"/>
      <c r="AA33" s="42"/>
      <c r="AB33" s="39"/>
      <c r="AD33" s="38"/>
      <c r="AE33" s="42"/>
      <c r="AF33" s="39"/>
      <c r="AG33" s="38"/>
      <c r="AH33" s="42"/>
      <c r="AI33" s="39"/>
    </row>
    <row r="34" spans="1:40" x14ac:dyDescent="0.2">
      <c r="H34" s="10" t="s">
        <v>640</v>
      </c>
      <c r="I34" s="25" t="s">
        <v>1052</v>
      </c>
      <c r="J34" s="25" t="s">
        <v>78</v>
      </c>
      <c r="K34" s="64" t="str">
        <f t="shared" ref="K34:K50" si="0">IF(AND(I34&gt;="T5"),"&gt;","")</f>
        <v>&gt;</v>
      </c>
      <c r="L34" s="24">
        <v>455100</v>
      </c>
      <c r="M34" s="24"/>
      <c r="N34" s="24" t="s">
        <v>1400</v>
      </c>
      <c r="O34" s="295"/>
      <c r="P34" s="296"/>
      <c r="Q34" s="296"/>
      <c r="R34" s="296"/>
      <c r="S34" s="296"/>
      <c r="T34" s="296"/>
      <c r="U34" s="296"/>
      <c r="V34" s="296"/>
      <c r="W34" s="296"/>
      <c r="X34" s="296"/>
      <c r="Y34" s="296"/>
      <c r="Z34" s="296"/>
      <c r="AA34" s="296">
        <f t="shared" ref="AA34:AA50" si="1">IF($I34="B1","",SUM(O34:Z34))</f>
        <v>0</v>
      </c>
      <c r="AB34" s="297" t="str">
        <f t="shared" ref="AB34:AB50" si="2">IF(AA34=0,"",IFERROR(AA34/AA$19,""))</f>
        <v/>
      </c>
      <c r="AC34" s="263"/>
      <c r="AD34" s="296"/>
      <c r="AE34" s="297" t="str">
        <f t="shared" ref="AE34:AE50" si="3">IF(AD34=0,"",IFERROR(AD34/AD$19,""))</f>
        <v/>
      </c>
      <c r="AF34" s="298">
        <f t="shared" ref="AF34:AF50" si="4">IF(AND($AA34="",AD34=""),"",$AA34-AD34)</f>
        <v>0</v>
      </c>
      <c r="AG34" s="296"/>
      <c r="AH34" s="297" t="str">
        <f t="shared" ref="AH34:AH50" si="5">IF(AG34=0,"",IFERROR(AG34/AG$19,""))</f>
        <v/>
      </c>
      <c r="AI34" s="299">
        <f t="shared" ref="AI34:AI50" si="6">IF(AND($AA34="",AG34=""),"",$AA34-AG34)</f>
        <v>0</v>
      </c>
      <c r="AJ34" s="371">
        <f t="shared" ref="AJ34:AJ50" si="7">IFERROR(AA34/AA$20,0)</f>
        <v>0</v>
      </c>
      <c r="AK34" s="372">
        <f t="shared" ref="AK34:AK50" si="8">IFERROR(AD34/AD$20,0)</f>
        <v>0</v>
      </c>
      <c r="AL34" s="373">
        <f t="shared" ref="AL34:AL50" si="9">IFERROR(AG34/AG$20,0)</f>
        <v>0</v>
      </c>
      <c r="AM34" s="374">
        <f t="shared" ref="AM34:AM50" si="10">+IFERROR(ROUND(($AB34-AE34)*100,2)&amp;" pts.",0)</f>
        <v>0</v>
      </c>
      <c r="AN34" s="375">
        <f t="shared" ref="AN34:AN50" si="11">+IFERROR(ROUND(($AB34-AH34)*100,2)&amp;" pts.",0)</f>
        <v>0</v>
      </c>
    </row>
    <row r="35" spans="1:40" x14ac:dyDescent="0.2">
      <c r="A35" s="20" t="s">
        <v>92</v>
      </c>
      <c r="B35" s="21" t="s">
        <v>93</v>
      </c>
      <c r="C35" s="21" t="s">
        <v>94</v>
      </c>
      <c r="D35" s="21" t="s">
        <v>95</v>
      </c>
      <c r="E35" s="21" t="s">
        <v>96</v>
      </c>
      <c r="F35" s="22" t="s">
        <v>97</v>
      </c>
      <c r="H35" s="10" t="s">
        <v>641</v>
      </c>
      <c r="I35" s="25" t="s">
        <v>1052</v>
      </c>
      <c r="J35" s="25" t="s">
        <v>78</v>
      </c>
      <c r="K35" s="64" t="str">
        <f t="shared" si="0"/>
        <v>&gt;</v>
      </c>
      <c r="L35" s="24">
        <v>455200</v>
      </c>
      <c r="M35" s="24"/>
      <c r="N35" s="24" t="s">
        <v>1105</v>
      </c>
      <c r="O35" s="295">
        <v>2048.79</v>
      </c>
      <c r="P35" s="296">
        <v>-5833</v>
      </c>
      <c r="Q35" s="296">
        <v>1709.11</v>
      </c>
      <c r="R35" s="296">
        <v>930.4</v>
      </c>
      <c r="S35" s="296">
        <v>3152.49</v>
      </c>
      <c r="T35" s="296">
        <v>3316.38</v>
      </c>
      <c r="U35" s="296">
        <v>6444.29</v>
      </c>
      <c r="V35" s="296">
        <v>4790.87</v>
      </c>
      <c r="W35" s="296">
        <v>6700</v>
      </c>
      <c r="X35" s="296">
        <v>6700</v>
      </c>
      <c r="Y35" s="296">
        <v>6700</v>
      </c>
      <c r="Z35" s="296">
        <v>12575.12</v>
      </c>
      <c r="AA35" s="296">
        <f t="shared" si="1"/>
        <v>49234.450000000004</v>
      </c>
      <c r="AB35" s="297">
        <f t="shared" si="2"/>
        <v>4.0077667292368793E-2</v>
      </c>
      <c r="AC35" s="263"/>
      <c r="AD35" s="296">
        <v>64055</v>
      </c>
      <c r="AE35" s="297">
        <f t="shared" si="3"/>
        <v>5.4850581509929344E-2</v>
      </c>
      <c r="AF35" s="298">
        <f t="shared" si="4"/>
        <v>-14820.549999999996</v>
      </c>
      <c r="AG35" s="296">
        <v>9788.7099999999991</v>
      </c>
      <c r="AH35" s="297">
        <f t="shared" si="5"/>
        <v>9.7420235925979003E-3</v>
      </c>
      <c r="AI35" s="299">
        <f t="shared" si="6"/>
        <v>39445.740000000005</v>
      </c>
      <c r="AJ35" s="371">
        <f t="shared" si="7"/>
        <v>1.2165665925376823</v>
      </c>
      <c r="AK35" s="372">
        <f t="shared" si="8"/>
        <v>1.5921801595784346</v>
      </c>
      <c r="AL35" s="373">
        <f t="shared" si="9"/>
        <v>0.24541718898861753</v>
      </c>
      <c r="AM35" s="374" t="str">
        <f t="shared" si="10"/>
        <v>-1.48 pts.</v>
      </c>
      <c r="AN35" s="375" t="str">
        <f t="shared" si="11"/>
        <v>3.03 pts.</v>
      </c>
    </row>
    <row r="36" spans="1:40" x14ac:dyDescent="0.2">
      <c r="H36" s="10" t="s">
        <v>642</v>
      </c>
      <c r="I36" s="25" t="s">
        <v>1004</v>
      </c>
      <c r="J36" s="25" t="s">
        <v>1004</v>
      </c>
      <c r="K36" s="64" t="str">
        <f t="shared" si="0"/>
        <v/>
      </c>
      <c r="L36" s="24">
        <v>455250</v>
      </c>
      <c r="M36" s="24">
        <v>206088</v>
      </c>
      <c r="N36" s="24" t="s">
        <v>1401</v>
      </c>
      <c r="O36" s="295"/>
      <c r="P36" s="296"/>
      <c r="Q36" s="296"/>
      <c r="R36" s="296"/>
      <c r="S36" s="296"/>
      <c r="T36" s="296">
        <v>2656.64</v>
      </c>
      <c r="U36" s="296"/>
      <c r="V36" s="296"/>
      <c r="W36" s="296"/>
      <c r="X36" s="296"/>
      <c r="Y36" s="296"/>
      <c r="Z36" s="296"/>
      <c r="AA36" s="296">
        <f t="shared" si="1"/>
        <v>2656.64</v>
      </c>
      <c r="AB36" s="297">
        <f t="shared" si="2"/>
        <v>2.1625494757349503E-3</v>
      </c>
      <c r="AC36" s="263"/>
      <c r="AD36" s="296">
        <v>3706</v>
      </c>
      <c r="AE36" s="297">
        <f t="shared" si="3"/>
        <v>3.1734642896853976E-3</v>
      </c>
      <c r="AF36" s="298">
        <f t="shared" si="4"/>
        <v>-1049.3600000000001</v>
      </c>
      <c r="AG36" s="296">
        <v>3705.66</v>
      </c>
      <c r="AH36" s="297">
        <f t="shared" si="5"/>
        <v>3.6879861744955498E-3</v>
      </c>
      <c r="AI36" s="299">
        <f t="shared" si="6"/>
        <v>-1049.02</v>
      </c>
      <c r="AJ36" s="371">
        <f t="shared" si="7"/>
        <v>6.5644675067951561E-2</v>
      </c>
      <c r="AK36" s="372">
        <f t="shared" si="8"/>
        <v>9.2118018443488853E-2</v>
      </c>
      <c r="AL36" s="373">
        <f t="shared" si="9"/>
        <v>9.2906282906282903E-2</v>
      </c>
      <c r="AM36" s="374" t="str">
        <f t="shared" si="10"/>
        <v>-0.1 pts.</v>
      </c>
      <c r="AN36" s="375" t="str">
        <f t="shared" si="11"/>
        <v>-0.15 pts.</v>
      </c>
    </row>
    <row r="37" spans="1:40" x14ac:dyDescent="0.2">
      <c r="A37" s="1" t="s">
        <v>209</v>
      </c>
      <c r="B37" s="1" t="s">
        <v>21</v>
      </c>
      <c r="C37" s="70"/>
      <c r="D37" s="1" t="s">
        <v>590</v>
      </c>
      <c r="F37" s="1" t="s">
        <v>99</v>
      </c>
      <c r="H37" s="10" t="s">
        <v>643</v>
      </c>
      <c r="I37" s="25" t="s">
        <v>1052</v>
      </c>
      <c r="J37" s="25" t="s">
        <v>78</v>
      </c>
      <c r="K37" s="64" t="str">
        <f t="shared" si="0"/>
        <v>&gt;</v>
      </c>
      <c r="L37" s="24">
        <v>455300</v>
      </c>
      <c r="M37" s="24"/>
      <c r="N37" s="24" t="s">
        <v>1402</v>
      </c>
      <c r="O37" s="295"/>
      <c r="P37" s="296"/>
      <c r="Q37" s="296">
        <v>1946.8</v>
      </c>
      <c r="R37" s="296"/>
      <c r="S37" s="296">
        <v>590.79999999999995</v>
      </c>
      <c r="T37" s="296">
        <v>229</v>
      </c>
      <c r="U37" s="296"/>
      <c r="V37" s="296"/>
      <c r="W37" s="296"/>
      <c r="X37" s="296"/>
      <c r="Y37" s="296">
        <v>2427.8000000000002</v>
      </c>
      <c r="Z37" s="296">
        <v>1271.5999999999999</v>
      </c>
      <c r="AA37" s="296">
        <f t="shared" si="1"/>
        <v>6466</v>
      </c>
      <c r="AB37" s="297">
        <f t="shared" si="2"/>
        <v>5.2634323469127123E-3</v>
      </c>
      <c r="AC37" s="263"/>
      <c r="AD37" s="296">
        <v>6118</v>
      </c>
      <c r="AE37" s="297">
        <f t="shared" si="3"/>
        <v>5.2388706217742212E-3</v>
      </c>
      <c r="AF37" s="298">
        <f t="shared" si="4"/>
        <v>348</v>
      </c>
      <c r="AG37" s="296">
        <v>6117.54</v>
      </c>
      <c r="AH37" s="297">
        <f t="shared" si="5"/>
        <v>6.0883629210244624E-3</v>
      </c>
      <c r="AI37" s="299">
        <f t="shared" si="6"/>
        <v>348.46000000000004</v>
      </c>
      <c r="AJ37" s="371">
        <f t="shared" si="7"/>
        <v>0.15977267111440574</v>
      </c>
      <c r="AK37" s="372">
        <f t="shared" si="8"/>
        <v>0.15207178543908925</v>
      </c>
      <c r="AL37" s="373">
        <f t="shared" si="9"/>
        <v>0.15337562051847767</v>
      </c>
      <c r="AM37" s="374" t="str">
        <f t="shared" si="10"/>
        <v>0 pts.</v>
      </c>
      <c r="AN37" s="375" t="str">
        <f t="shared" si="11"/>
        <v>-0.08 pts.</v>
      </c>
    </row>
    <row r="38" spans="1:40" x14ac:dyDescent="0.2">
      <c r="A38" s="1" t="s">
        <v>105</v>
      </c>
      <c r="C38" s="24" t="s">
        <v>101</v>
      </c>
      <c r="D38" s="1" t="s">
        <v>106</v>
      </c>
      <c r="F38" s="1" t="s">
        <v>98</v>
      </c>
      <c r="H38" s="10" t="s">
        <v>644</v>
      </c>
      <c r="I38" s="25" t="s">
        <v>1052</v>
      </c>
      <c r="J38" s="25" t="s">
        <v>78</v>
      </c>
      <c r="K38" s="64" t="str">
        <f t="shared" si="0"/>
        <v>&gt;</v>
      </c>
      <c r="L38" s="24">
        <v>455400</v>
      </c>
      <c r="M38" s="24"/>
      <c r="N38" s="24" t="s">
        <v>1403</v>
      </c>
      <c r="O38" s="295">
        <v>1484.62</v>
      </c>
      <c r="P38" s="296">
        <v>28655.43</v>
      </c>
      <c r="Q38" s="296">
        <v>1360.54</v>
      </c>
      <c r="R38" s="296">
        <v>6592.02</v>
      </c>
      <c r="S38" s="296">
        <v>6284.18</v>
      </c>
      <c r="T38" s="296">
        <v>953.31</v>
      </c>
      <c r="U38" s="296">
        <v>2138.63</v>
      </c>
      <c r="V38" s="296">
        <v>1149.57</v>
      </c>
      <c r="W38" s="296">
        <v>646.73</v>
      </c>
      <c r="X38" s="296">
        <v>2665.42</v>
      </c>
      <c r="Y38" s="296">
        <v>1642.93</v>
      </c>
      <c r="Z38" s="296">
        <v>1311.25</v>
      </c>
      <c r="AA38" s="296">
        <f t="shared" si="1"/>
        <v>54884.63</v>
      </c>
      <c r="AB38" s="297">
        <f t="shared" si="2"/>
        <v>4.4677008489071426E-2</v>
      </c>
      <c r="AC38" s="263"/>
      <c r="AD38" s="296">
        <v>23137</v>
      </c>
      <c r="AE38" s="297">
        <f t="shared" si="3"/>
        <v>1.9812316047072599E-2</v>
      </c>
      <c r="AF38" s="298">
        <f t="shared" si="4"/>
        <v>31747.629999999997</v>
      </c>
      <c r="AG38" s="296">
        <v>24859.83</v>
      </c>
      <c r="AH38" s="297">
        <f t="shared" si="5"/>
        <v>2.4741263186668427E-2</v>
      </c>
      <c r="AI38" s="299">
        <f t="shared" si="6"/>
        <v>30024.799999999996</v>
      </c>
      <c r="AJ38" s="371">
        <f t="shared" si="7"/>
        <v>1.3561806276254014</v>
      </c>
      <c r="AK38" s="372">
        <f t="shared" si="8"/>
        <v>0.57510377569535931</v>
      </c>
      <c r="AL38" s="373">
        <f t="shared" si="9"/>
        <v>0.62327207541493257</v>
      </c>
      <c r="AM38" s="374" t="str">
        <f t="shared" si="10"/>
        <v>2.49 pts.</v>
      </c>
      <c r="AN38" s="375" t="str">
        <f t="shared" si="11"/>
        <v>1.99 pts.</v>
      </c>
    </row>
    <row r="39" spans="1:40" x14ac:dyDescent="0.2">
      <c r="A39" s="1" t="s">
        <v>104</v>
      </c>
      <c r="C39" s="24" t="s">
        <v>101</v>
      </c>
      <c r="D39" s="1" t="s">
        <v>106</v>
      </c>
      <c r="F39" s="1" t="s">
        <v>98</v>
      </c>
      <c r="H39" s="10" t="s">
        <v>645</v>
      </c>
      <c r="I39" s="25" t="s">
        <v>1004</v>
      </c>
      <c r="J39" s="25" t="s">
        <v>1004</v>
      </c>
      <c r="K39" s="64" t="str">
        <f t="shared" si="0"/>
        <v/>
      </c>
      <c r="L39" s="24">
        <v>455500</v>
      </c>
      <c r="M39" s="24">
        <v>206065</v>
      </c>
      <c r="N39" s="24" t="s">
        <v>1404</v>
      </c>
      <c r="O39" s="295"/>
      <c r="P39" s="296"/>
      <c r="Q39" s="296"/>
      <c r="R39" s="296"/>
      <c r="S39" s="296"/>
      <c r="T39" s="296"/>
      <c r="U39" s="296"/>
      <c r="V39" s="296"/>
      <c r="W39" s="296"/>
      <c r="X39" s="296"/>
      <c r="Y39" s="296"/>
      <c r="Z39" s="296"/>
      <c r="AA39" s="296">
        <f t="shared" si="1"/>
        <v>0</v>
      </c>
      <c r="AB39" s="297" t="str">
        <f t="shared" si="2"/>
        <v/>
      </c>
      <c r="AC39" s="263"/>
      <c r="AD39" s="296"/>
      <c r="AE39" s="297" t="str">
        <f t="shared" si="3"/>
        <v/>
      </c>
      <c r="AF39" s="298">
        <f t="shared" si="4"/>
        <v>0</v>
      </c>
      <c r="AG39" s="296"/>
      <c r="AH39" s="297" t="str">
        <f t="shared" si="5"/>
        <v/>
      </c>
      <c r="AI39" s="299">
        <f t="shared" si="6"/>
        <v>0</v>
      </c>
      <c r="AJ39" s="371">
        <f t="shared" si="7"/>
        <v>0</v>
      </c>
      <c r="AK39" s="372">
        <f t="shared" si="8"/>
        <v>0</v>
      </c>
      <c r="AL39" s="373">
        <f t="shared" si="9"/>
        <v>0</v>
      </c>
      <c r="AM39" s="374">
        <f t="shared" si="10"/>
        <v>0</v>
      </c>
      <c r="AN39" s="375">
        <f t="shared" si="11"/>
        <v>0</v>
      </c>
    </row>
    <row r="40" spans="1:40" x14ac:dyDescent="0.2">
      <c r="A40" s="1" t="s">
        <v>108</v>
      </c>
      <c r="C40" s="23" t="s">
        <v>101</v>
      </c>
      <c r="D40" s="1" t="s">
        <v>106</v>
      </c>
      <c r="F40" s="1" t="s">
        <v>98</v>
      </c>
      <c r="H40" s="10" t="s">
        <v>646</v>
      </c>
      <c r="I40" s="25" t="s">
        <v>1004</v>
      </c>
      <c r="J40" s="25" t="s">
        <v>1004</v>
      </c>
      <c r="K40" s="64" t="str">
        <f t="shared" si="0"/>
        <v/>
      </c>
      <c r="L40" s="24">
        <v>455510</v>
      </c>
      <c r="M40" s="24">
        <v>207065</v>
      </c>
      <c r="N40" s="24" t="s">
        <v>1369</v>
      </c>
      <c r="O40" s="295"/>
      <c r="P40" s="296"/>
      <c r="Q40" s="296"/>
      <c r="R40" s="296"/>
      <c r="S40" s="296"/>
      <c r="T40" s="296"/>
      <c r="U40" s="296"/>
      <c r="V40" s="296"/>
      <c r="W40" s="296"/>
      <c r="X40" s="296"/>
      <c r="Y40" s="296"/>
      <c r="Z40" s="296"/>
      <c r="AA40" s="296">
        <f t="shared" si="1"/>
        <v>0</v>
      </c>
      <c r="AB40" s="297" t="str">
        <f t="shared" si="2"/>
        <v/>
      </c>
      <c r="AC40" s="263"/>
      <c r="AD40" s="296"/>
      <c r="AE40" s="297" t="str">
        <f t="shared" si="3"/>
        <v/>
      </c>
      <c r="AF40" s="298">
        <f t="shared" si="4"/>
        <v>0</v>
      </c>
      <c r="AG40" s="296"/>
      <c r="AH40" s="297" t="str">
        <f t="shared" si="5"/>
        <v/>
      </c>
      <c r="AI40" s="299">
        <f t="shared" si="6"/>
        <v>0</v>
      </c>
      <c r="AJ40" s="371">
        <f t="shared" si="7"/>
        <v>0</v>
      </c>
      <c r="AK40" s="372">
        <f t="shared" si="8"/>
        <v>0</v>
      </c>
      <c r="AL40" s="373">
        <f t="shared" si="9"/>
        <v>0</v>
      </c>
      <c r="AM40" s="374">
        <f t="shared" si="10"/>
        <v>0</v>
      </c>
      <c r="AN40" s="375">
        <f t="shared" si="11"/>
        <v>0</v>
      </c>
    </row>
    <row r="41" spans="1:40" x14ac:dyDescent="0.2">
      <c r="A41" s="1" t="s">
        <v>108</v>
      </c>
      <c r="C41" s="135" t="s">
        <v>101</v>
      </c>
      <c r="D41" s="1" t="s">
        <v>107</v>
      </c>
      <c r="F41" s="1" t="s">
        <v>99</v>
      </c>
      <c r="H41" s="10" t="s">
        <v>647</v>
      </c>
      <c r="I41" s="25" t="s">
        <v>1004</v>
      </c>
      <c r="J41" s="25" t="s">
        <v>1004</v>
      </c>
      <c r="K41" s="64" t="str">
        <f t="shared" si="0"/>
        <v/>
      </c>
      <c r="L41" s="24">
        <v>455550</v>
      </c>
      <c r="M41" s="24">
        <v>207070</v>
      </c>
      <c r="N41" s="24" t="s">
        <v>1405</v>
      </c>
      <c r="O41" s="295"/>
      <c r="P41" s="296"/>
      <c r="Q41" s="296"/>
      <c r="R41" s="296"/>
      <c r="S41" s="296"/>
      <c r="T41" s="296"/>
      <c r="U41" s="296"/>
      <c r="V41" s="296"/>
      <c r="W41" s="296"/>
      <c r="X41" s="296"/>
      <c r="Y41" s="296"/>
      <c r="Z41" s="296"/>
      <c r="AA41" s="296">
        <f t="shared" si="1"/>
        <v>0</v>
      </c>
      <c r="AB41" s="297" t="str">
        <f t="shared" si="2"/>
        <v/>
      </c>
      <c r="AC41" s="263"/>
      <c r="AD41" s="296"/>
      <c r="AE41" s="297" t="str">
        <f t="shared" si="3"/>
        <v/>
      </c>
      <c r="AF41" s="298">
        <f t="shared" si="4"/>
        <v>0</v>
      </c>
      <c r="AG41" s="296"/>
      <c r="AH41" s="297" t="str">
        <f t="shared" si="5"/>
        <v/>
      </c>
      <c r="AI41" s="299">
        <f t="shared" si="6"/>
        <v>0</v>
      </c>
      <c r="AJ41" s="371">
        <f t="shared" si="7"/>
        <v>0</v>
      </c>
      <c r="AK41" s="372">
        <f t="shared" si="8"/>
        <v>0</v>
      </c>
      <c r="AL41" s="373">
        <f t="shared" si="9"/>
        <v>0</v>
      </c>
      <c r="AM41" s="374">
        <f t="shared" si="10"/>
        <v>0</v>
      </c>
      <c r="AN41" s="375">
        <f t="shared" si="11"/>
        <v>0</v>
      </c>
    </row>
    <row r="42" spans="1:40" x14ac:dyDescent="0.2">
      <c r="H42" s="10" t="s">
        <v>648</v>
      </c>
      <c r="I42" s="25" t="s">
        <v>1004</v>
      </c>
      <c r="J42" s="25" t="s">
        <v>1004</v>
      </c>
      <c r="K42" s="64" t="str">
        <f t="shared" si="0"/>
        <v/>
      </c>
      <c r="L42" s="24">
        <v>455560</v>
      </c>
      <c r="M42" s="24">
        <v>207075</v>
      </c>
      <c r="N42" s="24" t="s">
        <v>1406</v>
      </c>
      <c r="O42" s="295"/>
      <c r="P42" s="296"/>
      <c r="Q42" s="296"/>
      <c r="R42" s="296"/>
      <c r="S42" s="296"/>
      <c r="T42" s="296"/>
      <c r="U42" s="296"/>
      <c r="V42" s="296"/>
      <c r="W42" s="296"/>
      <c r="X42" s="296"/>
      <c r="Y42" s="296"/>
      <c r="Z42" s="296"/>
      <c r="AA42" s="296">
        <f t="shared" si="1"/>
        <v>0</v>
      </c>
      <c r="AB42" s="297" t="str">
        <f t="shared" si="2"/>
        <v/>
      </c>
      <c r="AC42" s="263"/>
      <c r="AD42" s="296"/>
      <c r="AE42" s="297" t="str">
        <f t="shared" si="3"/>
        <v/>
      </c>
      <c r="AF42" s="298">
        <f t="shared" si="4"/>
        <v>0</v>
      </c>
      <c r="AG42" s="296"/>
      <c r="AH42" s="297" t="str">
        <f t="shared" si="5"/>
        <v/>
      </c>
      <c r="AI42" s="299">
        <f t="shared" si="6"/>
        <v>0</v>
      </c>
      <c r="AJ42" s="371">
        <f t="shared" si="7"/>
        <v>0</v>
      </c>
      <c r="AK42" s="372">
        <f t="shared" si="8"/>
        <v>0</v>
      </c>
      <c r="AL42" s="373">
        <f t="shared" si="9"/>
        <v>0</v>
      </c>
      <c r="AM42" s="374">
        <f t="shared" si="10"/>
        <v>0</v>
      </c>
      <c r="AN42" s="375">
        <f t="shared" si="11"/>
        <v>0</v>
      </c>
    </row>
    <row r="43" spans="1:40" x14ac:dyDescent="0.2">
      <c r="H43" s="10" t="s">
        <v>649</v>
      </c>
      <c r="I43" s="25" t="s">
        <v>1004</v>
      </c>
      <c r="J43" s="25" t="s">
        <v>1004</v>
      </c>
      <c r="K43" s="64" t="str">
        <f t="shared" si="0"/>
        <v/>
      </c>
      <c r="L43" s="24">
        <v>455565</v>
      </c>
      <c r="M43" s="24">
        <v>207080</v>
      </c>
      <c r="N43" s="24" t="s">
        <v>1407</v>
      </c>
      <c r="O43" s="295"/>
      <c r="P43" s="296"/>
      <c r="Q43" s="296"/>
      <c r="R43" s="296"/>
      <c r="S43" s="296"/>
      <c r="T43" s="296"/>
      <c r="U43" s="296"/>
      <c r="V43" s="296"/>
      <c r="W43" s="296"/>
      <c r="X43" s="296"/>
      <c r="Y43" s="296"/>
      <c r="Z43" s="296"/>
      <c r="AA43" s="296">
        <f t="shared" si="1"/>
        <v>0</v>
      </c>
      <c r="AB43" s="297" t="str">
        <f t="shared" si="2"/>
        <v/>
      </c>
      <c r="AC43" s="263"/>
      <c r="AD43" s="296"/>
      <c r="AE43" s="297" t="str">
        <f t="shared" si="3"/>
        <v/>
      </c>
      <c r="AF43" s="298">
        <f t="shared" si="4"/>
        <v>0</v>
      </c>
      <c r="AG43" s="296"/>
      <c r="AH43" s="297" t="str">
        <f t="shared" si="5"/>
        <v/>
      </c>
      <c r="AI43" s="299">
        <f t="shared" si="6"/>
        <v>0</v>
      </c>
      <c r="AJ43" s="371">
        <f t="shared" si="7"/>
        <v>0</v>
      </c>
      <c r="AK43" s="372">
        <f t="shared" si="8"/>
        <v>0</v>
      </c>
      <c r="AL43" s="373">
        <f t="shared" si="9"/>
        <v>0</v>
      </c>
      <c r="AM43" s="374">
        <f t="shared" si="10"/>
        <v>0</v>
      </c>
      <c r="AN43" s="375">
        <f t="shared" si="11"/>
        <v>0</v>
      </c>
    </row>
    <row r="44" spans="1:40" x14ac:dyDescent="0.2">
      <c r="A44" s="3" t="s">
        <v>23</v>
      </c>
      <c r="B44" s="5" t="s">
        <v>24</v>
      </c>
      <c r="H44" s="10" t="s">
        <v>650</v>
      </c>
      <c r="I44" s="25" t="s">
        <v>1004</v>
      </c>
      <c r="J44" s="25" t="s">
        <v>1004</v>
      </c>
      <c r="K44" s="64" t="str">
        <f t="shared" si="0"/>
        <v/>
      </c>
      <c r="L44" s="24">
        <v>455570</v>
      </c>
      <c r="M44" s="24" t="s">
        <v>1319</v>
      </c>
      <c r="N44" s="24" t="s">
        <v>1408</v>
      </c>
      <c r="O44" s="295"/>
      <c r="P44" s="296"/>
      <c r="Q44" s="296"/>
      <c r="R44" s="296"/>
      <c r="S44" s="296"/>
      <c r="T44" s="296"/>
      <c r="U44" s="296"/>
      <c r="V44" s="296"/>
      <c r="W44" s="296"/>
      <c r="X44" s="296"/>
      <c r="Y44" s="296"/>
      <c r="Z44" s="296"/>
      <c r="AA44" s="296">
        <f t="shared" si="1"/>
        <v>0</v>
      </c>
      <c r="AB44" s="297" t="str">
        <f t="shared" si="2"/>
        <v/>
      </c>
      <c r="AC44" s="263"/>
      <c r="AD44" s="296"/>
      <c r="AE44" s="297" t="str">
        <f t="shared" si="3"/>
        <v/>
      </c>
      <c r="AF44" s="298">
        <f t="shared" si="4"/>
        <v>0</v>
      </c>
      <c r="AG44" s="296"/>
      <c r="AH44" s="297" t="str">
        <f t="shared" si="5"/>
        <v/>
      </c>
      <c r="AI44" s="299">
        <f t="shared" si="6"/>
        <v>0</v>
      </c>
      <c r="AJ44" s="371">
        <f t="shared" si="7"/>
        <v>0</v>
      </c>
      <c r="AK44" s="372">
        <f t="shared" si="8"/>
        <v>0</v>
      </c>
      <c r="AL44" s="373">
        <f t="shared" si="9"/>
        <v>0</v>
      </c>
      <c r="AM44" s="374">
        <f t="shared" si="10"/>
        <v>0</v>
      </c>
      <c r="AN44" s="375">
        <f t="shared" si="11"/>
        <v>0</v>
      </c>
    </row>
    <row r="45" spans="1:40" ht="14.25" customHeight="1" x14ac:dyDescent="0.2">
      <c r="A45" s="6" t="s">
        <v>25</v>
      </c>
      <c r="B45" s="7"/>
      <c r="H45" s="10" t="s">
        <v>651</v>
      </c>
      <c r="I45" s="25" t="s">
        <v>1052</v>
      </c>
      <c r="J45" s="25" t="s">
        <v>78</v>
      </c>
      <c r="K45" s="64" t="str">
        <f t="shared" si="0"/>
        <v>&gt;</v>
      </c>
      <c r="L45" s="24">
        <v>455575</v>
      </c>
      <c r="M45" s="24"/>
      <c r="N45" s="24" t="s">
        <v>1409</v>
      </c>
      <c r="O45" s="295"/>
      <c r="P45" s="296"/>
      <c r="Q45" s="296"/>
      <c r="R45" s="296"/>
      <c r="S45" s="296"/>
      <c r="T45" s="296"/>
      <c r="U45" s="296"/>
      <c r="V45" s="296"/>
      <c r="W45" s="296">
        <v>0</v>
      </c>
      <c r="X45" s="296">
        <v>0</v>
      </c>
      <c r="Y45" s="296"/>
      <c r="Z45" s="296">
        <v>76.959999999999994</v>
      </c>
      <c r="AA45" s="296">
        <f t="shared" si="1"/>
        <v>76.959999999999994</v>
      </c>
      <c r="AB45" s="297">
        <f t="shared" si="2"/>
        <v>6.2646729572904785E-5</v>
      </c>
      <c r="AC45" s="263"/>
      <c r="AD45" s="296"/>
      <c r="AE45" s="297" t="str">
        <f t="shared" si="3"/>
        <v/>
      </c>
      <c r="AF45" s="298">
        <f t="shared" si="4"/>
        <v>76.959999999999994</v>
      </c>
      <c r="AG45" s="296"/>
      <c r="AH45" s="297" t="str">
        <f t="shared" si="5"/>
        <v/>
      </c>
      <c r="AI45" s="299">
        <f t="shared" si="6"/>
        <v>76.959999999999994</v>
      </c>
      <c r="AJ45" s="371">
        <f t="shared" si="7"/>
        <v>1.9016555473190017E-3</v>
      </c>
      <c r="AK45" s="372">
        <f t="shared" si="8"/>
        <v>0</v>
      </c>
      <c r="AL45" s="373">
        <f t="shared" si="9"/>
        <v>0</v>
      </c>
      <c r="AM45" s="374">
        <f t="shared" si="10"/>
        <v>0</v>
      </c>
      <c r="AN45" s="375">
        <f t="shared" si="11"/>
        <v>0</v>
      </c>
    </row>
    <row r="46" spans="1:40" x14ac:dyDescent="0.2">
      <c r="A46" s="6" t="s">
        <v>26</v>
      </c>
      <c r="B46" s="7"/>
      <c r="H46" s="10" t="s">
        <v>652</v>
      </c>
      <c r="I46" s="25" t="s">
        <v>1004</v>
      </c>
      <c r="J46" s="25" t="s">
        <v>1004</v>
      </c>
      <c r="K46" s="64" t="str">
        <f t="shared" si="0"/>
        <v/>
      </c>
      <c r="L46" s="24">
        <v>455580</v>
      </c>
      <c r="M46" s="24">
        <v>207095</v>
      </c>
      <c r="N46" s="24" t="s">
        <v>1410</v>
      </c>
      <c r="O46" s="295">
        <v>84024.22</v>
      </c>
      <c r="P46" s="296">
        <v>78056.179999999993</v>
      </c>
      <c r="Q46" s="296">
        <v>96587.72</v>
      </c>
      <c r="R46" s="296">
        <v>105262.75</v>
      </c>
      <c r="S46" s="296">
        <v>100891.8</v>
      </c>
      <c r="T46" s="296">
        <v>86152.95</v>
      </c>
      <c r="U46" s="296">
        <v>94092.06</v>
      </c>
      <c r="V46" s="296">
        <v>95461.38</v>
      </c>
      <c r="W46" s="296">
        <v>68022.320000000007</v>
      </c>
      <c r="X46" s="296">
        <v>92734.85</v>
      </c>
      <c r="Y46" s="296">
        <v>103751.83</v>
      </c>
      <c r="Z46" s="296">
        <v>110119.2</v>
      </c>
      <c r="AA46" s="296">
        <f t="shared" si="1"/>
        <v>1115157.2599999998</v>
      </c>
      <c r="AB46" s="297">
        <f t="shared" si="2"/>
        <v>0.9077566956663391</v>
      </c>
      <c r="AC46" s="263"/>
      <c r="AD46" s="296">
        <v>1070792.95</v>
      </c>
      <c r="AE46" s="297">
        <f t="shared" si="3"/>
        <v>0.9169247675315384</v>
      </c>
      <c r="AF46" s="298">
        <f t="shared" si="4"/>
        <v>44364.309999999823</v>
      </c>
      <c r="AG46" s="296">
        <v>960320.53</v>
      </c>
      <c r="AH46" s="297">
        <f t="shared" si="5"/>
        <v>0.95574036412521368</v>
      </c>
      <c r="AI46" s="299">
        <f t="shared" si="6"/>
        <v>154836.72999999975</v>
      </c>
      <c r="AJ46" s="371">
        <f t="shared" si="7"/>
        <v>27.555158388930067</v>
      </c>
      <c r="AK46" s="372">
        <f t="shared" si="8"/>
        <v>26.616115681936815</v>
      </c>
      <c r="AL46" s="373">
        <f t="shared" si="9"/>
        <v>24.07663165020308</v>
      </c>
      <c r="AM46" s="374" t="str">
        <f t="shared" si="10"/>
        <v>-0.92 pts.</v>
      </c>
      <c r="AN46" s="375" t="str">
        <f t="shared" si="11"/>
        <v>-4.8 pts.</v>
      </c>
    </row>
    <row r="47" spans="1:40" x14ac:dyDescent="0.2">
      <c r="A47" s="6" t="s">
        <v>27</v>
      </c>
      <c r="B47" s="7"/>
      <c r="H47" s="10" t="s">
        <v>653</v>
      </c>
      <c r="I47" s="25" t="s">
        <v>1004</v>
      </c>
      <c r="J47" s="25" t="s">
        <v>1004</v>
      </c>
      <c r="K47" s="64" t="str">
        <f t="shared" si="0"/>
        <v/>
      </c>
      <c r="L47" s="24">
        <v>455600</v>
      </c>
      <c r="M47" s="24">
        <v>290040</v>
      </c>
      <c r="N47" s="24" t="s">
        <v>1411</v>
      </c>
      <c r="O47" s="295"/>
      <c r="P47" s="296"/>
      <c r="Q47" s="296"/>
      <c r="R47" s="296"/>
      <c r="S47" s="296"/>
      <c r="T47" s="296"/>
      <c r="U47" s="296"/>
      <c r="V47" s="296"/>
      <c r="W47" s="296"/>
      <c r="X47" s="296"/>
      <c r="Y47" s="296"/>
      <c r="Z47" s="296"/>
      <c r="AA47" s="296">
        <f t="shared" si="1"/>
        <v>0</v>
      </c>
      <c r="AB47" s="297" t="str">
        <f t="shared" si="2"/>
        <v/>
      </c>
      <c r="AC47" s="263"/>
      <c r="AD47" s="296"/>
      <c r="AE47" s="297" t="str">
        <f t="shared" si="3"/>
        <v/>
      </c>
      <c r="AF47" s="298">
        <f t="shared" si="4"/>
        <v>0</v>
      </c>
      <c r="AG47" s="296"/>
      <c r="AH47" s="297" t="str">
        <f t="shared" si="5"/>
        <v/>
      </c>
      <c r="AI47" s="299">
        <f t="shared" si="6"/>
        <v>0</v>
      </c>
      <c r="AJ47" s="371">
        <f t="shared" si="7"/>
        <v>0</v>
      </c>
      <c r="AK47" s="372">
        <f t="shared" si="8"/>
        <v>0</v>
      </c>
      <c r="AL47" s="373">
        <f t="shared" si="9"/>
        <v>0</v>
      </c>
      <c r="AM47" s="374">
        <f t="shared" si="10"/>
        <v>0</v>
      </c>
      <c r="AN47" s="375">
        <f t="shared" si="11"/>
        <v>0</v>
      </c>
    </row>
    <row r="48" spans="1:40" x14ac:dyDescent="0.2">
      <c r="A48" s="6" t="s">
        <v>28</v>
      </c>
      <c r="B48" s="7"/>
      <c r="H48" s="10" t="s">
        <v>654</v>
      </c>
      <c r="I48" s="25" t="s">
        <v>1004</v>
      </c>
      <c r="J48" s="25" t="s">
        <v>1004</v>
      </c>
      <c r="K48" s="64" t="str">
        <f t="shared" si="0"/>
        <v/>
      </c>
      <c r="L48" s="24">
        <v>455610</v>
      </c>
      <c r="M48" s="24" t="s">
        <v>1319</v>
      </c>
      <c r="N48" s="24" t="s">
        <v>1372</v>
      </c>
      <c r="O48" s="295"/>
      <c r="P48" s="296"/>
      <c r="Q48" s="296"/>
      <c r="R48" s="296"/>
      <c r="S48" s="296"/>
      <c r="T48" s="296"/>
      <c r="U48" s="296"/>
      <c r="V48" s="296"/>
      <c r="W48" s="296"/>
      <c r="X48" s="296"/>
      <c r="Y48" s="296"/>
      <c r="Z48" s="296"/>
      <c r="AA48" s="296">
        <f t="shared" si="1"/>
        <v>0</v>
      </c>
      <c r="AB48" s="297" t="str">
        <f t="shared" si="2"/>
        <v/>
      </c>
      <c r="AC48" s="263"/>
      <c r="AD48" s="296"/>
      <c r="AE48" s="297" t="str">
        <f t="shared" si="3"/>
        <v/>
      </c>
      <c r="AF48" s="298">
        <f t="shared" si="4"/>
        <v>0</v>
      </c>
      <c r="AG48" s="296"/>
      <c r="AH48" s="297" t="str">
        <f t="shared" si="5"/>
        <v/>
      </c>
      <c r="AI48" s="299">
        <f t="shared" si="6"/>
        <v>0</v>
      </c>
      <c r="AJ48" s="371">
        <f t="shared" si="7"/>
        <v>0</v>
      </c>
      <c r="AK48" s="372">
        <f t="shared" si="8"/>
        <v>0</v>
      </c>
      <c r="AL48" s="373">
        <f t="shared" si="9"/>
        <v>0</v>
      </c>
      <c r="AM48" s="374">
        <f t="shared" si="10"/>
        <v>0</v>
      </c>
      <c r="AN48" s="375">
        <f t="shared" si="11"/>
        <v>0</v>
      </c>
    </row>
    <row r="49" spans="1:40" x14ac:dyDescent="0.2">
      <c r="A49" s="6" t="s">
        <v>29</v>
      </c>
      <c r="B49" s="7"/>
      <c r="H49" s="10" t="s">
        <v>655</v>
      </c>
      <c r="I49" s="25" t="s">
        <v>1004</v>
      </c>
      <c r="J49" s="25" t="s">
        <v>1004</v>
      </c>
      <c r="K49" s="64" t="str">
        <f t="shared" si="0"/>
        <v/>
      </c>
      <c r="L49" s="24">
        <v>455650</v>
      </c>
      <c r="M49" s="24">
        <v>290098</v>
      </c>
      <c r="N49" s="24" t="s">
        <v>586</v>
      </c>
      <c r="O49" s="295"/>
      <c r="P49" s="296"/>
      <c r="Q49" s="296"/>
      <c r="R49" s="296"/>
      <c r="S49" s="296"/>
      <c r="T49" s="296"/>
      <c r="U49" s="296"/>
      <c r="V49" s="296"/>
      <c r="W49" s="296"/>
      <c r="X49" s="296"/>
      <c r="Y49" s="296"/>
      <c r="Z49" s="296"/>
      <c r="AA49" s="296">
        <f t="shared" si="1"/>
        <v>0</v>
      </c>
      <c r="AB49" s="297" t="str">
        <f t="shared" si="2"/>
        <v/>
      </c>
      <c r="AC49" s="263"/>
      <c r="AD49" s="296"/>
      <c r="AE49" s="297" t="str">
        <f t="shared" si="3"/>
        <v/>
      </c>
      <c r="AF49" s="298">
        <f t="shared" si="4"/>
        <v>0</v>
      </c>
      <c r="AG49" s="296"/>
      <c r="AH49" s="297" t="str">
        <f t="shared" si="5"/>
        <v/>
      </c>
      <c r="AI49" s="299">
        <f t="shared" si="6"/>
        <v>0</v>
      </c>
      <c r="AJ49" s="381">
        <f t="shared" si="7"/>
        <v>0</v>
      </c>
      <c r="AK49" s="382">
        <f t="shared" si="8"/>
        <v>0</v>
      </c>
      <c r="AL49" s="383">
        <f t="shared" si="9"/>
        <v>0</v>
      </c>
      <c r="AM49" s="384">
        <f t="shared" si="10"/>
        <v>0</v>
      </c>
      <c r="AN49" s="385">
        <f t="shared" si="11"/>
        <v>0</v>
      </c>
    </row>
    <row r="50" spans="1:40" x14ac:dyDescent="0.2">
      <c r="A50" s="6" t="s">
        <v>30</v>
      </c>
      <c r="B50" s="7" t="s">
        <v>78</v>
      </c>
      <c r="H50" s="10" t="s">
        <v>280</v>
      </c>
      <c r="I50" s="447" t="s">
        <v>1007</v>
      </c>
      <c r="J50" s="447" t="s">
        <v>78</v>
      </c>
      <c r="K50" s="448" t="str">
        <f t="shared" si="0"/>
        <v/>
      </c>
      <c r="L50" s="151">
        <v>400000</v>
      </c>
      <c r="M50" s="151"/>
      <c r="N50" s="151" t="s">
        <v>1001</v>
      </c>
      <c r="O50" s="202">
        <v>87557.63</v>
      </c>
      <c r="P50" s="120">
        <v>100878.61</v>
      </c>
      <c r="Q50" s="120">
        <v>101604.17</v>
      </c>
      <c r="R50" s="120">
        <v>112785.17</v>
      </c>
      <c r="S50" s="120">
        <v>110919.27</v>
      </c>
      <c r="T50" s="120">
        <v>93308.28</v>
      </c>
      <c r="U50" s="120">
        <v>102674.98</v>
      </c>
      <c r="V50" s="120">
        <v>101401.82</v>
      </c>
      <c r="W50" s="120">
        <v>75369.05</v>
      </c>
      <c r="X50" s="120">
        <v>102100.27</v>
      </c>
      <c r="Y50" s="120">
        <v>114522.56</v>
      </c>
      <c r="Z50" s="120">
        <v>125354.13</v>
      </c>
      <c r="AA50" s="120">
        <f t="shared" si="1"/>
        <v>1228475.94</v>
      </c>
      <c r="AB50" s="121">
        <f t="shared" si="2"/>
        <v>1</v>
      </c>
      <c r="AC50" s="123"/>
      <c r="AD50" s="120">
        <v>1167808.95</v>
      </c>
      <c r="AE50" s="121">
        <f t="shared" si="3"/>
        <v>1</v>
      </c>
      <c r="AF50" s="122">
        <f t="shared" si="4"/>
        <v>60666.989999999991</v>
      </c>
      <c r="AG50" s="120">
        <v>1004792.27</v>
      </c>
      <c r="AH50" s="121">
        <f t="shared" si="5"/>
        <v>1</v>
      </c>
      <c r="AI50" s="264">
        <f t="shared" si="6"/>
        <v>223683.66999999993</v>
      </c>
      <c r="AJ50" s="332">
        <f t="shared" si="7"/>
        <v>30.35522461082283</v>
      </c>
      <c r="AK50" s="333">
        <f t="shared" si="8"/>
        <v>29.027589421093186</v>
      </c>
      <c r="AL50" s="335">
        <f t="shared" si="9"/>
        <v>25.191602818031392</v>
      </c>
      <c r="AM50" s="377" t="str">
        <f t="shared" si="10"/>
        <v>0 pts.</v>
      </c>
      <c r="AN50" s="378" t="str">
        <f t="shared" si="11"/>
        <v>0 pts.</v>
      </c>
    </row>
    <row r="51" spans="1:40" x14ac:dyDescent="0.2">
      <c r="A51" s="6" t="s">
        <v>31</v>
      </c>
      <c r="B51" s="7" t="s">
        <v>78</v>
      </c>
      <c r="I51" s="1"/>
      <c r="J51" s="1"/>
    </row>
    <row r="52" spans="1:40" ht="16" thickBot="1" x14ac:dyDescent="0.25">
      <c r="A52" s="6" t="s">
        <v>32</v>
      </c>
      <c r="B52" s="7"/>
      <c r="H52" s="10" t="s">
        <v>81</v>
      </c>
      <c r="I52" s="25" t="s">
        <v>1007</v>
      </c>
      <c r="J52" s="25" t="s">
        <v>78</v>
      </c>
      <c r="K52" s="23"/>
      <c r="L52" s="23"/>
      <c r="M52" s="23"/>
      <c r="N52" s="23" t="s">
        <v>1113</v>
      </c>
      <c r="O52" s="58">
        <v>87557.63</v>
      </c>
      <c r="P52" s="58">
        <v>100878.61</v>
      </c>
      <c r="Q52" s="58">
        <v>101604.17</v>
      </c>
      <c r="R52" s="58">
        <v>112785.17</v>
      </c>
      <c r="S52" s="58">
        <v>110919.27</v>
      </c>
      <c r="T52" s="58">
        <v>93308.28</v>
      </c>
      <c r="U52" s="58">
        <v>102674.98</v>
      </c>
      <c r="V52" s="58">
        <v>101401.82</v>
      </c>
      <c r="W52" s="58">
        <v>75369.05</v>
      </c>
      <c r="X52" s="58">
        <v>102100.27</v>
      </c>
      <c r="Y52" s="58">
        <v>114522.56</v>
      </c>
      <c r="Z52" s="58">
        <v>125354.13</v>
      </c>
      <c r="AA52" s="58">
        <f>IF($I52="B1","",SUM(O52:Z52))</f>
        <v>1228475.94</v>
      </c>
      <c r="AB52" s="59">
        <f>IF(AA52=0,"",IFERROR(AA52/AA$19,""))</f>
        <v>1</v>
      </c>
      <c r="AD52" s="58">
        <v>1167808.95</v>
      </c>
      <c r="AE52" s="59">
        <f>IF(AD52=0,"",IFERROR(AD52/AD$19,""))</f>
        <v>1</v>
      </c>
      <c r="AF52" s="60">
        <f>IF(AND($AA52="",AD52=""),"",$AA52-AD52)</f>
        <v>60666.989999999991</v>
      </c>
      <c r="AG52" s="58">
        <v>1004792.27</v>
      </c>
      <c r="AH52" s="59">
        <f>IF(AG52=0,"",IFERROR(AG52/AG$19,""))</f>
        <v>1</v>
      </c>
      <c r="AI52" s="60">
        <f>IF(AND($AA52="",AG52=""),"",$AA52-AG52)</f>
        <v>223683.66999999993</v>
      </c>
      <c r="AJ52" s="402">
        <f>IFERROR(AA52/AA$20,0)</f>
        <v>30.35522461082283</v>
      </c>
      <c r="AK52" s="403">
        <f>IFERROR(AD52/AD$20,0)</f>
        <v>29.027589421093186</v>
      </c>
      <c r="AL52" s="404">
        <f>IFERROR(AG52/AG$20,0)</f>
        <v>25.191602818031392</v>
      </c>
      <c r="AM52" s="405" t="str">
        <f>+IFERROR(ROUND(($AB52-AE52)*100,2)&amp;" pts.",0)</f>
        <v>0 pts.</v>
      </c>
      <c r="AN52" s="410" t="str">
        <f>+IFERROR(ROUND(($AB52-AH52)*100,2)&amp;" pts.",0)</f>
        <v>0 pts.</v>
      </c>
    </row>
    <row r="53" spans="1:40" ht="16" thickTop="1" x14ac:dyDescent="0.2">
      <c r="A53" s="6" t="s">
        <v>33</v>
      </c>
      <c r="B53" s="7"/>
    </row>
    <row r="54" spans="1:40" x14ac:dyDescent="0.2">
      <c r="A54" s="6" t="s">
        <v>34</v>
      </c>
      <c r="B54" s="7"/>
      <c r="N54" s="24" t="str">
        <f>N52&amp;" - Check"</f>
        <v>Department Profit (Loss) - Check</v>
      </c>
      <c r="O54" s="124">
        <f t="shared" ref="O54:AA54" si="12">SUMIF($H$34:$H$50,"400000",O$34:O$50)-O52</f>
        <v>0</v>
      </c>
      <c r="P54" s="124">
        <f t="shared" si="12"/>
        <v>0</v>
      </c>
      <c r="Q54" s="124">
        <f t="shared" si="12"/>
        <v>0</v>
      </c>
      <c r="R54" s="124">
        <f t="shared" si="12"/>
        <v>0</v>
      </c>
      <c r="S54" s="124">
        <f t="shared" si="12"/>
        <v>0</v>
      </c>
      <c r="T54" s="124">
        <f t="shared" si="12"/>
        <v>0</v>
      </c>
      <c r="U54" s="124">
        <f t="shared" si="12"/>
        <v>0</v>
      </c>
      <c r="V54" s="124">
        <f t="shared" si="12"/>
        <v>0</v>
      </c>
      <c r="W54" s="124">
        <f t="shared" si="12"/>
        <v>0</v>
      </c>
      <c r="X54" s="124">
        <f t="shared" si="12"/>
        <v>0</v>
      </c>
      <c r="Y54" s="124">
        <f t="shared" si="12"/>
        <v>0</v>
      </c>
      <c r="Z54" s="124">
        <f t="shared" si="12"/>
        <v>0</v>
      </c>
      <c r="AA54" s="124">
        <f t="shared" si="12"/>
        <v>0</v>
      </c>
      <c r="AB54" s="15"/>
      <c r="AD54" s="124">
        <f>SUMIF($H$34:$H$50,"400000",AD$34:AD$50)-AD52</f>
        <v>0</v>
      </c>
      <c r="AE54" s="124"/>
      <c r="AF54" s="19"/>
      <c r="AG54" s="124">
        <f>SUMIF($H$34:$H$50,"400000",AG$34:AG$50)-AG52</f>
        <v>0</v>
      </c>
      <c r="AH54" s="15"/>
      <c r="AI54" s="19"/>
    </row>
    <row r="55" spans="1:40" x14ac:dyDescent="0.2">
      <c r="A55" s="6" t="s">
        <v>35</v>
      </c>
      <c r="B55" s="7"/>
    </row>
    <row r="56" spans="1:40" x14ac:dyDescent="0.2">
      <c r="A56" s="6" t="s">
        <v>36</v>
      </c>
      <c r="B56" s="7"/>
      <c r="O56" s="147"/>
      <c r="P56" s="147"/>
      <c r="Q56" s="147"/>
      <c r="R56" s="147"/>
      <c r="S56" s="147"/>
      <c r="T56" s="147"/>
      <c r="U56" s="147"/>
      <c r="V56" s="147"/>
      <c r="W56" s="147"/>
      <c r="X56" s="147"/>
      <c r="Y56" s="147"/>
      <c r="Z56" s="147"/>
      <c r="AA56" s="147"/>
      <c r="AD56" s="147"/>
      <c r="AG56" s="147"/>
    </row>
    <row r="57" spans="1:40" x14ac:dyDescent="0.2">
      <c r="A57" s="6" t="s">
        <v>37</v>
      </c>
      <c r="B57" s="7"/>
    </row>
    <row r="58" spans="1:40" x14ac:dyDescent="0.2">
      <c r="A58" s="6" t="s">
        <v>38</v>
      </c>
      <c r="B58" s="7"/>
      <c r="O58" s="147"/>
      <c r="P58" s="147"/>
      <c r="Q58" s="147"/>
      <c r="R58" s="147"/>
      <c r="S58" s="147"/>
      <c r="T58" s="147"/>
      <c r="U58" s="147"/>
      <c r="V58" s="147"/>
      <c r="W58" s="147"/>
      <c r="X58" s="147"/>
      <c r="Y58" s="147"/>
      <c r="Z58" s="147"/>
      <c r="AA58" s="147"/>
      <c r="AD58" s="147"/>
      <c r="AG58" s="147"/>
    </row>
    <row r="59" spans="1:40" x14ac:dyDescent="0.2">
      <c r="A59" s="6" t="s">
        <v>39</v>
      </c>
      <c r="B59" s="7"/>
    </row>
    <row r="60" spans="1:40" x14ac:dyDescent="0.2">
      <c r="A60" s="6" t="s">
        <v>40</v>
      </c>
      <c r="B60" s="7"/>
    </row>
    <row r="61" spans="1:40" x14ac:dyDescent="0.2">
      <c r="A61" s="6" t="s">
        <v>41</v>
      </c>
      <c r="B61" s="7"/>
      <c r="J61" s="1"/>
    </row>
    <row r="62" spans="1:40" x14ac:dyDescent="0.2">
      <c r="A62" s="6" t="s">
        <v>42</v>
      </c>
      <c r="B62" s="7"/>
      <c r="H62" s="11"/>
      <c r="J62" s="1"/>
    </row>
    <row r="63" spans="1:40" x14ac:dyDescent="0.2">
      <c r="A63" s="6" t="s">
        <v>43</v>
      </c>
      <c r="B63" s="7"/>
      <c r="H63" s="11"/>
      <c r="J63" s="1"/>
    </row>
    <row r="64" spans="1:40" x14ac:dyDescent="0.2">
      <c r="A64" s="6" t="s">
        <v>44</v>
      </c>
      <c r="B64" s="7"/>
      <c r="H64" s="11"/>
      <c r="J64" s="1"/>
    </row>
    <row r="65" spans="1:10" x14ac:dyDescent="0.2">
      <c r="A65" s="6" t="s">
        <v>45</v>
      </c>
      <c r="B65" s="7"/>
      <c r="H65" s="11"/>
      <c r="J65" s="1"/>
    </row>
    <row r="66" spans="1:10" x14ac:dyDescent="0.2">
      <c r="A66" s="6" t="s">
        <v>46</v>
      </c>
      <c r="B66" s="7"/>
      <c r="H66" s="11"/>
      <c r="J66" s="1"/>
    </row>
    <row r="67" spans="1:10" x14ac:dyDescent="0.2">
      <c r="C67" s="23"/>
      <c r="H67" s="11"/>
      <c r="J67" s="1"/>
    </row>
    <row r="68" spans="1:10" x14ac:dyDescent="0.2">
      <c r="C68" s="23"/>
      <c r="H68" s="11"/>
      <c r="J68" s="1"/>
    </row>
    <row r="69" spans="1:10" x14ac:dyDescent="0.2">
      <c r="H69" s="11"/>
      <c r="J69" s="1"/>
    </row>
    <row r="70" spans="1:10" x14ac:dyDescent="0.2">
      <c r="H70" s="11"/>
      <c r="J70" s="1"/>
    </row>
    <row r="71" spans="1:10" x14ac:dyDescent="0.2">
      <c r="H71" s="11"/>
      <c r="J71" s="1"/>
    </row>
    <row r="72" spans="1:10" x14ac:dyDescent="0.2">
      <c r="H72" s="11"/>
      <c r="J72" s="1"/>
    </row>
    <row r="73" spans="1:10" x14ac:dyDescent="0.2">
      <c r="H73" s="11"/>
      <c r="J73" s="1"/>
    </row>
    <row r="74" spans="1:10" x14ac:dyDescent="0.2">
      <c r="H74" s="11"/>
      <c r="J74" s="1"/>
    </row>
    <row r="75" spans="1:10" x14ac:dyDescent="0.2">
      <c r="H75" s="11"/>
      <c r="J75" s="1"/>
    </row>
    <row r="76" spans="1:10" x14ac:dyDescent="0.2">
      <c r="H76" s="11"/>
      <c r="J76" s="1"/>
    </row>
    <row r="77" spans="1:10" x14ac:dyDescent="0.2">
      <c r="H77" s="11"/>
      <c r="J77" s="1"/>
    </row>
    <row r="78" spans="1:10" x14ac:dyDescent="0.2">
      <c r="H78" s="11"/>
      <c r="J78" s="1"/>
    </row>
    <row r="79" spans="1:10" x14ac:dyDescent="0.2">
      <c r="H79" s="11"/>
      <c r="J79" s="1"/>
    </row>
    <row r="80" spans="1:10" x14ac:dyDescent="0.2">
      <c r="H80" s="11"/>
      <c r="J80" s="1"/>
    </row>
    <row r="81" spans="8:10" x14ac:dyDescent="0.2">
      <c r="H81" s="11"/>
      <c r="J81" s="1"/>
    </row>
    <row r="82" spans="8:10" x14ac:dyDescent="0.2">
      <c r="H82" s="11"/>
      <c r="J82" s="1"/>
    </row>
    <row r="83" spans="8:10" x14ac:dyDescent="0.2">
      <c r="H83" s="11"/>
      <c r="J83" s="1"/>
    </row>
    <row r="84" spans="8:10" x14ac:dyDescent="0.2">
      <c r="H84" s="11"/>
    </row>
    <row r="100" spans="5:5" x14ac:dyDescent="0.2">
      <c r="E100" s="72"/>
    </row>
    <row r="104" spans="5:5" x14ac:dyDescent="0.2">
      <c r="E104" s="72"/>
    </row>
    <row r="124" spans="9:34" x14ac:dyDescent="0.2">
      <c r="J124" s="1"/>
      <c r="K124" s="72"/>
      <c r="L124" s="72"/>
      <c r="M124" s="72"/>
      <c r="O124" s="72"/>
      <c r="P124" s="72"/>
      <c r="Q124" s="72"/>
      <c r="R124" s="72"/>
      <c r="S124" s="72"/>
      <c r="T124" s="72"/>
      <c r="U124" s="72"/>
      <c r="V124" s="72"/>
      <c r="W124" s="72"/>
      <c r="X124" s="72"/>
      <c r="Y124" s="72"/>
      <c r="Z124" s="72"/>
      <c r="AA124" s="72"/>
      <c r="AD124" s="72"/>
      <c r="AF124" s="72"/>
      <c r="AH124" s="72"/>
    </row>
    <row r="125" spans="9:34" x14ac:dyDescent="0.2">
      <c r="I125" s="72"/>
    </row>
    <row r="128" spans="9:34" x14ac:dyDescent="0.2">
      <c r="J128" s="1"/>
      <c r="K128" s="72"/>
      <c r="L128" s="72"/>
      <c r="M128" s="72"/>
      <c r="O128" s="72"/>
      <c r="P128" s="72"/>
      <c r="Q128" s="72"/>
      <c r="R128" s="72"/>
      <c r="S128" s="72"/>
      <c r="T128" s="72"/>
      <c r="U128" s="72"/>
      <c r="V128" s="72"/>
      <c r="W128" s="72"/>
      <c r="X128" s="72"/>
      <c r="Y128" s="72"/>
      <c r="Z128" s="72"/>
      <c r="AA128" s="72"/>
      <c r="AD128" s="72"/>
      <c r="AF128" s="72"/>
      <c r="AH128" s="72"/>
    </row>
    <row r="129" spans="9:9" x14ac:dyDescent="0.2">
      <c r="I129" s="72"/>
    </row>
    <row r="157" spans="7:7" x14ac:dyDescent="0.2">
      <c r="G157" s="72"/>
    </row>
    <row r="161" spans="7:7" x14ac:dyDescent="0.2">
      <c r="G161" s="72"/>
    </row>
  </sheetData>
  <mergeCells count="2">
    <mergeCell ref="AD31:AE31"/>
    <mergeCell ref="AG31:AH31"/>
  </mergeCells>
  <dataValidations count="2">
    <dataValidation type="list" allowBlank="1" sqref="B29" xr:uid="{00000000-0002-0000-4B00-000000000000}">
      <formula1>"SELF,ALL,BAS,DEP,BASMEMBERS,MEMBERS,NOEXPAND,GDEP"</formula1>
    </dataValidation>
    <dataValidation type="list" allowBlank="1" sqref="B28" xr:uid="{00000000-0002-0000-4B00-000001000000}">
      <formula1>"ACCOUNT,BUSINESSUNIT,CATEGORY,DATASRC,DEPARTMENT,INTCO,MEASURES,RPTCURRENCY,TIME"</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operties>
  <drawing r:id="rId3"/>
  <legacyDrawing r:id="rId4"/>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22">
    <tabColor theme="2" tint="-0.499984740745262"/>
    <pageSetUpPr fitToPage="1"/>
  </sheetPr>
  <dimension ref="A1:AO10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1" hidden="1" customWidth="1" outlineLevel="1" collapsed="1"/>
    <col min="13" max="13" width="9.6640625" style="1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c r="L1" s="69"/>
      <c r="M1" s="69"/>
      <c r="N1" s="69"/>
    </row>
    <row r="2" spans="1:35" hidden="1" outlineLevel="1" x14ac:dyDescent="0.2">
      <c r="A2" s="8" t="s">
        <v>22</v>
      </c>
      <c r="B2" s="12" t="s">
        <v>56</v>
      </c>
      <c r="C2" s="1" t="e">
        <f ca="1">_xll.EVDES(B2,$B$1)</f>
        <v>#NAME?</v>
      </c>
      <c r="I2" s="1"/>
      <c r="J2" s="1"/>
      <c r="L2" s="69"/>
      <c r="M2" s="69"/>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497</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row>
    <row r="12" spans="1:35" hidden="1" outlineLevel="1" x14ac:dyDescent="0.2">
      <c r="A12" s="1" t="s">
        <v>115</v>
      </c>
      <c r="B12" s="46" t="e">
        <f ca="1">_xll.EVPRO($B$1,$B$10,"YEAR")</f>
        <v>#NAME?</v>
      </c>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_xll.EVDRE($B$1,A17:B24,A27:C33)</f>
        <v>#NAME?</v>
      </c>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_xll.EVRNG(G35:H36,G38:H47,G50:H67)</f>
        <v>#NAME?</v>
      </c>
      <c r="G19" s="16" t="s">
        <v>499</v>
      </c>
      <c r="H19" s="16">
        <v>400000</v>
      </c>
      <c r="I19" s="17"/>
      <c r="J19" s="17"/>
      <c r="K19" s="16"/>
      <c r="L19" s="17"/>
      <c r="M19" s="17"/>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
        <v>749</v>
      </c>
      <c r="H20" s="16">
        <v>904100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row>
    <row r="22" spans="1:40" hidden="1" outlineLevel="1" x14ac:dyDescent="0.2">
      <c r="A22" s="6" t="s">
        <v>7</v>
      </c>
      <c r="B22" s="7" t="e">
        <f ca="1">_xll.EVRNG(A36:F42)</f>
        <v>#NAME?</v>
      </c>
    </row>
    <row r="23" spans="1:40" hidden="1" outlineLevel="1" x14ac:dyDescent="0.2">
      <c r="A23" s="6" t="s">
        <v>47</v>
      </c>
      <c r="B23" s="7" t="e">
        <f ca="1">_xll.EVRNG($A$59:$B$80)</f>
        <v>#NAME?</v>
      </c>
      <c r="K23" s="53"/>
    </row>
    <row r="24" spans="1:40" hidden="1" outlineLevel="1" x14ac:dyDescent="0.2">
      <c r="A24" s="6" t="s">
        <v>8</v>
      </c>
      <c r="B24" s="7"/>
    </row>
    <row r="25" spans="1:40" collapsed="1" x14ac:dyDescent="0.2"/>
    <row r="26" spans="1:40" ht="23" x14ac:dyDescent="0.25">
      <c r="A26" s="3" t="s">
        <v>9</v>
      </c>
      <c r="B26" s="5" t="s">
        <v>10</v>
      </c>
      <c r="C26" s="5" t="s">
        <v>357</v>
      </c>
      <c r="N26" s="61" t="e">
        <f ca="1">IF(_xll.EVDES(B3,$B$1)="#NODATA","",_xll.EVDES(B3,$B$1))</f>
        <v>#NAME?</v>
      </c>
    </row>
    <row r="27" spans="1:40" ht="18" x14ac:dyDescent="0.2">
      <c r="A27" s="6" t="s">
        <v>11</v>
      </c>
      <c r="B27" s="7" t="s">
        <v>21</v>
      </c>
      <c r="C27" s="7" t="s">
        <v>21</v>
      </c>
      <c r="N27" s="66" t="e">
        <f ca="1">IF(_xll.EVDES(B6,$B$1)="#NODATA","",_xll.EVDES(B6,$B$1)&amp;" Department")</f>
        <v>#NAME?</v>
      </c>
    </row>
    <row r="28" spans="1:40" ht="16" x14ac:dyDescent="0.2">
      <c r="A28" s="6" t="s">
        <v>12</v>
      </c>
      <c r="B28" s="7" t="s">
        <v>52</v>
      </c>
      <c r="C28" s="7" t="s">
        <v>22</v>
      </c>
      <c r="N28" s="67" t="e">
        <f ca="1">"For the Period ended"&amp;" "&amp;IF(_xll.EVDES($B$10,$B$1)="#NODATA","",_xll.EVDES($B$10,$B$1))</f>
        <v>#NAME?</v>
      </c>
    </row>
    <row r="29" spans="1:40" ht="15" customHeight="1" x14ac:dyDescent="0.2">
      <c r="A29" s="6" t="s">
        <v>13</v>
      </c>
      <c r="B29" s="7" t="s">
        <v>738</v>
      </c>
      <c r="C29" s="7" t="s">
        <v>735</v>
      </c>
      <c r="N29" s="67" t="e">
        <f ca="1">_xll.EVDES(B9,B1)</f>
        <v>#NAME?</v>
      </c>
    </row>
    <row r="30" spans="1:40" x14ac:dyDescent="0.2">
      <c r="A30" s="6" t="s">
        <v>14</v>
      </c>
      <c r="B30" s="14"/>
      <c r="C30" s="7"/>
      <c r="O30" s="208"/>
      <c r="P30" s="209"/>
      <c r="Q30" s="209"/>
      <c r="R30" s="209"/>
      <c r="S30" s="209"/>
      <c r="T30" s="209"/>
      <c r="U30" s="209"/>
      <c r="V30" s="209"/>
      <c r="W30" s="209"/>
      <c r="X30" s="209"/>
      <c r="Y30" s="209"/>
      <c r="Z30" s="209"/>
      <c r="AA30" s="209"/>
      <c r="AB30" s="210"/>
      <c r="AD30" s="209"/>
      <c r="AE30" s="209"/>
      <c r="AF30" s="209"/>
      <c r="AG30" s="209"/>
      <c r="AH30" s="209"/>
      <c r="AI30" s="209"/>
      <c r="AJ30" s="208" t="s">
        <v>752</v>
      </c>
      <c r="AK30" s="209"/>
      <c r="AL30" s="210"/>
      <c r="AM30" s="209" t="s">
        <v>750</v>
      </c>
      <c r="AN30" s="209"/>
    </row>
    <row r="31" spans="1:40" x14ac:dyDescent="0.2">
      <c r="A31" s="6" t="s">
        <v>15</v>
      </c>
      <c r="B31" s="7"/>
      <c r="C31" s="7"/>
      <c r="G31" s="13"/>
      <c r="K31" s="52"/>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C32" s="231" t="s">
        <v>78</v>
      </c>
      <c r="H32" s="233"/>
      <c r="I32" s="234"/>
      <c r="J32" s="234"/>
      <c r="K32" s="235" t="s">
        <v>117</v>
      </c>
      <c r="L32" s="234"/>
      <c r="M32" s="234"/>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C33" s="7"/>
      <c r="H33" s="1" t="s">
        <v>73</v>
      </c>
      <c r="I33" s="11" t="e">
        <f ca="1">_xll.EVPRO($B$1,$H33,"STYLE")</f>
        <v>#NAME?</v>
      </c>
      <c r="J33" s="11" t="e">
        <f ca="1">_xll.EVPRO($B$1,$H33,"CALC")</f>
        <v>#NAME?</v>
      </c>
      <c r="N33" s="37" t="e">
        <f ca="1">IF(_xll.EVDES(H33,$B$1)="#NODATA","",_xll.EVDES(H33,$B$1))</f>
        <v>#NAME?</v>
      </c>
      <c r="O33" s="50"/>
      <c r="AB33" s="51"/>
      <c r="AD33" s="50"/>
      <c r="AF33" s="51"/>
      <c r="AG33" s="50"/>
      <c r="AI33" s="51"/>
    </row>
    <row r="34" spans="1:40" x14ac:dyDescent="0.2">
      <c r="H34" s="1" t="s">
        <v>74</v>
      </c>
      <c r="I34" s="11" t="e">
        <f ca="1">_xll.EVPRO($B$1,$H34,"STYLE")</f>
        <v>#NAME?</v>
      </c>
      <c r="J34" s="11" t="e">
        <f ca="1">_xll.EVPRO($B$1,$H34,"CALC")</f>
        <v>#NAME?</v>
      </c>
      <c r="N34" s="8" t="e">
        <f ca="1">IF(_xll.EVDES(H34,$B$1)="#NODATA","",_xll.EVDES(H34,$B$1))</f>
        <v>#NAME?</v>
      </c>
      <c r="O34" s="40"/>
      <c r="P34" s="43"/>
      <c r="Q34" s="43"/>
      <c r="R34" s="43"/>
      <c r="S34" s="43"/>
      <c r="T34" s="43"/>
      <c r="U34" s="43"/>
      <c r="V34" s="43"/>
      <c r="W34" s="43"/>
      <c r="X34" s="43"/>
      <c r="Y34" s="43"/>
      <c r="Z34" s="43"/>
      <c r="AA34" s="43"/>
      <c r="AB34" s="41"/>
      <c r="AD34" s="40"/>
      <c r="AE34" s="43"/>
      <c r="AF34" s="41"/>
      <c r="AG34" s="40"/>
      <c r="AH34" s="43"/>
      <c r="AI34" s="41"/>
    </row>
    <row r="35" spans="1:40" x14ac:dyDescent="0.2">
      <c r="A35" s="20" t="s">
        <v>92</v>
      </c>
      <c r="B35" s="21" t="s">
        <v>93</v>
      </c>
      <c r="C35" s="21" t="s">
        <v>94</v>
      </c>
      <c r="D35" s="21" t="s">
        <v>95</v>
      </c>
      <c r="E35" s="21" t="s">
        <v>96</v>
      </c>
      <c r="F35" s="22" t="s">
        <v>97</v>
      </c>
      <c r="G35" s="10" t="s">
        <v>497</v>
      </c>
      <c r="H35" s="10" t="s">
        <v>856</v>
      </c>
      <c r="I35" s="25" t="e">
        <f ca="1">_xll.EVPRO($B$1,$H35,"STYLE")</f>
        <v>#NAME?</v>
      </c>
      <c r="J35" s="25" t="e">
        <f ca="1">_xll.EVPRO($B$1,$H35,"CALC")</f>
        <v>#NAME?</v>
      </c>
      <c r="K35" s="64" t="e">
        <f ca="1">IF(AND(I35&gt;="T3"),"&gt;","")</f>
        <v>#NAME?</v>
      </c>
      <c r="L35" s="24" t="e">
        <f ca="1">_xll.EVPRO($B$1,H35,"JDEID")</f>
        <v>#NAME?</v>
      </c>
      <c r="M35" s="24" t="e">
        <f ca="1">IF(AND(I35="N",J35="N"),_xll.EVPRO($B$1,H35,"PSFTID"),"")</f>
        <v>#NAME?</v>
      </c>
      <c r="N35" s="24" t="e">
        <f ca="1">IF(_xll.EVDES(H35,$B$1)="#NODATA","",_xll.EVDES(H35,$B$1))</f>
        <v>#NAME?</v>
      </c>
      <c r="O35" s="35">
        <v>28848.53</v>
      </c>
      <c r="P35" s="35">
        <v>22762.14</v>
      </c>
      <c r="Q35" s="35">
        <v>23873.5</v>
      </c>
      <c r="R35" s="35">
        <v>30963.43</v>
      </c>
      <c r="S35" s="35">
        <v>25086.33</v>
      </c>
      <c r="T35" s="35">
        <v>25814.400000000001</v>
      </c>
      <c r="U35" s="35">
        <v>25103.71</v>
      </c>
      <c r="V35" s="35">
        <v>27396.92</v>
      </c>
      <c r="W35" s="35">
        <v>18072.77</v>
      </c>
      <c r="X35" s="35">
        <v>34423.25</v>
      </c>
      <c r="Y35" s="35">
        <v>29865.79</v>
      </c>
      <c r="Z35" s="35">
        <v>26614.15</v>
      </c>
      <c r="AA35" s="283" t="e">
        <f t="shared" ref="AA35:AA47" ca="1" si="0">IF($I35="B1","",SUM(O35:Z35))</f>
        <v>#NAME?</v>
      </c>
      <c r="AB35" s="36" t="e">
        <f ca="1">IF(AA35=0,"",IFERROR(AA35/AA$19,""))</f>
        <v>#NAME?</v>
      </c>
      <c r="AD35" s="19">
        <v>317592.732733613</v>
      </c>
      <c r="AE35" s="15" t="str">
        <f ca="1">IF(AD35=0,"",IFERROR(AD35/AD$19,""))</f>
        <v/>
      </c>
      <c r="AF35" s="47" t="e">
        <f ca="1">IF(AND($AA35="",AD35=""),"",$AA35-AD35)</f>
        <v>#NAME?</v>
      </c>
      <c r="AG35" s="19">
        <v>310289.3</v>
      </c>
      <c r="AH35" s="15" t="str">
        <f ca="1">IF(AG35=0,"",IFERROR(AG35/AG$19,""))</f>
        <v/>
      </c>
      <c r="AI35" s="47" t="e">
        <f ca="1">IF(AND($AA35="",AG35=""),"",$AA35-AG35)</f>
        <v>#NAME?</v>
      </c>
      <c r="AJ35" s="371">
        <f ca="1">IFERROR(AA35/AA$20,0)</f>
        <v>0</v>
      </c>
      <c r="AK35" s="372">
        <f ca="1">IFERROR(AD35/AD$20,0)</f>
        <v>0</v>
      </c>
      <c r="AL35" s="373">
        <f ca="1">IFERROR(AG35/AG$20,0)</f>
        <v>0</v>
      </c>
      <c r="AM35" s="374">
        <f ca="1">+IFERROR(ROUND(($AB35-AE35)*100,2)&amp;" pts.",0)</f>
        <v>0</v>
      </c>
      <c r="AN35" s="375">
        <f ca="1">+IFERROR(ROUND(($AB35-AH35)*100,2)&amp;" pts.",0)</f>
        <v>0</v>
      </c>
    </row>
    <row r="36" spans="1:40" hidden="1" x14ac:dyDescent="0.2">
      <c r="G36" s="10"/>
      <c r="H36" s="133"/>
      <c r="I36" s="25" t="e">
        <f ca="1">_xll.EVPRO($B$1,$H36,"STYLE")</f>
        <v>#NAME?</v>
      </c>
      <c r="J36" s="25" t="e">
        <f ca="1">_xll.EVPRO($B$1,$H36,"CALC")</f>
        <v>#NAME?</v>
      </c>
      <c r="K36" s="64" t="e">
        <f ca="1">IF(AND(I36&gt;="T3"),"&gt;","")</f>
        <v>#NAME?</v>
      </c>
      <c r="L36" s="24" t="e">
        <f ca="1">_xll.EVPRO($B$1,H36,"JDEID")</f>
        <v>#NAME?</v>
      </c>
      <c r="M36" s="24" t="e">
        <f ca="1">IF(AND(I36="N",J36="N"),_xll.EVPRO($B$1,H36,"PSFTID"),"")</f>
        <v>#NAME?</v>
      </c>
      <c r="N36" s="24" t="e">
        <f ca="1">IF(_xll.EVDES(H36,$B$1)="#NODATA","",_xll.EVDES(H36,$B$1))</f>
        <v>#NAME?</v>
      </c>
      <c r="O36" s="35"/>
      <c r="P36" s="35"/>
      <c r="Q36" s="35"/>
      <c r="R36" s="35"/>
      <c r="S36" s="35"/>
      <c r="T36" s="35"/>
      <c r="U36" s="35"/>
      <c r="V36" s="35"/>
      <c r="W36" s="35"/>
      <c r="X36" s="35"/>
      <c r="Y36" s="35"/>
      <c r="Z36" s="35"/>
      <c r="AA36" s="283" t="e">
        <f t="shared" ca="1" si="0"/>
        <v>#NAME?</v>
      </c>
      <c r="AB36" s="36" t="e">
        <f ca="1">IF(AA36=0,"",IFERROR(AA36/AA$19,""))</f>
        <v>#NAME?</v>
      </c>
      <c r="AD36" s="19"/>
      <c r="AE36" s="15" t="str">
        <f>IF(AD36=0,"",IFERROR(AD36/AD$19,""))</f>
        <v/>
      </c>
      <c r="AF36" s="47" t="e">
        <f ca="1">IF(AND($AA36="",AD36=""),"",$AA36-AD36)</f>
        <v>#NAME?</v>
      </c>
      <c r="AG36" s="19"/>
      <c r="AH36" s="15" t="str">
        <f>IF(AG36=0,"",IFERROR(AG36/AG$19,""))</f>
        <v/>
      </c>
      <c r="AI36" s="47" t="e">
        <f ca="1">IF(AND($AA36="",AG36=""),"",$AA36-AG36)</f>
        <v>#NAME?</v>
      </c>
      <c r="AJ36" s="371">
        <f ca="1">IFERROR(AA36/AA$20,0)</f>
        <v>0</v>
      </c>
      <c r="AK36" s="372">
        <f ca="1">IFERROR(AD36/AD$20,0)</f>
        <v>0</v>
      </c>
      <c r="AL36" s="373">
        <f ca="1">IFERROR(AG36/AG$20,0)</f>
        <v>0</v>
      </c>
      <c r="AM36" s="374">
        <f ca="1">+IFERROR(ROUND(($AB36-AE36)*100,2)&amp;" pts.",0)</f>
        <v>0</v>
      </c>
      <c r="AN36" s="375">
        <f ca="1">+IFERROR(ROUND(($AB36-AH36)*100,2)&amp;" pts.",0)</f>
        <v>0</v>
      </c>
    </row>
    <row r="37" spans="1:40" x14ac:dyDescent="0.2">
      <c r="A37" s="1" t="s">
        <v>108</v>
      </c>
      <c r="C37" s="24" t="s">
        <v>101</v>
      </c>
      <c r="D37" s="1" t="s">
        <v>106</v>
      </c>
      <c r="F37" s="1" t="s">
        <v>98</v>
      </c>
      <c r="G37" s="10" t="s">
        <v>497</v>
      </c>
      <c r="H37" s="133" t="s">
        <v>75</v>
      </c>
      <c r="I37" s="25" t="e">
        <f ca="1">_xll.EVPRO($B$1,$H37,"STYLE")</f>
        <v>#NAME?</v>
      </c>
      <c r="J37" s="25" t="e">
        <f ca="1">_xll.EVPRO($B$1,$H37,"CALC")</f>
        <v>#NAME?</v>
      </c>
      <c r="K37" s="64" t="e">
        <f ca="1">IF(AND(I37&gt;="T3"),"&gt;","")</f>
        <v>#NAME?</v>
      </c>
      <c r="L37" s="24" t="e">
        <f ca="1">_xll.EVPRO($B$1,H37,"JDEID")</f>
        <v>#NAME?</v>
      </c>
      <c r="M37" s="24" t="e">
        <f ca="1">IF(AND(I37="N",J37="N"),_xll.EVPRO($B$1,H37,"PSFTID"),"")</f>
        <v>#NAME?</v>
      </c>
      <c r="N37" s="8" t="e">
        <f ca="1">IF(_xll.EVDES(H37,$B$1)="#NODATA","",_xll.EVDES(H37,$B$1))</f>
        <v>#NAME?</v>
      </c>
      <c r="O37" s="35"/>
      <c r="P37" s="35"/>
      <c r="Q37" s="35"/>
      <c r="R37" s="35"/>
      <c r="S37" s="35"/>
      <c r="T37" s="35"/>
      <c r="U37" s="35"/>
      <c r="V37" s="35"/>
      <c r="W37" s="35"/>
      <c r="X37" s="35"/>
      <c r="Y37" s="35"/>
      <c r="Z37" s="35"/>
      <c r="AA37" s="35" t="e">
        <f t="shared" ca="1" si="0"/>
        <v>#NAME?</v>
      </c>
      <c r="AB37" s="36"/>
      <c r="AD37" s="19"/>
      <c r="AE37" s="15"/>
      <c r="AF37" s="47"/>
      <c r="AG37" s="19"/>
      <c r="AH37" s="15"/>
      <c r="AI37" s="47"/>
      <c r="AJ37" s="371">
        <f ca="1">IFERROR(AA37/AA$20,0)</f>
        <v>0</v>
      </c>
      <c r="AK37" s="372">
        <f ca="1">IFERROR(AD37/AD$20,0)</f>
        <v>0</v>
      </c>
      <c r="AL37" s="373">
        <f ca="1">IFERROR(AG37/AG$20,0)</f>
        <v>0</v>
      </c>
      <c r="AM37" s="374" t="str">
        <f>+IFERROR(ROUND(($AB37-AE37)*100,2)&amp;" pts.",0)</f>
        <v>0 pts.</v>
      </c>
      <c r="AN37" s="375" t="str">
        <f>+IFERROR(ROUND(($AB37-AH37)*100,2)&amp;" pts.",0)</f>
        <v>0 pts.</v>
      </c>
    </row>
    <row r="38" spans="1:40" x14ac:dyDescent="0.2">
      <c r="A38" s="1" t="s">
        <v>100</v>
      </c>
      <c r="C38" s="8" t="s">
        <v>101</v>
      </c>
      <c r="D38" s="1" t="s">
        <v>106</v>
      </c>
      <c r="F38" s="1" t="s">
        <v>98</v>
      </c>
      <c r="G38" s="10" t="s">
        <v>497</v>
      </c>
      <c r="H38" s="133" t="s">
        <v>847</v>
      </c>
      <c r="I38" s="25" t="e">
        <f ca="1">_xll.EVPRO($B$1,$H38,"STYLE")</f>
        <v>#NAME?</v>
      </c>
      <c r="J38" s="25" t="e">
        <f ca="1">_xll.EVPRO($B$1,$H38,"CALC")</f>
        <v>#NAME?</v>
      </c>
      <c r="K38" s="64" t="e">
        <f ca="1">IF(AND(I38&gt;="T3"),"&gt;","")</f>
        <v>#NAME?</v>
      </c>
      <c r="L38" s="24" t="e">
        <f ca="1">_xll.EVPRO($B$1,H38,"JDEID")</f>
        <v>#NAME?</v>
      </c>
      <c r="M38" s="24" t="e">
        <f ca="1">IF(AND(I38="N",J38="N"),_xll.EVPRO($B$1,H38,"PSFTID"),"")</f>
        <v>#NAME?</v>
      </c>
      <c r="N38" s="24" t="e">
        <f ca="1">IF(_xll.EVDES(H38,$B$1)="#NODATA","",_xll.EVDES(H38,$B$1))</f>
        <v>#NAME?</v>
      </c>
      <c r="O38" s="44">
        <v>10697.45</v>
      </c>
      <c r="P38" s="44">
        <v>9428.34</v>
      </c>
      <c r="Q38" s="44">
        <v>7097.03</v>
      </c>
      <c r="R38" s="44">
        <v>7524.69</v>
      </c>
      <c r="S38" s="44">
        <v>11904.04</v>
      </c>
      <c r="T38" s="44">
        <v>8408.17</v>
      </c>
      <c r="U38" s="44">
        <v>10866.74</v>
      </c>
      <c r="V38" s="44">
        <v>10117.6</v>
      </c>
      <c r="W38" s="44">
        <v>4962.09</v>
      </c>
      <c r="X38" s="44">
        <v>5208.1000000000004</v>
      </c>
      <c r="Y38" s="44">
        <v>4087.97</v>
      </c>
      <c r="Z38" s="44">
        <v>5527.73</v>
      </c>
      <c r="AA38" s="44" t="e">
        <f t="shared" ca="1" si="0"/>
        <v>#NAME?</v>
      </c>
      <c r="AB38" s="45" t="e">
        <f t="shared" ref="AB38:AB47" ca="1" si="1">IF(AA38=0,"",IFERROR(AA38/AA$19,""))</f>
        <v>#NAME?</v>
      </c>
      <c r="AD38" s="28">
        <v>96235.714285714304</v>
      </c>
      <c r="AE38" s="29" t="str">
        <f t="shared" ref="AE38:AE47" ca="1" si="2">IF(AD38=0,"",IFERROR(AD38/AD$19,""))</f>
        <v/>
      </c>
      <c r="AF38" s="48" t="e">
        <f t="shared" ref="AF38:AF47" ca="1" si="3">IF(AND($AA38="",AD38=""),"",$AA38-AD38)</f>
        <v>#NAME?</v>
      </c>
      <c r="AG38" s="28">
        <v>128098.38</v>
      </c>
      <c r="AH38" s="29" t="str">
        <f ca="1">IF(AG38=0,"",IFERROR(AG38/AG$19,""))</f>
        <v/>
      </c>
      <c r="AI38" s="48" t="e">
        <f ca="1">IF(AND($AA38="",AG38=""),"",$AA38-AG38)</f>
        <v>#NAME?</v>
      </c>
      <c r="AJ38" s="381">
        <f ca="1">IFERROR(AA38/AA$20,0)</f>
        <v>0</v>
      </c>
      <c r="AK38" s="382">
        <f ca="1">IFERROR(AD38/AD$20,0)</f>
        <v>0</v>
      </c>
      <c r="AL38" s="383">
        <f ca="1">IFERROR(AG38/AG$20,0)</f>
        <v>0</v>
      </c>
      <c r="AM38" s="384">
        <f ca="1">+IFERROR(ROUND(($AB38-AE38)*100,2)&amp;" pts.",0)</f>
        <v>0</v>
      </c>
      <c r="AN38" s="385">
        <f ca="1">+IFERROR(ROUND(($AB38-AH38)*100,2)&amp;" pts.",0)</f>
        <v>0</v>
      </c>
    </row>
    <row r="39" spans="1:40" x14ac:dyDescent="0.2">
      <c r="A39" s="1" t="s">
        <v>109</v>
      </c>
      <c r="C39" s="23" t="s">
        <v>101</v>
      </c>
      <c r="D39" s="1" t="s">
        <v>106</v>
      </c>
      <c r="F39" s="1" t="s">
        <v>98</v>
      </c>
      <c r="G39" s="10" t="s">
        <v>497</v>
      </c>
      <c r="H39" s="133" t="s">
        <v>848</v>
      </c>
      <c r="I39" s="25" t="e">
        <f ca="1">_xll.EVPRO($B$1,$H39,"STYLE")</f>
        <v>#NAME?</v>
      </c>
      <c r="J39" s="25" t="e">
        <f ca="1">_xll.EVPRO($B$1,$H39,"CALC")</f>
        <v>#NAME?</v>
      </c>
      <c r="K39" s="64" t="e">
        <f t="shared" ref="K39:K47" ca="1" si="4">IF(AND(I39&gt;="T3"),"&gt;","")</f>
        <v>#NAME?</v>
      </c>
      <c r="L39" s="24" t="e">
        <f ca="1">_xll.EVPRO($B$1,H39,"JDEID")</f>
        <v>#NAME?</v>
      </c>
      <c r="M39" s="24" t="e">
        <f ca="1">IF(AND(I39="N",J39="N"),_xll.EVPRO($B$1,H39,"PSFTID"),"")</f>
        <v>#NAME?</v>
      </c>
      <c r="N39" s="24" t="e">
        <f ca="1">IF(_xll.EVDES(H39,$B$1)="#NODATA","",_xll.EVDES(H39,$B$1))</f>
        <v>#NAME?</v>
      </c>
      <c r="O39" s="44">
        <v>2194.7199999999998</v>
      </c>
      <c r="P39" s="44">
        <v>2405.64</v>
      </c>
      <c r="Q39" s="44">
        <v>2044.44</v>
      </c>
      <c r="R39" s="44">
        <v>1759.8</v>
      </c>
      <c r="S39" s="44">
        <v>2690.64</v>
      </c>
      <c r="T39" s="44">
        <v>2073.12</v>
      </c>
      <c r="U39" s="44">
        <v>2088.84</v>
      </c>
      <c r="V39" s="44">
        <v>1035.24</v>
      </c>
      <c r="W39" s="44"/>
      <c r="X39" s="44"/>
      <c r="Y39" s="44">
        <v>856.8</v>
      </c>
      <c r="Z39" s="44">
        <v>2112.6</v>
      </c>
      <c r="AA39" s="44" t="e">
        <f t="shared" ca="1" si="0"/>
        <v>#NAME?</v>
      </c>
      <c r="AB39" s="45" t="e">
        <f t="shared" ca="1" si="1"/>
        <v>#NAME?</v>
      </c>
      <c r="AD39" s="28">
        <v>20051.4285714289</v>
      </c>
      <c r="AE39" s="29" t="str">
        <f t="shared" ca="1" si="2"/>
        <v/>
      </c>
      <c r="AF39" s="48" t="e">
        <f t="shared" ca="1" si="3"/>
        <v>#NAME?</v>
      </c>
      <c r="AG39" s="28"/>
      <c r="AH39" s="29" t="str">
        <f t="shared" ref="AH39:AH47" si="5">IF(AG39=0,"",IFERROR(AG39/AG$19,""))</f>
        <v/>
      </c>
      <c r="AI39" s="48" t="e">
        <f t="shared" ref="AI39:AI47" ca="1" si="6">IF(AND($AA39="",AG39=""),"",$AA39-AG39)</f>
        <v>#NAME?</v>
      </c>
      <c r="AJ39" s="381">
        <f t="shared" ref="AJ39:AJ47" ca="1" si="7">IFERROR(AA39/AA$20,0)</f>
        <v>0</v>
      </c>
      <c r="AK39" s="382">
        <f t="shared" ref="AK39:AK47" ca="1" si="8">IFERROR(AD39/AD$20,0)</f>
        <v>0</v>
      </c>
      <c r="AL39" s="383">
        <f t="shared" ref="AL39:AL47" ca="1" si="9">IFERROR(AG39/AG$20,0)</f>
        <v>0</v>
      </c>
      <c r="AM39" s="384">
        <f t="shared" ref="AM39:AM47" ca="1" si="10">+IFERROR(ROUND(($AB39-AE39)*100,2)&amp;" pts.",0)</f>
        <v>0</v>
      </c>
      <c r="AN39" s="385">
        <f t="shared" ref="AN39:AN47" ca="1" si="11">+IFERROR(ROUND(($AB39-AH39)*100,2)&amp;" pts.",0)</f>
        <v>0</v>
      </c>
    </row>
    <row r="40" spans="1:40" x14ac:dyDescent="0.2">
      <c r="A40" s="1" t="s">
        <v>109</v>
      </c>
      <c r="C40" s="135" t="s">
        <v>101</v>
      </c>
      <c r="D40" s="1" t="s">
        <v>107</v>
      </c>
      <c r="F40" s="1" t="s">
        <v>99</v>
      </c>
      <c r="G40" s="10" t="s">
        <v>497</v>
      </c>
      <c r="H40" s="133" t="s">
        <v>849</v>
      </c>
      <c r="I40" s="447" t="e">
        <f ca="1">_xll.EVPRO($B$1,$H40,"STYLE")</f>
        <v>#NAME?</v>
      </c>
      <c r="J40" s="447" t="e">
        <f ca="1">_xll.EVPRO($B$1,$H40,"CALC")</f>
        <v>#NAME?</v>
      </c>
      <c r="K40" s="448" t="e">
        <f t="shared" ca="1" si="4"/>
        <v>#NAME?</v>
      </c>
      <c r="L40" s="151" t="e">
        <f ca="1">_xll.EVPRO($B$1,H40,"JDEID")</f>
        <v>#NAME?</v>
      </c>
      <c r="M40" s="151" t="e">
        <f ca="1">IF(AND(I40="N",J40="N"),_xll.EVPRO($B$1,H40,"PSFTID"),"")</f>
        <v>#NAME?</v>
      </c>
      <c r="N40" s="151" t="e">
        <f ca="1">IF(_xll.EVDES(H40,$B$1)="#NODATA","",_xll.EVDES(H40,$B$1))</f>
        <v>#NAME?</v>
      </c>
      <c r="O40" s="120">
        <v>41740.699999999997</v>
      </c>
      <c r="P40" s="120">
        <v>34596.120000000003</v>
      </c>
      <c r="Q40" s="120">
        <v>33014.97</v>
      </c>
      <c r="R40" s="120">
        <v>40247.919999999998</v>
      </c>
      <c r="S40" s="120">
        <v>39681.01</v>
      </c>
      <c r="T40" s="120">
        <v>36295.69</v>
      </c>
      <c r="U40" s="120">
        <v>38059.29</v>
      </c>
      <c r="V40" s="120">
        <v>38549.760000000002</v>
      </c>
      <c r="W40" s="120">
        <v>23034.86</v>
      </c>
      <c r="X40" s="120">
        <v>39631.35</v>
      </c>
      <c r="Y40" s="120">
        <v>34810.559999999998</v>
      </c>
      <c r="Z40" s="120">
        <v>34254.480000000003</v>
      </c>
      <c r="AA40" s="120" t="e">
        <f t="shared" ca="1" si="0"/>
        <v>#NAME?</v>
      </c>
      <c r="AB40" s="121" t="e">
        <f t="shared" ca="1" si="1"/>
        <v>#NAME?</v>
      </c>
      <c r="AC40" s="123"/>
      <c r="AD40" s="120">
        <v>433879.875590757</v>
      </c>
      <c r="AE40" s="121" t="str">
        <f t="shared" ca="1" si="2"/>
        <v/>
      </c>
      <c r="AF40" s="122" t="e">
        <f t="shared" ca="1" si="3"/>
        <v>#NAME?</v>
      </c>
      <c r="AG40" s="120">
        <v>438387.68</v>
      </c>
      <c r="AH40" s="121" t="str">
        <f t="shared" ca="1" si="5"/>
        <v/>
      </c>
      <c r="AI40" s="122" t="e">
        <f t="shared" ca="1" si="6"/>
        <v>#NAME?</v>
      </c>
      <c r="AJ40" s="332">
        <f t="shared" ca="1" si="7"/>
        <v>0</v>
      </c>
      <c r="AK40" s="333">
        <f t="shared" ca="1" si="8"/>
        <v>0</v>
      </c>
      <c r="AL40" s="335">
        <f t="shared" ca="1" si="9"/>
        <v>0</v>
      </c>
      <c r="AM40" s="377">
        <f t="shared" ca="1" si="10"/>
        <v>0</v>
      </c>
      <c r="AN40" s="378">
        <f t="shared" ca="1" si="11"/>
        <v>0</v>
      </c>
    </row>
    <row r="41" spans="1:40" x14ac:dyDescent="0.2">
      <c r="A41" s="1" t="s">
        <v>110</v>
      </c>
      <c r="C41" s="23" t="s">
        <v>101</v>
      </c>
      <c r="D41" s="1" t="s">
        <v>106</v>
      </c>
      <c r="F41" s="1" t="s">
        <v>98</v>
      </c>
      <c r="G41" s="10" t="s">
        <v>497</v>
      </c>
      <c r="H41" s="133" t="s">
        <v>850</v>
      </c>
      <c r="I41" s="25" t="e">
        <f ca="1">_xll.EVPRO($B$1,$H41,"STYLE")</f>
        <v>#NAME?</v>
      </c>
      <c r="J41" s="25" t="e">
        <f ca="1">_xll.EVPRO($B$1,$H41,"CALC")</f>
        <v>#NAME?</v>
      </c>
      <c r="K41" s="64" t="e">
        <f t="shared" ca="1" si="4"/>
        <v>#NAME?</v>
      </c>
      <c r="L41" s="24" t="e">
        <f ca="1">_xll.EVPRO($B$1,H41,"JDEID")</f>
        <v>#NAME?</v>
      </c>
      <c r="M41" s="24" t="e">
        <f ca="1">IF(AND(I41="N",J41="N"),_xll.EVPRO($B$1,H41,"PSFTID"),"")</f>
        <v>#NAME?</v>
      </c>
      <c r="N41" s="24" t="e">
        <f ca="1">IF(_xll.EVDES(H41,$B$1)="#NODATA","",_xll.EVDES(H41,$B$1))</f>
        <v>#NAME?</v>
      </c>
      <c r="O41" s="44"/>
      <c r="P41" s="44">
        <v>2037.93</v>
      </c>
      <c r="Q41" s="44">
        <v>9649.19</v>
      </c>
      <c r="R41" s="44">
        <v>5156.07</v>
      </c>
      <c r="S41" s="44">
        <v>2993.25</v>
      </c>
      <c r="T41" s="44">
        <v>-2073.9299999999998</v>
      </c>
      <c r="U41" s="44">
        <v>-1075.32</v>
      </c>
      <c r="V41" s="44">
        <v>-2346.7399999999998</v>
      </c>
      <c r="W41" s="44">
        <v>-1520.02</v>
      </c>
      <c r="X41" s="44">
        <v>7565.33</v>
      </c>
      <c r="Y41" s="44">
        <v>5259</v>
      </c>
      <c r="Z41" s="44">
        <v>5131.3</v>
      </c>
      <c r="AA41" s="44" t="e">
        <f t="shared" ca="1" si="0"/>
        <v>#NAME?</v>
      </c>
      <c r="AB41" s="45" t="e">
        <f t="shared" ca="1" si="1"/>
        <v>#NAME?</v>
      </c>
      <c r="AD41" s="44">
        <v>62644.290762500401</v>
      </c>
      <c r="AE41" s="45" t="str">
        <f t="shared" ca="1" si="2"/>
        <v/>
      </c>
      <c r="AF41" s="134" t="e">
        <f t="shared" ca="1" si="3"/>
        <v>#NAME?</v>
      </c>
      <c r="AG41" s="44">
        <v>23826.37</v>
      </c>
      <c r="AH41" s="45" t="str">
        <f t="shared" ca="1" si="5"/>
        <v/>
      </c>
      <c r="AI41" s="134" t="e">
        <f t="shared" ca="1" si="6"/>
        <v>#NAME?</v>
      </c>
      <c r="AJ41" s="392">
        <f t="shared" ca="1" si="7"/>
        <v>0</v>
      </c>
      <c r="AK41" s="393">
        <f t="shared" ca="1" si="8"/>
        <v>0</v>
      </c>
      <c r="AL41" s="394">
        <f t="shared" ca="1" si="9"/>
        <v>0</v>
      </c>
      <c r="AM41" s="395">
        <f t="shared" ca="1" si="10"/>
        <v>0</v>
      </c>
      <c r="AN41" s="396">
        <f t="shared" ca="1" si="11"/>
        <v>0</v>
      </c>
    </row>
    <row r="42" spans="1:40" x14ac:dyDescent="0.2">
      <c r="A42" s="1" t="s">
        <v>110</v>
      </c>
      <c r="C42" s="27" t="s">
        <v>101</v>
      </c>
      <c r="D42" s="1" t="s">
        <v>107</v>
      </c>
      <c r="F42" s="1" t="s">
        <v>99</v>
      </c>
      <c r="G42" s="10" t="s">
        <v>497</v>
      </c>
      <c r="H42" s="133" t="s">
        <v>851</v>
      </c>
      <c r="I42" s="447" t="e">
        <f ca="1">_xll.EVPRO($B$1,$H42,"STYLE")</f>
        <v>#NAME?</v>
      </c>
      <c r="J42" s="447" t="e">
        <f ca="1">_xll.EVPRO($B$1,$H42,"CALC")</f>
        <v>#NAME?</v>
      </c>
      <c r="K42" s="448" t="e">
        <f t="shared" ca="1" si="4"/>
        <v>#NAME?</v>
      </c>
      <c r="L42" s="151" t="e">
        <f ca="1">_xll.EVPRO($B$1,H42,"JDEID")</f>
        <v>#NAME?</v>
      </c>
      <c r="M42" s="151" t="e">
        <f ca="1">IF(AND(I42="N",J42="N"),_xll.EVPRO($B$1,H42,"PSFTID"),"")</f>
        <v>#NAME?</v>
      </c>
      <c r="N42" s="151" t="e">
        <f ca="1">IF(_xll.EVDES(H42,$B$1)="#NODATA","",_xll.EVDES(H42,$B$1))</f>
        <v>#NAME?</v>
      </c>
      <c r="O42" s="120">
        <v>41740.699999999997</v>
      </c>
      <c r="P42" s="120">
        <v>36634.050000000003</v>
      </c>
      <c r="Q42" s="120">
        <v>42664.160000000003</v>
      </c>
      <c r="R42" s="120">
        <v>45403.99</v>
      </c>
      <c r="S42" s="120">
        <v>42674.26</v>
      </c>
      <c r="T42" s="120">
        <v>34221.760000000002</v>
      </c>
      <c r="U42" s="120">
        <v>36983.97</v>
      </c>
      <c r="V42" s="120">
        <v>36203.019999999997</v>
      </c>
      <c r="W42" s="120">
        <v>21514.84</v>
      </c>
      <c r="X42" s="120">
        <v>47196.68</v>
      </c>
      <c r="Y42" s="120">
        <v>40069.56</v>
      </c>
      <c r="Z42" s="120">
        <v>39385.78</v>
      </c>
      <c r="AA42" s="120" t="e">
        <f t="shared" ca="1" si="0"/>
        <v>#NAME?</v>
      </c>
      <c r="AB42" s="121" t="e">
        <f t="shared" ca="1" si="1"/>
        <v>#NAME?</v>
      </c>
      <c r="AC42" s="123"/>
      <c r="AD42" s="120">
        <v>496524.16635325702</v>
      </c>
      <c r="AE42" s="121" t="str">
        <f t="shared" ca="1" si="2"/>
        <v/>
      </c>
      <c r="AF42" s="122" t="e">
        <f t="shared" ca="1" si="3"/>
        <v>#NAME?</v>
      </c>
      <c r="AG42" s="120">
        <v>462214.05</v>
      </c>
      <c r="AH42" s="121" t="str">
        <f t="shared" ca="1" si="5"/>
        <v/>
      </c>
      <c r="AI42" s="122" t="e">
        <f t="shared" ca="1" si="6"/>
        <v>#NAME?</v>
      </c>
      <c r="AJ42" s="332">
        <f t="shared" ca="1" si="7"/>
        <v>0</v>
      </c>
      <c r="AK42" s="333">
        <f t="shared" ca="1" si="8"/>
        <v>0</v>
      </c>
      <c r="AL42" s="335">
        <f t="shared" ca="1" si="9"/>
        <v>0</v>
      </c>
      <c r="AM42" s="377">
        <f t="shared" ca="1" si="10"/>
        <v>0</v>
      </c>
      <c r="AN42" s="378">
        <f t="shared" ca="1" si="11"/>
        <v>0</v>
      </c>
    </row>
    <row r="43" spans="1:40" x14ac:dyDescent="0.2">
      <c r="C43" s="23"/>
      <c r="G43" s="10" t="s">
        <v>497</v>
      </c>
      <c r="H43" s="133" t="s">
        <v>852</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44">
        <v>3605.09</v>
      </c>
      <c r="P43" s="44">
        <v>3697.36</v>
      </c>
      <c r="Q43" s="44">
        <v>3634.05</v>
      </c>
      <c r="R43" s="44">
        <v>3474.63</v>
      </c>
      <c r="S43" s="44">
        <v>3259.29</v>
      </c>
      <c r="T43" s="44">
        <v>2565.71</v>
      </c>
      <c r="U43" s="44">
        <v>2227.23</v>
      </c>
      <c r="V43" s="44">
        <v>3104.49</v>
      </c>
      <c r="W43" s="44">
        <v>1912.63</v>
      </c>
      <c r="X43" s="44">
        <v>3276.77</v>
      </c>
      <c r="Y43" s="44">
        <v>3212.64</v>
      </c>
      <c r="Z43" s="44">
        <v>4156.1099999999997</v>
      </c>
      <c r="AA43" s="44" t="e">
        <f t="shared" ca="1" si="0"/>
        <v>#NAME?</v>
      </c>
      <c r="AB43" s="45" t="e">
        <f t="shared" ca="1" si="1"/>
        <v>#NAME?</v>
      </c>
      <c r="AD43" s="44">
        <v>38624.119330573798</v>
      </c>
      <c r="AE43" s="45" t="str">
        <f t="shared" ca="1" si="2"/>
        <v/>
      </c>
      <c r="AF43" s="134" t="e">
        <f t="shared" ca="1" si="3"/>
        <v>#NAME?</v>
      </c>
      <c r="AG43" s="44">
        <v>37647.94</v>
      </c>
      <c r="AH43" s="45" t="str">
        <f t="shared" ca="1" si="5"/>
        <v/>
      </c>
      <c r="AI43" s="134" t="e">
        <f t="shared" ca="1" si="6"/>
        <v>#NAME?</v>
      </c>
      <c r="AJ43" s="392">
        <f t="shared" ca="1" si="7"/>
        <v>0</v>
      </c>
      <c r="AK43" s="393">
        <f t="shared" ca="1" si="8"/>
        <v>0</v>
      </c>
      <c r="AL43" s="394">
        <f t="shared" ca="1" si="9"/>
        <v>0</v>
      </c>
      <c r="AM43" s="395">
        <f t="shared" ca="1" si="10"/>
        <v>0</v>
      </c>
      <c r="AN43" s="396">
        <f t="shared" ca="1" si="11"/>
        <v>0</v>
      </c>
    </row>
    <row r="44" spans="1:40" x14ac:dyDescent="0.2">
      <c r="G44" s="10" t="s">
        <v>497</v>
      </c>
      <c r="H44" s="133" t="s">
        <v>853</v>
      </c>
      <c r="I44" s="25" t="e">
        <f ca="1">_xll.EVPRO($B$1,$H44,"STYLE")</f>
        <v>#NAME?</v>
      </c>
      <c r="J44" s="25" t="e">
        <f ca="1">_xll.EVPRO($B$1,$H44,"CALC")</f>
        <v>#NAME?</v>
      </c>
      <c r="K44" s="64" t="e">
        <f t="shared" ca="1" si="4"/>
        <v>#NAME?</v>
      </c>
      <c r="L44" s="24" t="e">
        <f ca="1">_xll.EVPRO($B$1,H44,"JDEID")</f>
        <v>#NAME?</v>
      </c>
      <c r="M44" s="24" t="e">
        <f ca="1">IF(AND(I44="N",J44="N"),_xll.EVPRO($B$1,H44,"PSFTID"),"")</f>
        <v>#NAME?</v>
      </c>
      <c r="N44" s="24" t="e">
        <f ca="1">IF(_xll.EVDES(H44,$B$1)="#NODATA","",_xll.EVDES(H44,$B$1))</f>
        <v>#NAME?</v>
      </c>
      <c r="O44" s="44">
        <v>5214.6499999999996</v>
      </c>
      <c r="P44" s="44">
        <v>3674.64</v>
      </c>
      <c r="Q44" s="44">
        <v>2182.64</v>
      </c>
      <c r="R44" s="44">
        <v>5159.54</v>
      </c>
      <c r="S44" s="44">
        <v>5324.58</v>
      </c>
      <c r="T44" s="44">
        <v>3869.59</v>
      </c>
      <c r="U44" s="44">
        <v>5665.54</v>
      </c>
      <c r="V44" s="44">
        <v>4776.6400000000003</v>
      </c>
      <c r="W44" s="44">
        <v>6512.85</v>
      </c>
      <c r="X44" s="44">
        <v>3655.53</v>
      </c>
      <c r="Y44" s="44">
        <v>3438.41</v>
      </c>
      <c r="Z44" s="44">
        <v>-1384.12</v>
      </c>
      <c r="AA44" s="44" t="e">
        <f t="shared" ca="1" si="0"/>
        <v>#NAME?</v>
      </c>
      <c r="AB44" s="45" t="e">
        <f t="shared" ca="1" si="1"/>
        <v>#NAME?</v>
      </c>
      <c r="AD44" s="28">
        <v>42667.327707613404</v>
      </c>
      <c r="AE44" s="29" t="str">
        <f t="shared" ca="1" si="2"/>
        <v/>
      </c>
      <c r="AF44" s="48" t="e">
        <f t="shared" ca="1" si="3"/>
        <v>#NAME?</v>
      </c>
      <c r="AG44" s="28">
        <v>48144.56</v>
      </c>
      <c r="AH44" s="29" t="str">
        <f t="shared" ca="1" si="5"/>
        <v/>
      </c>
      <c r="AI44" s="48" t="e">
        <f t="shared" ca="1" si="6"/>
        <v>#NAME?</v>
      </c>
      <c r="AJ44" s="381">
        <f t="shared" ca="1" si="7"/>
        <v>0</v>
      </c>
      <c r="AK44" s="382">
        <f t="shared" ca="1" si="8"/>
        <v>0</v>
      </c>
      <c r="AL44" s="383">
        <f t="shared" ca="1" si="9"/>
        <v>0</v>
      </c>
      <c r="AM44" s="384">
        <f t="shared" ca="1" si="10"/>
        <v>0</v>
      </c>
      <c r="AN44" s="385">
        <f t="shared" ca="1" si="11"/>
        <v>0</v>
      </c>
    </row>
    <row r="45" spans="1:40" x14ac:dyDescent="0.2">
      <c r="A45" s="4" t="e">
        <f ca="1">_xll.EVDRE($B$1,A48:B55)</f>
        <v>#NAME?</v>
      </c>
      <c r="B45" s="1" t="s">
        <v>736</v>
      </c>
      <c r="G45" s="10" t="s">
        <v>497</v>
      </c>
      <c r="H45" s="133" t="s">
        <v>854</v>
      </c>
      <c r="I45" s="25" t="e">
        <f ca="1">_xll.EVPRO($B$1,$H45,"STYLE")</f>
        <v>#NAME?</v>
      </c>
      <c r="J45" s="25" t="e">
        <f ca="1">_xll.EVPRO($B$1,$H45,"CALC")</f>
        <v>#NAME?</v>
      </c>
      <c r="K45" s="64" t="e">
        <f t="shared" ca="1" si="4"/>
        <v>#NAME?</v>
      </c>
      <c r="L45" s="24" t="e">
        <f ca="1">_xll.EVPRO($B$1,H45,"JDEID")</f>
        <v>#NAME?</v>
      </c>
      <c r="M45" s="24" t="e">
        <f ca="1">IF(AND(I45="N",J45="N"),_xll.EVPRO($B$1,H45,"PSFTID"),"")</f>
        <v>#NAME?</v>
      </c>
      <c r="N45" s="24" t="e">
        <f ca="1">IF(_xll.EVDES(H45,$B$1)="#NODATA","",_xll.EVDES(H45,$B$1))</f>
        <v>#NAME?</v>
      </c>
      <c r="O45" s="44">
        <v>6920.41</v>
      </c>
      <c r="P45" s="44">
        <v>7968.44</v>
      </c>
      <c r="Q45" s="44">
        <v>6192.39</v>
      </c>
      <c r="R45" s="44">
        <v>5342.15</v>
      </c>
      <c r="S45" s="44">
        <v>5381.61</v>
      </c>
      <c r="T45" s="44">
        <v>5172.75</v>
      </c>
      <c r="U45" s="44">
        <v>6022.37</v>
      </c>
      <c r="V45" s="44">
        <v>6192.64</v>
      </c>
      <c r="W45" s="44">
        <v>5771.72</v>
      </c>
      <c r="X45" s="44">
        <v>7261.23</v>
      </c>
      <c r="Y45" s="44">
        <v>7327.6</v>
      </c>
      <c r="Z45" s="44">
        <v>7776.87</v>
      </c>
      <c r="AA45" s="44" t="e">
        <f t="shared" ca="1" si="0"/>
        <v>#NAME?</v>
      </c>
      <c r="AB45" s="45" t="e">
        <f t="shared" ca="1" si="1"/>
        <v>#NAME?</v>
      </c>
      <c r="AD45" s="28">
        <v>71660.575855183793</v>
      </c>
      <c r="AE45" s="29" t="str">
        <f t="shared" ca="1" si="2"/>
        <v/>
      </c>
      <c r="AF45" s="48" t="e">
        <f t="shared" ca="1" si="3"/>
        <v>#NAME?</v>
      </c>
      <c r="AG45" s="28">
        <v>72519.14</v>
      </c>
      <c r="AH45" s="29" t="str">
        <f t="shared" ca="1" si="5"/>
        <v/>
      </c>
      <c r="AI45" s="48" t="e">
        <f t="shared" ca="1" si="6"/>
        <v>#NAME?</v>
      </c>
      <c r="AJ45" s="381">
        <f t="shared" ca="1" si="7"/>
        <v>0</v>
      </c>
      <c r="AK45" s="382">
        <f t="shared" ca="1" si="8"/>
        <v>0</v>
      </c>
      <c r="AL45" s="383">
        <f t="shared" ca="1" si="9"/>
        <v>0</v>
      </c>
      <c r="AM45" s="384">
        <f t="shared" ca="1" si="10"/>
        <v>0</v>
      </c>
      <c r="AN45" s="385">
        <f t="shared" ca="1" si="11"/>
        <v>0</v>
      </c>
    </row>
    <row r="46" spans="1:40" x14ac:dyDescent="0.2">
      <c r="G46" s="10" t="s">
        <v>497</v>
      </c>
      <c r="H46" s="133" t="s">
        <v>855</v>
      </c>
      <c r="I46" s="447" t="e">
        <f ca="1">_xll.EVPRO($B$1,$H46,"STYLE")</f>
        <v>#NAME?</v>
      </c>
      <c r="J46" s="447" t="e">
        <f ca="1">_xll.EVPRO($B$1,$H46,"CALC")</f>
        <v>#NAME?</v>
      </c>
      <c r="K46" s="448" t="e">
        <f t="shared" ca="1" si="4"/>
        <v>#NAME?</v>
      </c>
      <c r="L46" s="151" t="e">
        <f ca="1">_xll.EVPRO($B$1,H46,"JDEID")</f>
        <v>#NAME?</v>
      </c>
      <c r="M46" s="151" t="e">
        <f ca="1">IF(AND(I46="N",J46="N"),_xll.EVPRO($B$1,H46,"PSFTID"),"")</f>
        <v>#NAME?</v>
      </c>
      <c r="N46" s="151" t="e">
        <f ca="1">IF(_xll.EVDES(H46,$B$1)="#NODATA","",_xll.EVDES(H46,$B$1))</f>
        <v>#NAME?</v>
      </c>
      <c r="O46" s="33">
        <v>15740.15</v>
      </c>
      <c r="P46" s="33">
        <v>15340.44</v>
      </c>
      <c r="Q46" s="33">
        <v>12009.08</v>
      </c>
      <c r="R46" s="33">
        <v>13976.32</v>
      </c>
      <c r="S46" s="33">
        <v>13965.48</v>
      </c>
      <c r="T46" s="33">
        <v>11608.05</v>
      </c>
      <c r="U46" s="33">
        <v>13915.14</v>
      </c>
      <c r="V46" s="33">
        <v>14073.77</v>
      </c>
      <c r="W46" s="33">
        <v>14197.2</v>
      </c>
      <c r="X46" s="33">
        <v>14193.53</v>
      </c>
      <c r="Y46" s="33">
        <v>13978.65</v>
      </c>
      <c r="Z46" s="33">
        <v>10548.86</v>
      </c>
      <c r="AA46" s="33" t="e">
        <f t="shared" ca="1" si="0"/>
        <v>#NAME?</v>
      </c>
      <c r="AB46" s="34" t="e">
        <f t="shared" ca="1" si="1"/>
        <v>#NAME?</v>
      </c>
      <c r="AC46" s="32"/>
      <c r="AD46" s="33">
        <v>152952.022893371</v>
      </c>
      <c r="AE46" s="34" t="str">
        <f t="shared" ca="1" si="2"/>
        <v/>
      </c>
      <c r="AF46" s="54" t="e">
        <f t="shared" ca="1" si="3"/>
        <v>#NAME?</v>
      </c>
      <c r="AG46" s="33">
        <v>158311.64000000001</v>
      </c>
      <c r="AH46" s="34" t="str">
        <f t="shared" ca="1" si="5"/>
        <v/>
      </c>
      <c r="AI46" s="54" t="e">
        <f t="shared" ca="1" si="6"/>
        <v>#NAME?</v>
      </c>
      <c r="AJ46" s="344">
        <f t="shared" ca="1" si="7"/>
        <v>0</v>
      </c>
      <c r="AK46" s="345">
        <f t="shared" ca="1" si="8"/>
        <v>0</v>
      </c>
      <c r="AL46" s="347">
        <f t="shared" ca="1" si="9"/>
        <v>0</v>
      </c>
      <c r="AM46" s="379">
        <f t="shared" ca="1" si="10"/>
        <v>0</v>
      </c>
      <c r="AN46" s="380">
        <f t="shared" ca="1" si="11"/>
        <v>0</v>
      </c>
    </row>
    <row r="47" spans="1:40" x14ac:dyDescent="0.2">
      <c r="A47" s="3" t="s">
        <v>0</v>
      </c>
      <c r="B47" s="5" t="s">
        <v>1</v>
      </c>
      <c r="G47" s="10" t="s">
        <v>497</v>
      </c>
      <c r="H47" s="133" t="s">
        <v>76</v>
      </c>
      <c r="I47" s="447" t="e">
        <f ca="1">_xll.EVPRO($B$1,$H47,"STYLE")</f>
        <v>#NAME?</v>
      </c>
      <c r="J47" s="447" t="e">
        <f ca="1">_xll.EVPRO($B$1,$H47,"CALC")</f>
        <v>#NAME?</v>
      </c>
      <c r="K47" s="448" t="e">
        <f t="shared" ca="1" si="4"/>
        <v>#NAME?</v>
      </c>
      <c r="L47" s="151" t="e">
        <f ca="1">_xll.EVPRO($B$1,H47,"JDEID")</f>
        <v>#NAME?</v>
      </c>
      <c r="M47" s="151" t="e">
        <f ca="1">IF(AND(I47="N",J47="N"),_xll.EVPRO($B$1,H47,"PSFTID"),"")</f>
        <v>#NAME?</v>
      </c>
      <c r="N47" s="151" t="e">
        <f ca="1">IF(_xll.EVDES(H47,$B$1)="#NODATA","",_xll.EVDES(H47,$B$1))</f>
        <v>#NAME?</v>
      </c>
      <c r="O47" s="33">
        <v>57480.85</v>
      </c>
      <c r="P47" s="33">
        <v>51974.49</v>
      </c>
      <c r="Q47" s="33">
        <v>54673.24</v>
      </c>
      <c r="R47" s="33">
        <v>59380.31</v>
      </c>
      <c r="S47" s="33">
        <v>56639.74</v>
      </c>
      <c r="T47" s="33">
        <v>45829.81</v>
      </c>
      <c r="U47" s="33">
        <v>50899.11</v>
      </c>
      <c r="V47" s="33">
        <v>50276.79</v>
      </c>
      <c r="W47" s="33">
        <v>35712.04</v>
      </c>
      <c r="X47" s="33">
        <v>61390.21</v>
      </c>
      <c r="Y47" s="33">
        <v>54048.21</v>
      </c>
      <c r="Z47" s="33">
        <v>49934.64</v>
      </c>
      <c r="AA47" s="33" t="e">
        <f t="shared" ca="1" si="0"/>
        <v>#NAME?</v>
      </c>
      <c r="AB47" s="34" t="e">
        <f t="shared" ca="1" si="1"/>
        <v>#NAME?</v>
      </c>
      <c r="AC47" s="32"/>
      <c r="AD47" s="33">
        <v>649476.18924662797</v>
      </c>
      <c r="AE47" s="34" t="str">
        <f t="shared" ca="1" si="2"/>
        <v/>
      </c>
      <c r="AF47" s="54" t="e">
        <f t="shared" ca="1" si="3"/>
        <v>#NAME?</v>
      </c>
      <c r="AG47" s="33">
        <v>620525.68999999994</v>
      </c>
      <c r="AH47" s="34" t="str">
        <f t="shared" ca="1" si="5"/>
        <v/>
      </c>
      <c r="AI47" s="54" t="e">
        <f t="shared" ca="1" si="6"/>
        <v>#NAME?</v>
      </c>
      <c r="AJ47" s="344">
        <f t="shared" ca="1" si="7"/>
        <v>0</v>
      </c>
      <c r="AK47" s="345">
        <f t="shared" ca="1" si="8"/>
        <v>0</v>
      </c>
      <c r="AL47" s="347">
        <f t="shared" ca="1" si="9"/>
        <v>0</v>
      </c>
      <c r="AM47" s="379">
        <f t="shared" ca="1" si="10"/>
        <v>0</v>
      </c>
      <c r="AN47" s="380">
        <f t="shared" ca="1" si="11"/>
        <v>0</v>
      </c>
    </row>
    <row r="48" spans="1:40" x14ac:dyDescent="0.2">
      <c r="A48" s="6" t="s">
        <v>2</v>
      </c>
      <c r="B48" s="7" t="e">
        <f ca="1">_xll.EVRNG($B$2:$B$10)</f>
        <v>#NAME?</v>
      </c>
      <c r="G48" s="23"/>
      <c r="H48" s="23"/>
      <c r="I48" s="23"/>
      <c r="J48" s="23"/>
      <c r="K48" s="23"/>
      <c r="L48" s="23"/>
      <c r="M48" s="23"/>
      <c r="N48" s="23"/>
      <c r="O48" s="38"/>
      <c r="P48" s="42"/>
      <c r="Q48" s="42"/>
      <c r="R48" s="42"/>
      <c r="S48" s="42"/>
      <c r="T48" s="42"/>
      <c r="U48" s="42"/>
      <c r="V48" s="42"/>
      <c r="W48" s="42"/>
      <c r="X48" s="42"/>
      <c r="Y48" s="42"/>
      <c r="Z48" s="42"/>
      <c r="AA48" s="42"/>
      <c r="AB48" s="39"/>
      <c r="AD48" s="38"/>
      <c r="AE48" s="42"/>
      <c r="AF48" s="39"/>
      <c r="AG48" s="38"/>
      <c r="AH48" s="42"/>
      <c r="AI48" s="39"/>
    </row>
    <row r="49" spans="1:40" x14ac:dyDescent="0.2">
      <c r="A49" s="6" t="s">
        <v>3</v>
      </c>
      <c r="B49" s="7" t="e">
        <f ca="1">_xll.EVRNG($O$16:$AN$18)</f>
        <v>#NAME?</v>
      </c>
      <c r="G49" s="13"/>
      <c r="H49" s="1" t="s">
        <v>82</v>
      </c>
      <c r="I49" s="11" t="e">
        <f ca="1">_xll.EVPRO($B$1,$H49,"STYLE")</f>
        <v>#NAME?</v>
      </c>
      <c r="J49" s="11" t="e">
        <f ca="1">_xll.EVPRO($B$1,$H49,"CALC")</f>
        <v>#NAME?</v>
      </c>
      <c r="L49" s="1"/>
      <c r="M49" s="1"/>
      <c r="N49" s="37" t="e">
        <f ca="1">IF(_xll.EVDES(H49,$B$1)="#NODATA","",_xll.EVDES(H49,$B$1))</f>
        <v>#NAME?</v>
      </c>
      <c r="O49" s="40"/>
      <c r="P49" s="43"/>
      <c r="Q49" s="43"/>
      <c r="R49" s="43"/>
      <c r="S49" s="43"/>
      <c r="T49" s="43"/>
      <c r="U49" s="43"/>
      <c r="V49" s="43"/>
      <c r="W49" s="43"/>
      <c r="X49" s="43"/>
      <c r="Y49" s="43"/>
      <c r="Z49" s="43"/>
      <c r="AA49" s="43"/>
      <c r="AB49" s="41"/>
      <c r="AD49" s="40"/>
      <c r="AE49" s="43"/>
      <c r="AF49" s="41"/>
      <c r="AG49" s="40"/>
      <c r="AH49" s="43"/>
      <c r="AI49" s="41"/>
    </row>
    <row r="50" spans="1:40" x14ac:dyDescent="0.2">
      <c r="A50" s="6" t="s">
        <v>4</v>
      </c>
      <c r="B50" s="7" t="e">
        <f ca="1">_xll.EVRNG(G68:H72)</f>
        <v>#NAME?</v>
      </c>
      <c r="G50" s="10" t="s">
        <v>828</v>
      </c>
      <c r="H50" s="10" t="s">
        <v>829</v>
      </c>
      <c r="I50" s="25" t="e">
        <f ca="1">_xll.EVPRO($B$1,$H50,"STYLE")</f>
        <v>#NAME?</v>
      </c>
      <c r="J50" s="25" t="e">
        <f ca="1">_xll.EVPRO($B$1,$H50,"CALC")</f>
        <v>#NAME?</v>
      </c>
      <c r="K50" s="64" t="e">
        <f ca="1">IF(AND(I50&gt;="T3"),"&gt;","")</f>
        <v>#NAME?</v>
      </c>
      <c r="L50" s="24" t="e">
        <f ca="1">_xll.EVPRO($B$1,H50,"JDEID")</f>
        <v>#NAME?</v>
      </c>
      <c r="M50" s="24" t="e">
        <f ca="1">IF(AND(I50="N",J50="N"),_xll.EVPRO($B$1,H50,"PSFTID"),"")</f>
        <v>#NAME?</v>
      </c>
      <c r="N50" s="24" t="e">
        <f ca="1">IF(_xll.EVDES(H50,$B$1)="#NODATA","",_xll.EVDES(H50,$B$1))</f>
        <v>#NAME?</v>
      </c>
      <c r="O50" s="19">
        <v>420</v>
      </c>
      <c r="P50" s="19"/>
      <c r="Q50" s="19">
        <v>28</v>
      </c>
      <c r="R50" s="19"/>
      <c r="S50" s="19">
        <v>28</v>
      </c>
      <c r="T50" s="19"/>
      <c r="U50" s="19"/>
      <c r="V50" s="19"/>
      <c r="W50" s="19"/>
      <c r="X50" s="19"/>
      <c r="Y50" s="19"/>
      <c r="Z50" s="19">
        <v>465.75</v>
      </c>
      <c r="AA50" s="19" t="e">
        <f t="shared" ref="AA50:AA69" ca="1" si="12">IF($I50="B1","",SUM(O50:Z50))</f>
        <v>#NAME?</v>
      </c>
      <c r="AB50" s="15" t="e">
        <f t="shared" ref="AB50:AB69" ca="1" si="13">IF(AA50=0,"",IFERROR(AA50/AA$19,""))</f>
        <v>#NAME?</v>
      </c>
      <c r="AD50" s="19">
        <v>695</v>
      </c>
      <c r="AE50" s="15" t="str">
        <f t="shared" ref="AE50:AE69" ca="1" si="14">IF(AD50=0,"",IFERROR(AD50/AD$19,""))</f>
        <v/>
      </c>
      <c r="AF50" s="47" t="e">
        <f t="shared" ref="AF50:AF69" ca="1" si="15">IF(AND($AA50="",AD50=""),"",$AA50-AD50)</f>
        <v>#NAME?</v>
      </c>
      <c r="AG50" s="19">
        <v>695.15</v>
      </c>
      <c r="AH50" s="15" t="str">
        <f ca="1">IF(AG50=0,"",IFERROR(AG50/AG$19,""))</f>
        <v/>
      </c>
      <c r="AI50" s="47" t="e">
        <f ca="1">IF(AND($AA50="",AG50=""),"",$AA50-AG50)</f>
        <v>#NAME?</v>
      </c>
      <c r="AJ50" s="371">
        <f ca="1">IFERROR(AA50/AA$20,0)</f>
        <v>0</v>
      </c>
      <c r="AK50" s="372">
        <f ca="1">IFERROR(AD50/AD$20,0)</f>
        <v>0</v>
      </c>
      <c r="AL50" s="373">
        <f ca="1">IFERROR(AG50/AG$20,0)</f>
        <v>0</v>
      </c>
      <c r="AM50" s="374">
        <f ca="1">+IFERROR(ROUND(($AB50-AE50)*100,2)&amp;" pts.",0)</f>
        <v>0</v>
      </c>
      <c r="AN50" s="375">
        <f ca="1">+IFERROR(ROUND(($AB50-AH50)*100,2)&amp;" pts.",0)</f>
        <v>0</v>
      </c>
    </row>
    <row r="51" spans="1:40" x14ac:dyDescent="0.2">
      <c r="A51" s="6" t="s">
        <v>5</v>
      </c>
      <c r="B51" s="7"/>
      <c r="G51" s="10" t="s">
        <v>828</v>
      </c>
      <c r="H51" s="10" t="s">
        <v>830</v>
      </c>
      <c r="I51" s="25" t="e">
        <f ca="1">_xll.EVPRO($B$1,$H51,"STYLE")</f>
        <v>#NAME?</v>
      </c>
      <c r="J51" s="25" t="e">
        <f ca="1">_xll.EVPRO($B$1,$H51,"CALC")</f>
        <v>#NAME?</v>
      </c>
      <c r="K51" s="64" t="e">
        <f t="shared" ref="K51:K67" ca="1" si="16">IF(AND(I51&gt;="T3"),"&gt;","")</f>
        <v>#NAME?</v>
      </c>
      <c r="L51" s="24" t="e">
        <f ca="1">_xll.EVPRO($B$1,H51,"JDEID")</f>
        <v>#NAME?</v>
      </c>
      <c r="M51" s="24" t="e">
        <f ca="1">IF(AND(I51="N",J51="N"),_xll.EVPRO($B$1,H51,"PSFTID"),"")</f>
        <v>#NAME?</v>
      </c>
      <c r="N51" s="24" t="e">
        <f ca="1">IF(_xll.EVDES(H51,$B$1)="#NODATA","",_xll.EVDES(H51,$B$1))</f>
        <v>#NAME?</v>
      </c>
      <c r="O51" s="19">
        <v>161.29</v>
      </c>
      <c r="P51" s="19">
        <v>33.74</v>
      </c>
      <c r="Q51" s="19">
        <v>-30.73</v>
      </c>
      <c r="R51" s="19">
        <v>-31.32</v>
      </c>
      <c r="S51" s="19"/>
      <c r="T51" s="19">
        <v>148.87</v>
      </c>
      <c r="U51" s="19">
        <v>143.82</v>
      </c>
      <c r="V51" s="19">
        <v>80</v>
      </c>
      <c r="W51" s="19">
        <v>159.69999999999999</v>
      </c>
      <c r="X51" s="19">
        <v>147.44999999999999</v>
      </c>
      <c r="Y51" s="19">
        <v>-4.91</v>
      </c>
      <c r="Z51" s="19">
        <v>-142.94</v>
      </c>
      <c r="AA51" s="19" t="e">
        <f t="shared" ca="1" si="12"/>
        <v>#NAME?</v>
      </c>
      <c r="AB51" s="15" t="e">
        <f t="shared" ca="1" si="13"/>
        <v>#NAME?</v>
      </c>
      <c r="AD51" s="19">
        <v>1264</v>
      </c>
      <c r="AE51" s="15" t="str">
        <f t="shared" ca="1" si="14"/>
        <v/>
      </c>
      <c r="AF51" s="47" t="e">
        <f t="shared" ca="1" si="15"/>
        <v>#NAME?</v>
      </c>
      <c r="AG51" s="19">
        <v>1198.48</v>
      </c>
      <c r="AH51" s="15" t="str">
        <f t="shared" ref="AH51:AH67" ca="1" si="17">IF(AG51=0,"",IFERROR(AG51/AG$19,""))</f>
        <v/>
      </c>
      <c r="AI51" s="47" t="e">
        <f t="shared" ref="AI51:AI67" ca="1" si="18">IF(AND($AA51="",AG51=""),"",$AA51-AG51)</f>
        <v>#NAME?</v>
      </c>
      <c r="AJ51" s="371">
        <f t="shared" ref="AJ51:AJ67" ca="1" si="19">IFERROR(AA51/AA$20,0)</f>
        <v>0</v>
      </c>
      <c r="AK51" s="372">
        <f t="shared" ref="AK51:AK67" ca="1" si="20">IFERROR(AD51/AD$20,0)</f>
        <v>0</v>
      </c>
      <c r="AL51" s="373">
        <f t="shared" ref="AL51:AL67" ca="1" si="21">IFERROR(AG51/AG$20,0)</f>
        <v>0</v>
      </c>
      <c r="AM51" s="374">
        <f t="shared" ref="AM51:AM67" ca="1" si="22">+IFERROR(ROUND(($AB51-AE51)*100,2)&amp;" pts.",0)</f>
        <v>0</v>
      </c>
      <c r="AN51" s="375">
        <f t="shared" ref="AN51:AN67" ca="1" si="23">+IFERROR(ROUND(($AB51-AH51)*100,2)&amp;" pts.",0)</f>
        <v>0</v>
      </c>
    </row>
    <row r="52" spans="1:40" x14ac:dyDescent="0.2">
      <c r="A52" s="6" t="s">
        <v>6</v>
      </c>
      <c r="B52" s="7"/>
      <c r="G52" s="10" t="s">
        <v>828</v>
      </c>
      <c r="H52" s="10" t="s">
        <v>831</v>
      </c>
      <c r="I52" s="25" t="e">
        <f ca="1">_xll.EVPRO($B$1,$H52,"STYLE")</f>
        <v>#NAME?</v>
      </c>
      <c r="J52" s="25" t="e">
        <f ca="1">_xll.EVPRO($B$1,$H52,"CALC")</f>
        <v>#NAME?</v>
      </c>
      <c r="K52" s="64" t="e">
        <f t="shared" ca="1" si="16"/>
        <v>#NAME?</v>
      </c>
      <c r="L52" s="24" t="e">
        <f ca="1">_xll.EVPRO($B$1,H52,"JDEID")</f>
        <v>#NAME?</v>
      </c>
      <c r="M52" s="24" t="e">
        <f ca="1">IF(AND(I52="N",J52="N"),_xll.EVPRO($B$1,H52,"PSFTID"),"")</f>
        <v>#NAME?</v>
      </c>
      <c r="N52" s="24" t="e">
        <f ca="1">IF(_xll.EVDES(H52,$B$1)="#NODATA","",_xll.EVDES(H52,$B$1))</f>
        <v>#NAME?</v>
      </c>
      <c r="O52" s="19"/>
      <c r="P52" s="19"/>
      <c r="Q52" s="19">
        <v>805</v>
      </c>
      <c r="R52" s="19">
        <v>2000</v>
      </c>
      <c r="S52" s="19"/>
      <c r="T52" s="19"/>
      <c r="U52" s="19"/>
      <c r="V52" s="19">
        <v>780</v>
      </c>
      <c r="W52" s="19"/>
      <c r="X52" s="19">
        <v>138.75</v>
      </c>
      <c r="Y52" s="19">
        <v>199</v>
      </c>
      <c r="Z52" s="19"/>
      <c r="AA52" s="19" t="e">
        <f t="shared" ca="1" si="12"/>
        <v>#NAME?</v>
      </c>
      <c r="AB52" s="15" t="e">
        <f t="shared" ca="1" si="13"/>
        <v>#NAME?</v>
      </c>
      <c r="AD52" s="19">
        <v>2450</v>
      </c>
      <c r="AE52" s="15" t="str">
        <f t="shared" ca="1" si="14"/>
        <v/>
      </c>
      <c r="AF52" s="47" t="e">
        <f t="shared" ca="1" si="15"/>
        <v>#NAME?</v>
      </c>
      <c r="AG52" s="19">
        <v>3611.81</v>
      </c>
      <c r="AH52" s="15" t="str">
        <f t="shared" ca="1" si="17"/>
        <v/>
      </c>
      <c r="AI52" s="47" t="e">
        <f t="shared" ca="1" si="18"/>
        <v>#NAME?</v>
      </c>
      <c r="AJ52" s="371">
        <f t="shared" ca="1" si="19"/>
        <v>0</v>
      </c>
      <c r="AK52" s="372">
        <f t="shared" ca="1" si="20"/>
        <v>0</v>
      </c>
      <c r="AL52" s="373">
        <f t="shared" ca="1" si="21"/>
        <v>0</v>
      </c>
      <c r="AM52" s="374">
        <f t="shared" ca="1" si="22"/>
        <v>0</v>
      </c>
      <c r="AN52" s="375">
        <f t="shared" ca="1" si="23"/>
        <v>0</v>
      </c>
    </row>
    <row r="53" spans="1:40" x14ac:dyDescent="0.2">
      <c r="A53" s="6" t="s">
        <v>7</v>
      </c>
      <c r="B53" s="7"/>
      <c r="G53" s="10" t="s">
        <v>828</v>
      </c>
      <c r="H53" s="10" t="s">
        <v>832</v>
      </c>
      <c r="I53" s="25" t="e">
        <f ca="1">_xll.EVPRO($B$1,$H53,"STYLE")</f>
        <v>#NAME?</v>
      </c>
      <c r="J53" s="25" t="e">
        <f ca="1">_xll.EVPRO($B$1,$H53,"CALC")</f>
        <v>#NAME?</v>
      </c>
      <c r="K53" s="64" t="e">
        <f t="shared" ca="1" si="16"/>
        <v>#NAME?</v>
      </c>
      <c r="L53" s="24" t="e">
        <f ca="1">_xll.EVPRO($B$1,H53,"JDEID")</f>
        <v>#NAME?</v>
      </c>
      <c r="M53" s="24" t="e">
        <f ca="1">IF(AND(I53="N",J53="N"),_xll.EVPRO($B$1,H53,"PSFTID"),"")</f>
        <v>#NAME?</v>
      </c>
      <c r="N53" s="24" t="e">
        <f ca="1">IF(_xll.EVDES(H53,$B$1)="#NODATA","",_xll.EVDES(H53,$B$1))</f>
        <v>#NAME?</v>
      </c>
      <c r="O53" s="19">
        <v>76.760000000000005</v>
      </c>
      <c r="P53" s="19">
        <v>107.87</v>
      </c>
      <c r="Q53" s="19">
        <v>341.11</v>
      </c>
      <c r="R53" s="19">
        <v>200</v>
      </c>
      <c r="S53" s="19">
        <v>137.91</v>
      </c>
      <c r="T53" s="19">
        <v>64.2</v>
      </c>
      <c r="U53" s="19">
        <v>99.8</v>
      </c>
      <c r="V53" s="19">
        <v>36</v>
      </c>
      <c r="W53" s="19">
        <v>208.21</v>
      </c>
      <c r="X53" s="19">
        <v>18.000000000000099</v>
      </c>
      <c r="Y53" s="19">
        <v>200</v>
      </c>
      <c r="Z53" s="19">
        <v>203.58</v>
      </c>
      <c r="AA53" s="19" t="e">
        <f t="shared" ca="1" si="12"/>
        <v>#NAME?</v>
      </c>
      <c r="AB53" s="15" t="e">
        <f t="shared" ca="1" si="13"/>
        <v>#NAME?</v>
      </c>
      <c r="AD53" s="19">
        <v>1956</v>
      </c>
      <c r="AE53" s="15" t="str">
        <f t="shared" ca="1" si="14"/>
        <v/>
      </c>
      <c r="AF53" s="47" t="e">
        <f t="shared" ca="1" si="15"/>
        <v>#NAME?</v>
      </c>
      <c r="AG53" s="19">
        <v>2074.54</v>
      </c>
      <c r="AH53" s="15" t="str">
        <f t="shared" ca="1" si="17"/>
        <v/>
      </c>
      <c r="AI53" s="47" t="e">
        <f t="shared" ca="1" si="18"/>
        <v>#NAME?</v>
      </c>
      <c r="AJ53" s="371">
        <f t="shared" ca="1" si="19"/>
        <v>0</v>
      </c>
      <c r="AK53" s="372">
        <f t="shared" ca="1" si="20"/>
        <v>0</v>
      </c>
      <c r="AL53" s="373">
        <f t="shared" ca="1" si="21"/>
        <v>0</v>
      </c>
      <c r="AM53" s="374">
        <f t="shared" ca="1" si="22"/>
        <v>0</v>
      </c>
      <c r="AN53" s="375">
        <f t="shared" ca="1" si="23"/>
        <v>0</v>
      </c>
    </row>
    <row r="54" spans="1:40" x14ac:dyDescent="0.2">
      <c r="A54" s="6" t="s">
        <v>47</v>
      </c>
      <c r="B54" s="7" t="e">
        <f ca="1">_xll.EVRNG($A$59:$B$80)</f>
        <v>#NAME?</v>
      </c>
      <c r="G54" s="10" t="s">
        <v>828</v>
      </c>
      <c r="H54" s="10" t="s">
        <v>833</v>
      </c>
      <c r="I54" s="25" t="e">
        <f ca="1">_xll.EVPRO($B$1,$H54,"STYLE")</f>
        <v>#NAME?</v>
      </c>
      <c r="J54" s="25" t="e">
        <f ca="1">_xll.EVPRO($B$1,$H54,"CALC")</f>
        <v>#NAME?</v>
      </c>
      <c r="K54" s="64" t="e">
        <f t="shared" ca="1" si="16"/>
        <v>#NAME?</v>
      </c>
      <c r="L54" s="24" t="e">
        <f ca="1">_xll.EVPRO($B$1,H54,"JDEID")</f>
        <v>#NAME?</v>
      </c>
      <c r="M54" s="24" t="e">
        <f ca="1">IF(AND(I54="N",J54="N"),_xll.EVPRO($B$1,H54,"PSFTID"),"")</f>
        <v>#NAME?</v>
      </c>
      <c r="N54" s="24" t="e">
        <f ca="1">IF(_xll.EVDES(H54,$B$1)="#NODATA","",_xll.EVDES(H54,$B$1))</f>
        <v>#NAME?</v>
      </c>
      <c r="O54" s="19">
        <v>426.56</v>
      </c>
      <c r="P54" s="19">
        <v>426.56</v>
      </c>
      <c r="Q54" s="19">
        <v>426.56</v>
      </c>
      <c r="R54" s="19">
        <v>426.56</v>
      </c>
      <c r="S54" s="19">
        <v>426.56</v>
      </c>
      <c r="T54" s="19">
        <v>396.56</v>
      </c>
      <c r="U54" s="19">
        <v>431.4</v>
      </c>
      <c r="V54" s="19">
        <v>761.39</v>
      </c>
      <c r="W54" s="19">
        <v>431.39</v>
      </c>
      <c r="X54" s="19">
        <v>101.39</v>
      </c>
      <c r="Y54" s="19">
        <v>431.39</v>
      </c>
      <c r="Z54" s="19">
        <v>761.39</v>
      </c>
      <c r="AA54" s="19" t="e">
        <f t="shared" ca="1" si="12"/>
        <v>#NAME?</v>
      </c>
      <c r="AB54" s="15" t="e">
        <f t="shared" ca="1" si="13"/>
        <v>#NAME?</v>
      </c>
      <c r="AD54" s="19">
        <v>5088</v>
      </c>
      <c r="AE54" s="15" t="str">
        <f t="shared" ca="1" si="14"/>
        <v/>
      </c>
      <c r="AF54" s="47" t="e">
        <f t="shared" ca="1" si="15"/>
        <v>#NAME?</v>
      </c>
      <c r="AG54" s="19">
        <v>3952.89</v>
      </c>
      <c r="AH54" s="15" t="str">
        <f t="shared" ca="1" si="17"/>
        <v/>
      </c>
      <c r="AI54" s="47" t="e">
        <f t="shared" ca="1" si="18"/>
        <v>#NAME?</v>
      </c>
      <c r="AJ54" s="371">
        <f t="shared" ca="1" si="19"/>
        <v>0</v>
      </c>
      <c r="AK54" s="372">
        <f t="shared" ca="1" si="20"/>
        <v>0</v>
      </c>
      <c r="AL54" s="373">
        <f t="shared" ca="1" si="21"/>
        <v>0</v>
      </c>
      <c r="AM54" s="374">
        <f t="shared" ca="1" si="22"/>
        <v>0</v>
      </c>
      <c r="AN54" s="375">
        <f t="shared" ca="1" si="23"/>
        <v>0</v>
      </c>
    </row>
    <row r="55" spans="1:40" x14ac:dyDescent="0.2">
      <c r="A55" s="6" t="s">
        <v>8</v>
      </c>
      <c r="B55" s="7"/>
      <c r="G55" s="10" t="s">
        <v>828</v>
      </c>
      <c r="H55" s="10" t="s">
        <v>834</v>
      </c>
      <c r="I55" s="25" t="e">
        <f ca="1">_xll.EVPRO($B$1,$H55,"STYLE")</f>
        <v>#NAME?</v>
      </c>
      <c r="J55" s="25" t="e">
        <f ca="1">_xll.EVPRO($B$1,$H55,"CALC")</f>
        <v>#NAME?</v>
      </c>
      <c r="K55" s="64" t="e">
        <f t="shared" ca="1" si="16"/>
        <v>#NAME?</v>
      </c>
      <c r="L55" s="24" t="e">
        <f ca="1">_xll.EVPRO($B$1,H55,"JDEID")</f>
        <v>#NAME?</v>
      </c>
      <c r="M55" s="24" t="e">
        <f ca="1">IF(AND(I55="N",J55="N"),_xll.EVPRO($B$1,H55,"PSFTID"),"")</f>
        <v>#NAME?</v>
      </c>
      <c r="N55" s="24" t="e">
        <f ca="1">IF(_xll.EVDES(H55,$B$1)="#NODATA","",_xll.EVDES(H55,$B$1))</f>
        <v>#NAME?</v>
      </c>
      <c r="O55" s="19"/>
      <c r="P55" s="19">
        <v>57.99</v>
      </c>
      <c r="Q55" s="19">
        <v>78.91</v>
      </c>
      <c r="R55" s="19">
        <v>22.93</v>
      </c>
      <c r="S55" s="19"/>
      <c r="T55" s="19">
        <v>53.63</v>
      </c>
      <c r="U55" s="19"/>
      <c r="V55" s="19">
        <v>77.13</v>
      </c>
      <c r="W55" s="19">
        <v>247.09</v>
      </c>
      <c r="X55" s="19"/>
      <c r="Y55" s="19">
        <v>-6.69</v>
      </c>
      <c r="Z55" s="19">
        <v>2115.94</v>
      </c>
      <c r="AA55" s="19" t="e">
        <f t="shared" ca="1" si="12"/>
        <v>#NAME?</v>
      </c>
      <c r="AB55" s="15" t="e">
        <f t="shared" ca="1" si="13"/>
        <v>#NAME?</v>
      </c>
      <c r="AD55" s="19">
        <v>4031</v>
      </c>
      <c r="AE55" s="15" t="str">
        <f t="shared" ca="1" si="14"/>
        <v/>
      </c>
      <c r="AF55" s="47" t="e">
        <f t="shared" ca="1" si="15"/>
        <v>#NAME?</v>
      </c>
      <c r="AG55" s="19">
        <v>2366.1999999999998</v>
      </c>
      <c r="AH55" s="15" t="str">
        <f t="shared" ca="1" si="17"/>
        <v/>
      </c>
      <c r="AI55" s="47" t="e">
        <f t="shared" ca="1" si="18"/>
        <v>#NAME?</v>
      </c>
      <c r="AJ55" s="371">
        <f t="shared" ca="1" si="19"/>
        <v>0</v>
      </c>
      <c r="AK55" s="372">
        <f t="shared" ca="1" si="20"/>
        <v>0</v>
      </c>
      <c r="AL55" s="373">
        <f t="shared" ca="1" si="21"/>
        <v>0</v>
      </c>
      <c r="AM55" s="374">
        <f t="shared" ca="1" si="22"/>
        <v>0</v>
      </c>
      <c r="AN55" s="375">
        <f t="shared" ca="1" si="23"/>
        <v>0</v>
      </c>
    </row>
    <row r="56" spans="1:40" x14ac:dyDescent="0.2">
      <c r="G56" s="10" t="s">
        <v>828</v>
      </c>
      <c r="H56" s="10" t="s">
        <v>835</v>
      </c>
      <c r="I56" s="25" t="e">
        <f ca="1">_xll.EVPRO($B$1,$H56,"STYLE")</f>
        <v>#NAME?</v>
      </c>
      <c r="J56" s="25" t="e">
        <f ca="1">_xll.EVPRO($B$1,$H56,"CALC")</f>
        <v>#NAME?</v>
      </c>
      <c r="K56" s="64" t="e">
        <f t="shared" ca="1" si="16"/>
        <v>#NAME?</v>
      </c>
      <c r="L56" s="24" t="e">
        <f ca="1">_xll.EVPRO($B$1,H56,"JDEID")</f>
        <v>#NAME?</v>
      </c>
      <c r="M56" s="24" t="e">
        <f ca="1">IF(AND(I56="N",J56="N"),_xll.EVPRO($B$1,H56,"PSFTID"),"")</f>
        <v>#NAME?</v>
      </c>
      <c r="N56" s="24" t="e">
        <f ca="1">IF(_xll.EVDES(H56,$B$1)="#NODATA","",_xll.EVDES(H56,$B$1))</f>
        <v>#NAME?</v>
      </c>
      <c r="O56" s="19">
        <v>218.95</v>
      </c>
      <c r="P56" s="19"/>
      <c r="Q56" s="19"/>
      <c r="R56" s="19">
        <v>-160</v>
      </c>
      <c r="S56" s="19"/>
      <c r="T56" s="19">
        <v>435.58</v>
      </c>
      <c r="U56" s="19"/>
      <c r="V56" s="19">
        <v>246.76</v>
      </c>
      <c r="W56" s="19">
        <v>47.69</v>
      </c>
      <c r="X56" s="19">
        <v>102.99</v>
      </c>
      <c r="Y56" s="19">
        <v>641.57000000000005</v>
      </c>
      <c r="Z56" s="19">
        <v>1283.78</v>
      </c>
      <c r="AA56" s="19" t="e">
        <f t="shared" ca="1" si="12"/>
        <v>#NAME?</v>
      </c>
      <c r="AB56" s="15" t="e">
        <f t="shared" ca="1" si="13"/>
        <v>#NAME?</v>
      </c>
      <c r="AD56" s="19">
        <v>1520</v>
      </c>
      <c r="AE56" s="15" t="str">
        <f t="shared" ca="1" si="14"/>
        <v/>
      </c>
      <c r="AF56" s="47" t="e">
        <f t="shared" ca="1" si="15"/>
        <v>#NAME?</v>
      </c>
      <c r="AG56" s="19">
        <v>578.45000000000005</v>
      </c>
      <c r="AH56" s="15" t="str">
        <f t="shared" ca="1" si="17"/>
        <v/>
      </c>
      <c r="AI56" s="47" t="e">
        <f t="shared" ca="1" si="18"/>
        <v>#NAME?</v>
      </c>
      <c r="AJ56" s="371">
        <f t="shared" ca="1" si="19"/>
        <v>0</v>
      </c>
      <c r="AK56" s="372">
        <f t="shared" ca="1" si="20"/>
        <v>0</v>
      </c>
      <c r="AL56" s="373">
        <f t="shared" ca="1" si="21"/>
        <v>0</v>
      </c>
      <c r="AM56" s="374">
        <f t="shared" ca="1" si="22"/>
        <v>0</v>
      </c>
      <c r="AN56" s="375">
        <f t="shared" ca="1" si="23"/>
        <v>0</v>
      </c>
    </row>
    <row r="57" spans="1:40" x14ac:dyDescent="0.2">
      <c r="G57" s="10" t="s">
        <v>828</v>
      </c>
      <c r="H57" s="10" t="s">
        <v>836</v>
      </c>
      <c r="I57" s="25" t="e">
        <f ca="1">_xll.EVPRO($B$1,$H57,"STYLE")</f>
        <v>#NAME?</v>
      </c>
      <c r="J57" s="25" t="e">
        <f ca="1">_xll.EVPRO($B$1,$H57,"CALC")</f>
        <v>#NAME?</v>
      </c>
      <c r="K57" s="64" t="e">
        <f t="shared" ca="1" si="16"/>
        <v>#NAME?</v>
      </c>
      <c r="L57" s="24" t="e">
        <f ca="1">_xll.EVPRO($B$1,H57,"JDEID")</f>
        <v>#NAME?</v>
      </c>
      <c r="M57" s="24" t="e">
        <f ca="1">IF(AND(I57="N",J57="N"),_xll.EVPRO($B$1,H57,"PSFTID"),"")</f>
        <v>#NAME?</v>
      </c>
      <c r="N57" s="24" t="e">
        <f ca="1">IF(_xll.EVDES(H57,$B$1)="#NODATA","",_xll.EVDES(H57,$B$1))</f>
        <v>#NAME?</v>
      </c>
      <c r="O57" s="19"/>
      <c r="P57" s="19"/>
      <c r="Q57" s="19"/>
      <c r="R57" s="19"/>
      <c r="S57" s="19"/>
      <c r="T57" s="19"/>
      <c r="U57" s="19"/>
      <c r="V57" s="19"/>
      <c r="W57" s="19">
        <v>20.5</v>
      </c>
      <c r="X57" s="19"/>
      <c r="Y57" s="19">
        <v>13.66</v>
      </c>
      <c r="Z57" s="19"/>
      <c r="AA57" s="19" t="e">
        <f t="shared" ca="1" si="12"/>
        <v>#NAME?</v>
      </c>
      <c r="AB57" s="15" t="e">
        <f t="shared" ca="1" si="13"/>
        <v>#NAME?</v>
      </c>
      <c r="AD57" s="19"/>
      <c r="AE57" s="15" t="str">
        <f t="shared" si="14"/>
        <v/>
      </c>
      <c r="AF57" s="47" t="e">
        <f t="shared" ca="1" si="15"/>
        <v>#NAME?</v>
      </c>
      <c r="AG57" s="19"/>
      <c r="AH57" s="15" t="str">
        <f t="shared" si="17"/>
        <v/>
      </c>
      <c r="AI57" s="47" t="e">
        <f t="shared" ca="1" si="18"/>
        <v>#NAME?</v>
      </c>
      <c r="AJ57" s="371">
        <f t="shared" ca="1" si="19"/>
        <v>0</v>
      </c>
      <c r="AK57" s="372">
        <f t="shared" ca="1" si="20"/>
        <v>0</v>
      </c>
      <c r="AL57" s="373">
        <f t="shared" ca="1" si="21"/>
        <v>0</v>
      </c>
      <c r="AM57" s="374">
        <f t="shared" ca="1" si="22"/>
        <v>0</v>
      </c>
      <c r="AN57" s="375">
        <f t="shared" ca="1" si="23"/>
        <v>0</v>
      </c>
    </row>
    <row r="58" spans="1:40" x14ac:dyDescent="0.2">
      <c r="A58" s="3" t="s">
        <v>23</v>
      </c>
      <c r="B58" s="5" t="s">
        <v>24</v>
      </c>
      <c r="G58" s="10" t="s">
        <v>828</v>
      </c>
      <c r="H58" s="10" t="s">
        <v>837</v>
      </c>
      <c r="I58" s="25" t="e">
        <f ca="1">_xll.EVPRO($B$1,$H58,"STYLE")</f>
        <v>#NAME?</v>
      </c>
      <c r="J58" s="25" t="e">
        <f ca="1">_xll.EVPRO($B$1,$H58,"CALC")</f>
        <v>#NAME?</v>
      </c>
      <c r="K58" s="64" t="e">
        <f t="shared" ca="1" si="16"/>
        <v>#NAME?</v>
      </c>
      <c r="L58" s="24" t="e">
        <f ca="1">_xll.EVPRO($B$1,H58,"JDEID")</f>
        <v>#NAME?</v>
      </c>
      <c r="M58" s="24" t="e">
        <f ca="1">IF(AND(I58="N",J58="N"),_xll.EVPRO($B$1,H58,"PSFTID"),"")</f>
        <v>#NAME?</v>
      </c>
      <c r="N58" s="24" t="e">
        <f ca="1">IF(_xll.EVDES(H58,$B$1)="#NODATA","",_xll.EVDES(H58,$B$1))</f>
        <v>#NAME?</v>
      </c>
      <c r="O58" s="19">
        <v>30932.5</v>
      </c>
      <c r="P58" s="19">
        <v>34761.74</v>
      </c>
      <c r="Q58" s="19">
        <v>35319.269999999997</v>
      </c>
      <c r="R58" s="19">
        <v>31977.59</v>
      </c>
      <c r="S58" s="19">
        <v>26552.66</v>
      </c>
      <c r="T58" s="19">
        <v>17792.849999999999</v>
      </c>
      <c r="U58" s="19">
        <v>18891.73</v>
      </c>
      <c r="V58" s="19">
        <v>15541.07</v>
      </c>
      <c r="W58" s="19">
        <v>16480.75</v>
      </c>
      <c r="X58" s="19">
        <v>19054.419999999998</v>
      </c>
      <c r="Y58" s="19">
        <v>6183.58</v>
      </c>
      <c r="Z58" s="19">
        <v>36475.58</v>
      </c>
      <c r="AA58" s="19" t="e">
        <f t="shared" ca="1" si="12"/>
        <v>#NAME?</v>
      </c>
      <c r="AB58" s="15" t="e">
        <f t="shared" ca="1" si="13"/>
        <v>#NAME?</v>
      </c>
      <c r="AD58" s="19">
        <v>314697.10272000002</v>
      </c>
      <c r="AE58" s="15" t="str">
        <f t="shared" ca="1" si="14"/>
        <v/>
      </c>
      <c r="AF58" s="47" t="e">
        <f t="shared" ca="1" si="15"/>
        <v>#NAME?</v>
      </c>
      <c r="AG58" s="19">
        <v>359226.36</v>
      </c>
      <c r="AH58" s="15" t="str">
        <f t="shared" ca="1" si="17"/>
        <v/>
      </c>
      <c r="AI58" s="47" t="e">
        <f t="shared" ca="1" si="18"/>
        <v>#NAME?</v>
      </c>
      <c r="AJ58" s="371">
        <f t="shared" ca="1" si="19"/>
        <v>0</v>
      </c>
      <c r="AK58" s="372">
        <f t="shared" ca="1" si="20"/>
        <v>0</v>
      </c>
      <c r="AL58" s="373">
        <f t="shared" ca="1" si="21"/>
        <v>0</v>
      </c>
      <c r="AM58" s="374">
        <f t="shared" ca="1" si="22"/>
        <v>0</v>
      </c>
      <c r="AN58" s="375">
        <f t="shared" ca="1" si="23"/>
        <v>0</v>
      </c>
    </row>
    <row r="59" spans="1:40" x14ac:dyDescent="0.2">
      <c r="A59" s="6" t="s">
        <v>25</v>
      </c>
      <c r="B59" s="7"/>
      <c r="G59" s="10" t="s">
        <v>828</v>
      </c>
      <c r="H59" s="10" t="s">
        <v>838</v>
      </c>
      <c r="I59" s="25" t="e">
        <f ca="1">_xll.EVPRO($B$1,$H59,"STYLE")</f>
        <v>#NAME?</v>
      </c>
      <c r="J59" s="25" t="e">
        <f ca="1">_xll.EVPRO($B$1,$H59,"CALC")</f>
        <v>#NAME?</v>
      </c>
      <c r="K59" s="64" t="e">
        <f t="shared" ca="1" si="16"/>
        <v>#NAME?</v>
      </c>
      <c r="L59" s="24" t="e">
        <f ca="1">_xll.EVPRO($B$1,H59,"JDEID")</f>
        <v>#NAME?</v>
      </c>
      <c r="M59" s="24" t="e">
        <f ca="1">IF(AND(I59="N",J59="N"),_xll.EVPRO($B$1,H59,"PSFTID"),"")</f>
        <v>#NAME?</v>
      </c>
      <c r="N59" s="24" t="e">
        <f ca="1">IF(_xll.EVDES(H59,$B$1)="#NODATA","",_xll.EVDES(H59,$B$1))</f>
        <v>#NAME?</v>
      </c>
      <c r="O59" s="19">
        <v>755.07</v>
      </c>
      <c r="P59" s="19">
        <v>1937.58</v>
      </c>
      <c r="Q59" s="19"/>
      <c r="R59" s="19">
        <v>669.98</v>
      </c>
      <c r="S59" s="19">
        <v>1539.37</v>
      </c>
      <c r="T59" s="19">
        <v>-790.05</v>
      </c>
      <c r="U59" s="19">
        <v>1123.79</v>
      </c>
      <c r="V59" s="19">
        <v>2046.8</v>
      </c>
      <c r="W59" s="19">
        <v>1357.56</v>
      </c>
      <c r="X59" s="19">
        <v>-61.69</v>
      </c>
      <c r="Y59" s="19">
        <v>13721.15</v>
      </c>
      <c r="Z59" s="19">
        <v>6263.71</v>
      </c>
      <c r="AA59" s="19" t="e">
        <f t="shared" ca="1" si="12"/>
        <v>#NAME?</v>
      </c>
      <c r="AB59" s="15" t="e">
        <f t="shared" ca="1" si="13"/>
        <v>#NAME?</v>
      </c>
      <c r="AD59" s="19"/>
      <c r="AE59" s="15" t="str">
        <f t="shared" si="14"/>
        <v/>
      </c>
      <c r="AF59" s="47" t="e">
        <f t="shared" ca="1" si="15"/>
        <v>#NAME?</v>
      </c>
      <c r="AG59" s="19">
        <v>18479.169999999998</v>
      </c>
      <c r="AH59" s="15" t="str">
        <f t="shared" ca="1" si="17"/>
        <v/>
      </c>
      <c r="AI59" s="47" t="e">
        <f t="shared" ca="1" si="18"/>
        <v>#NAME?</v>
      </c>
      <c r="AJ59" s="371">
        <f t="shared" ca="1" si="19"/>
        <v>0</v>
      </c>
      <c r="AK59" s="372">
        <f t="shared" ca="1" si="20"/>
        <v>0</v>
      </c>
      <c r="AL59" s="373">
        <f t="shared" ca="1" si="21"/>
        <v>0</v>
      </c>
      <c r="AM59" s="374">
        <f t="shared" ca="1" si="22"/>
        <v>0</v>
      </c>
      <c r="AN59" s="375">
        <f t="shared" ca="1" si="23"/>
        <v>0</v>
      </c>
    </row>
    <row r="60" spans="1:40" x14ac:dyDescent="0.2">
      <c r="A60" s="6" t="s">
        <v>26</v>
      </c>
      <c r="B60" s="7"/>
      <c r="G60" s="10" t="s">
        <v>828</v>
      </c>
      <c r="H60" s="10" t="s">
        <v>839</v>
      </c>
      <c r="I60" s="25" t="e">
        <f ca="1">_xll.EVPRO($B$1,$H60,"STYLE")</f>
        <v>#NAME?</v>
      </c>
      <c r="J60" s="25" t="e">
        <f ca="1">_xll.EVPRO($B$1,$H60,"CALC")</f>
        <v>#NAME?</v>
      </c>
      <c r="K60" s="64" t="e">
        <f t="shared" ca="1" si="16"/>
        <v>#NAME?</v>
      </c>
      <c r="L60" s="24" t="e">
        <f ca="1">_xll.EVPRO($B$1,H60,"JDEID")</f>
        <v>#NAME?</v>
      </c>
      <c r="M60" s="24" t="e">
        <f ca="1">IF(AND(I60="N",J60="N"),_xll.EVPRO($B$1,H60,"PSFTID"),"")</f>
        <v>#NAME?</v>
      </c>
      <c r="N60" s="24" t="e">
        <f ca="1">IF(_xll.EVDES(H60,$B$1)="#NODATA","",_xll.EVDES(H60,$B$1))</f>
        <v>#NAME?</v>
      </c>
      <c r="O60" s="19">
        <v>1553.07</v>
      </c>
      <c r="P60" s="19">
        <v>1603.29</v>
      </c>
      <c r="Q60" s="19">
        <v>1476.19</v>
      </c>
      <c r="R60" s="19">
        <v>1279.83</v>
      </c>
      <c r="S60" s="19">
        <v>1427.94</v>
      </c>
      <c r="T60" s="19">
        <v>1371.27</v>
      </c>
      <c r="U60" s="19">
        <v>1174.1600000000001</v>
      </c>
      <c r="V60" s="19">
        <v>1508.08</v>
      </c>
      <c r="W60" s="19">
        <v>1624.81</v>
      </c>
      <c r="X60" s="19">
        <v>1528.55</v>
      </c>
      <c r="Y60" s="19">
        <v>-278.98</v>
      </c>
      <c r="Z60" s="19">
        <v>1516.38</v>
      </c>
      <c r="AA60" s="19" t="e">
        <f t="shared" ca="1" si="12"/>
        <v>#NAME?</v>
      </c>
      <c r="AB60" s="15" t="e">
        <f t="shared" ca="1" si="13"/>
        <v>#NAME?</v>
      </c>
      <c r="AD60" s="19">
        <v>19819</v>
      </c>
      <c r="AE60" s="15" t="str">
        <f t="shared" ca="1" si="14"/>
        <v/>
      </c>
      <c r="AF60" s="47" t="e">
        <f t="shared" ca="1" si="15"/>
        <v>#NAME?</v>
      </c>
      <c r="AG60" s="19">
        <v>19590.439999999999</v>
      </c>
      <c r="AH60" s="15" t="str">
        <f t="shared" ca="1" si="17"/>
        <v/>
      </c>
      <c r="AI60" s="47" t="e">
        <f t="shared" ca="1" si="18"/>
        <v>#NAME?</v>
      </c>
      <c r="AJ60" s="371">
        <f t="shared" ca="1" si="19"/>
        <v>0</v>
      </c>
      <c r="AK60" s="372">
        <f t="shared" ca="1" si="20"/>
        <v>0</v>
      </c>
      <c r="AL60" s="373">
        <f t="shared" ca="1" si="21"/>
        <v>0</v>
      </c>
      <c r="AM60" s="374">
        <f t="shared" ca="1" si="22"/>
        <v>0</v>
      </c>
      <c r="AN60" s="375">
        <f t="shared" ca="1" si="23"/>
        <v>0</v>
      </c>
    </row>
    <row r="61" spans="1:40" x14ac:dyDescent="0.2">
      <c r="A61" s="6" t="s">
        <v>27</v>
      </c>
      <c r="B61" s="7"/>
      <c r="G61" s="10" t="s">
        <v>828</v>
      </c>
      <c r="H61" s="10" t="s">
        <v>840</v>
      </c>
      <c r="I61" s="25" t="e">
        <f ca="1">_xll.EVPRO($B$1,$H61,"STYLE")</f>
        <v>#NAME?</v>
      </c>
      <c r="J61" s="25" t="e">
        <f ca="1">_xll.EVPRO($B$1,$H61,"CALC")</f>
        <v>#NAME?</v>
      </c>
      <c r="K61" s="64" t="e">
        <f t="shared" ca="1" si="16"/>
        <v>#NAME?</v>
      </c>
      <c r="L61" s="24" t="e">
        <f ca="1">_xll.EVPRO($B$1,H61,"JDEID")</f>
        <v>#NAME?</v>
      </c>
      <c r="M61" s="24" t="e">
        <f ca="1">IF(AND(I61="N",J61="N"),_xll.EVPRO($B$1,H61,"PSFTID"),"")</f>
        <v>#NAME?</v>
      </c>
      <c r="N61" s="24" t="e">
        <f ca="1">IF(_xll.EVDES(H61,$B$1)="#NODATA","",_xll.EVDES(H61,$B$1))</f>
        <v>#NAME?</v>
      </c>
      <c r="O61" s="19">
        <v>158.22</v>
      </c>
      <c r="P61" s="19">
        <v>189.81</v>
      </c>
      <c r="Q61" s="19">
        <v>158.22</v>
      </c>
      <c r="R61" s="19">
        <v>292.86</v>
      </c>
      <c r="S61" s="19">
        <v>216.12</v>
      </c>
      <c r="T61" s="19">
        <v>259.07</v>
      </c>
      <c r="U61" s="19">
        <v>223.12</v>
      </c>
      <c r="V61" s="19">
        <v>216.12</v>
      </c>
      <c r="W61" s="19">
        <v>167.71</v>
      </c>
      <c r="X61" s="19">
        <v>167.71</v>
      </c>
      <c r="Y61" s="19">
        <v>245.07</v>
      </c>
      <c r="Z61" s="19">
        <v>99.88</v>
      </c>
      <c r="AA61" s="19" t="e">
        <f t="shared" ca="1" si="12"/>
        <v>#NAME?</v>
      </c>
      <c r="AB61" s="15" t="e">
        <f t="shared" ca="1" si="13"/>
        <v>#NAME?</v>
      </c>
      <c r="AD61" s="19">
        <v>3788.0000000004002</v>
      </c>
      <c r="AE61" s="15" t="str">
        <f t="shared" ca="1" si="14"/>
        <v/>
      </c>
      <c r="AF61" s="47" t="e">
        <f t="shared" ca="1" si="15"/>
        <v>#NAME?</v>
      </c>
      <c r="AG61" s="19">
        <v>4323.46</v>
      </c>
      <c r="AH61" s="15" t="str">
        <f t="shared" ca="1" si="17"/>
        <v/>
      </c>
      <c r="AI61" s="47" t="e">
        <f t="shared" ca="1" si="18"/>
        <v>#NAME?</v>
      </c>
      <c r="AJ61" s="371">
        <f t="shared" ca="1" si="19"/>
        <v>0</v>
      </c>
      <c r="AK61" s="372">
        <f t="shared" ca="1" si="20"/>
        <v>0</v>
      </c>
      <c r="AL61" s="373">
        <f t="shared" ca="1" si="21"/>
        <v>0</v>
      </c>
      <c r="AM61" s="374">
        <f t="shared" ca="1" si="22"/>
        <v>0</v>
      </c>
      <c r="AN61" s="375">
        <f t="shared" ca="1" si="23"/>
        <v>0</v>
      </c>
    </row>
    <row r="62" spans="1:40" x14ac:dyDescent="0.2">
      <c r="A62" s="6" t="s">
        <v>28</v>
      </c>
      <c r="B62" s="7"/>
      <c r="G62" s="10" t="s">
        <v>828</v>
      </c>
      <c r="H62" s="10" t="s">
        <v>841</v>
      </c>
      <c r="I62" s="25" t="e">
        <f ca="1">_xll.EVPRO($B$1,$H62,"STYLE")</f>
        <v>#NAME?</v>
      </c>
      <c r="J62" s="25" t="e">
        <f ca="1">_xll.EVPRO($B$1,$H62,"CALC")</f>
        <v>#NAME?</v>
      </c>
      <c r="K62" s="64" t="e">
        <f t="shared" ca="1" si="16"/>
        <v>#NAME?</v>
      </c>
      <c r="L62" s="24" t="e">
        <f ca="1">_xll.EVPRO($B$1,H62,"JDEID")</f>
        <v>#NAME?</v>
      </c>
      <c r="M62" s="24" t="e">
        <f ca="1">IF(AND(I62="N",J62="N"),_xll.EVPRO($B$1,H62,"PSFTID"),"")</f>
        <v>#NAME?</v>
      </c>
      <c r="N62" s="24" t="e">
        <f ca="1">IF(_xll.EVDES(H62,$B$1)="#NODATA","",_xll.EVDES(H62,$B$1))</f>
        <v>#NAME?</v>
      </c>
      <c r="O62" s="19"/>
      <c r="P62" s="19"/>
      <c r="Q62" s="19"/>
      <c r="R62" s="19"/>
      <c r="S62" s="19"/>
      <c r="T62" s="19"/>
      <c r="U62" s="19"/>
      <c r="V62" s="19">
        <v>3250</v>
      </c>
      <c r="W62" s="19">
        <v>10.3</v>
      </c>
      <c r="X62" s="19">
        <v>975</v>
      </c>
      <c r="Y62" s="19"/>
      <c r="Z62" s="19">
        <v>-975</v>
      </c>
      <c r="AA62" s="19" t="e">
        <f t="shared" ca="1" si="12"/>
        <v>#NAME?</v>
      </c>
      <c r="AB62" s="15" t="e">
        <f t="shared" ca="1" si="13"/>
        <v>#NAME?</v>
      </c>
      <c r="AD62" s="19">
        <v>975</v>
      </c>
      <c r="AE62" s="15" t="str">
        <f t="shared" ca="1" si="14"/>
        <v/>
      </c>
      <c r="AF62" s="47" t="e">
        <f t="shared" ca="1" si="15"/>
        <v>#NAME?</v>
      </c>
      <c r="AG62" s="19"/>
      <c r="AH62" s="15" t="str">
        <f t="shared" si="17"/>
        <v/>
      </c>
      <c r="AI62" s="47" t="e">
        <f t="shared" ca="1" si="18"/>
        <v>#NAME?</v>
      </c>
      <c r="AJ62" s="371">
        <f t="shared" ca="1" si="19"/>
        <v>0</v>
      </c>
      <c r="AK62" s="372">
        <f t="shared" ca="1" si="20"/>
        <v>0</v>
      </c>
      <c r="AL62" s="373">
        <f t="shared" ca="1" si="21"/>
        <v>0</v>
      </c>
      <c r="AM62" s="374">
        <f t="shared" ca="1" si="22"/>
        <v>0</v>
      </c>
      <c r="AN62" s="375">
        <f t="shared" ca="1" si="23"/>
        <v>0</v>
      </c>
    </row>
    <row r="63" spans="1:40" x14ac:dyDescent="0.2">
      <c r="A63" s="6" t="s">
        <v>29</v>
      </c>
      <c r="B63" s="7"/>
      <c r="G63" s="10" t="s">
        <v>828</v>
      </c>
      <c r="H63" s="10" t="s">
        <v>842</v>
      </c>
      <c r="I63" s="25" t="e">
        <f ca="1">_xll.EVPRO($B$1,$H63,"STYLE")</f>
        <v>#NAME?</v>
      </c>
      <c r="J63" s="25" t="e">
        <f ca="1">_xll.EVPRO($B$1,$H63,"CALC")</f>
        <v>#NAME?</v>
      </c>
      <c r="K63" s="64" t="e">
        <f t="shared" ca="1" si="16"/>
        <v>#NAME?</v>
      </c>
      <c r="L63" s="24" t="e">
        <f ca="1">_xll.EVPRO($B$1,H63,"JDEID")</f>
        <v>#NAME?</v>
      </c>
      <c r="M63" s="24" t="e">
        <f ca="1">IF(AND(I63="N",J63="N"),_xll.EVPRO($B$1,H63,"PSFTID"),"")</f>
        <v>#NAME?</v>
      </c>
      <c r="N63" s="24" t="e">
        <f ca="1">IF(_xll.EVDES(H63,$B$1)="#NODATA","",_xll.EVDES(H63,$B$1))</f>
        <v>#NAME?</v>
      </c>
      <c r="O63" s="19">
        <v>250</v>
      </c>
      <c r="P63" s="19">
        <v>1128.82</v>
      </c>
      <c r="Q63" s="19">
        <v>689.82</v>
      </c>
      <c r="R63" s="19">
        <v>536.34</v>
      </c>
      <c r="S63" s="19"/>
      <c r="T63" s="19"/>
      <c r="U63" s="19">
        <v>1320</v>
      </c>
      <c r="V63" s="19"/>
      <c r="W63" s="19">
        <v>5614.7</v>
      </c>
      <c r="X63" s="19">
        <v>105</v>
      </c>
      <c r="Y63" s="19"/>
      <c r="Z63" s="19"/>
      <c r="AA63" s="19" t="e">
        <f t="shared" ca="1" si="12"/>
        <v>#NAME?</v>
      </c>
      <c r="AB63" s="15" t="e">
        <f t="shared" ca="1" si="13"/>
        <v>#NAME?</v>
      </c>
      <c r="AD63" s="19">
        <v>12200</v>
      </c>
      <c r="AE63" s="15" t="str">
        <f t="shared" ca="1" si="14"/>
        <v/>
      </c>
      <c r="AF63" s="47" t="e">
        <f t="shared" ca="1" si="15"/>
        <v>#NAME?</v>
      </c>
      <c r="AG63" s="19">
        <v>23993.47</v>
      </c>
      <c r="AH63" s="15" t="str">
        <f t="shared" ca="1" si="17"/>
        <v/>
      </c>
      <c r="AI63" s="47" t="e">
        <f t="shared" ca="1" si="18"/>
        <v>#NAME?</v>
      </c>
      <c r="AJ63" s="371">
        <f t="shared" ca="1" si="19"/>
        <v>0</v>
      </c>
      <c r="AK63" s="372">
        <f t="shared" ca="1" si="20"/>
        <v>0</v>
      </c>
      <c r="AL63" s="373">
        <f t="shared" ca="1" si="21"/>
        <v>0</v>
      </c>
      <c r="AM63" s="374">
        <f t="shared" ca="1" si="22"/>
        <v>0</v>
      </c>
      <c r="AN63" s="375">
        <f t="shared" ca="1" si="23"/>
        <v>0</v>
      </c>
    </row>
    <row r="64" spans="1:40" x14ac:dyDescent="0.2">
      <c r="A64" s="6" t="s">
        <v>30</v>
      </c>
      <c r="B64" s="7" t="s">
        <v>78</v>
      </c>
      <c r="G64" s="10" t="s">
        <v>828</v>
      </c>
      <c r="H64" s="10" t="s">
        <v>843</v>
      </c>
      <c r="I64" s="25" t="e">
        <f ca="1">_xll.EVPRO($B$1,$H64,"STYLE")</f>
        <v>#NAME?</v>
      </c>
      <c r="J64" s="25" t="e">
        <f ca="1">_xll.EVPRO($B$1,$H64,"CALC")</f>
        <v>#NAME?</v>
      </c>
      <c r="K64" s="64" t="e">
        <f t="shared" ca="1" si="16"/>
        <v>#NAME?</v>
      </c>
      <c r="L64" s="24" t="e">
        <f ca="1">_xll.EVPRO($B$1,H64,"JDEID")</f>
        <v>#NAME?</v>
      </c>
      <c r="M64" s="24" t="e">
        <f ca="1">IF(AND(I64="N",J64="N"),_xll.EVPRO($B$1,H64,"PSFTID"),"")</f>
        <v>#NAME?</v>
      </c>
      <c r="N64" s="24" t="e">
        <f ca="1">IF(_xll.EVDES(H64,$B$1)="#NODATA","",_xll.EVDES(H64,$B$1))</f>
        <v>#NAME?</v>
      </c>
      <c r="O64" s="19"/>
      <c r="P64" s="19"/>
      <c r="Q64" s="19"/>
      <c r="R64" s="19"/>
      <c r="S64" s="19"/>
      <c r="T64" s="19"/>
      <c r="U64" s="19">
        <v>600</v>
      </c>
      <c r="V64" s="19"/>
      <c r="W64" s="19"/>
      <c r="X64" s="19"/>
      <c r="Y64" s="19"/>
      <c r="Z64" s="19"/>
      <c r="AA64" s="19" t="e">
        <f t="shared" ca="1" si="12"/>
        <v>#NAME?</v>
      </c>
      <c r="AB64" s="15" t="e">
        <f t="shared" ca="1" si="13"/>
        <v>#NAME?</v>
      </c>
      <c r="AD64" s="19">
        <v>1947</v>
      </c>
      <c r="AE64" s="15" t="str">
        <f t="shared" ca="1" si="14"/>
        <v/>
      </c>
      <c r="AF64" s="47" t="e">
        <f t="shared" ca="1" si="15"/>
        <v>#NAME?</v>
      </c>
      <c r="AG64" s="19">
        <v>1663.85</v>
      </c>
      <c r="AH64" s="15" t="str">
        <f t="shared" ca="1" si="17"/>
        <v/>
      </c>
      <c r="AI64" s="47" t="e">
        <f t="shared" ca="1" si="18"/>
        <v>#NAME?</v>
      </c>
      <c r="AJ64" s="371">
        <f t="shared" ca="1" si="19"/>
        <v>0</v>
      </c>
      <c r="AK64" s="372">
        <f t="shared" ca="1" si="20"/>
        <v>0</v>
      </c>
      <c r="AL64" s="373">
        <f t="shared" ca="1" si="21"/>
        <v>0</v>
      </c>
      <c r="AM64" s="374">
        <f t="shared" ca="1" si="22"/>
        <v>0</v>
      </c>
      <c r="AN64" s="375">
        <f t="shared" ca="1" si="23"/>
        <v>0</v>
      </c>
    </row>
    <row r="65" spans="1:40" x14ac:dyDescent="0.2">
      <c r="A65" s="6" t="s">
        <v>31</v>
      </c>
      <c r="B65" s="7" t="s">
        <v>78</v>
      </c>
      <c r="G65" s="10" t="s">
        <v>828</v>
      </c>
      <c r="H65" s="10" t="s">
        <v>844</v>
      </c>
      <c r="I65" s="25" t="e">
        <f ca="1">_xll.EVPRO($B$1,$H65,"STYLE")</f>
        <v>#NAME?</v>
      </c>
      <c r="J65" s="25" t="e">
        <f ca="1">_xll.EVPRO($B$1,$H65,"CALC")</f>
        <v>#NAME?</v>
      </c>
      <c r="K65" s="64" t="e">
        <f t="shared" ca="1" si="16"/>
        <v>#NAME?</v>
      </c>
      <c r="L65" s="24" t="e">
        <f ca="1">_xll.EVPRO($B$1,H65,"JDEID")</f>
        <v>#NAME?</v>
      </c>
      <c r="M65" s="24" t="e">
        <f ca="1">IF(AND(I65="N",J65="N"),_xll.EVPRO($B$1,H65,"PSFTID"),"")</f>
        <v>#NAME?</v>
      </c>
      <c r="N65" s="24" t="e">
        <f ca="1">IF(_xll.EVDES(H65,$B$1)="#NODATA","",_xll.EVDES(H65,$B$1))</f>
        <v>#NAME?</v>
      </c>
      <c r="O65" s="19">
        <v>403.94</v>
      </c>
      <c r="P65" s="19">
        <v>410.71</v>
      </c>
      <c r="Q65" s="19">
        <v>412.9</v>
      </c>
      <c r="R65" s="19">
        <v>412.9</v>
      </c>
      <c r="S65" s="19">
        <v>412.9</v>
      </c>
      <c r="T65" s="19">
        <v>410.71</v>
      </c>
      <c r="U65" s="19">
        <v>409.71</v>
      </c>
      <c r="V65" s="19">
        <v>410.71</v>
      </c>
      <c r="W65" s="19">
        <v>611.73</v>
      </c>
      <c r="X65" s="19">
        <v>448.67</v>
      </c>
      <c r="Y65" s="19">
        <v>437.73</v>
      </c>
      <c r="Z65" s="19">
        <v>454.82</v>
      </c>
      <c r="AA65" s="19" t="e">
        <f t="shared" ca="1" si="12"/>
        <v>#NAME?</v>
      </c>
      <c r="AB65" s="15" t="e">
        <f t="shared" ca="1" si="13"/>
        <v>#NAME?</v>
      </c>
      <c r="AD65" s="19">
        <v>4544.9999999995998</v>
      </c>
      <c r="AE65" s="15" t="str">
        <f t="shared" ca="1" si="14"/>
        <v/>
      </c>
      <c r="AF65" s="47" t="e">
        <f t="shared" ca="1" si="15"/>
        <v>#NAME?</v>
      </c>
      <c r="AG65" s="19">
        <v>4514.5</v>
      </c>
      <c r="AH65" s="15" t="str">
        <f t="shared" ca="1" si="17"/>
        <v/>
      </c>
      <c r="AI65" s="47" t="e">
        <f t="shared" ca="1" si="18"/>
        <v>#NAME?</v>
      </c>
      <c r="AJ65" s="371">
        <f t="shared" ca="1" si="19"/>
        <v>0</v>
      </c>
      <c r="AK65" s="372">
        <f t="shared" ca="1" si="20"/>
        <v>0</v>
      </c>
      <c r="AL65" s="373">
        <f t="shared" ca="1" si="21"/>
        <v>0</v>
      </c>
      <c r="AM65" s="374">
        <f t="shared" ca="1" si="22"/>
        <v>0</v>
      </c>
      <c r="AN65" s="375">
        <f t="shared" ca="1" si="23"/>
        <v>0</v>
      </c>
    </row>
    <row r="66" spans="1:40" x14ac:dyDescent="0.2">
      <c r="A66" s="6" t="s">
        <v>32</v>
      </c>
      <c r="B66" s="7"/>
      <c r="G66" s="10" t="s">
        <v>828</v>
      </c>
      <c r="H66" s="10" t="s">
        <v>845</v>
      </c>
      <c r="I66" s="25" t="e">
        <f ca="1">_xll.EVPRO($B$1,$H66,"STYLE")</f>
        <v>#NAME?</v>
      </c>
      <c r="J66" s="25" t="e">
        <f ca="1">_xll.EVPRO($B$1,$H66,"CALC")</f>
        <v>#NAME?</v>
      </c>
      <c r="K66" s="64" t="e">
        <f t="shared" ca="1" si="16"/>
        <v>#NAME?</v>
      </c>
      <c r="L66" s="24" t="e">
        <f ca="1">_xll.EVPRO($B$1,H66,"JDEID")</f>
        <v>#NAME?</v>
      </c>
      <c r="M66" s="24" t="e">
        <f ca="1">IF(AND(I66="N",J66="N"),_xll.EVPRO($B$1,H66,"PSFTID"),"")</f>
        <v>#NAME?</v>
      </c>
      <c r="N66" s="24" t="e">
        <f ca="1">IF(_xll.EVDES(H66,$B$1)="#NODATA","",_xll.EVDES(H66,$B$1))</f>
        <v>#NAME?</v>
      </c>
      <c r="O66" s="19"/>
      <c r="P66" s="19"/>
      <c r="Q66" s="19"/>
      <c r="R66" s="19"/>
      <c r="S66" s="19"/>
      <c r="T66" s="19"/>
      <c r="U66" s="19"/>
      <c r="V66" s="19"/>
      <c r="W66" s="19"/>
      <c r="X66" s="19"/>
      <c r="Y66" s="19">
        <v>-0.01</v>
      </c>
      <c r="Z66" s="19">
        <v>-0.04</v>
      </c>
      <c r="AA66" s="19" t="e">
        <f t="shared" ca="1" si="12"/>
        <v>#NAME?</v>
      </c>
      <c r="AB66" s="15" t="e">
        <f t="shared" ca="1" si="13"/>
        <v>#NAME?</v>
      </c>
      <c r="AD66" s="19"/>
      <c r="AE66" s="15" t="str">
        <f t="shared" si="14"/>
        <v/>
      </c>
      <c r="AF66" s="47" t="e">
        <f t="shared" ca="1" si="15"/>
        <v>#NAME?</v>
      </c>
      <c r="AG66" s="19"/>
      <c r="AH66" s="15" t="str">
        <f t="shared" si="17"/>
        <v/>
      </c>
      <c r="AI66" s="47" t="e">
        <f t="shared" ca="1" si="18"/>
        <v>#NAME?</v>
      </c>
      <c r="AJ66" s="371">
        <f t="shared" ca="1" si="19"/>
        <v>0</v>
      </c>
      <c r="AK66" s="372">
        <f t="shared" ca="1" si="20"/>
        <v>0</v>
      </c>
      <c r="AL66" s="373">
        <f t="shared" ca="1" si="21"/>
        <v>0</v>
      </c>
      <c r="AM66" s="374">
        <f t="shared" ca="1" si="22"/>
        <v>0</v>
      </c>
      <c r="AN66" s="375">
        <f t="shared" ca="1" si="23"/>
        <v>0</v>
      </c>
    </row>
    <row r="67" spans="1:40" x14ac:dyDescent="0.2">
      <c r="A67" s="6" t="s">
        <v>33</v>
      </c>
      <c r="B67" s="7"/>
      <c r="G67" s="10" t="s">
        <v>828</v>
      </c>
      <c r="H67" s="10" t="s">
        <v>846</v>
      </c>
      <c r="I67" s="25" t="e">
        <f ca="1">_xll.EVPRO($B$1,$H67,"STYLE")</f>
        <v>#NAME?</v>
      </c>
      <c r="J67" s="25" t="e">
        <f ca="1">_xll.EVPRO($B$1,$H67,"CALC")</f>
        <v>#NAME?</v>
      </c>
      <c r="K67" s="64" t="e">
        <f t="shared" ca="1" si="16"/>
        <v>#NAME?</v>
      </c>
      <c r="L67" s="24" t="e">
        <f ca="1">_xll.EVPRO($B$1,H67,"JDEID")</f>
        <v>#NAME?</v>
      </c>
      <c r="M67" s="24" t="e">
        <f ca="1">IF(AND(I67="N",J67="N"),_xll.EVPRO($B$1,H67,"PSFTID"),"")</f>
        <v>#NAME?</v>
      </c>
      <c r="N67" s="24" t="e">
        <f ca="1">IF(_xll.EVDES(H67,$B$1)="#NODATA","",_xll.EVDES(H67,$B$1))</f>
        <v>#NAME?</v>
      </c>
      <c r="O67" s="19">
        <v>7619.92</v>
      </c>
      <c r="P67" s="19">
        <v>8625.2800000000007</v>
      </c>
      <c r="Q67" s="19">
        <v>8599.5300000000007</v>
      </c>
      <c r="R67" s="19">
        <v>6695.29</v>
      </c>
      <c r="S67" s="19">
        <v>6086.1</v>
      </c>
      <c r="T67" s="19">
        <v>4165.3900000000003</v>
      </c>
      <c r="U67" s="19">
        <v>4216.96</v>
      </c>
      <c r="V67" s="19">
        <v>3819.42</v>
      </c>
      <c r="W67" s="19">
        <v>3201.56</v>
      </c>
      <c r="X67" s="19">
        <v>4664.67</v>
      </c>
      <c r="Y67" s="19">
        <v>6162.52</v>
      </c>
      <c r="Z67" s="19">
        <v>7614.03</v>
      </c>
      <c r="AA67" s="19" t="e">
        <f t="shared" ca="1" si="12"/>
        <v>#NAME?</v>
      </c>
      <c r="AB67" s="15" t="e">
        <f t="shared" ca="1" si="13"/>
        <v>#NAME?</v>
      </c>
      <c r="AD67" s="19">
        <v>73054.684559999994</v>
      </c>
      <c r="AE67" s="15" t="str">
        <f t="shared" ca="1" si="14"/>
        <v/>
      </c>
      <c r="AF67" s="47" t="e">
        <f t="shared" ca="1" si="15"/>
        <v>#NAME?</v>
      </c>
      <c r="AG67" s="19">
        <v>82451</v>
      </c>
      <c r="AH67" s="15" t="str">
        <f t="shared" ca="1" si="17"/>
        <v/>
      </c>
      <c r="AI67" s="47" t="e">
        <f t="shared" ca="1" si="18"/>
        <v>#NAME?</v>
      </c>
      <c r="AJ67" s="371">
        <f t="shared" ca="1" si="19"/>
        <v>0</v>
      </c>
      <c r="AK67" s="372">
        <f t="shared" ca="1" si="20"/>
        <v>0</v>
      </c>
      <c r="AL67" s="373">
        <f t="shared" ca="1" si="21"/>
        <v>0</v>
      </c>
      <c r="AM67" s="374">
        <f t="shared" ca="1" si="22"/>
        <v>0</v>
      </c>
      <c r="AN67" s="375">
        <f t="shared" ca="1" si="23"/>
        <v>0</v>
      </c>
    </row>
    <row r="68" spans="1:40" x14ac:dyDescent="0.2">
      <c r="A68" s="6" t="s">
        <v>34</v>
      </c>
      <c r="B68" s="7"/>
      <c r="G68" s="10" t="s">
        <v>498</v>
      </c>
      <c r="H68" s="10" t="s">
        <v>79</v>
      </c>
      <c r="I68" s="25" t="e">
        <f ca="1">_xll.EVPRO($B$1,$H68,"STYLE")</f>
        <v>#NAME?</v>
      </c>
      <c r="J68" s="25" t="e">
        <f ca="1">_xll.EVPRO($B$1,$H68,"CALC")</f>
        <v>#NAME?</v>
      </c>
      <c r="K68" s="64"/>
      <c r="L68" s="24"/>
      <c r="M68" s="24"/>
      <c r="N68" s="24" t="e">
        <f ca="1">IF(_xll.EVDES(G68,$B$1)="#NODATA","",_xll.EVDES(G68,$B$1))</f>
        <v>#NAME?</v>
      </c>
      <c r="O68" s="19">
        <v>492.78</v>
      </c>
      <c r="P68" s="19">
        <v>3779.06</v>
      </c>
      <c r="Q68" s="19">
        <v>4191.6499999999996</v>
      </c>
      <c r="R68" s="19">
        <v>2990.07</v>
      </c>
      <c r="S68" s="19">
        <v>7799.42</v>
      </c>
      <c r="T68" s="19">
        <v>2318.11</v>
      </c>
      <c r="U68" s="19">
        <v>2121.54</v>
      </c>
      <c r="V68" s="19">
        <v>6166.14</v>
      </c>
      <c r="W68" s="19">
        <v>3409.95</v>
      </c>
      <c r="X68" s="19">
        <v>1089.99</v>
      </c>
      <c r="Y68" s="19">
        <v>4947.8100000000004</v>
      </c>
      <c r="Z68" s="19">
        <v>8074.05</v>
      </c>
      <c r="AA68" s="19" t="e">
        <f t="shared" ca="1" si="12"/>
        <v>#NAME?</v>
      </c>
      <c r="AB68" s="15" t="e">
        <f t="shared" ca="1" si="13"/>
        <v>#NAME?</v>
      </c>
      <c r="AD68" s="19">
        <v>58079.212</v>
      </c>
      <c r="AE68" s="15" t="str">
        <f t="shared" ca="1" si="14"/>
        <v/>
      </c>
      <c r="AF68" s="47" t="e">
        <f t="shared" ca="1" si="15"/>
        <v>#NAME?</v>
      </c>
      <c r="AG68" s="19">
        <v>54120.41</v>
      </c>
      <c r="AH68" s="15" t="str">
        <f ca="1">IF(AG68=0,"",IFERROR(AG68/AG$19,""))</f>
        <v/>
      </c>
      <c r="AI68" s="47" t="e">
        <f ca="1">IF(AND($AA68="",AG68=""),"",$AA68-AG68)</f>
        <v>#NAME?</v>
      </c>
      <c r="AJ68" s="381">
        <f ca="1">IFERROR(AA68/AA$20,0)</f>
        <v>0</v>
      </c>
      <c r="AK68" s="382">
        <f ca="1">IFERROR(AD68/AD$20,0)</f>
        <v>0</v>
      </c>
      <c r="AL68" s="383">
        <f ca="1">IFERROR(AG68/AG$20,0)</f>
        <v>0</v>
      </c>
      <c r="AM68" s="384">
        <f ca="1">+IFERROR(ROUND(($AB68-AE68)*100,2)&amp;" pts.",0)</f>
        <v>0</v>
      </c>
      <c r="AN68" s="385">
        <f ca="1">+IFERROR(ROUND(($AB68-AH68)*100,2)&amp;" pts.",0)</f>
        <v>0</v>
      </c>
    </row>
    <row r="69" spans="1:40" x14ac:dyDescent="0.2">
      <c r="A69" s="6" t="s">
        <v>35</v>
      </c>
      <c r="B69" s="7"/>
      <c r="G69" s="10" t="s">
        <v>497</v>
      </c>
      <c r="H69" s="10" t="s">
        <v>79</v>
      </c>
      <c r="I69" s="25" t="e">
        <f ca="1">_xll.EVPRO($B$1,$H69,"STYLE")</f>
        <v>#NAME?</v>
      </c>
      <c r="J69" s="25" t="e">
        <f ca="1">_xll.EVPRO($B$1,$H69,"CALC")</f>
        <v>#NAME?</v>
      </c>
      <c r="K69" s="24"/>
      <c r="N69" s="23" t="e">
        <f ca="1">IF(_xll.EVDES(H69,$B$1)="#NODATA","",_xll.EVDES(H69,$B$1))</f>
        <v>#NAME?</v>
      </c>
      <c r="O69" s="30">
        <v>43469.06</v>
      </c>
      <c r="P69" s="30">
        <v>53062.45</v>
      </c>
      <c r="Q69" s="30">
        <v>52496.43</v>
      </c>
      <c r="R69" s="30">
        <v>47313.03</v>
      </c>
      <c r="S69" s="30">
        <v>44626.98</v>
      </c>
      <c r="T69" s="30">
        <v>26626.19</v>
      </c>
      <c r="U69" s="30">
        <v>30756.03</v>
      </c>
      <c r="V69" s="30">
        <v>34939.620000000003</v>
      </c>
      <c r="W69" s="30">
        <v>33593.65</v>
      </c>
      <c r="X69" s="30">
        <v>28480.9</v>
      </c>
      <c r="Y69" s="30">
        <v>32892.89</v>
      </c>
      <c r="Z69" s="30">
        <v>64210.91</v>
      </c>
      <c r="AA69" s="30" t="e">
        <f t="shared" ca="1" si="12"/>
        <v>#NAME?</v>
      </c>
      <c r="AB69" s="31" t="e">
        <f t="shared" ca="1" si="13"/>
        <v>#NAME?</v>
      </c>
      <c r="AD69" s="30">
        <v>506108.99927999999</v>
      </c>
      <c r="AE69" s="31" t="str">
        <f t="shared" ca="1" si="14"/>
        <v/>
      </c>
      <c r="AF69" s="49" t="e">
        <f t="shared" ca="1" si="15"/>
        <v>#NAME?</v>
      </c>
      <c r="AG69" s="30">
        <v>582840.18000000005</v>
      </c>
      <c r="AH69" s="31" t="str">
        <f ca="1">IF(AG69=0,"",IFERROR(AG69/AG$19,""))</f>
        <v/>
      </c>
      <c r="AI69" s="49" t="e">
        <f ca="1">IF(AND($AA69="",AG69=""),"",$AA69-AG69)</f>
        <v>#NAME?</v>
      </c>
      <c r="AJ69" s="387">
        <f ca="1">IFERROR(AA69/AA$20,0)</f>
        <v>0</v>
      </c>
      <c r="AK69" s="388">
        <f ca="1">IFERROR(AD69/AD$20,0)</f>
        <v>0</v>
      </c>
      <c r="AL69" s="389">
        <f ca="1">IFERROR(AG69/AG$20,0)</f>
        <v>0</v>
      </c>
      <c r="AM69" s="390">
        <f ca="1">+IFERROR(ROUND(($AB69-AE69)*100,2)&amp;" pts.",0)</f>
        <v>0</v>
      </c>
      <c r="AN69" s="408">
        <f ca="1">+IFERROR(ROUND(($AB69-AH69)*100,2)&amp;" pts.",0)</f>
        <v>0</v>
      </c>
    </row>
    <row r="70" spans="1:40" x14ac:dyDescent="0.2">
      <c r="A70" s="6" t="s">
        <v>36</v>
      </c>
      <c r="B70" s="7"/>
    </row>
    <row r="71" spans="1:40" x14ac:dyDescent="0.2">
      <c r="A71" s="6" t="s">
        <v>37</v>
      </c>
      <c r="B71" s="7"/>
      <c r="G71" s="10" t="s">
        <v>497</v>
      </c>
      <c r="H71" s="10" t="s">
        <v>80</v>
      </c>
      <c r="I71" s="25" t="e">
        <f ca="1">_xll.EVPRO($B$1,$H71,"STYLE")</f>
        <v>#NAME?</v>
      </c>
      <c r="J71" s="25" t="e">
        <f ca="1">_xll.EVPRO($B$1,$H71,"CALC")</f>
        <v>#NAME?</v>
      </c>
      <c r="K71" s="23"/>
      <c r="N71" s="23" t="e">
        <f ca="1">IF(_xll.EVDES(H71,$B$1)="#NODATA","",_xll.EVDES(H71,$B$1))</f>
        <v>#NAME?</v>
      </c>
      <c r="O71" s="33">
        <v>100949.91</v>
      </c>
      <c r="P71" s="33">
        <v>105036.94</v>
      </c>
      <c r="Q71" s="33">
        <v>107169.67</v>
      </c>
      <c r="R71" s="33">
        <v>106693.34</v>
      </c>
      <c r="S71" s="33">
        <v>101266.72</v>
      </c>
      <c r="T71" s="33">
        <v>72456</v>
      </c>
      <c r="U71" s="33">
        <v>81655.14</v>
      </c>
      <c r="V71" s="33">
        <v>85216.41</v>
      </c>
      <c r="W71" s="33">
        <v>69305.69</v>
      </c>
      <c r="X71" s="33">
        <v>89871.11</v>
      </c>
      <c r="Y71" s="33">
        <v>86941.1</v>
      </c>
      <c r="Z71" s="33">
        <v>114145.55</v>
      </c>
      <c r="AA71" s="33" t="e">
        <f ca="1">IF($I71="B1","",SUM(O71:Z71))</f>
        <v>#NAME?</v>
      </c>
      <c r="AB71" s="34" t="e">
        <f ca="1">IF(AA71=0,"",IFERROR(AA71/AA$19,""))</f>
        <v>#NAME?</v>
      </c>
      <c r="AD71" s="33">
        <v>1155585.1885266299</v>
      </c>
      <c r="AE71" s="34" t="str">
        <f ca="1">IF(AD71=0,"",IFERROR(AD71/AD$19,""))</f>
        <v/>
      </c>
      <c r="AF71" s="55" t="e">
        <f ca="1">IF(AND($AA71="",AD71=""),"",$AA71-AD71)</f>
        <v>#NAME?</v>
      </c>
      <c r="AG71" s="56">
        <v>1203365.8700000001</v>
      </c>
      <c r="AH71" s="57" t="str">
        <f ca="1">IF(AG71=0,"",IFERROR(AG71/AG$19,""))</f>
        <v/>
      </c>
      <c r="AI71" s="55" t="e">
        <f ca="1">IF(AND($AA71="",AG71=""),"",$AA71-AG71)</f>
        <v>#NAME?</v>
      </c>
      <c r="AJ71" s="364">
        <f ca="1">IFERROR(AA71/AA$20,0)</f>
        <v>0</v>
      </c>
      <c r="AK71" s="365">
        <f ca="1">IFERROR(AD71/AD$20,0)</f>
        <v>0</v>
      </c>
      <c r="AL71" s="366">
        <f ca="1">IFERROR(AG71/AG$20,0)</f>
        <v>0</v>
      </c>
      <c r="AM71" s="367">
        <f ca="1">+IFERROR(ROUND(($AB71-AE71)*100,2)&amp;" pts.",0)</f>
        <v>0</v>
      </c>
      <c r="AN71" s="409">
        <f ca="1">+IFERROR(ROUND(($AB71-AH71)*100,2)&amp;" pts.",0)</f>
        <v>0</v>
      </c>
    </row>
    <row r="72" spans="1:40" ht="16" thickBot="1" x14ac:dyDescent="0.25">
      <c r="A72" s="6" t="s">
        <v>38</v>
      </c>
      <c r="B72" s="7"/>
      <c r="G72" s="10" t="s">
        <v>497</v>
      </c>
      <c r="H72" s="10" t="s">
        <v>81</v>
      </c>
      <c r="I72" s="25" t="e">
        <f ca="1">_xll.EVPRO($B$1,$H72,"STYLE")</f>
        <v>#NAME?</v>
      </c>
      <c r="J72" s="25" t="e">
        <f ca="1">_xll.EVPRO($B$1,$H72,"CALC")</f>
        <v>#NAME?</v>
      </c>
      <c r="K72" s="23"/>
      <c r="N72" s="23" t="e">
        <f ca="1">IF(_xll.EVDES(H72,$B$1)="#NODATA","",_xll.EVDES(H72,$B$1))</f>
        <v>#NAME?</v>
      </c>
      <c r="O72" s="58">
        <v>-100949.91</v>
      </c>
      <c r="P72" s="58">
        <v>-105036.94</v>
      </c>
      <c r="Q72" s="58">
        <v>-107169.67</v>
      </c>
      <c r="R72" s="58">
        <v>-106693.34</v>
      </c>
      <c r="S72" s="58">
        <v>-101266.72</v>
      </c>
      <c r="T72" s="58">
        <v>-72456</v>
      </c>
      <c r="U72" s="58">
        <v>-81655.14</v>
      </c>
      <c r="V72" s="58">
        <v>-85216.41</v>
      </c>
      <c r="W72" s="58">
        <v>-69305.69</v>
      </c>
      <c r="X72" s="58">
        <v>-89871.11</v>
      </c>
      <c r="Y72" s="58">
        <v>-86941.1</v>
      </c>
      <c r="Z72" s="58">
        <v>-114145.55</v>
      </c>
      <c r="AA72" s="58" t="e">
        <f ca="1">IF($I72="B1","",SUM(O72:Z72))</f>
        <v>#NAME?</v>
      </c>
      <c r="AB72" s="59" t="e">
        <f ca="1">IF(AA72=0,"",IFERROR(AA72/AA$19,""))</f>
        <v>#NAME?</v>
      </c>
      <c r="AD72" s="58">
        <v>-1155585.1885266299</v>
      </c>
      <c r="AE72" s="59" t="str">
        <f ca="1">IF(AD72=0,"",IFERROR(AD72/AD$19,""))</f>
        <v/>
      </c>
      <c r="AF72" s="60" t="e">
        <f ca="1">IF(AND($AA72="",AD72=""),"",$AA72-AD72)</f>
        <v>#NAME?</v>
      </c>
      <c r="AG72" s="58">
        <v>-1203365.8700000001</v>
      </c>
      <c r="AH72" s="59" t="str">
        <f ca="1">IF(AG72=0,"",IFERROR(AG72/AG$19,""))</f>
        <v/>
      </c>
      <c r="AI72" s="60" t="e">
        <f ca="1">IF(AND($AA72="",AG72=""),"",$AA72-AG72)</f>
        <v>#NAME?</v>
      </c>
      <c r="AJ72" s="402">
        <f ca="1">IFERROR(AA72/AA$20,0)</f>
        <v>0</v>
      </c>
      <c r="AK72" s="403">
        <f ca="1">IFERROR(AD72/AD$20,0)</f>
        <v>0</v>
      </c>
      <c r="AL72" s="404">
        <f ca="1">IFERROR(AG72/AG$20,0)</f>
        <v>0</v>
      </c>
      <c r="AM72" s="405">
        <f ca="1">+IFERROR(ROUND(($AB72-AE72)*100,2)&amp;" pts.",0)</f>
        <v>0</v>
      </c>
      <c r="AN72" s="410">
        <f ca="1">+IFERROR(ROUND(($AB72-AH72)*100,2)&amp;" pts.",0)</f>
        <v>0</v>
      </c>
    </row>
    <row r="73" spans="1:40" ht="16" thickTop="1" x14ac:dyDescent="0.2">
      <c r="A73" s="6" t="s">
        <v>39</v>
      </c>
      <c r="B73" s="7"/>
    </row>
    <row r="74" spans="1:40" x14ac:dyDescent="0.2">
      <c r="A74" s="6" t="s">
        <v>40</v>
      </c>
      <c r="B74" s="7"/>
      <c r="N74" s="24" t="e">
        <f ca="1">N71&amp;" - Check"</f>
        <v>#NAME?</v>
      </c>
      <c r="O74" s="124">
        <f t="shared" ref="O74:AA74" si="24">SUMIF($H$33:$H$72,"600000",O$33:O$72)+SUMIFS(O$33:O$72,$G$33:$G$72,"D_AG_CON",$H$33:$H$72,"700000")-SUMIF($H$33:$H$72,"TOTDEPTEXP",O$33:O$72)</f>
        <v>0</v>
      </c>
      <c r="P74" s="124">
        <f t="shared" si="24"/>
        <v>0</v>
      </c>
      <c r="Q74" s="124">
        <f t="shared" si="24"/>
        <v>0</v>
      </c>
      <c r="R74" s="124">
        <f t="shared" si="24"/>
        <v>0</v>
      </c>
      <c r="S74" s="124">
        <f t="shared" si="24"/>
        <v>0</v>
      </c>
      <c r="T74" s="124">
        <f t="shared" si="24"/>
        <v>0</v>
      </c>
      <c r="U74" s="124">
        <f t="shared" si="24"/>
        <v>0</v>
      </c>
      <c r="V74" s="124">
        <f t="shared" si="24"/>
        <v>0</v>
      </c>
      <c r="W74" s="124">
        <f t="shared" si="24"/>
        <v>0</v>
      </c>
      <c r="X74" s="124">
        <f t="shared" si="24"/>
        <v>0</v>
      </c>
      <c r="Y74" s="124">
        <f t="shared" si="24"/>
        <v>0</v>
      </c>
      <c r="Z74" s="124">
        <f t="shared" si="24"/>
        <v>0</v>
      </c>
      <c r="AA74" s="124" t="e">
        <f t="shared" ca="1" si="24"/>
        <v>#NAME?</v>
      </c>
      <c r="AB74" s="15"/>
      <c r="AD74" s="124">
        <f>SUMIF($H$33:$H$72,"600000",AD$33:AD$72)+SUMIFS(AD$33:AD$72,$G$33:$G$72,"D_AG_CON",$H$33:$H$72,"700000")-SUMIF($H$33:$H$72,"TOTDEPTEXP",AD$33:AD$72)</f>
        <v>-1.862645149230957E-9</v>
      </c>
      <c r="AE74" s="15"/>
      <c r="AF74" s="19"/>
      <c r="AG74" s="124">
        <f>SUMIF($H$33:$H$72,"600000",AG$33:AG$72)+SUMIFS(AG$33:AG$72,$G$33:$G$72,"D_AG_CON",$H$33:$H$72,"700000")-SUMIF($H$33:$H$72,"TOTDEPTEXP",AG$33:AG$72)</f>
        <v>0</v>
      </c>
      <c r="AH74" s="15"/>
      <c r="AI74" s="19"/>
    </row>
    <row r="75" spans="1:40" x14ac:dyDescent="0.2">
      <c r="A75" s="6" t="s">
        <v>41</v>
      </c>
      <c r="B75" s="7"/>
      <c r="N75" s="24" t="e">
        <f ca="1">N72&amp;" - Check"</f>
        <v>#NAME?</v>
      </c>
      <c r="O75" s="124">
        <f t="shared" ref="O75:AA75" si="25">SUMIF($H$33:$H$72,"TOTDEPTEXP",O$33:O$72)+SUMIF($H$33:$H$72,"TOTDEPTPL",O$33:O$72)</f>
        <v>0</v>
      </c>
      <c r="P75" s="124">
        <f t="shared" si="25"/>
        <v>0</v>
      </c>
      <c r="Q75" s="124">
        <f t="shared" si="25"/>
        <v>0</v>
      </c>
      <c r="R75" s="124">
        <f t="shared" si="25"/>
        <v>0</v>
      </c>
      <c r="S75" s="124">
        <f t="shared" si="25"/>
        <v>0</v>
      </c>
      <c r="T75" s="124">
        <f t="shared" si="25"/>
        <v>0</v>
      </c>
      <c r="U75" s="124">
        <f t="shared" si="25"/>
        <v>0</v>
      </c>
      <c r="V75" s="124">
        <f t="shared" si="25"/>
        <v>0</v>
      </c>
      <c r="W75" s="124">
        <f t="shared" si="25"/>
        <v>0</v>
      </c>
      <c r="X75" s="124">
        <f t="shared" si="25"/>
        <v>0</v>
      </c>
      <c r="Y75" s="124">
        <f t="shared" si="25"/>
        <v>0</v>
      </c>
      <c r="Z75" s="124">
        <f t="shared" si="25"/>
        <v>0</v>
      </c>
      <c r="AA75" s="124" t="e">
        <f t="shared" ca="1" si="25"/>
        <v>#NAME?</v>
      </c>
      <c r="AB75" s="15"/>
      <c r="AD75" s="124">
        <f>SUMIF($H$33:$H$72,"TOTDEPTEXP",AD$33:AD$72)+SUMIF($H$33:$H$72,"TOTDEPTPL",AD$33:AD$72)</f>
        <v>0</v>
      </c>
      <c r="AE75" s="15"/>
      <c r="AF75" s="19"/>
      <c r="AG75" s="124">
        <f>SUMIF($H$33:$H$72,"TOTDEPTEXP",AG$33:AG$72)+SUMIF($H$33:$H$72,"TOTDEPTPL",AG$33:AG$72)</f>
        <v>0</v>
      </c>
      <c r="AH75" s="15"/>
      <c r="AI75" s="19"/>
    </row>
    <row r="76" spans="1:40" x14ac:dyDescent="0.2">
      <c r="A76" s="6" t="s">
        <v>42</v>
      </c>
      <c r="B76" s="7"/>
    </row>
    <row r="77" spans="1:40" x14ac:dyDescent="0.2">
      <c r="A77" s="6" t="s">
        <v>43</v>
      </c>
      <c r="B77" s="7"/>
    </row>
    <row r="78" spans="1:40" x14ac:dyDescent="0.2">
      <c r="A78" s="6" t="s">
        <v>44</v>
      </c>
      <c r="B78" s="7"/>
    </row>
    <row r="79" spans="1:40" x14ac:dyDescent="0.2">
      <c r="A79" s="6" t="s">
        <v>45</v>
      </c>
      <c r="B79" s="7"/>
    </row>
    <row r="80" spans="1:40" x14ac:dyDescent="0.2">
      <c r="A80" s="6" t="s">
        <v>46</v>
      </c>
      <c r="B80" s="7"/>
    </row>
    <row r="82" spans="8:10" x14ac:dyDescent="0.2">
      <c r="H82" s="11"/>
      <c r="J82" s="1"/>
    </row>
    <row r="83" spans="8:10" x14ac:dyDescent="0.2">
      <c r="H83" s="11"/>
      <c r="J83" s="1"/>
    </row>
    <row r="84" spans="8:10" x14ac:dyDescent="0.2">
      <c r="H84" s="11"/>
      <c r="J84" s="1"/>
    </row>
    <row r="85" spans="8:10" x14ac:dyDescent="0.2">
      <c r="H85" s="11"/>
      <c r="J85" s="1"/>
    </row>
    <row r="86" spans="8:10" x14ac:dyDescent="0.2">
      <c r="H86" s="11"/>
      <c r="J86" s="1"/>
    </row>
    <row r="87" spans="8:10" x14ac:dyDescent="0.2">
      <c r="H87" s="11"/>
      <c r="J87" s="1"/>
    </row>
    <row r="88" spans="8:10" x14ac:dyDescent="0.2">
      <c r="H88" s="11"/>
      <c r="J88" s="1"/>
    </row>
    <row r="89" spans="8:10" x14ac:dyDescent="0.2">
      <c r="H89" s="11"/>
      <c r="J89" s="1"/>
    </row>
    <row r="90" spans="8:10" x14ac:dyDescent="0.2">
      <c r="H90" s="11"/>
      <c r="J90" s="1"/>
    </row>
    <row r="91" spans="8:10" x14ac:dyDescent="0.2">
      <c r="H91" s="11"/>
      <c r="J91" s="1"/>
    </row>
    <row r="92" spans="8:10" x14ac:dyDescent="0.2">
      <c r="H92" s="11"/>
      <c r="J92" s="1"/>
    </row>
    <row r="93" spans="8:10" x14ac:dyDescent="0.2">
      <c r="H93" s="11"/>
      <c r="J93" s="1"/>
    </row>
    <row r="94" spans="8:10" x14ac:dyDescent="0.2">
      <c r="H94" s="11"/>
      <c r="J94" s="1"/>
    </row>
    <row r="95" spans="8:10" x14ac:dyDescent="0.2">
      <c r="H95" s="11"/>
      <c r="J95" s="1"/>
    </row>
    <row r="96" spans="8:10" x14ac:dyDescent="0.2">
      <c r="H96" s="11"/>
      <c r="J96" s="1"/>
    </row>
    <row r="97" spans="8:10" x14ac:dyDescent="0.2">
      <c r="H97" s="11"/>
      <c r="J97" s="1"/>
    </row>
    <row r="98" spans="8:10" x14ac:dyDescent="0.2">
      <c r="H98" s="11"/>
      <c r="J98" s="1"/>
    </row>
    <row r="99" spans="8:10" x14ac:dyDescent="0.2">
      <c r="H99" s="11"/>
      <c r="J99" s="1"/>
    </row>
    <row r="100" spans="8:10" x14ac:dyDescent="0.2">
      <c r="H100" s="11"/>
      <c r="J100" s="1"/>
    </row>
    <row r="101" spans="8:10" x14ac:dyDescent="0.2">
      <c r="H101" s="11"/>
      <c r="J101" s="1"/>
    </row>
    <row r="102" spans="8:10" x14ac:dyDescent="0.2">
      <c r="H102" s="11"/>
      <c r="J102" s="1"/>
    </row>
    <row r="103" spans="8:10" x14ac:dyDescent="0.2">
      <c r="H103" s="11"/>
      <c r="J103" s="1"/>
    </row>
    <row r="104" spans="8:10" x14ac:dyDescent="0.2">
      <c r="H104" s="11"/>
      <c r="J104" s="1"/>
    </row>
  </sheetData>
  <mergeCells count="2">
    <mergeCell ref="AD31:AE31"/>
    <mergeCell ref="AG31:AH31"/>
  </mergeCells>
  <dataValidations disablePrompts="1" count="2">
    <dataValidation type="list" allowBlank="1" sqref="B28:C28" xr:uid="{00000000-0002-0000-4C00-000000000000}">
      <formula1>"ACCOUNT,BUSINESSUNIT,CATEGORY,DATASRC,DEPARTMENT,INTCO,MEASURES,RPTCURRENCY,TIME"</formula1>
    </dataValidation>
    <dataValidation type="list" allowBlank="1" sqref="B29:C29" xr:uid="{00000000-0002-0000-4C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23">
    <tabColor theme="2" tint="-0.499984740745262"/>
    <pageSetUpPr fitToPage="1"/>
  </sheetPr>
  <dimension ref="A1:AO77"/>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6" sqref="O36"/>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1" hidden="1" customWidth="1" outlineLevel="1" collapsed="1"/>
    <col min="13" max="13" width="9.6640625" style="1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c r="L1" s="69"/>
      <c r="M1" s="69"/>
      <c r="N1" s="69"/>
    </row>
    <row r="2" spans="1:35" hidden="1" outlineLevel="1" x14ac:dyDescent="0.2">
      <c r="A2" s="8" t="s">
        <v>22</v>
      </c>
      <c r="B2" s="12" t="s">
        <v>56</v>
      </c>
      <c r="C2" s="1" t="e">
        <f ca="1">_xll.EVDES(B2,$B$1)</f>
        <v>#NAME?</v>
      </c>
      <c r="I2" s="1"/>
      <c r="J2" s="1"/>
      <c r="L2" s="69"/>
      <c r="M2" s="69"/>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498</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row>
    <row r="12" spans="1:35" hidden="1" outlineLevel="1" x14ac:dyDescent="0.2">
      <c r="A12" s="1" t="s">
        <v>115</v>
      </c>
      <c r="B12" s="46" t="e">
        <f ca="1">_xll.EVPRO($B$1,$B$10,"YEAR")</f>
        <v>#NAME?</v>
      </c>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_xll.EVRNG(H34:H44)</f>
        <v>#NAME?</v>
      </c>
      <c r="G19" s="16" t="s">
        <v>499</v>
      </c>
      <c r="H19" s="16">
        <v>400000</v>
      </c>
      <c r="I19" s="17"/>
      <c r="J19" s="17"/>
      <c r="K19" s="16"/>
      <c r="L19" s="17"/>
      <c r="M19" s="17"/>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
        <v>749</v>
      </c>
      <c r="H20" s="16">
        <v>904100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row>
    <row r="22" spans="1:40" hidden="1" outlineLevel="1" x14ac:dyDescent="0.2">
      <c r="A22" s="6" t="s">
        <v>7</v>
      </c>
      <c r="B22" s="7"/>
    </row>
    <row r="23" spans="1:40" hidden="1" outlineLevel="1" x14ac:dyDescent="0.2">
      <c r="A23" s="6" t="s">
        <v>47</v>
      </c>
      <c r="B23" s="7" t="e">
        <f ca="1">_xll.EVRNG($A$37:$B$58)</f>
        <v>#NAME?</v>
      </c>
      <c r="K23" s="53"/>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IF(_xll.EVDES(B6,$B$1)="#NODATA","",_xll.EVDES(B6,$B$1)&amp;" Department")</f>
        <v>#NAME?</v>
      </c>
    </row>
    <row r="28" spans="1:40" ht="16" x14ac:dyDescent="0.2">
      <c r="A28" s="6" t="s">
        <v>12</v>
      </c>
      <c r="B28" s="7" t="s">
        <v>22</v>
      </c>
      <c r="N28" s="67" t="e">
        <f ca="1">"For the Period ended"&amp;" "&amp;IF(_xll.EVDES($B$10,$B$1)="#NODATA","",_xll.EVDES($B$10,$B$1))</f>
        <v>#NAME?</v>
      </c>
    </row>
    <row r="29" spans="1:40" ht="15" customHeight="1" x14ac:dyDescent="0.2">
      <c r="A29" s="6" t="s">
        <v>13</v>
      </c>
      <c r="B29" s="7" t="s">
        <v>111</v>
      </c>
      <c r="N29" s="67" t="e">
        <f ca="1">_xll.EVDES(B9,B1)</f>
        <v>#NAME?</v>
      </c>
    </row>
    <row r="30" spans="1:40" x14ac:dyDescent="0.2">
      <c r="A30" s="6" t="s">
        <v>14</v>
      </c>
      <c r="B30" s="14"/>
      <c r="O30" s="208"/>
      <c r="P30" s="209"/>
      <c r="Q30" s="209"/>
      <c r="R30" s="209"/>
      <c r="S30" s="209"/>
      <c r="T30" s="209"/>
      <c r="U30" s="209"/>
      <c r="V30" s="209"/>
      <c r="W30" s="209"/>
      <c r="X30" s="209"/>
      <c r="Y30" s="209"/>
      <c r="Z30" s="209"/>
      <c r="AA30" s="209"/>
      <c r="AB30" s="210"/>
      <c r="AD30" s="209"/>
      <c r="AE30" s="209"/>
      <c r="AF30" s="209"/>
      <c r="AG30" s="209"/>
      <c r="AH30" s="209"/>
      <c r="AI30" s="209"/>
      <c r="AJ30" s="208" t="s">
        <v>752</v>
      </c>
      <c r="AK30" s="209"/>
      <c r="AL30" s="210"/>
      <c r="AM30" s="209" t="s">
        <v>750</v>
      </c>
      <c r="AN30" s="209"/>
    </row>
    <row r="31" spans="1:40" x14ac:dyDescent="0.2">
      <c r="A31" s="6" t="s">
        <v>15</v>
      </c>
      <c r="B31" s="7"/>
      <c r="G31" s="13"/>
      <c r="K31" s="52"/>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t="s">
        <v>78</v>
      </c>
      <c r="H32" s="233"/>
      <c r="I32" s="234"/>
      <c r="J32" s="234"/>
      <c r="K32" s="235" t="s">
        <v>117</v>
      </c>
      <c r="L32" s="234"/>
      <c r="M32" s="234"/>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82</v>
      </c>
      <c r="I33" s="11" t="e">
        <f ca="1">_xll.EVPRO($B$1,$H33,"STYLE")</f>
        <v>#NAME?</v>
      </c>
      <c r="J33" s="11" t="e">
        <f ca="1">_xll.EVPRO($B$1,$H33,"CALC")</f>
        <v>#NAME?</v>
      </c>
      <c r="L33" s="1"/>
      <c r="M33" s="1"/>
      <c r="N33" s="37" t="e">
        <f ca="1">IF(_xll.EVDES(H33,$B$1)="#NODATA","",_xll.EVDES(H33,$B$1))</f>
        <v>#NAME?</v>
      </c>
      <c r="O33" s="40"/>
      <c r="P33" s="43"/>
      <c r="Q33" s="43"/>
      <c r="R33" s="43"/>
      <c r="S33" s="43"/>
      <c r="T33" s="43"/>
      <c r="U33" s="43"/>
      <c r="V33" s="43"/>
      <c r="W33" s="43"/>
      <c r="X33" s="43"/>
      <c r="Y33" s="43"/>
      <c r="Z33" s="43"/>
      <c r="AA33" s="43"/>
      <c r="AB33" s="41"/>
      <c r="AD33" s="40"/>
      <c r="AE33" s="43"/>
      <c r="AF33" s="41"/>
      <c r="AG33" s="40"/>
      <c r="AH33" s="43"/>
      <c r="AI33" s="41"/>
    </row>
    <row r="34" spans="1:40" x14ac:dyDescent="0.2">
      <c r="H34" s="10" t="s">
        <v>829</v>
      </c>
      <c r="I34" s="25" t="e">
        <f ca="1">_xll.EVPRO($B$1,$H34,"STYLE")</f>
        <v>#NAME?</v>
      </c>
      <c r="J34" s="25" t="e">
        <f ca="1">_xll.EVPRO($B$1,$H34,"CALC")</f>
        <v>#NAME?</v>
      </c>
      <c r="K34" s="64" t="e">
        <f ca="1">IF(AND(I34&gt;="T3"),"&gt;","")</f>
        <v>#NAME?</v>
      </c>
      <c r="L34" s="24" t="e">
        <f ca="1">_xll.EVPRO($B$1,H34,"JDEID")</f>
        <v>#NAME?</v>
      </c>
      <c r="M34" s="24" t="e">
        <f ca="1">IF(AND(I34="N",J34="N"),_xll.EVPRO($B$1,H34,"PSFTID"),"")</f>
        <v>#NAME?</v>
      </c>
      <c r="N34" s="24" t="e">
        <f ca="1">IF(_xll.EVDES(H34,$B$1)="#NODATA","",_xll.EVDES(H34,$B$1))</f>
        <v>#NAME?</v>
      </c>
      <c r="O34" s="19"/>
      <c r="P34" s="19">
        <v>83.33</v>
      </c>
      <c r="Q34" s="19"/>
      <c r="R34" s="19"/>
      <c r="S34" s="19"/>
      <c r="T34" s="19">
        <v>534.57000000000005</v>
      </c>
      <c r="U34" s="19">
        <v>4.3099999999999996</v>
      </c>
      <c r="V34" s="19"/>
      <c r="W34" s="19"/>
      <c r="X34" s="19">
        <v>49.31</v>
      </c>
      <c r="Y34" s="19">
        <v>29.96</v>
      </c>
      <c r="Z34" s="19">
        <v>45</v>
      </c>
      <c r="AA34" s="35" t="e">
        <f t="shared" ref="AA34:AA45" ca="1" si="0">IF($I34="B1","",SUM(O34:Z34))</f>
        <v>#NAME?</v>
      </c>
      <c r="AB34" s="15" t="e">
        <f t="shared" ref="AB34:AB45" ca="1" si="1">IF(AA34=0,"",IFERROR(AA34/AA$19,""))</f>
        <v>#NAME?</v>
      </c>
      <c r="AD34" s="19">
        <v>2660</v>
      </c>
      <c r="AE34" s="15" t="str">
        <f t="shared" ref="AE34:AE45" ca="1" si="2">IF(AD34=0,"",IFERROR(AD34/AD$19,""))</f>
        <v/>
      </c>
      <c r="AF34" s="47" t="e">
        <f t="shared" ref="AF34:AF45" ca="1" si="3">IF(AND($AA34="",AD34=""),"",$AA34-AD34)</f>
        <v>#NAME?</v>
      </c>
      <c r="AG34" s="19">
        <v>598.54999999999995</v>
      </c>
      <c r="AH34" s="15" t="str">
        <f ca="1">IF(AG34=0,"",IFERROR(AG34/AG$19,""))</f>
        <v/>
      </c>
      <c r="AI34" s="47" t="e">
        <f ca="1">IF(AND($AA34="",AG34=""),"",$AA34-AG34)</f>
        <v>#NAME?</v>
      </c>
      <c r="AJ34" s="371">
        <f ca="1">IFERROR(AA34/AA$20,0)</f>
        <v>0</v>
      </c>
      <c r="AK34" s="372">
        <f ca="1">IFERROR(AD34/AD$20,0)</f>
        <v>0</v>
      </c>
      <c r="AL34" s="373">
        <f ca="1">IFERROR(AG34/AG$20,0)</f>
        <v>0</v>
      </c>
      <c r="AM34" s="374">
        <f ca="1">+IFERROR(ROUND(($AB34-AE34)*100,2)&amp;" pts.",0)</f>
        <v>0</v>
      </c>
      <c r="AN34" s="375">
        <f ca="1">+IFERROR(ROUND(($AB34-AH34)*100,2)&amp;" pts.",0)</f>
        <v>0</v>
      </c>
    </row>
    <row r="35" spans="1:40" x14ac:dyDescent="0.2">
      <c r="C35" s="23"/>
      <c r="H35" s="10" t="s">
        <v>832</v>
      </c>
      <c r="I35" s="25" t="e">
        <f ca="1">_xll.EVPRO($B$1,$H35,"STYLE")</f>
        <v>#NAME?</v>
      </c>
      <c r="J35" s="25" t="e">
        <f ca="1">_xll.EVPRO($B$1,$H35,"CALC")</f>
        <v>#NAME?</v>
      </c>
      <c r="K35" s="64" t="e">
        <f t="shared" ref="K35:K44" ca="1" si="4">IF(AND(I35&gt;="T3"),"&gt;","")</f>
        <v>#NAME?</v>
      </c>
      <c r="L35" s="24" t="e">
        <f ca="1">_xll.EVPRO($B$1,H35,"JDEID")</f>
        <v>#NAME?</v>
      </c>
      <c r="M35" s="24" t="e">
        <f ca="1">IF(AND(I35="N",J35="N"),_xll.EVPRO($B$1,H35,"PSFTID"),"")</f>
        <v>#NAME?</v>
      </c>
      <c r="N35" s="24" t="e">
        <f ca="1">IF(_xll.EVDES(H35,$B$1)="#NODATA","",_xll.EVDES(H35,$B$1))</f>
        <v>#NAME?</v>
      </c>
      <c r="O35" s="19"/>
      <c r="P35" s="19"/>
      <c r="Q35" s="19"/>
      <c r="R35" s="19"/>
      <c r="S35" s="19"/>
      <c r="T35" s="19"/>
      <c r="U35" s="19">
        <v>13.31</v>
      </c>
      <c r="V35" s="19">
        <v>-0.01</v>
      </c>
      <c r="W35" s="19"/>
      <c r="X35" s="19">
        <v>12.29</v>
      </c>
      <c r="Y35" s="19"/>
      <c r="Z35" s="19"/>
      <c r="AA35" s="35" t="e">
        <f t="shared" ca="1" si="0"/>
        <v>#NAME?</v>
      </c>
      <c r="AB35" s="15" t="e">
        <f t="shared" ca="1" si="1"/>
        <v>#NAME?</v>
      </c>
      <c r="AD35" s="19">
        <v>110</v>
      </c>
      <c r="AE35" s="15" t="str">
        <f t="shared" ca="1" si="2"/>
        <v/>
      </c>
      <c r="AF35" s="47" t="e">
        <f t="shared" ca="1" si="3"/>
        <v>#NAME?</v>
      </c>
      <c r="AG35" s="19">
        <v>87.93</v>
      </c>
      <c r="AH35" s="15" t="str">
        <f t="shared" ref="AH35:AH44" ca="1" si="5">IF(AG35=0,"",IFERROR(AG35/AG$19,""))</f>
        <v/>
      </c>
      <c r="AI35" s="47" t="e">
        <f t="shared" ref="AI35:AI44" ca="1" si="6">IF(AND($AA35="",AG35=""),"",$AA35-AG35)</f>
        <v>#NAME?</v>
      </c>
      <c r="AJ35" s="371">
        <f t="shared" ref="AJ35:AJ44" ca="1" si="7">IFERROR(AA35/AA$20,0)</f>
        <v>0</v>
      </c>
      <c r="AK35" s="372">
        <f t="shared" ref="AK35:AK44" ca="1" si="8">IFERROR(AD35/AD$20,0)</f>
        <v>0</v>
      </c>
      <c r="AL35" s="373">
        <f t="shared" ref="AL35:AL44" ca="1" si="9">IFERROR(AG35/AG$20,0)</f>
        <v>0</v>
      </c>
      <c r="AM35" s="374">
        <f t="shared" ref="AM35:AM44" ca="1" si="10">+IFERROR(ROUND(($AB35-AE35)*100,2)&amp;" pts.",0)</f>
        <v>0</v>
      </c>
      <c r="AN35" s="375">
        <f t="shared" ref="AN35:AN44" ca="1" si="11">+IFERROR(ROUND(($AB35-AH35)*100,2)&amp;" pts.",0)</f>
        <v>0</v>
      </c>
    </row>
    <row r="36" spans="1:40" x14ac:dyDescent="0.2">
      <c r="A36" s="3" t="s">
        <v>23</v>
      </c>
      <c r="B36" s="5" t="s">
        <v>24</v>
      </c>
      <c r="H36" s="10" t="s">
        <v>859</v>
      </c>
      <c r="I36" s="25" t="e">
        <f ca="1">_xll.EVPRO($B$1,$H36,"STYLE")</f>
        <v>#NAME?</v>
      </c>
      <c r="J36" s="25" t="e">
        <f ca="1">_xll.EVPRO($B$1,$H36,"CALC")</f>
        <v>#NAME?</v>
      </c>
      <c r="K36" s="64" t="e">
        <f t="shared" ca="1" si="4"/>
        <v>#NAME?</v>
      </c>
      <c r="L36" s="24" t="e">
        <f ca="1">_xll.EVPRO($B$1,H36,"JDEID")</f>
        <v>#NAME?</v>
      </c>
      <c r="M36" s="24" t="e">
        <f ca="1">IF(AND(I36="N",J36="N"),_xll.EVPRO($B$1,H36,"PSFTID"),"")</f>
        <v>#NAME?</v>
      </c>
      <c r="N36" s="24" t="e">
        <f ca="1">IF(_xll.EVDES(H36,$B$1)="#NODATA","",_xll.EVDES(H36,$B$1))</f>
        <v>#NAME?</v>
      </c>
      <c r="O36" s="19"/>
      <c r="P36" s="19"/>
      <c r="Q36" s="19"/>
      <c r="R36" s="19"/>
      <c r="S36" s="19"/>
      <c r="T36" s="19"/>
      <c r="U36" s="19"/>
      <c r="V36" s="19"/>
      <c r="W36" s="19"/>
      <c r="X36" s="19"/>
      <c r="Y36" s="19"/>
      <c r="Z36" s="19"/>
      <c r="AA36" s="35" t="e">
        <f t="shared" ca="1" si="0"/>
        <v>#NAME?</v>
      </c>
      <c r="AB36" s="15" t="e">
        <f t="shared" ca="1" si="1"/>
        <v>#NAME?</v>
      </c>
      <c r="AD36" s="19"/>
      <c r="AE36" s="15" t="str">
        <f t="shared" si="2"/>
        <v/>
      </c>
      <c r="AF36" s="47" t="e">
        <f t="shared" ca="1" si="3"/>
        <v>#NAME?</v>
      </c>
      <c r="AG36" s="19">
        <v>43.85</v>
      </c>
      <c r="AH36" s="15" t="str">
        <f t="shared" ca="1" si="5"/>
        <v/>
      </c>
      <c r="AI36" s="47" t="e">
        <f t="shared" ca="1" si="6"/>
        <v>#NAME?</v>
      </c>
      <c r="AJ36" s="371">
        <f t="shared" ca="1" si="7"/>
        <v>0</v>
      </c>
      <c r="AK36" s="372">
        <f t="shared" ca="1" si="8"/>
        <v>0</v>
      </c>
      <c r="AL36" s="373">
        <f t="shared" ca="1" si="9"/>
        <v>0</v>
      </c>
      <c r="AM36" s="374">
        <f t="shared" ca="1" si="10"/>
        <v>0</v>
      </c>
      <c r="AN36" s="375">
        <f t="shared" ca="1" si="11"/>
        <v>0</v>
      </c>
    </row>
    <row r="37" spans="1:40" x14ac:dyDescent="0.2">
      <c r="A37" s="6" t="s">
        <v>25</v>
      </c>
      <c r="B37" s="7"/>
      <c r="H37" s="10" t="s">
        <v>833</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19"/>
      <c r="P37" s="19"/>
      <c r="Q37" s="19"/>
      <c r="R37" s="19">
        <v>700</v>
      </c>
      <c r="S37" s="19"/>
      <c r="T37" s="19"/>
      <c r="U37" s="19"/>
      <c r="V37" s="19">
        <v>2000</v>
      </c>
      <c r="W37" s="19"/>
      <c r="X37" s="19"/>
      <c r="Y37" s="19">
        <v>175</v>
      </c>
      <c r="Z37" s="19"/>
      <c r="AA37" s="35" t="e">
        <f t="shared" ca="1" si="0"/>
        <v>#NAME?</v>
      </c>
      <c r="AB37" s="15" t="e">
        <f t="shared" ca="1" si="1"/>
        <v>#NAME?</v>
      </c>
      <c r="AD37" s="19">
        <v>3400</v>
      </c>
      <c r="AE37" s="15" t="str">
        <f t="shared" ca="1" si="2"/>
        <v/>
      </c>
      <c r="AF37" s="47" t="e">
        <f t="shared" ca="1" si="3"/>
        <v>#NAME?</v>
      </c>
      <c r="AG37" s="19">
        <v>-605.01</v>
      </c>
      <c r="AH37" s="15" t="str">
        <f t="shared" ca="1" si="5"/>
        <v/>
      </c>
      <c r="AI37" s="47" t="e">
        <f t="shared" ca="1" si="6"/>
        <v>#NAME?</v>
      </c>
      <c r="AJ37" s="371">
        <f t="shared" ca="1" si="7"/>
        <v>0</v>
      </c>
      <c r="AK37" s="372">
        <f t="shared" ca="1" si="8"/>
        <v>0</v>
      </c>
      <c r="AL37" s="373">
        <f t="shared" ca="1" si="9"/>
        <v>0</v>
      </c>
      <c r="AM37" s="374">
        <f t="shared" ca="1" si="10"/>
        <v>0</v>
      </c>
      <c r="AN37" s="375">
        <f t="shared" ca="1" si="11"/>
        <v>0</v>
      </c>
    </row>
    <row r="38" spans="1:40" x14ac:dyDescent="0.2">
      <c r="A38" s="6" t="s">
        <v>26</v>
      </c>
      <c r="B38" s="7"/>
      <c r="H38" s="10" t="s">
        <v>834</v>
      </c>
      <c r="I38" s="25" t="e">
        <f ca="1">_xll.EVPRO($B$1,$H38,"STYLE")</f>
        <v>#NAME?</v>
      </c>
      <c r="J38" s="25" t="e">
        <f ca="1">_xll.EVPRO($B$1,$H38,"CALC")</f>
        <v>#NAME?</v>
      </c>
      <c r="K38" s="64" t="e">
        <f t="shared" ca="1" si="4"/>
        <v>#NAME?</v>
      </c>
      <c r="L38" s="24" t="e">
        <f ca="1">_xll.EVPRO($B$1,H38,"JDEID")</f>
        <v>#NAME?</v>
      </c>
      <c r="M38" s="24" t="e">
        <f ca="1">IF(AND(I38="N",J38="N"),_xll.EVPRO($B$1,H38,"PSFTID"),"")</f>
        <v>#NAME?</v>
      </c>
      <c r="N38" s="24" t="e">
        <f ca="1">IF(_xll.EVDES(H38,$B$1)="#NODATA","",_xll.EVDES(H38,$B$1))</f>
        <v>#NAME?</v>
      </c>
      <c r="O38" s="19"/>
      <c r="P38" s="19"/>
      <c r="Q38" s="19"/>
      <c r="R38" s="19">
        <v>47.42</v>
      </c>
      <c r="S38" s="19"/>
      <c r="T38" s="19">
        <v>14.17</v>
      </c>
      <c r="U38" s="19">
        <v>2.8</v>
      </c>
      <c r="V38" s="19"/>
      <c r="W38" s="19">
        <v>64.94</v>
      </c>
      <c r="X38" s="19">
        <v>15.65</v>
      </c>
      <c r="Y38" s="19">
        <v>23.73</v>
      </c>
      <c r="Z38" s="19"/>
      <c r="AA38" s="35" t="e">
        <f t="shared" ca="1" si="0"/>
        <v>#NAME?</v>
      </c>
      <c r="AB38" s="15" t="e">
        <f t="shared" ca="1" si="1"/>
        <v>#NAME?</v>
      </c>
      <c r="AD38" s="19">
        <v>2720</v>
      </c>
      <c r="AE38" s="15" t="str">
        <f t="shared" ca="1" si="2"/>
        <v/>
      </c>
      <c r="AF38" s="47" t="e">
        <f t="shared" ca="1" si="3"/>
        <v>#NAME?</v>
      </c>
      <c r="AG38" s="19">
        <v>814.94</v>
      </c>
      <c r="AH38" s="15" t="str">
        <f t="shared" ca="1" si="5"/>
        <v/>
      </c>
      <c r="AI38" s="47" t="e">
        <f t="shared" ca="1" si="6"/>
        <v>#NAME?</v>
      </c>
      <c r="AJ38" s="371">
        <f t="shared" ca="1" si="7"/>
        <v>0</v>
      </c>
      <c r="AK38" s="372">
        <f t="shared" ca="1" si="8"/>
        <v>0</v>
      </c>
      <c r="AL38" s="373">
        <f t="shared" ca="1" si="9"/>
        <v>0</v>
      </c>
      <c r="AM38" s="374">
        <f t="shared" ca="1" si="10"/>
        <v>0</v>
      </c>
      <c r="AN38" s="375">
        <f t="shared" ca="1" si="11"/>
        <v>0</v>
      </c>
    </row>
    <row r="39" spans="1:40" x14ac:dyDescent="0.2">
      <c r="A39" s="6" t="s">
        <v>27</v>
      </c>
      <c r="B39" s="7"/>
      <c r="H39" s="10" t="s">
        <v>835</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19"/>
      <c r="P39" s="19"/>
      <c r="Q39" s="19"/>
      <c r="R39" s="19"/>
      <c r="S39" s="19"/>
      <c r="T39" s="19">
        <v>11.45</v>
      </c>
      <c r="U39" s="19">
        <v>53.13</v>
      </c>
      <c r="V39" s="19">
        <v>0.89</v>
      </c>
      <c r="W39" s="19"/>
      <c r="X39" s="19">
        <v>10.8</v>
      </c>
      <c r="Y39" s="19">
        <v>21.12</v>
      </c>
      <c r="Z39" s="19"/>
      <c r="AA39" s="35" t="e">
        <f t="shared" ca="1" si="0"/>
        <v>#NAME?</v>
      </c>
      <c r="AB39" s="15" t="e">
        <f t="shared" ca="1" si="1"/>
        <v>#NAME?</v>
      </c>
      <c r="AD39" s="19">
        <v>985</v>
      </c>
      <c r="AE39" s="15" t="str">
        <f t="shared" ca="1" si="2"/>
        <v/>
      </c>
      <c r="AF39" s="47" t="e">
        <f t="shared" ca="1" si="3"/>
        <v>#NAME?</v>
      </c>
      <c r="AG39" s="19">
        <v>322.81</v>
      </c>
      <c r="AH39" s="15" t="str">
        <f t="shared" ca="1" si="5"/>
        <v/>
      </c>
      <c r="AI39" s="47" t="e">
        <f t="shared" ca="1" si="6"/>
        <v>#NAME?</v>
      </c>
      <c r="AJ39" s="371">
        <f t="shared" ca="1" si="7"/>
        <v>0</v>
      </c>
      <c r="AK39" s="372">
        <f t="shared" ca="1" si="8"/>
        <v>0</v>
      </c>
      <c r="AL39" s="373">
        <f t="shared" ca="1" si="9"/>
        <v>0</v>
      </c>
      <c r="AM39" s="374">
        <f t="shared" ca="1" si="10"/>
        <v>0</v>
      </c>
      <c r="AN39" s="375">
        <f t="shared" ca="1" si="11"/>
        <v>0</v>
      </c>
    </row>
    <row r="40" spans="1:40" x14ac:dyDescent="0.2">
      <c r="A40" s="6" t="s">
        <v>28</v>
      </c>
      <c r="B40" s="7"/>
      <c r="H40" s="10" t="s">
        <v>874</v>
      </c>
      <c r="I40" s="25" t="e">
        <f ca="1">_xll.EVPRO($B$1,$H40,"STYLE")</f>
        <v>#NAME?</v>
      </c>
      <c r="J40" s="25" t="e">
        <f ca="1">_xll.EVPRO($B$1,$H40,"CALC")</f>
        <v>#NAME?</v>
      </c>
      <c r="K40" s="64" t="e">
        <f t="shared" ca="1" si="4"/>
        <v>#NAME?</v>
      </c>
      <c r="L40" s="24" t="e">
        <f ca="1">_xll.EVPRO($B$1,H40,"JDEID")</f>
        <v>#NAME?</v>
      </c>
      <c r="M40" s="24" t="e">
        <f ca="1">IF(AND(I40="N",J40="N"),_xll.EVPRO($B$1,H40,"PSFTID"),"")</f>
        <v>#NAME?</v>
      </c>
      <c r="N40" s="24" t="e">
        <f ca="1">IF(_xll.EVDES(H40,$B$1)="#NODATA","",_xll.EVDES(H40,$B$1))</f>
        <v>#NAME?</v>
      </c>
      <c r="O40" s="19"/>
      <c r="P40" s="19">
        <v>916.66</v>
      </c>
      <c r="Q40" s="19">
        <v>458.33</v>
      </c>
      <c r="R40" s="19">
        <v>458.33</v>
      </c>
      <c r="S40" s="19">
        <v>-1833.32</v>
      </c>
      <c r="T40" s="19"/>
      <c r="U40" s="19">
        <v>414.83</v>
      </c>
      <c r="V40" s="19"/>
      <c r="W40" s="19">
        <v>165.6</v>
      </c>
      <c r="X40" s="19"/>
      <c r="Y40" s="19"/>
      <c r="Z40" s="19"/>
      <c r="AA40" s="35" t="e">
        <f t="shared" ca="1" si="0"/>
        <v>#NAME?</v>
      </c>
      <c r="AB40" s="15" t="e">
        <f t="shared" ca="1" si="1"/>
        <v>#NAME?</v>
      </c>
      <c r="AD40" s="19">
        <v>4052.1120000000001</v>
      </c>
      <c r="AE40" s="15" t="str">
        <f t="shared" ca="1" si="2"/>
        <v/>
      </c>
      <c r="AF40" s="47" t="e">
        <f t="shared" ca="1" si="3"/>
        <v>#NAME?</v>
      </c>
      <c r="AG40" s="19">
        <v>133.33000000000001</v>
      </c>
      <c r="AH40" s="15" t="str">
        <f t="shared" ca="1" si="5"/>
        <v/>
      </c>
      <c r="AI40" s="47" t="e">
        <f t="shared" ca="1" si="6"/>
        <v>#NAME?</v>
      </c>
      <c r="AJ40" s="371">
        <f t="shared" ca="1" si="7"/>
        <v>0</v>
      </c>
      <c r="AK40" s="372">
        <f t="shared" ca="1" si="8"/>
        <v>0</v>
      </c>
      <c r="AL40" s="373">
        <f t="shared" ca="1" si="9"/>
        <v>0</v>
      </c>
      <c r="AM40" s="374">
        <f t="shared" ca="1" si="10"/>
        <v>0</v>
      </c>
      <c r="AN40" s="375">
        <f t="shared" ca="1" si="11"/>
        <v>0</v>
      </c>
    </row>
    <row r="41" spans="1:40" x14ac:dyDescent="0.2">
      <c r="A41" s="6" t="s">
        <v>29</v>
      </c>
      <c r="B41" s="7"/>
      <c r="H41" s="10" t="s">
        <v>836</v>
      </c>
      <c r="I41" s="25" t="e">
        <f ca="1">_xll.EVPRO($B$1,$H41,"STYLE")</f>
        <v>#NAME?</v>
      </c>
      <c r="J41" s="25" t="e">
        <f ca="1">_xll.EVPRO($B$1,$H41,"CALC")</f>
        <v>#NAME?</v>
      </c>
      <c r="K41" s="64" t="e">
        <f t="shared" ca="1" si="4"/>
        <v>#NAME?</v>
      </c>
      <c r="L41" s="24" t="e">
        <f ca="1">_xll.EVPRO($B$1,H41,"JDEID")</f>
        <v>#NAME?</v>
      </c>
      <c r="M41" s="24" t="e">
        <f ca="1">IF(AND(I41="N",J41="N"),_xll.EVPRO($B$1,H41,"PSFTID"),"")</f>
        <v>#NAME?</v>
      </c>
      <c r="N41" s="24" t="e">
        <f ca="1">IF(_xll.EVDES(H41,$B$1)="#NODATA","",_xll.EVDES(H41,$B$1))</f>
        <v>#NAME?</v>
      </c>
      <c r="O41" s="19"/>
      <c r="P41" s="19"/>
      <c r="Q41" s="19"/>
      <c r="R41" s="19">
        <v>60.7</v>
      </c>
      <c r="S41" s="19"/>
      <c r="T41" s="19">
        <v>64.14</v>
      </c>
      <c r="U41" s="19">
        <v>125.42</v>
      </c>
      <c r="V41" s="19"/>
      <c r="W41" s="19"/>
      <c r="X41" s="19"/>
      <c r="Y41" s="19"/>
      <c r="Z41" s="19"/>
      <c r="AA41" s="35" t="e">
        <f t="shared" ca="1" si="0"/>
        <v>#NAME?</v>
      </c>
      <c r="AB41" s="15" t="e">
        <f t="shared" ca="1" si="1"/>
        <v>#NAME?</v>
      </c>
      <c r="AD41" s="19"/>
      <c r="AE41" s="15" t="str">
        <f t="shared" si="2"/>
        <v/>
      </c>
      <c r="AF41" s="47" t="e">
        <f t="shared" ca="1" si="3"/>
        <v>#NAME?</v>
      </c>
      <c r="AG41" s="19"/>
      <c r="AH41" s="15" t="str">
        <f t="shared" si="5"/>
        <v/>
      </c>
      <c r="AI41" s="47" t="e">
        <f t="shared" ca="1" si="6"/>
        <v>#NAME?</v>
      </c>
      <c r="AJ41" s="371">
        <f t="shared" ca="1" si="7"/>
        <v>0</v>
      </c>
      <c r="AK41" s="372">
        <f t="shared" ca="1" si="8"/>
        <v>0</v>
      </c>
      <c r="AL41" s="373">
        <f t="shared" ca="1" si="9"/>
        <v>0</v>
      </c>
      <c r="AM41" s="374">
        <f t="shared" ca="1" si="10"/>
        <v>0</v>
      </c>
      <c r="AN41" s="375">
        <f t="shared" ca="1" si="11"/>
        <v>0</v>
      </c>
    </row>
    <row r="42" spans="1:40" x14ac:dyDescent="0.2">
      <c r="A42" s="6" t="s">
        <v>30</v>
      </c>
      <c r="B42" s="7" t="s">
        <v>78</v>
      </c>
      <c r="H42" s="10" t="s">
        <v>885</v>
      </c>
      <c r="I42" s="25" t="e">
        <f ca="1">_xll.EVPRO($B$1,$H42,"STYLE")</f>
        <v>#NAME?</v>
      </c>
      <c r="J42" s="25" t="e">
        <f ca="1">_xll.EVPRO($B$1,$H42,"CALC")</f>
        <v>#NAME?</v>
      </c>
      <c r="K42" s="64" t="e">
        <f t="shared" ca="1" si="4"/>
        <v>#NAME?</v>
      </c>
      <c r="L42" s="24" t="e">
        <f ca="1">_xll.EVPRO($B$1,H42,"JDEID")</f>
        <v>#NAME?</v>
      </c>
      <c r="M42" s="24" t="e">
        <f ca="1">IF(AND(I42="N",J42="N"),_xll.EVPRO($B$1,H42,"PSFTID"),"")</f>
        <v>#NAME?</v>
      </c>
      <c r="N42" s="24" t="e">
        <f ca="1">IF(_xll.EVDES(H42,$B$1)="#NODATA","",_xll.EVDES(H42,$B$1))</f>
        <v>#NAME?</v>
      </c>
      <c r="O42" s="19">
        <v>378.24</v>
      </c>
      <c r="P42" s="19">
        <v>2779.07</v>
      </c>
      <c r="Q42" s="19">
        <v>3358.81</v>
      </c>
      <c r="R42" s="19">
        <v>1723.62</v>
      </c>
      <c r="S42" s="19">
        <v>4534.04</v>
      </c>
      <c r="T42" s="19">
        <v>998.34</v>
      </c>
      <c r="U42" s="19">
        <v>1140.19</v>
      </c>
      <c r="V42" s="19">
        <v>3876.8</v>
      </c>
      <c r="W42" s="19">
        <v>2458.83</v>
      </c>
      <c r="X42" s="19">
        <v>546.04</v>
      </c>
      <c r="Y42" s="19">
        <v>4071.15</v>
      </c>
      <c r="Z42" s="19">
        <v>7703.95</v>
      </c>
      <c r="AA42" s="35" t="e">
        <f t="shared" ca="1" si="0"/>
        <v>#NAME?</v>
      </c>
      <c r="AB42" s="15" t="e">
        <f t="shared" ca="1" si="1"/>
        <v>#NAME?</v>
      </c>
      <c r="AD42" s="19">
        <v>38367</v>
      </c>
      <c r="AE42" s="15" t="str">
        <f t="shared" ca="1" si="2"/>
        <v/>
      </c>
      <c r="AF42" s="47" t="e">
        <f t="shared" ca="1" si="3"/>
        <v>#NAME?</v>
      </c>
      <c r="AG42" s="19">
        <v>45424.5</v>
      </c>
      <c r="AH42" s="15" t="str">
        <f t="shared" ca="1" si="5"/>
        <v/>
      </c>
      <c r="AI42" s="47" t="e">
        <f t="shared" ca="1" si="6"/>
        <v>#NAME?</v>
      </c>
      <c r="AJ42" s="371">
        <f t="shared" ca="1" si="7"/>
        <v>0</v>
      </c>
      <c r="AK42" s="372">
        <f t="shared" ca="1" si="8"/>
        <v>0</v>
      </c>
      <c r="AL42" s="373">
        <f t="shared" ca="1" si="9"/>
        <v>0</v>
      </c>
      <c r="AM42" s="374">
        <f t="shared" ca="1" si="10"/>
        <v>0</v>
      </c>
      <c r="AN42" s="375">
        <f t="shared" ca="1" si="11"/>
        <v>0</v>
      </c>
    </row>
    <row r="43" spans="1:40" x14ac:dyDescent="0.2">
      <c r="A43" s="6" t="s">
        <v>31</v>
      </c>
      <c r="B43" s="7" t="s">
        <v>78</v>
      </c>
      <c r="H43" s="10" t="s">
        <v>886</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19">
        <v>114.54</v>
      </c>
      <c r="P43" s="19"/>
      <c r="Q43" s="19">
        <v>374.51</v>
      </c>
      <c r="R43" s="19"/>
      <c r="S43" s="19">
        <v>5098.7</v>
      </c>
      <c r="T43" s="19">
        <v>695.44</v>
      </c>
      <c r="U43" s="19">
        <v>367.55</v>
      </c>
      <c r="V43" s="19">
        <v>288.45999999999998</v>
      </c>
      <c r="W43" s="19">
        <v>720.58</v>
      </c>
      <c r="X43" s="19">
        <v>455.9</v>
      </c>
      <c r="Y43" s="19">
        <v>626.85</v>
      </c>
      <c r="Z43" s="19">
        <v>325.10000000000002</v>
      </c>
      <c r="AA43" s="35" t="e">
        <f t="shared" ca="1" si="0"/>
        <v>#NAME?</v>
      </c>
      <c r="AB43" s="15" t="e">
        <f t="shared" ca="1" si="1"/>
        <v>#NAME?</v>
      </c>
      <c r="AD43" s="19">
        <v>5785.1</v>
      </c>
      <c r="AE43" s="15" t="str">
        <f t="shared" ca="1" si="2"/>
        <v/>
      </c>
      <c r="AF43" s="47" t="e">
        <f t="shared" ca="1" si="3"/>
        <v>#NAME?</v>
      </c>
      <c r="AG43" s="19">
        <v>5692.08</v>
      </c>
      <c r="AH43" s="15" t="str">
        <f t="shared" ca="1" si="5"/>
        <v/>
      </c>
      <c r="AI43" s="47" t="e">
        <f t="shared" ca="1" si="6"/>
        <v>#NAME?</v>
      </c>
      <c r="AJ43" s="371">
        <f t="shared" ca="1" si="7"/>
        <v>0</v>
      </c>
      <c r="AK43" s="372">
        <f t="shared" ca="1" si="8"/>
        <v>0</v>
      </c>
      <c r="AL43" s="373">
        <f t="shared" ca="1" si="9"/>
        <v>0</v>
      </c>
      <c r="AM43" s="374">
        <f t="shared" ca="1" si="10"/>
        <v>0</v>
      </c>
      <c r="AN43" s="375">
        <f t="shared" ca="1" si="11"/>
        <v>0</v>
      </c>
    </row>
    <row r="44" spans="1:40" x14ac:dyDescent="0.2">
      <c r="A44" s="6" t="s">
        <v>32</v>
      </c>
      <c r="B44" s="7"/>
      <c r="H44" s="10" t="s">
        <v>887</v>
      </c>
      <c r="I44" s="25" t="e">
        <f ca="1">_xll.EVPRO($B$1,$H44,"STYLE")</f>
        <v>#NAME?</v>
      </c>
      <c r="J44" s="25" t="e">
        <f ca="1">_xll.EVPRO($B$1,$H44,"CALC")</f>
        <v>#NAME?</v>
      </c>
      <c r="K44" s="64" t="e">
        <f t="shared" ca="1" si="4"/>
        <v>#NAME?</v>
      </c>
      <c r="L44" s="24" t="e">
        <f ca="1">_xll.EVPRO($B$1,H44,"JDEID")</f>
        <v>#NAME?</v>
      </c>
      <c r="M44" s="24" t="e">
        <f ca="1">IF(AND(I44="N",J44="N"),_xll.EVPRO($B$1,H44,"PSFTID"),"")</f>
        <v>#NAME?</v>
      </c>
      <c r="N44" s="24" t="e">
        <f ca="1">IF(_xll.EVDES(H44,$B$1)="#NODATA","",_xll.EVDES(H44,$B$1))</f>
        <v>#NAME?</v>
      </c>
      <c r="O44" s="19"/>
      <c r="P44" s="19"/>
      <c r="Q44" s="19"/>
      <c r="R44" s="19"/>
      <c r="S44" s="19"/>
      <c r="T44" s="19"/>
      <c r="U44" s="19"/>
      <c r="V44" s="19"/>
      <c r="W44" s="19"/>
      <c r="X44" s="19"/>
      <c r="Y44" s="19"/>
      <c r="Z44" s="19"/>
      <c r="AA44" s="35" t="e">
        <f t="shared" ca="1" si="0"/>
        <v>#NAME?</v>
      </c>
      <c r="AB44" s="15" t="e">
        <f t="shared" ca="1" si="1"/>
        <v>#NAME?</v>
      </c>
      <c r="AD44" s="19"/>
      <c r="AE44" s="15" t="str">
        <f t="shared" si="2"/>
        <v/>
      </c>
      <c r="AF44" s="47" t="e">
        <f t="shared" ca="1" si="3"/>
        <v>#NAME?</v>
      </c>
      <c r="AG44" s="19">
        <v>1607.43</v>
      </c>
      <c r="AH44" s="15" t="str">
        <f t="shared" ca="1" si="5"/>
        <v/>
      </c>
      <c r="AI44" s="47" t="e">
        <f t="shared" ca="1" si="6"/>
        <v>#NAME?</v>
      </c>
      <c r="AJ44" s="371">
        <f t="shared" ca="1" si="7"/>
        <v>0</v>
      </c>
      <c r="AK44" s="372">
        <f t="shared" ca="1" si="8"/>
        <v>0</v>
      </c>
      <c r="AL44" s="373">
        <f t="shared" ca="1" si="9"/>
        <v>0</v>
      </c>
      <c r="AM44" s="374">
        <f t="shared" ca="1" si="10"/>
        <v>0</v>
      </c>
      <c r="AN44" s="375">
        <f t="shared" ca="1" si="11"/>
        <v>0</v>
      </c>
    </row>
    <row r="45" spans="1:40" x14ac:dyDescent="0.2">
      <c r="A45" s="6" t="s">
        <v>33</v>
      </c>
      <c r="B45" s="7"/>
      <c r="H45" s="10" t="s">
        <v>79</v>
      </c>
      <c r="I45" s="25" t="e">
        <f ca="1">_xll.EVPRO($B$1,$H45,"STYLE")</f>
        <v>#NAME?</v>
      </c>
      <c r="J45" s="25" t="e">
        <f ca="1">_xll.EVPRO($B$1,$H45,"CALC")</f>
        <v>#NAME?</v>
      </c>
      <c r="K45" s="24"/>
      <c r="N45" s="23" t="e">
        <f ca="1">IF(_xll.EVDES(H45,$B$1)="#NODATA","",_xll.EVDES(H45,$B$1))</f>
        <v>#NAME?</v>
      </c>
      <c r="O45" s="30">
        <f t="shared" ref="O45:Z45" si="12">SUM(O34:O44)</f>
        <v>492.78000000000003</v>
      </c>
      <c r="P45" s="30">
        <f t="shared" si="12"/>
        <v>3779.0600000000004</v>
      </c>
      <c r="Q45" s="30">
        <f t="shared" si="12"/>
        <v>4191.6499999999996</v>
      </c>
      <c r="R45" s="30">
        <f t="shared" si="12"/>
        <v>2990.0699999999997</v>
      </c>
      <c r="S45" s="30">
        <f t="shared" si="12"/>
        <v>7799.42</v>
      </c>
      <c r="T45" s="30">
        <f t="shared" si="12"/>
        <v>2318.11</v>
      </c>
      <c r="U45" s="30">
        <f t="shared" si="12"/>
        <v>2121.54</v>
      </c>
      <c r="V45" s="30">
        <f t="shared" si="12"/>
        <v>6166.14</v>
      </c>
      <c r="W45" s="30">
        <f t="shared" si="12"/>
        <v>3409.95</v>
      </c>
      <c r="X45" s="30">
        <f t="shared" si="12"/>
        <v>1089.9899999999998</v>
      </c>
      <c r="Y45" s="30">
        <f t="shared" si="12"/>
        <v>4947.8100000000004</v>
      </c>
      <c r="Z45" s="30">
        <f t="shared" si="12"/>
        <v>8074.05</v>
      </c>
      <c r="AA45" s="30" t="e">
        <f t="shared" ca="1" si="0"/>
        <v>#NAME?</v>
      </c>
      <c r="AB45" s="31" t="e">
        <f t="shared" ca="1" si="1"/>
        <v>#NAME?</v>
      </c>
      <c r="AD45" s="30">
        <f>SUM(AD34:AD44)</f>
        <v>58079.212</v>
      </c>
      <c r="AE45" s="31" t="str">
        <f t="shared" ca="1" si="2"/>
        <v/>
      </c>
      <c r="AF45" s="49" t="e">
        <f t="shared" ca="1" si="3"/>
        <v>#NAME?</v>
      </c>
      <c r="AG45" s="30">
        <f>SUM(AG34:AG44)</f>
        <v>54120.41</v>
      </c>
      <c r="AH45" s="31" t="str">
        <f ca="1">IF(AG45=0,"",IFERROR(AG45/AG$19,""))</f>
        <v/>
      </c>
      <c r="AI45" s="49" t="e">
        <f ca="1">IF(AND($AA45="",AG45=""),"",$AA45-AG45)</f>
        <v>#NAME?</v>
      </c>
      <c r="AJ45" s="387">
        <f ca="1">IFERROR(AA45/AA$20,0)</f>
        <v>0</v>
      </c>
      <c r="AK45" s="388">
        <f ca="1">IFERROR(AD45/AD$20,0)</f>
        <v>0</v>
      </c>
      <c r="AL45" s="389">
        <f ca="1">IFERROR(AG45/AG$20,0)</f>
        <v>0</v>
      </c>
      <c r="AM45" s="390">
        <f ca="1">+IFERROR(ROUND(($AB45-AE45)*100,2)&amp;" pts.",0)</f>
        <v>0</v>
      </c>
      <c r="AN45" s="408">
        <f ca="1">+IFERROR(ROUND(($AB45-AH45)*100,2)&amp;" pts.",0)</f>
        <v>0</v>
      </c>
    </row>
    <row r="46" spans="1:40" x14ac:dyDescent="0.2">
      <c r="A46" s="6" t="s">
        <v>34</v>
      </c>
      <c r="B46" s="7"/>
    </row>
    <row r="47" spans="1:40" x14ac:dyDescent="0.2">
      <c r="A47" s="6" t="s">
        <v>35</v>
      </c>
      <c r="B47" s="7"/>
      <c r="H47" s="10" t="s">
        <v>498</v>
      </c>
      <c r="N47" s="24" t="e">
        <f ca="1">N45&amp;" - Check"</f>
        <v>#NAME?</v>
      </c>
      <c r="O47" s="124">
        <f>INDEX('6YAooQ2zG06RabxmXZbjzw=='!O50:O69,MATCH($H$47,'6YAooQ2zG06RabxmXZbjzw=='!$G50:$G68,0))-O45</f>
        <v>0</v>
      </c>
      <c r="P47" s="124">
        <f>INDEX('6YAooQ2zG06RabxmXZbjzw=='!P50:P69,MATCH($H$47,'6YAooQ2zG06RabxmXZbjzw=='!$G50:$G68,0))-P45</f>
        <v>0</v>
      </c>
      <c r="Q47" s="124">
        <f>INDEX('6YAooQ2zG06RabxmXZbjzw=='!Q50:Q69,MATCH($H$47,'6YAooQ2zG06RabxmXZbjzw=='!$G50:$G68,0))-Q45</f>
        <v>0</v>
      </c>
      <c r="R47" s="124">
        <f>INDEX('6YAooQ2zG06RabxmXZbjzw=='!R50:R69,MATCH($H$47,'6YAooQ2zG06RabxmXZbjzw=='!$G50:$G68,0))-R45</f>
        <v>0</v>
      </c>
      <c r="S47" s="124">
        <f>INDEX('6YAooQ2zG06RabxmXZbjzw=='!S50:S69,MATCH($H$47,'6YAooQ2zG06RabxmXZbjzw=='!$G50:$G68,0))-S45</f>
        <v>0</v>
      </c>
      <c r="T47" s="124">
        <f>INDEX('6YAooQ2zG06RabxmXZbjzw=='!T50:T69,MATCH($H$47,'6YAooQ2zG06RabxmXZbjzw=='!$G50:$G68,0))-T45</f>
        <v>0</v>
      </c>
      <c r="U47" s="124">
        <f>INDEX('6YAooQ2zG06RabxmXZbjzw=='!U50:U69,MATCH($H$47,'6YAooQ2zG06RabxmXZbjzw=='!$G50:$G68,0))-U45</f>
        <v>0</v>
      </c>
      <c r="V47" s="124">
        <f>INDEX('6YAooQ2zG06RabxmXZbjzw=='!V50:V69,MATCH($H$47,'6YAooQ2zG06RabxmXZbjzw=='!$G50:$G68,0))-V45</f>
        <v>0</v>
      </c>
      <c r="W47" s="124">
        <f>INDEX('6YAooQ2zG06RabxmXZbjzw=='!W50:W69,MATCH($H$47,'6YAooQ2zG06RabxmXZbjzw=='!$G50:$G68,0))-W45</f>
        <v>0</v>
      </c>
      <c r="X47" s="124">
        <f>INDEX('6YAooQ2zG06RabxmXZbjzw=='!X50:X69,MATCH($H$47,'6YAooQ2zG06RabxmXZbjzw=='!$G50:$G68,0))-X45</f>
        <v>0</v>
      </c>
      <c r="Y47" s="124">
        <f>INDEX('6YAooQ2zG06RabxmXZbjzw=='!Y50:Y69,MATCH($H$47,'6YAooQ2zG06RabxmXZbjzw=='!$G50:$G68,0))-Y45</f>
        <v>0</v>
      </c>
      <c r="Z47" s="124">
        <f>INDEX('6YAooQ2zG06RabxmXZbjzw=='!Z50:Z69,MATCH($H$47,'6YAooQ2zG06RabxmXZbjzw=='!$G50:$G68,0))-Z45</f>
        <v>0</v>
      </c>
      <c r="AA47" s="124">
        <f>IF($I47="B1","",SUM(O47:Z47))</f>
        <v>0</v>
      </c>
      <c r="AB47" s="321"/>
      <c r="AC47" s="147"/>
      <c r="AD47" s="124">
        <f>INDEX('6YAooQ2zG06RabxmXZbjzw=='!AD50:AD69,MATCH($H$47,'6YAooQ2zG06RabxmXZbjzw=='!$G50:$G68,0))-AD45</f>
        <v>0</v>
      </c>
      <c r="AE47" s="321"/>
      <c r="AF47" s="19"/>
      <c r="AG47" s="124">
        <f>INDEX('6YAooQ2zG06RabxmXZbjzw=='!AG50:AG69,MATCH($H$47,'6YAooQ2zG06RabxmXZbjzw=='!$G50:$G68,0))-AG45</f>
        <v>0</v>
      </c>
      <c r="AH47" s="321"/>
      <c r="AI47" s="19"/>
    </row>
    <row r="48" spans="1:40" x14ac:dyDescent="0.2">
      <c r="A48" s="6" t="s">
        <v>36</v>
      </c>
      <c r="B48" s="7"/>
      <c r="N48" s="11"/>
      <c r="O48" s="11"/>
      <c r="P48" s="11"/>
      <c r="Q48" s="11"/>
      <c r="R48" s="11"/>
      <c r="S48" s="11"/>
      <c r="T48" s="11"/>
      <c r="U48" s="11"/>
      <c r="V48" s="11"/>
      <c r="W48" s="11"/>
      <c r="X48" s="11"/>
      <c r="Y48" s="11"/>
      <c r="Z48" s="11"/>
      <c r="AA48" s="11"/>
      <c r="AB48" s="11"/>
      <c r="AD48" s="11"/>
      <c r="AE48" s="11"/>
      <c r="AF48" s="11"/>
      <c r="AG48" s="11"/>
      <c r="AH48" s="11"/>
      <c r="AI48" s="11"/>
    </row>
    <row r="49" spans="1:10" x14ac:dyDescent="0.2">
      <c r="A49" s="6" t="s">
        <v>37</v>
      </c>
      <c r="B49" s="7"/>
    </row>
    <row r="50" spans="1:10" x14ac:dyDescent="0.2">
      <c r="A50" s="6" t="s">
        <v>38</v>
      </c>
      <c r="B50" s="7"/>
    </row>
    <row r="51" spans="1:10" x14ac:dyDescent="0.2">
      <c r="A51" s="6" t="s">
        <v>39</v>
      </c>
      <c r="B51" s="7"/>
    </row>
    <row r="52" spans="1:10" x14ac:dyDescent="0.2">
      <c r="A52" s="6" t="s">
        <v>40</v>
      </c>
      <c r="B52" s="7"/>
    </row>
    <row r="53" spans="1:10" x14ac:dyDescent="0.2">
      <c r="A53" s="6" t="s">
        <v>41</v>
      </c>
      <c r="B53" s="7"/>
    </row>
    <row r="54" spans="1:10" x14ac:dyDescent="0.2">
      <c r="A54" s="6" t="s">
        <v>42</v>
      </c>
      <c r="B54" s="7"/>
    </row>
    <row r="55" spans="1:10" x14ac:dyDescent="0.2">
      <c r="A55" s="6" t="s">
        <v>43</v>
      </c>
      <c r="B55" s="7"/>
      <c r="H55" s="11"/>
      <c r="J55" s="1"/>
    </row>
    <row r="56" spans="1:10" x14ac:dyDescent="0.2">
      <c r="A56" s="6" t="s">
        <v>44</v>
      </c>
      <c r="B56" s="7"/>
      <c r="H56" s="11"/>
      <c r="J56" s="1"/>
    </row>
    <row r="57" spans="1:10" x14ac:dyDescent="0.2">
      <c r="A57" s="6" t="s">
        <v>45</v>
      </c>
      <c r="B57" s="7"/>
      <c r="H57" s="11"/>
      <c r="J57" s="1"/>
    </row>
    <row r="58" spans="1:10" x14ac:dyDescent="0.2">
      <c r="A58" s="6" t="s">
        <v>46</v>
      </c>
      <c r="B58" s="7"/>
      <c r="H58" s="11"/>
      <c r="J58" s="1"/>
    </row>
    <row r="59" spans="1:10" x14ac:dyDescent="0.2">
      <c r="H59" s="11"/>
      <c r="J59" s="1"/>
    </row>
    <row r="60" spans="1:10" x14ac:dyDescent="0.2">
      <c r="H60" s="11"/>
      <c r="J60" s="1"/>
    </row>
    <row r="61" spans="1:10" x14ac:dyDescent="0.2">
      <c r="H61" s="11"/>
      <c r="J61" s="1"/>
    </row>
    <row r="62" spans="1:10" x14ac:dyDescent="0.2">
      <c r="H62" s="11"/>
      <c r="J62" s="1"/>
    </row>
    <row r="63" spans="1:10" x14ac:dyDescent="0.2">
      <c r="H63" s="11"/>
      <c r="J63" s="1"/>
    </row>
    <row r="64" spans="1:10" x14ac:dyDescent="0.2">
      <c r="H64" s="11"/>
      <c r="J64" s="1"/>
    </row>
    <row r="65" spans="8:10" x14ac:dyDescent="0.2">
      <c r="H65" s="11"/>
      <c r="J65" s="1"/>
    </row>
    <row r="66" spans="8:10" x14ac:dyDescent="0.2">
      <c r="H66" s="11"/>
      <c r="J66" s="1"/>
    </row>
    <row r="67" spans="8:10" x14ac:dyDescent="0.2">
      <c r="H67" s="11"/>
      <c r="J67" s="1"/>
    </row>
    <row r="68" spans="8:10" x14ac:dyDescent="0.2">
      <c r="H68" s="11"/>
      <c r="J68" s="1"/>
    </row>
    <row r="69" spans="8:10" x14ac:dyDescent="0.2">
      <c r="H69" s="11"/>
      <c r="J69" s="1"/>
    </row>
    <row r="70" spans="8:10" x14ac:dyDescent="0.2">
      <c r="H70" s="11"/>
      <c r="J70" s="1"/>
    </row>
    <row r="71" spans="8:10" x14ac:dyDescent="0.2">
      <c r="H71" s="11"/>
      <c r="J71" s="1"/>
    </row>
    <row r="72" spans="8:10" x14ac:dyDescent="0.2">
      <c r="H72" s="11"/>
      <c r="J72" s="1"/>
    </row>
    <row r="73" spans="8:10" x14ac:dyDescent="0.2">
      <c r="H73" s="11"/>
      <c r="J73" s="1"/>
    </row>
    <row r="74" spans="8:10" x14ac:dyDescent="0.2">
      <c r="H74" s="11"/>
      <c r="J74" s="1"/>
    </row>
    <row r="75" spans="8:10" x14ac:dyDescent="0.2">
      <c r="H75" s="11"/>
      <c r="J75" s="1"/>
    </row>
    <row r="76" spans="8:10" x14ac:dyDescent="0.2">
      <c r="H76" s="11"/>
      <c r="J76" s="1"/>
    </row>
    <row r="77" spans="8:10" x14ac:dyDescent="0.2">
      <c r="H77" s="11"/>
      <c r="J77" s="1"/>
    </row>
  </sheetData>
  <mergeCells count="2">
    <mergeCell ref="AD31:AE31"/>
    <mergeCell ref="AG31:AH31"/>
  </mergeCells>
  <dataValidations disablePrompts="1" count="2">
    <dataValidation type="list" allowBlank="1" sqref="B29" xr:uid="{00000000-0002-0000-4E00-000000000000}">
      <formula1>"SELF,ALL,BAS,DEP,BASMEMBERS,MEMBERS,NOEXPAND,GDEP"</formula1>
    </dataValidation>
    <dataValidation type="list" allowBlank="1" sqref="B28" xr:uid="{00000000-0002-0000-4E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97C36-6058-4615-9FFA-D337B8243A23}">
  <sheetPr>
    <tabColor theme="9" tint="0.79998168889431442"/>
  </sheetPr>
  <dimension ref="N1:AE89"/>
  <sheetViews>
    <sheetView showGridLines="0" topLeftCell="M25" zoomScale="71" zoomScaleNormal="71" workbookViewId="0">
      <pane xSplit="2" ySplit="8" topLeftCell="O61" activePane="bottomRight" state="frozen"/>
      <selection activeCell="Z56" sqref="Z56"/>
      <selection pane="topRight" activeCell="Z56" sqref="Z56"/>
      <selection pane="bottomLeft" activeCell="Z56" sqref="Z56"/>
      <selection pane="bottomRight" activeCell="Z56" sqref="Z56"/>
    </sheetView>
  </sheetViews>
  <sheetFormatPr baseColWidth="10" defaultColWidth="8.83203125" defaultRowHeight="15" x14ac:dyDescent="0.2"/>
  <cols>
    <col min="1" max="12" width="0" hidden="1" customWidth="1"/>
    <col min="13" max="13" width="6.6640625" customWidth="1"/>
    <col min="14" max="14" width="32.83203125" bestFit="1" customWidth="1"/>
    <col min="15" max="17" width="11.83203125" bestFit="1" customWidth="1"/>
    <col min="18" max="20" width="12.33203125" bestFit="1" customWidth="1"/>
    <col min="21" max="21" width="11.1640625" bestFit="1" customWidth="1"/>
    <col min="22" max="22" width="11.83203125" bestFit="1" customWidth="1"/>
    <col min="23" max="24" width="12.33203125" bestFit="1" customWidth="1"/>
    <col min="25" max="26" width="11.83203125" bestFit="1" customWidth="1"/>
    <col min="27" max="27" width="12.5" bestFit="1" customWidth="1"/>
  </cols>
  <sheetData>
    <row r="1" hidden="1" x14ac:dyDescent="0.2"/>
    <row r="2" hidden="1" x14ac:dyDescent="0.2"/>
    <row r="3" hidden="1" x14ac:dyDescent="0.2"/>
    <row r="4" hidden="1" x14ac:dyDescent="0.2"/>
    <row r="5" hidden="1" x14ac:dyDescent="0.2"/>
    <row r="6" hidden="1" x14ac:dyDescent="0.2"/>
    <row r="7" hidden="1" x14ac:dyDescent="0.2"/>
    <row r="8" hidden="1" x14ac:dyDescent="0.2"/>
    <row r="9" hidden="1" x14ac:dyDescent="0.2"/>
    <row r="10" hidden="1" x14ac:dyDescent="0.2"/>
    <row r="11" hidden="1" x14ac:dyDescent="0.2"/>
    <row r="12" hidden="1" x14ac:dyDescent="0.2"/>
    <row r="13" hidden="1" x14ac:dyDescent="0.2"/>
    <row r="14" hidden="1" x14ac:dyDescent="0.2"/>
    <row r="15" hidden="1" x14ac:dyDescent="0.2"/>
    <row r="16" hidden="1" x14ac:dyDescent="0.2"/>
    <row r="17" spans="14:28" hidden="1" x14ac:dyDescent="0.2"/>
    <row r="18" spans="14:28" hidden="1" x14ac:dyDescent="0.2"/>
    <row r="19" spans="14:28" hidden="1" x14ac:dyDescent="0.2"/>
    <row r="20" spans="14:28" hidden="1" x14ac:dyDescent="0.2"/>
    <row r="21" spans="14:28" hidden="1" x14ac:dyDescent="0.2"/>
    <row r="22" spans="14:28" hidden="1" x14ac:dyDescent="0.2"/>
    <row r="23" spans="14:28" hidden="1" x14ac:dyDescent="0.2"/>
    <row r="24" spans="14:28" hidden="1" x14ac:dyDescent="0.2"/>
    <row r="26" spans="14:28" ht="23" x14ac:dyDescent="0.25">
      <c r="N26" s="61" t="s">
        <v>982</v>
      </c>
      <c r="O26" s="1"/>
      <c r="P26" s="1"/>
      <c r="Q26" s="1"/>
      <c r="R26" s="1"/>
      <c r="S26" s="1"/>
      <c r="T26" s="1"/>
      <c r="U26" s="1"/>
      <c r="V26" s="1"/>
      <c r="W26" s="1"/>
      <c r="X26" s="1"/>
      <c r="Y26" s="1"/>
      <c r="Z26" s="1"/>
      <c r="AA26" s="1"/>
      <c r="AB26" s="1"/>
    </row>
    <row r="27" spans="14:28" ht="18" x14ac:dyDescent="0.2">
      <c r="N27" s="66" t="s">
        <v>1412</v>
      </c>
      <c r="O27" s="1"/>
      <c r="P27" s="1"/>
      <c r="Q27" s="1"/>
      <c r="R27" s="1"/>
      <c r="S27" s="1"/>
      <c r="T27" s="1"/>
      <c r="U27" s="1"/>
      <c r="V27" s="1"/>
      <c r="W27" s="1"/>
      <c r="X27" s="1"/>
      <c r="Y27" s="1"/>
      <c r="Z27" s="1"/>
      <c r="AA27" s="526"/>
      <c r="AB27" s="1"/>
    </row>
    <row r="28" spans="14:28" ht="16" x14ac:dyDescent="0.2">
      <c r="N28" s="67" t="s">
        <v>1002</v>
      </c>
      <c r="O28" s="1"/>
      <c r="P28" s="1"/>
      <c r="Q28" s="1"/>
      <c r="R28" s="1"/>
      <c r="S28" s="1"/>
      <c r="T28" s="1"/>
      <c r="U28" s="1"/>
      <c r="V28" s="1"/>
      <c r="W28" s="1"/>
      <c r="X28" s="1"/>
      <c r="Y28" s="1"/>
      <c r="Z28" s="527" t="s">
        <v>1001</v>
      </c>
      <c r="AA28" s="510">
        <v>13481730.289999999</v>
      </c>
      <c r="AB28" s="1"/>
    </row>
    <row r="29" spans="14:28" ht="16" x14ac:dyDescent="0.2">
      <c r="N29" s="67" t="s">
        <v>986</v>
      </c>
      <c r="O29" s="1"/>
      <c r="P29" s="1"/>
      <c r="Q29" s="1"/>
      <c r="R29" s="1"/>
      <c r="S29" s="1"/>
      <c r="T29" s="1"/>
      <c r="U29" s="1"/>
      <c r="V29" s="1"/>
      <c r="W29" s="1"/>
      <c r="X29" s="1"/>
      <c r="Y29" s="1"/>
      <c r="Z29" s="1"/>
      <c r="AA29" s="1"/>
      <c r="AB29" s="1"/>
    </row>
    <row r="30" spans="14:28" x14ac:dyDescent="0.2">
      <c r="N30" s="1"/>
      <c r="O30" s="208"/>
      <c r="P30" s="209"/>
      <c r="Q30" s="209"/>
      <c r="R30" s="209"/>
      <c r="S30" s="209"/>
      <c r="T30" s="209"/>
      <c r="U30" s="209"/>
      <c r="V30" s="209"/>
      <c r="W30" s="209"/>
      <c r="X30" s="209"/>
      <c r="Y30" s="209"/>
      <c r="Z30" s="209"/>
      <c r="AA30" s="209"/>
      <c r="AB30" s="210"/>
    </row>
    <row r="31" spans="14:28" x14ac:dyDescent="0.2">
      <c r="N31" s="1"/>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
        <v>116</v>
      </c>
      <c r="AB31" s="207"/>
    </row>
    <row r="32" spans="14:28" ht="16" x14ac:dyDescent="0.2">
      <c r="N32" s="236"/>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row>
    <row r="33" spans="14:28" x14ac:dyDescent="0.2">
      <c r="N33" s="37" t="s">
        <v>1073</v>
      </c>
      <c r="O33" s="50"/>
      <c r="P33" s="1"/>
      <c r="Q33" s="1"/>
      <c r="R33" s="1"/>
      <c r="S33" s="1"/>
      <c r="T33" s="1"/>
      <c r="U33" s="1"/>
      <c r="V33" s="1"/>
      <c r="W33" s="1"/>
      <c r="X33" s="1"/>
      <c r="Y33" s="1"/>
      <c r="Z33" s="1"/>
      <c r="AA33" s="1"/>
      <c r="AB33" s="51"/>
    </row>
    <row r="34" spans="14:28" x14ac:dyDescent="0.2">
      <c r="N34" s="8" t="s">
        <v>1074</v>
      </c>
      <c r="O34" s="40"/>
      <c r="P34" s="43"/>
      <c r="Q34" s="43"/>
      <c r="R34" s="43"/>
      <c r="S34" s="43"/>
      <c r="T34" s="43"/>
      <c r="U34" s="43"/>
      <c r="V34" s="43"/>
      <c r="W34" s="43"/>
      <c r="X34" s="43"/>
      <c r="Y34" s="43"/>
      <c r="Z34" s="43"/>
      <c r="AA34" s="43"/>
      <c r="AB34" s="41"/>
    </row>
    <row r="35" spans="14:28" x14ac:dyDescent="0.2">
      <c r="N35" s="24" t="s">
        <v>1075</v>
      </c>
      <c r="O35" s="35">
        <v>28848.53</v>
      </c>
      <c r="P35" s="35">
        <v>22762.14</v>
      </c>
      <c r="Q35" s="35">
        <v>23873.5</v>
      </c>
      <c r="R35" s="35">
        <v>30963.43</v>
      </c>
      <c r="S35" s="35">
        <v>25086.33</v>
      </c>
      <c r="T35" s="35">
        <v>25814.400000000001</v>
      </c>
      <c r="U35" s="35">
        <v>25103.71</v>
      </c>
      <c r="V35" s="35">
        <v>27396.92</v>
      </c>
      <c r="W35" s="35">
        <v>18072.77</v>
      </c>
      <c r="X35" s="35">
        <v>34423.25</v>
      </c>
      <c r="Y35" s="35">
        <v>29865.79</v>
      </c>
      <c r="Z35" s="35">
        <v>26614.15</v>
      </c>
      <c r="AA35" s="283">
        <v>318824.92</v>
      </c>
      <c r="AB35" s="36">
        <v>2.3648664759039619E-2</v>
      </c>
    </row>
    <row r="36" spans="14:28" x14ac:dyDescent="0.2">
      <c r="N36" s="24"/>
      <c r="O36" s="35"/>
      <c r="P36" s="35"/>
      <c r="Q36" s="35"/>
      <c r="R36" s="35"/>
      <c r="S36" s="35"/>
      <c r="T36" s="35"/>
      <c r="U36" s="35"/>
      <c r="V36" s="35"/>
      <c r="W36" s="35"/>
      <c r="X36" s="35"/>
      <c r="Y36" s="35"/>
      <c r="Z36" s="35"/>
      <c r="AA36" s="283"/>
      <c r="AB36" s="36"/>
    </row>
    <row r="37" spans="14:28" x14ac:dyDescent="0.2">
      <c r="N37" s="8" t="s">
        <v>1076</v>
      </c>
      <c r="O37" s="35"/>
      <c r="P37" s="35"/>
      <c r="Q37" s="35"/>
      <c r="R37" s="35"/>
      <c r="S37" s="35"/>
      <c r="T37" s="35"/>
      <c r="U37" s="35"/>
      <c r="V37" s="35"/>
      <c r="W37" s="35"/>
      <c r="X37" s="35"/>
      <c r="Y37" s="35"/>
      <c r="Z37" s="35"/>
      <c r="AA37" s="35"/>
      <c r="AB37" s="36"/>
    </row>
    <row r="38" spans="14:28" x14ac:dyDescent="0.2">
      <c r="N38" s="24" t="s">
        <v>1413</v>
      </c>
      <c r="O38" s="44">
        <v>10697.45</v>
      </c>
      <c r="P38" s="44">
        <v>9428.34</v>
      </c>
      <c r="Q38" s="44">
        <v>7097.03</v>
      </c>
      <c r="R38" s="44">
        <v>7524.69</v>
      </c>
      <c r="S38" s="44">
        <v>11904.04</v>
      </c>
      <c r="T38" s="44">
        <v>8408.17</v>
      </c>
      <c r="U38" s="44">
        <v>10866.74</v>
      </c>
      <c r="V38" s="44">
        <v>10117.6</v>
      </c>
      <c r="W38" s="44">
        <v>4962.09</v>
      </c>
      <c r="X38" s="44">
        <v>5208.1000000000004</v>
      </c>
      <c r="Y38" s="44">
        <v>4087.97</v>
      </c>
      <c r="Z38" s="44">
        <v>5527.73</v>
      </c>
      <c r="AA38" s="44">
        <v>95829.950000000012</v>
      </c>
      <c r="AB38" s="45">
        <v>7.1081343372579823E-3</v>
      </c>
    </row>
    <row r="39" spans="14:28" x14ac:dyDescent="0.2">
      <c r="N39" s="24" t="s">
        <v>1414</v>
      </c>
      <c r="O39" s="44">
        <v>2194.7199999999998</v>
      </c>
      <c r="P39" s="44">
        <v>2405.64</v>
      </c>
      <c r="Q39" s="44">
        <v>2044.44</v>
      </c>
      <c r="R39" s="44">
        <v>1759.8</v>
      </c>
      <c r="S39" s="44">
        <v>2690.64</v>
      </c>
      <c r="T39" s="44">
        <v>2073.12</v>
      </c>
      <c r="U39" s="44">
        <v>2088.84</v>
      </c>
      <c r="V39" s="44">
        <v>1035.24</v>
      </c>
      <c r="W39" s="44">
        <v>0</v>
      </c>
      <c r="X39" s="44">
        <v>0</v>
      </c>
      <c r="Y39" s="44">
        <v>856.8</v>
      </c>
      <c r="Z39" s="44">
        <v>2112.6</v>
      </c>
      <c r="AA39" s="44">
        <v>19261.839999999997</v>
      </c>
      <c r="AB39" s="45">
        <v>1.4287364889866818E-3</v>
      </c>
    </row>
    <row r="40" spans="14:28" x14ac:dyDescent="0.2">
      <c r="N40" s="151" t="s">
        <v>1079</v>
      </c>
      <c r="O40" s="120">
        <v>41740.699999999997</v>
      </c>
      <c r="P40" s="120">
        <v>34596.120000000003</v>
      </c>
      <c r="Q40" s="120">
        <v>33014.97</v>
      </c>
      <c r="R40" s="120">
        <v>40247.920000000006</v>
      </c>
      <c r="S40" s="120">
        <v>39681.01</v>
      </c>
      <c r="T40" s="120">
        <v>36295.69</v>
      </c>
      <c r="U40" s="120">
        <v>38059.289999999994</v>
      </c>
      <c r="V40" s="120">
        <v>38549.759999999995</v>
      </c>
      <c r="W40" s="120">
        <v>23034.86</v>
      </c>
      <c r="X40" s="120">
        <v>39631.35</v>
      </c>
      <c r="Y40" s="120">
        <v>34810.560000000005</v>
      </c>
      <c r="Z40" s="120">
        <v>34254.480000000003</v>
      </c>
      <c r="AA40" s="120">
        <v>433916.70999999996</v>
      </c>
      <c r="AB40" s="121">
        <v>3.2185535585284281E-2</v>
      </c>
    </row>
    <row r="41" spans="14:28" x14ac:dyDescent="0.2">
      <c r="N41" s="24" t="s">
        <v>1082</v>
      </c>
      <c r="O41" s="44">
        <v>0</v>
      </c>
      <c r="P41" s="44">
        <v>2037.93</v>
      </c>
      <c r="Q41" s="44">
        <v>9649.19</v>
      </c>
      <c r="R41" s="44">
        <v>5156.07</v>
      </c>
      <c r="S41" s="44">
        <v>2993.25</v>
      </c>
      <c r="T41" s="44">
        <v>-2073.9299999999998</v>
      </c>
      <c r="U41" s="44">
        <v>-1075.32</v>
      </c>
      <c r="V41" s="44">
        <v>-2346.7399999999998</v>
      </c>
      <c r="W41" s="44">
        <v>-1520.02</v>
      </c>
      <c r="X41" s="44">
        <v>7565.33</v>
      </c>
      <c r="Y41" s="44">
        <v>5259</v>
      </c>
      <c r="Z41" s="44">
        <v>5131.3</v>
      </c>
      <c r="AA41" s="44">
        <v>30776.06</v>
      </c>
      <c r="AB41" s="45">
        <v>2.2827974850400307E-3</v>
      </c>
    </row>
    <row r="42" spans="14:28" x14ac:dyDescent="0.2">
      <c r="N42" s="151" t="s">
        <v>1083</v>
      </c>
      <c r="O42" s="120">
        <v>41740.699999999997</v>
      </c>
      <c r="P42" s="120">
        <v>36634.050000000003</v>
      </c>
      <c r="Q42" s="120">
        <v>42664.160000000003</v>
      </c>
      <c r="R42" s="120">
        <v>45403.990000000005</v>
      </c>
      <c r="S42" s="120">
        <v>42674.26</v>
      </c>
      <c r="T42" s="120">
        <v>34221.760000000002</v>
      </c>
      <c r="U42" s="120">
        <v>36983.969999999994</v>
      </c>
      <c r="V42" s="120">
        <v>36203.019999999997</v>
      </c>
      <c r="W42" s="120">
        <v>21514.84</v>
      </c>
      <c r="X42" s="120">
        <v>47196.68</v>
      </c>
      <c r="Y42" s="120">
        <v>40069.560000000005</v>
      </c>
      <c r="Z42" s="120">
        <v>39385.780000000006</v>
      </c>
      <c r="AA42" s="120">
        <v>464692.77000000008</v>
      </c>
      <c r="AB42" s="121">
        <v>3.446833307032432E-2</v>
      </c>
    </row>
    <row r="43" spans="14:28" x14ac:dyDescent="0.2">
      <c r="N43" s="24" t="s">
        <v>561</v>
      </c>
      <c r="O43" s="44">
        <v>3605.09</v>
      </c>
      <c r="P43" s="44">
        <v>3697.36</v>
      </c>
      <c r="Q43" s="44">
        <v>3634.05</v>
      </c>
      <c r="R43" s="44">
        <v>3474.63</v>
      </c>
      <c r="S43" s="44">
        <v>3259.29</v>
      </c>
      <c r="T43" s="44">
        <v>2565.71</v>
      </c>
      <c r="U43" s="44">
        <v>2227.23</v>
      </c>
      <c r="V43" s="44">
        <v>3104.49</v>
      </c>
      <c r="W43" s="44">
        <v>1912.63</v>
      </c>
      <c r="X43" s="44">
        <v>3276.77</v>
      </c>
      <c r="Y43" s="44">
        <v>3212.64</v>
      </c>
      <c r="Z43" s="44">
        <v>4156.1099999999997</v>
      </c>
      <c r="AA43" s="44">
        <v>38126</v>
      </c>
      <c r="AB43" s="45">
        <v>2.827975280612145E-3</v>
      </c>
    </row>
    <row r="44" spans="14:28" x14ac:dyDescent="0.2">
      <c r="N44" s="24" t="s">
        <v>560</v>
      </c>
      <c r="O44" s="44">
        <v>5214.6499999999996</v>
      </c>
      <c r="P44" s="44">
        <v>3674.64</v>
      </c>
      <c r="Q44" s="44">
        <v>2182.64</v>
      </c>
      <c r="R44" s="44">
        <v>5159.54</v>
      </c>
      <c r="S44" s="44">
        <v>5324.58</v>
      </c>
      <c r="T44" s="44">
        <v>3869.59</v>
      </c>
      <c r="U44" s="44">
        <v>5665.54</v>
      </c>
      <c r="V44" s="44">
        <v>4776.6400000000003</v>
      </c>
      <c r="W44" s="44">
        <v>6512.85</v>
      </c>
      <c r="X44" s="44">
        <v>3655.53</v>
      </c>
      <c r="Y44" s="44">
        <v>3438.41</v>
      </c>
      <c r="Z44" s="44">
        <v>-1384.12</v>
      </c>
      <c r="AA44" s="44">
        <v>48090.49</v>
      </c>
      <c r="AB44" s="45">
        <v>3.5670858981410466E-3</v>
      </c>
    </row>
    <row r="45" spans="14:28" x14ac:dyDescent="0.2">
      <c r="N45" s="24" t="s">
        <v>562</v>
      </c>
      <c r="O45" s="44">
        <v>6920.41</v>
      </c>
      <c r="P45" s="44">
        <v>7968.44</v>
      </c>
      <c r="Q45" s="44">
        <v>6192.39</v>
      </c>
      <c r="R45" s="44">
        <v>5342.15</v>
      </c>
      <c r="S45" s="44">
        <v>5381.61</v>
      </c>
      <c r="T45" s="44">
        <v>5172.75</v>
      </c>
      <c r="U45" s="44">
        <v>6022.37</v>
      </c>
      <c r="V45" s="44">
        <v>6192.64</v>
      </c>
      <c r="W45" s="44">
        <v>5771.72</v>
      </c>
      <c r="X45" s="44">
        <v>7261.23</v>
      </c>
      <c r="Y45" s="44">
        <v>7327.6</v>
      </c>
      <c r="Z45" s="44">
        <v>7776.87</v>
      </c>
      <c r="AA45" s="44">
        <v>77330.180000000008</v>
      </c>
      <c r="AB45" s="45">
        <v>5.7359239753786836E-3</v>
      </c>
    </row>
    <row r="46" spans="14:28" x14ac:dyDescent="0.2">
      <c r="N46" s="151" t="s">
        <v>1084</v>
      </c>
      <c r="O46" s="33">
        <v>15740.15</v>
      </c>
      <c r="P46" s="33">
        <v>15340.439999999999</v>
      </c>
      <c r="Q46" s="33">
        <v>12009.080000000002</v>
      </c>
      <c r="R46" s="33">
        <v>13976.32</v>
      </c>
      <c r="S46" s="33">
        <v>13965.48</v>
      </c>
      <c r="T46" s="33">
        <v>11608.05</v>
      </c>
      <c r="U46" s="33">
        <v>13915.14</v>
      </c>
      <c r="V46" s="33">
        <v>14073.77</v>
      </c>
      <c r="W46" s="33">
        <v>14197.2</v>
      </c>
      <c r="X46" s="33">
        <v>14193.529999999999</v>
      </c>
      <c r="Y46" s="33">
        <v>13978.65</v>
      </c>
      <c r="Z46" s="33">
        <v>10548.86</v>
      </c>
      <c r="AA46" s="33">
        <v>163546.66999999998</v>
      </c>
      <c r="AB46" s="34">
        <v>1.2130985154131873E-2</v>
      </c>
    </row>
    <row r="47" spans="14:28" x14ac:dyDescent="0.2">
      <c r="N47" s="151" t="s">
        <v>1085</v>
      </c>
      <c r="O47" s="33">
        <v>57480.85</v>
      </c>
      <c r="P47" s="33">
        <v>51974.490000000005</v>
      </c>
      <c r="Q47" s="33">
        <v>54673.240000000005</v>
      </c>
      <c r="R47" s="33">
        <v>59380.310000000005</v>
      </c>
      <c r="S47" s="33">
        <v>56639.740000000005</v>
      </c>
      <c r="T47" s="33">
        <v>45829.81</v>
      </c>
      <c r="U47" s="33">
        <v>50899.109999999993</v>
      </c>
      <c r="V47" s="33">
        <v>50276.789999999994</v>
      </c>
      <c r="W47" s="33">
        <v>35712.04</v>
      </c>
      <c r="X47" s="33">
        <v>61390.21</v>
      </c>
      <c r="Y47" s="33">
        <v>54048.210000000006</v>
      </c>
      <c r="Z47" s="33">
        <v>49934.640000000007</v>
      </c>
      <c r="AA47" s="33">
        <v>628239.43999999994</v>
      </c>
      <c r="AB47" s="34">
        <v>4.6599318224456183E-2</v>
      </c>
    </row>
    <row r="48" spans="14:28" x14ac:dyDescent="0.2">
      <c r="N48" s="23"/>
      <c r="O48" s="38"/>
      <c r="P48" s="42"/>
      <c r="Q48" s="42"/>
      <c r="R48" s="42"/>
      <c r="S48" s="42"/>
      <c r="T48" s="42"/>
      <c r="U48" s="42"/>
      <c r="V48" s="42"/>
      <c r="W48" s="42"/>
      <c r="X48" s="42"/>
      <c r="Y48" s="42"/>
      <c r="Z48" s="42"/>
      <c r="AA48" s="42"/>
      <c r="AB48" s="39"/>
    </row>
    <row r="49" spans="14:28" x14ac:dyDescent="0.2">
      <c r="N49" s="37" t="s">
        <v>1087</v>
      </c>
      <c r="O49" s="40"/>
      <c r="P49" s="43"/>
      <c r="Q49" s="43"/>
      <c r="R49" s="43"/>
      <c r="S49" s="43"/>
      <c r="T49" s="43"/>
      <c r="U49" s="43"/>
      <c r="V49" s="43"/>
      <c r="W49" s="43"/>
      <c r="X49" s="43"/>
      <c r="Y49" s="43"/>
      <c r="Z49" s="43"/>
      <c r="AA49" s="43"/>
      <c r="AB49" s="41"/>
    </row>
    <row r="50" spans="14:28" x14ac:dyDescent="0.2">
      <c r="N50" s="483" t="s">
        <v>1088</v>
      </c>
      <c r="O50" s="484">
        <v>1296.3699999999999</v>
      </c>
      <c r="P50" s="484">
        <v>26.75</v>
      </c>
      <c r="Q50" s="484">
        <v>1994.99</v>
      </c>
      <c r="R50" s="484">
        <v>2224.87</v>
      </c>
      <c r="S50" s="484">
        <v>919.69</v>
      </c>
      <c r="T50" s="484">
        <v>2661.68</v>
      </c>
      <c r="U50" s="484">
        <v>1001.28</v>
      </c>
      <c r="V50" s="484">
        <v>2192.6799999999998</v>
      </c>
      <c r="W50" s="484">
        <v>6326.5599999999995</v>
      </c>
      <c r="X50" s="484">
        <v>4314.37</v>
      </c>
      <c r="Y50" s="484">
        <v>2971.05</v>
      </c>
      <c r="Z50" s="484">
        <v>2514.42</v>
      </c>
      <c r="AA50" s="484">
        <v>28444.71</v>
      </c>
      <c r="AB50" s="485">
        <v>2.1098708688081906E-3</v>
      </c>
    </row>
    <row r="51" spans="14:28" x14ac:dyDescent="0.2">
      <c r="N51" s="483" t="s">
        <v>1223</v>
      </c>
      <c r="O51" s="484">
        <v>600.67999999999995</v>
      </c>
      <c r="P51" s="484">
        <v>33.74</v>
      </c>
      <c r="Q51" s="484">
        <v>-30.73</v>
      </c>
      <c r="R51" s="484">
        <v>-31.32</v>
      </c>
      <c r="S51" s="484">
        <v>0</v>
      </c>
      <c r="T51" s="484">
        <v>148.87</v>
      </c>
      <c r="U51" s="484">
        <v>143.82</v>
      </c>
      <c r="V51" s="484">
        <v>80</v>
      </c>
      <c r="W51" s="484">
        <v>159.69999999999999</v>
      </c>
      <c r="X51" s="484">
        <v>147.44999999999999</v>
      </c>
      <c r="Y51" s="484">
        <v>-4.91</v>
      </c>
      <c r="Z51" s="484">
        <v>-142.94</v>
      </c>
      <c r="AA51" s="484">
        <v>1104.3599999999999</v>
      </c>
      <c r="AB51" s="485">
        <v>8.1915301392667162E-5</v>
      </c>
    </row>
    <row r="52" spans="14:28" x14ac:dyDescent="0.2">
      <c r="N52" s="24" t="s">
        <v>1415</v>
      </c>
      <c r="O52" s="19">
        <v>0</v>
      </c>
      <c r="P52" s="19">
        <v>0</v>
      </c>
      <c r="Q52" s="19">
        <v>805</v>
      </c>
      <c r="R52" s="19">
        <v>2000</v>
      </c>
      <c r="S52" s="19">
        <v>0</v>
      </c>
      <c r="T52" s="19">
        <v>0</v>
      </c>
      <c r="U52" s="19">
        <v>0</v>
      </c>
      <c r="V52" s="19">
        <v>780</v>
      </c>
      <c r="W52" s="19">
        <v>0</v>
      </c>
      <c r="X52" s="19">
        <v>138.75</v>
      </c>
      <c r="Y52" s="19">
        <v>199</v>
      </c>
      <c r="Z52" s="19">
        <v>0</v>
      </c>
      <c r="AA52" s="19">
        <v>3922.75</v>
      </c>
      <c r="AB52" s="15">
        <v>2.9096784430628157E-4</v>
      </c>
    </row>
    <row r="53" spans="14:28" x14ac:dyDescent="0.2">
      <c r="N53" s="483" t="s">
        <v>1090</v>
      </c>
      <c r="O53" s="484">
        <v>969.8</v>
      </c>
      <c r="P53" s="484">
        <v>897.43</v>
      </c>
      <c r="Q53" s="484">
        <v>533.70000000000005</v>
      </c>
      <c r="R53" s="484">
        <v>1007.33</v>
      </c>
      <c r="S53" s="484">
        <v>527.91</v>
      </c>
      <c r="T53" s="484">
        <v>64.2</v>
      </c>
      <c r="U53" s="484">
        <v>916.76</v>
      </c>
      <c r="V53" s="484">
        <v>916</v>
      </c>
      <c r="W53" s="484">
        <v>-934.29</v>
      </c>
      <c r="X53" s="484">
        <v>662.00000000000011</v>
      </c>
      <c r="Y53" s="484">
        <v>200</v>
      </c>
      <c r="Z53" s="484">
        <v>1022.7900000000001</v>
      </c>
      <c r="AA53" s="484">
        <v>6783.63</v>
      </c>
      <c r="AB53" s="485">
        <v>5.0317205982319054E-4</v>
      </c>
    </row>
    <row r="54" spans="14:28" x14ac:dyDescent="0.2">
      <c r="N54" s="483" t="s">
        <v>1614</v>
      </c>
      <c r="O54" s="484">
        <v>0</v>
      </c>
      <c r="P54" s="484">
        <v>-0.05</v>
      </c>
      <c r="Q54" s="484">
        <v>6.42</v>
      </c>
      <c r="R54" s="484">
        <v>411.84999999999997</v>
      </c>
      <c r="S54" s="484">
        <v>128.47999999999999</v>
      </c>
      <c r="T54" s="484">
        <v>-187.37</v>
      </c>
      <c r="U54" s="484">
        <v>-81.78</v>
      </c>
      <c r="V54" s="484">
        <v>43.52</v>
      </c>
      <c r="W54" s="484">
        <v>-45.52</v>
      </c>
      <c r="X54" s="484">
        <v>0</v>
      </c>
      <c r="Y54" s="484">
        <v>0</v>
      </c>
      <c r="Z54" s="484">
        <v>0</v>
      </c>
      <c r="AA54" s="484">
        <v>275.54999999999995</v>
      </c>
      <c r="AB54" s="485">
        <v>2.043877114233532E-5</v>
      </c>
    </row>
    <row r="55" spans="14:28" x14ac:dyDescent="0.2">
      <c r="N55" s="24" t="s">
        <v>1095</v>
      </c>
      <c r="O55" s="19">
        <v>426.56</v>
      </c>
      <c r="P55" s="19">
        <v>426.56</v>
      </c>
      <c r="Q55" s="19">
        <v>426.56</v>
      </c>
      <c r="R55" s="19">
        <v>426.56</v>
      </c>
      <c r="S55" s="19">
        <v>426.56</v>
      </c>
      <c r="T55" s="19">
        <v>396.56</v>
      </c>
      <c r="U55" s="19">
        <v>431.4</v>
      </c>
      <c r="V55" s="19">
        <v>761.39</v>
      </c>
      <c r="W55" s="19">
        <v>431.39</v>
      </c>
      <c r="X55" s="19">
        <v>101.39</v>
      </c>
      <c r="Y55" s="19">
        <v>431.39</v>
      </c>
      <c r="Z55" s="19">
        <v>761.39</v>
      </c>
      <c r="AA55" s="19">
        <v>5447.7100000000009</v>
      </c>
      <c r="AB55" s="15">
        <v>4.0408092157434794E-4</v>
      </c>
    </row>
    <row r="56" spans="14:28" x14ac:dyDescent="0.2">
      <c r="N56" s="24" t="s">
        <v>1096</v>
      </c>
      <c r="O56" s="19">
        <v>0</v>
      </c>
      <c r="P56" s="19">
        <v>57.99</v>
      </c>
      <c r="Q56" s="19">
        <v>78.91</v>
      </c>
      <c r="R56" s="19">
        <v>22.93</v>
      </c>
      <c r="S56" s="19">
        <v>0</v>
      </c>
      <c r="T56" s="19">
        <v>53.63</v>
      </c>
      <c r="U56" s="19">
        <v>0</v>
      </c>
      <c r="V56" s="19">
        <v>77.13</v>
      </c>
      <c r="W56" s="19">
        <v>247.09</v>
      </c>
      <c r="X56" s="19">
        <v>0</v>
      </c>
      <c r="Y56" s="19">
        <v>-6.69</v>
      </c>
      <c r="Z56" s="19">
        <v>2115.94</v>
      </c>
      <c r="AA56" s="19">
        <v>2646.9300000000003</v>
      </c>
      <c r="AB56" s="15">
        <v>1.9633459081757083E-4</v>
      </c>
    </row>
    <row r="57" spans="14:28" x14ac:dyDescent="0.2">
      <c r="N57" s="24" t="s">
        <v>1097</v>
      </c>
      <c r="O57" s="19">
        <v>218.95</v>
      </c>
      <c r="P57" s="19">
        <v>0</v>
      </c>
      <c r="Q57" s="19">
        <v>0</v>
      </c>
      <c r="R57" s="19">
        <v>-160</v>
      </c>
      <c r="S57" s="19">
        <v>0</v>
      </c>
      <c r="T57" s="19">
        <v>435.58</v>
      </c>
      <c r="U57" s="19">
        <v>0</v>
      </c>
      <c r="V57" s="19">
        <v>246.76</v>
      </c>
      <c r="W57" s="19">
        <v>47.69</v>
      </c>
      <c r="X57" s="19">
        <v>102.99</v>
      </c>
      <c r="Y57" s="19">
        <v>641.57000000000005</v>
      </c>
      <c r="Z57" s="19">
        <v>1283.78</v>
      </c>
      <c r="AA57" s="19">
        <v>2817.3199999999997</v>
      </c>
      <c r="AB57" s="15">
        <v>2.0897317624650388E-4</v>
      </c>
    </row>
    <row r="58" spans="14:28" x14ac:dyDescent="0.2">
      <c r="N58" s="483" t="s">
        <v>1416</v>
      </c>
      <c r="O58" s="484">
        <v>35034.97</v>
      </c>
      <c r="P58" s="484">
        <v>43046.53</v>
      </c>
      <c r="Q58" s="484">
        <v>42321.57</v>
      </c>
      <c r="R58" s="484">
        <v>39593.800000000003</v>
      </c>
      <c r="S58" s="484">
        <v>35060.03</v>
      </c>
      <c r="T58" s="484">
        <v>24371.8</v>
      </c>
      <c r="U58" s="484">
        <v>25500.23</v>
      </c>
      <c r="V58" s="484">
        <v>21126.26</v>
      </c>
      <c r="W58" s="484">
        <v>22557.54</v>
      </c>
      <c r="X58" s="484">
        <v>24975.469999999998</v>
      </c>
      <c r="Y58" s="484">
        <v>13397.52</v>
      </c>
      <c r="Z58" s="484">
        <v>46313.58</v>
      </c>
      <c r="AA58" s="484">
        <v>373299.3</v>
      </c>
      <c r="AB58" s="485">
        <v>2.7689272220264839E-2</v>
      </c>
    </row>
    <row r="59" spans="14:28" x14ac:dyDescent="0.2">
      <c r="N59" s="24" t="s">
        <v>1417</v>
      </c>
      <c r="O59" s="19">
        <v>755.07</v>
      </c>
      <c r="P59" s="19">
        <v>1937.58</v>
      </c>
      <c r="Q59" s="19">
        <v>0</v>
      </c>
      <c r="R59" s="19">
        <v>669.98</v>
      </c>
      <c r="S59" s="19">
        <v>1539.37</v>
      </c>
      <c r="T59" s="19">
        <v>-790.05</v>
      </c>
      <c r="U59" s="19">
        <v>1123.79</v>
      </c>
      <c r="V59" s="19">
        <v>2046.8</v>
      </c>
      <c r="W59" s="19">
        <v>1357.56</v>
      </c>
      <c r="X59" s="19">
        <v>-61.69</v>
      </c>
      <c r="Y59" s="19">
        <v>13721.15</v>
      </c>
      <c r="Z59" s="19">
        <v>6263.71</v>
      </c>
      <c r="AA59" s="19">
        <v>28563.269999999997</v>
      </c>
      <c r="AB59" s="15">
        <v>2.1186649922218552E-3</v>
      </c>
    </row>
    <row r="60" spans="14:28" x14ac:dyDescent="0.2">
      <c r="N60" s="483" t="s">
        <v>1418</v>
      </c>
      <c r="O60" s="484">
        <v>1708.07</v>
      </c>
      <c r="P60" s="484">
        <v>1845.53</v>
      </c>
      <c r="Q60" s="484">
        <v>1475.43</v>
      </c>
      <c r="R60" s="484">
        <v>1346.57</v>
      </c>
      <c r="S60" s="484">
        <v>1680.18</v>
      </c>
      <c r="T60" s="484">
        <v>2066.5100000000002</v>
      </c>
      <c r="U60" s="484">
        <v>1426.4</v>
      </c>
      <c r="V60" s="484">
        <v>1755.84</v>
      </c>
      <c r="W60" s="484">
        <v>1872.05</v>
      </c>
      <c r="X60" s="484">
        <v>1785.79</v>
      </c>
      <c r="Y60" s="484">
        <v>-31.740000000000009</v>
      </c>
      <c r="Z60" s="484">
        <v>1806.3500000000001</v>
      </c>
      <c r="AA60" s="484">
        <v>18736.979999999996</v>
      </c>
      <c r="AB60" s="485">
        <v>1.3898052844075993E-3</v>
      </c>
    </row>
    <row r="61" spans="14:28" x14ac:dyDescent="0.2">
      <c r="N61" s="24" t="s">
        <v>1419</v>
      </c>
      <c r="O61" s="19">
        <v>158.22</v>
      </c>
      <c r="P61" s="19">
        <v>189.81</v>
      </c>
      <c r="Q61" s="19">
        <v>158.22</v>
      </c>
      <c r="R61" s="19">
        <v>292.86</v>
      </c>
      <c r="S61" s="19">
        <v>216.12</v>
      </c>
      <c r="T61" s="19">
        <v>259.07</v>
      </c>
      <c r="U61" s="19">
        <v>223.12</v>
      </c>
      <c r="V61" s="19">
        <v>216.12</v>
      </c>
      <c r="W61" s="19">
        <v>167.71</v>
      </c>
      <c r="X61" s="19">
        <v>167.71</v>
      </c>
      <c r="Y61" s="19">
        <v>245.07</v>
      </c>
      <c r="Z61" s="19">
        <v>99.88</v>
      </c>
      <c r="AA61" s="19">
        <v>2393.9100000000003</v>
      </c>
      <c r="AB61" s="15">
        <v>1.7756697015187066E-4</v>
      </c>
    </row>
    <row r="62" spans="14:28" x14ac:dyDescent="0.2">
      <c r="N62" s="24" t="s">
        <v>1420</v>
      </c>
      <c r="O62" s="19">
        <v>0</v>
      </c>
      <c r="P62" s="19">
        <v>0</v>
      </c>
      <c r="Q62" s="19">
        <v>0</v>
      </c>
      <c r="R62" s="19">
        <v>0</v>
      </c>
      <c r="S62" s="19">
        <v>0</v>
      </c>
      <c r="T62" s="19">
        <v>0</v>
      </c>
      <c r="U62" s="19">
        <v>0</v>
      </c>
      <c r="V62" s="19">
        <v>3250</v>
      </c>
      <c r="W62" s="19">
        <v>10.3</v>
      </c>
      <c r="X62" s="19">
        <v>975</v>
      </c>
      <c r="Y62" s="19">
        <v>0</v>
      </c>
      <c r="Z62" s="19">
        <v>-975</v>
      </c>
      <c r="AA62" s="19">
        <v>3260.3</v>
      </c>
      <c r="AB62" s="15">
        <v>2.4183097643025171E-4</v>
      </c>
    </row>
    <row r="63" spans="14:28" x14ac:dyDescent="0.2">
      <c r="N63" s="483" t="s">
        <v>1234</v>
      </c>
      <c r="O63" s="484">
        <v>250</v>
      </c>
      <c r="P63" s="484">
        <v>1426.01</v>
      </c>
      <c r="Q63" s="484">
        <v>1220.99</v>
      </c>
      <c r="R63" s="484">
        <v>734.97</v>
      </c>
      <c r="S63" s="484">
        <v>450.63</v>
      </c>
      <c r="T63" s="484">
        <v>198.63</v>
      </c>
      <c r="U63" s="484">
        <v>1803.63</v>
      </c>
      <c r="V63" s="484">
        <v>487.63</v>
      </c>
      <c r="W63" s="484">
        <v>6143.33</v>
      </c>
      <c r="X63" s="484">
        <v>849.63</v>
      </c>
      <c r="Y63" s="484">
        <v>198.63</v>
      </c>
      <c r="Z63" s="484">
        <v>198.63</v>
      </c>
      <c r="AA63" s="484">
        <v>13962.709999999997</v>
      </c>
      <c r="AB63" s="485">
        <v>1.0356764079724071E-3</v>
      </c>
    </row>
    <row r="64" spans="14:28" x14ac:dyDescent="0.2">
      <c r="N64" s="24" t="s">
        <v>1421</v>
      </c>
      <c r="O64" s="19">
        <v>0</v>
      </c>
      <c r="P64" s="19">
        <v>0</v>
      </c>
      <c r="Q64" s="19">
        <v>0</v>
      </c>
      <c r="R64" s="19">
        <v>0</v>
      </c>
      <c r="S64" s="19">
        <v>0</v>
      </c>
      <c r="T64" s="19">
        <v>0</v>
      </c>
      <c r="U64" s="19">
        <v>600</v>
      </c>
      <c r="V64" s="19">
        <v>0</v>
      </c>
      <c r="W64" s="509">
        <v>19500</v>
      </c>
      <c r="X64" s="19">
        <v>0</v>
      </c>
      <c r="Y64" s="19">
        <v>0</v>
      </c>
      <c r="Z64" s="19">
        <v>0</v>
      </c>
      <c r="AA64" s="19">
        <v>20100</v>
      </c>
      <c r="AB64" s="15">
        <v>1.4909065503935402E-3</v>
      </c>
    </row>
    <row r="65" spans="14:31" x14ac:dyDescent="0.2">
      <c r="N65" s="24" t="s">
        <v>1422</v>
      </c>
      <c r="O65" s="19">
        <v>403.94</v>
      </c>
      <c r="P65" s="19">
        <v>410.71</v>
      </c>
      <c r="Q65" s="19">
        <v>412.9</v>
      </c>
      <c r="R65" s="19">
        <v>412.9</v>
      </c>
      <c r="S65" s="19">
        <v>412.9</v>
      </c>
      <c r="T65" s="19">
        <v>410.71</v>
      </c>
      <c r="U65" s="19">
        <v>409.71</v>
      </c>
      <c r="V65" s="19">
        <v>410.71</v>
      </c>
      <c r="W65" s="19">
        <v>611.73</v>
      </c>
      <c r="X65" s="19">
        <v>448.67</v>
      </c>
      <c r="Y65" s="19">
        <v>437.73</v>
      </c>
      <c r="Z65" s="19">
        <v>454.82</v>
      </c>
      <c r="AA65" s="19">
        <v>5237.43</v>
      </c>
      <c r="AB65" s="15">
        <v>3.884835171257532E-4</v>
      </c>
    </row>
    <row r="66" spans="14:31" x14ac:dyDescent="0.2">
      <c r="N66" s="24" t="s">
        <v>1109</v>
      </c>
      <c r="O66" s="19">
        <v>7619.92</v>
      </c>
      <c r="P66" s="19">
        <v>8625.2800000000007</v>
      </c>
      <c r="Q66" s="19">
        <v>8599.5300000000007</v>
      </c>
      <c r="R66" s="19">
        <v>6695.29</v>
      </c>
      <c r="S66" s="19">
        <v>6086.1</v>
      </c>
      <c r="T66" s="19">
        <v>4165.3900000000003</v>
      </c>
      <c r="U66" s="19">
        <v>4216.96</v>
      </c>
      <c r="V66" s="19">
        <v>3819.42</v>
      </c>
      <c r="W66" s="19">
        <v>3201.56</v>
      </c>
      <c r="X66" s="19">
        <v>4664.67</v>
      </c>
      <c r="Y66" s="19">
        <v>6162.52</v>
      </c>
      <c r="Z66" s="19">
        <v>7614.03</v>
      </c>
      <c r="AA66" s="19">
        <v>71470.67</v>
      </c>
      <c r="AB66" s="15">
        <v>5.3012980131350784E-3</v>
      </c>
    </row>
    <row r="67" spans="14:31" x14ac:dyDescent="0.2">
      <c r="N67" s="24" t="s">
        <v>1423</v>
      </c>
      <c r="O67" s="19">
        <v>492.78</v>
      </c>
      <c r="P67" s="19">
        <v>3779.06</v>
      </c>
      <c r="Q67" s="19">
        <v>4191.6499999999996</v>
      </c>
      <c r="R67" s="19">
        <v>2990.07</v>
      </c>
      <c r="S67" s="19">
        <v>7799.42</v>
      </c>
      <c r="T67" s="19">
        <v>2318.11</v>
      </c>
      <c r="U67" s="19">
        <v>2121.54</v>
      </c>
      <c r="V67" s="19">
        <v>6166.14</v>
      </c>
      <c r="W67" s="19">
        <v>3409.95</v>
      </c>
      <c r="X67" s="19">
        <v>1089.99</v>
      </c>
      <c r="Y67" s="19">
        <v>4947.8100000000004</v>
      </c>
      <c r="Z67" s="19">
        <v>8074.05</v>
      </c>
      <c r="AA67" s="19">
        <v>47380.57</v>
      </c>
      <c r="AB67" s="15">
        <v>3.5144279688746095E-3</v>
      </c>
    </row>
    <row r="68" spans="14:31" x14ac:dyDescent="0.2">
      <c r="N68" s="23" t="s">
        <v>1111</v>
      </c>
      <c r="O68" s="30">
        <v>49935.33</v>
      </c>
      <c r="P68" s="30">
        <v>62702.929999999993</v>
      </c>
      <c r="Q68" s="30">
        <v>62195.14</v>
      </c>
      <c r="R68" s="30">
        <v>58638.660000000011</v>
      </c>
      <c r="S68" s="30">
        <v>55247.39</v>
      </c>
      <c r="T68" s="30">
        <v>36573.32</v>
      </c>
      <c r="U68" s="30">
        <v>39836.86</v>
      </c>
      <c r="V68" s="30">
        <v>44376.399999999994</v>
      </c>
      <c r="W68" s="30">
        <v>65064.35</v>
      </c>
      <c r="X68" s="30">
        <v>40362.189999999988</v>
      </c>
      <c r="Y68" s="30">
        <v>43510.1</v>
      </c>
      <c r="Z68" s="30">
        <v>77405.429999999993</v>
      </c>
      <c r="AA68" s="30">
        <v>635848.10000000009</v>
      </c>
      <c r="AB68" s="31">
        <v>4.7163686435088899E-2</v>
      </c>
    </row>
    <row r="69" spans="14:31" x14ac:dyDescent="0.2">
      <c r="N69" s="1"/>
      <c r="O69" s="1"/>
      <c r="P69" s="1"/>
      <c r="Q69" s="1"/>
      <c r="R69" s="1"/>
      <c r="S69" s="1"/>
      <c r="T69" s="1"/>
      <c r="U69" s="1"/>
      <c r="V69" s="1"/>
      <c r="W69" s="1"/>
      <c r="X69" s="1"/>
      <c r="Y69" s="1"/>
      <c r="Z69" s="1"/>
      <c r="AA69" s="1"/>
      <c r="AB69" s="1"/>
    </row>
    <row r="70" spans="14:31" x14ac:dyDescent="0.2">
      <c r="N70" s="23" t="s">
        <v>1112</v>
      </c>
      <c r="O70" s="33">
        <v>107416.18</v>
      </c>
      <c r="P70" s="33">
        <v>114677.42</v>
      </c>
      <c r="Q70" s="33">
        <v>116868.38</v>
      </c>
      <c r="R70" s="33">
        <v>118018.97000000002</v>
      </c>
      <c r="S70" s="33">
        <v>111887.13</v>
      </c>
      <c r="T70" s="33">
        <v>82403.13</v>
      </c>
      <c r="U70" s="33">
        <v>90735.97</v>
      </c>
      <c r="V70" s="33">
        <v>94653.189999999988</v>
      </c>
      <c r="W70" s="33">
        <v>100776.39</v>
      </c>
      <c r="X70" s="33">
        <v>101752.4</v>
      </c>
      <c r="Y70" s="33">
        <v>97558.31</v>
      </c>
      <c r="Z70" s="33">
        <v>127340.07</v>
      </c>
      <c r="AA70" s="33">
        <v>1264087.54</v>
      </c>
      <c r="AB70" s="34">
        <v>9.3763004659545082E-2</v>
      </c>
    </row>
    <row r="71" spans="14:31" ht="16" thickBot="1" x14ac:dyDescent="0.25">
      <c r="N71" s="23" t="s">
        <v>1113</v>
      </c>
      <c r="O71" s="58">
        <v>-107416.18</v>
      </c>
      <c r="P71" s="58">
        <v>-114677.42</v>
      </c>
      <c r="Q71" s="58">
        <v>-116868.38</v>
      </c>
      <c r="R71" s="58">
        <v>-118018.97000000002</v>
      </c>
      <c r="S71" s="58">
        <v>-111887.13</v>
      </c>
      <c r="T71" s="58">
        <v>-82403.13</v>
      </c>
      <c r="U71" s="58">
        <v>-90735.97</v>
      </c>
      <c r="V71" s="58">
        <v>-94653.189999999988</v>
      </c>
      <c r="W71" s="58">
        <v>-100776.39</v>
      </c>
      <c r="X71" s="58">
        <v>-101752.4</v>
      </c>
      <c r="Y71" s="58">
        <v>-97558.31</v>
      </c>
      <c r="Z71" s="58">
        <v>-127340.07</v>
      </c>
      <c r="AA71" s="58">
        <v>-1264087.54</v>
      </c>
      <c r="AB71" s="59">
        <v>-9.3763004659545082E-2</v>
      </c>
    </row>
    <row r="72" spans="14:31" ht="16" thickTop="1" x14ac:dyDescent="0.2"/>
    <row r="75" spans="14:31" x14ac:dyDescent="0.2">
      <c r="N75" s="37" t="s">
        <v>1575</v>
      </c>
    </row>
    <row r="76" spans="14:31" x14ac:dyDescent="0.2">
      <c r="N76" s="528" t="s">
        <v>1615</v>
      </c>
      <c r="O76" s="19">
        <v>0</v>
      </c>
      <c r="P76" s="19">
        <v>-0.05</v>
      </c>
      <c r="Q76" s="19">
        <v>6.42</v>
      </c>
      <c r="R76" s="19">
        <v>411.84999999999997</v>
      </c>
      <c r="S76" s="19">
        <v>128.47999999999999</v>
      </c>
      <c r="T76" s="19">
        <v>-187.37</v>
      </c>
      <c r="U76" s="19">
        <v>-81.78</v>
      </c>
      <c r="V76" s="19">
        <v>43.52</v>
      </c>
      <c r="W76" s="19">
        <v>-45.52</v>
      </c>
      <c r="X76" s="19">
        <v>0</v>
      </c>
      <c r="Y76" s="19">
        <v>0</v>
      </c>
      <c r="Z76" s="19">
        <v>0</v>
      </c>
      <c r="AA76" s="19">
        <v>275.54999999999995</v>
      </c>
    </row>
    <row r="77" spans="14:31" x14ac:dyDescent="0.2">
      <c r="N77" s="528" t="s">
        <v>1616</v>
      </c>
      <c r="O77" s="19">
        <v>155</v>
      </c>
      <c r="P77" s="19">
        <v>242.24</v>
      </c>
      <c r="Q77" s="19">
        <v>-0.75999999999999091</v>
      </c>
      <c r="R77" s="19">
        <v>66.740000000000009</v>
      </c>
      <c r="S77" s="19">
        <v>252.24</v>
      </c>
      <c r="T77" s="19">
        <v>695.24</v>
      </c>
      <c r="U77" s="19">
        <v>252.24</v>
      </c>
      <c r="V77" s="19">
        <v>247.76</v>
      </c>
      <c r="W77" s="19">
        <v>247.24</v>
      </c>
      <c r="X77" s="19">
        <v>257.24</v>
      </c>
      <c r="Y77" s="19">
        <v>247.24</v>
      </c>
      <c r="Z77" s="19">
        <v>289.97000000000003</v>
      </c>
      <c r="AA77" s="19">
        <v>2952.3900000000003</v>
      </c>
      <c r="AE77" s="529"/>
    </row>
    <row r="78" spans="14:31" x14ac:dyDescent="0.2">
      <c r="N78" s="528" t="s">
        <v>1617</v>
      </c>
      <c r="O78" s="19">
        <v>4102.47</v>
      </c>
      <c r="P78" s="19">
        <v>8284.7900000000009</v>
      </c>
      <c r="Q78" s="19">
        <v>7002.3</v>
      </c>
      <c r="R78" s="19">
        <v>7616.21</v>
      </c>
      <c r="S78" s="19">
        <v>8507.3700000000008</v>
      </c>
      <c r="T78" s="19">
        <v>6578.95</v>
      </c>
      <c r="U78" s="19">
        <v>6608.5</v>
      </c>
      <c r="V78" s="19">
        <v>5585.19</v>
      </c>
      <c r="W78" s="19">
        <v>6076.79</v>
      </c>
      <c r="X78" s="19">
        <v>5921.05</v>
      </c>
      <c r="Y78" s="19">
        <v>7213.94</v>
      </c>
      <c r="Z78" s="19">
        <v>9838</v>
      </c>
      <c r="AA78" s="19">
        <v>83335.56</v>
      </c>
      <c r="AE78" s="529"/>
    </row>
    <row r="79" spans="14:31" x14ac:dyDescent="0.2">
      <c r="N79" s="528" t="s">
        <v>1618</v>
      </c>
      <c r="O79" s="19">
        <v>876.37</v>
      </c>
      <c r="P79" s="19">
        <v>0</v>
      </c>
      <c r="Q79" s="19">
        <v>166.99</v>
      </c>
      <c r="R79" s="19">
        <v>374.18</v>
      </c>
      <c r="S79" s="19">
        <v>744.19</v>
      </c>
      <c r="T79" s="19">
        <v>861.68</v>
      </c>
      <c r="U79" s="19">
        <v>1001.28</v>
      </c>
      <c r="V79" s="19">
        <v>1914.48</v>
      </c>
      <c r="W79" s="19">
        <v>2123.48</v>
      </c>
      <c r="X79" s="19">
        <v>676.92</v>
      </c>
      <c r="Y79" s="19">
        <v>1783.6</v>
      </c>
      <c r="Z79" s="19">
        <v>1204.48</v>
      </c>
      <c r="AA79" s="19">
        <v>11727.65</v>
      </c>
      <c r="AE79" s="529"/>
    </row>
    <row r="80" spans="14:31" x14ac:dyDescent="0.2">
      <c r="N80" s="528" t="s">
        <v>1619</v>
      </c>
      <c r="O80" s="19">
        <v>893.04</v>
      </c>
      <c r="P80" s="19">
        <v>789.56</v>
      </c>
      <c r="Q80" s="19">
        <v>192.59</v>
      </c>
      <c r="R80" s="19">
        <v>807.33</v>
      </c>
      <c r="S80" s="19">
        <v>390</v>
      </c>
      <c r="T80" s="19">
        <v>0</v>
      </c>
      <c r="U80" s="19">
        <v>816.96</v>
      </c>
      <c r="V80" s="19">
        <v>880</v>
      </c>
      <c r="W80" s="19">
        <v>-1142.5</v>
      </c>
      <c r="X80" s="19">
        <v>644</v>
      </c>
      <c r="Y80" s="19">
        <v>0</v>
      </c>
      <c r="Z80" s="19">
        <v>819.21</v>
      </c>
      <c r="AA80" s="19">
        <v>5090.1899999999996</v>
      </c>
      <c r="AE80" s="529"/>
    </row>
    <row r="81" spans="14:27" x14ac:dyDescent="0.2">
      <c r="N81" s="528" t="s">
        <v>1620</v>
      </c>
      <c r="O81" s="19">
        <v>0</v>
      </c>
      <c r="P81" s="19">
        <v>297.19</v>
      </c>
      <c r="Q81" s="19">
        <v>0</v>
      </c>
      <c r="R81" s="19">
        <v>0</v>
      </c>
      <c r="S81" s="19">
        <v>252</v>
      </c>
      <c r="T81" s="19">
        <v>0</v>
      </c>
      <c r="U81" s="19">
        <v>285</v>
      </c>
      <c r="V81" s="19">
        <v>289</v>
      </c>
      <c r="W81" s="19">
        <v>0</v>
      </c>
      <c r="X81" s="19">
        <v>0</v>
      </c>
      <c r="Y81" s="19">
        <v>0</v>
      </c>
      <c r="Z81" s="19">
        <v>0</v>
      </c>
      <c r="AA81" s="19">
        <v>1123.19</v>
      </c>
    </row>
    <row r="82" spans="14:27" x14ac:dyDescent="0.2">
      <c r="N82" s="528" t="s">
        <v>1621</v>
      </c>
      <c r="O82" s="19">
        <v>0</v>
      </c>
      <c r="P82" s="19">
        <v>0</v>
      </c>
      <c r="Q82" s="19">
        <v>531.16999999999996</v>
      </c>
      <c r="R82" s="19">
        <v>198.63</v>
      </c>
      <c r="S82" s="19">
        <v>198.63</v>
      </c>
      <c r="T82" s="19">
        <v>198.63</v>
      </c>
      <c r="U82" s="19">
        <v>198.63</v>
      </c>
      <c r="V82" s="19">
        <v>198.63</v>
      </c>
      <c r="W82" s="19">
        <v>528.63</v>
      </c>
      <c r="X82" s="19">
        <v>744.63</v>
      </c>
      <c r="Y82" s="19">
        <v>198.63</v>
      </c>
      <c r="Z82" s="19">
        <v>198.63</v>
      </c>
      <c r="AA82" s="19">
        <v>3194.8400000000006</v>
      </c>
    </row>
    <row r="83" spans="14:27" x14ac:dyDescent="0.2">
      <c r="N83" s="24" t="s">
        <v>1622</v>
      </c>
      <c r="O83" s="19">
        <v>0</v>
      </c>
      <c r="P83" s="19">
        <v>26.75</v>
      </c>
      <c r="Q83" s="19">
        <v>1800</v>
      </c>
      <c r="R83" s="19">
        <v>1850.69</v>
      </c>
      <c r="S83" s="19">
        <v>147.5</v>
      </c>
      <c r="T83" s="19">
        <v>1800</v>
      </c>
      <c r="U83" s="19">
        <v>0</v>
      </c>
      <c r="V83" s="19">
        <v>278.2</v>
      </c>
      <c r="W83" s="19">
        <v>4203.08</v>
      </c>
      <c r="X83" s="19">
        <v>3637.45</v>
      </c>
      <c r="Y83" s="19">
        <v>1187.45</v>
      </c>
      <c r="Z83" s="19">
        <v>844.19</v>
      </c>
      <c r="AA83" s="19">
        <v>15775.310000000003</v>
      </c>
    </row>
    <row r="84" spans="14:27" x14ac:dyDescent="0.2">
      <c r="N84" s="24"/>
      <c r="O84" s="19"/>
      <c r="P84" s="19"/>
      <c r="Q84" s="19"/>
      <c r="R84" s="19"/>
      <c r="S84" s="19"/>
      <c r="T84" s="19"/>
      <c r="U84" s="19"/>
      <c r="V84" s="19"/>
      <c r="W84" s="19"/>
      <c r="X84" s="19"/>
      <c r="Y84" s="19"/>
      <c r="Z84" s="19"/>
      <c r="AA84" s="19"/>
    </row>
    <row r="85" spans="14:27" x14ac:dyDescent="0.2">
      <c r="N85" s="24" t="s">
        <v>1623</v>
      </c>
      <c r="O85" s="19">
        <v>439.39</v>
      </c>
      <c r="P85" s="19">
        <v>0</v>
      </c>
      <c r="Q85" s="19">
        <v>0</v>
      </c>
      <c r="R85" s="19">
        <v>0</v>
      </c>
      <c r="S85" s="19">
        <v>0</v>
      </c>
      <c r="T85" s="19">
        <v>0</v>
      </c>
      <c r="U85" s="19">
        <v>0</v>
      </c>
      <c r="V85" s="19">
        <v>0</v>
      </c>
      <c r="W85" s="19">
        <v>0</v>
      </c>
      <c r="X85" s="19">
        <v>0</v>
      </c>
      <c r="Y85" s="19">
        <v>0</v>
      </c>
      <c r="Z85" s="19">
        <v>0</v>
      </c>
      <c r="AA85" s="19">
        <v>439.39</v>
      </c>
    </row>
    <row r="86" spans="14:27" x14ac:dyDescent="0.2">
      <c r="N86" s="23" t="s">
        <v>1586</v>
      </c>
      <c r="O86" s="30">
        <v>6466.27</v>
      </c>
      <c r="P86" s="30">
        <v>9640.4800000000014</v>
      </c>
      <c r="Q86" s="30">
        <v>9698.7099999999991</v>
      </c>
      <c r="R86" s="30">
        <v>11325.63</v>
      </c>
      <c r="S86" s="30">
        <v>10620.41</v>
      </c>
      <c r="T86" s="30">
        <v>9947.130000000001</v>
      </c>
      <c r="U86" s="30">
        <v>9080.83</v>
      </c>
      <c r="V86" s="30">
        <v>9436.7799999999988</v>
      </c>
      <c r="W86" s="30">
        <v>11991.2</v>
      </c>
      <c r="X86" s="30">
        <v>11881.29</v>
      </c>
      <c r="Y86" s="30">
        <v>10630.859999999999</v>
      </c>
      <c r="Z86" s="30">
        <v>13194.48</v>
      </c>
      <c r="AA86" s="30">
        <v>123914.06999999999</v>
      </c>
    </row>
    <row r="88" spans="14:27" x14ac:dyDescent="0.2">
      <c r="N88" s="490" t="s">
        <v>1573</v>
      </c>
    </row>
    <row r="89" spans="14:27" x14ac:dyDescent="0.2">
      <c r="N89" t="s">
        <v>1112</v>
      </c>
      <c r="O89" s="512">
        <v>6466.2699999999895</v>
      </c>
      <c r="P89" s="512">
        <v>9640.4799999999959</v>
      </c>
      <c r="Q89" s="512">
        <v>9698.7100000000064</v>
      </c>
      <c r="R89" s="512">
        <v>11325.630000000019</v>
      </c>
      <c r="S89" s="512">
        <v>10620.410000000003</v>
      </c>
      <c r="T89" s="512">
        <v>9947.1300000000047</v>
      </c>
      <c r="U89" s="512">
        <v>9080.8300000000017</v>
      </c>
      <c r="V89" s="512">
        <v>9436.7799999999843</v>
      </c>
      <c r="W89" s="512">
        <v>31470.699999999997</v>
      </c>
      <c r="X89" s="512">
        <v>11881.289999999994</v>
      </c>
      <c r="Y89" s="512">
        <v>10617.209999999992</v>
      </c>
      <c r="Z89" s="512">
        <v>13194.520000000004</v>
      </c>
      <c r="AA89" s="512">
        <v>143379.95999999996</v>
      </c>
    </row>
  </sheetData>
  <pageMargins left="0.7" right="0.7" top="0.75" bottom="0.75" header="0.3" footer="0.3"/>
  <legacyDrawing r:id="rId1"/>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90">
    <pageSetUpPr fitToPage="1"/>
  </sheetPr>
  <dimension ref="A1:AO126"/>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1" hidden="1" customWidth="1" outlineLevel="1" collapsed="1"/>
    <col min="13" max="13" width="9.6640625" style="1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s">
        <v>980</v>
      </c>
      <c r="I1" s="1"/>
      <c r="J1" s="1"/>
      <c r="L1" s="69"/>
      <c r="M1" s="69"/>
      <c r="N1" s="69"/>
    </row>
    <row r="2" spans="1:35" hidden="1" outlineLevel="1" x14ac:dyDescent="0.2">
      <c r="A2" s="8" t="s">
        <v>22</v>
      </c>
      <c r="B2" s="12" t="s">
        <v>56</v>
      </c>
      <c r="C2" s="1" t="s">
        <v>981</v>
      </c>
      <c r="I2" s="1"/>
      <c r="J2" s="1"/>
      <c r="L2" s="69"/>
      <c r="M2" s="69"/>
    </row>
    <row r="3" spans="1:35" hidden="1" outlineLevel="1" x14ac:dyDescent="0.2">
      <c r="A3" s="8" t="s">
        <v>50</v>
      </c>
      <c r="B3" s="9" t="s">
        <v>979</v>
      </c>
      <c r="C3" s="1" t="s">
        <v>982</v>
      </c>
      <c r="I3" s="1"/>
      <c r="J3" s="1"/>
    </row>
    <row r="4" spans="1:35" hidden="1" outlineLevel="1" x14ac:dyDescent="0.2">
      <c r="A4" s="8" t="s">
        <v>19</v>
      </c>
      <c r="B4" s="9" t="str">
        <f>SetUp!$D$6</f>
        <v>CURRENT</v>
      </c>
      <c r="C4" s="1" t="s">
        <v>960</v>
      </c>
      <c r="E4" s="46">
        <v>20250100</v>
      </c>
      <c r="F4" s="46">
        <v>20250100</v>
      </c>
    </row>
    <row r="5" spans="1:35" hidden="1" outlineLevel="1" x14ac:dyDescent="0.2">
      <c r="A5" s="8" t="s">
        <v>51</v>
      </c>
      <c r="B5" s="12" t="s">
        <v>59</v>
      </c>
      <c r="C5" s="1" t="s">
        <v>59</v>
      </c>
    </row>
    <row r="6" spans="1:35" hidden="1" outlineLevel="1" x14ac:dyDescent="0.2">
      <c r="A6" s="8" t="s">
        <v>52</v>
      </c>
      <c r="B6" s="12" t="s">
        <v>500</v>
      </c>
      <c r="C6" s="1" t="s">
        <v>1020</v>
      </c>
      <c r="E6" s="46" t="s">
        <v>1433</v>
      </c>
      <c r="F6" s="1" t="s">
        <v>278</v>
      </c>
    </row>
    <row r="7" spans="1:35" hidden="1" outlineLevel="1" x14ac:dyDescent="0.2">
      <c r="A7" s="8" t="s">
        <v>53</v>
      </c>
      <c r="B7" s="12" t="s">
        <v>61</v>
      </c>
      <c r="C7" s="1" t="s">
        <v>984</v>
      </c>
    </row>
    <row r="8" spans="1:35" hidden="1" outlineLevel="1" x14ac:dyDescent="0.2">
      <c r="A8" s="8" t="s">
        <v>20</v>
      </c>
      <c r="B8" s="12" t="s">
        <v>63</v>
      </c>
      <c r="C8" s="1" t="s">
        <v>985</v>
      </c>
    </row>
    <row r="9" spans="1:35" hidden="1" outlineLevel="1" x14ac:dyDescent="0.2">
      <c r="A9" s="8" t="s">
        <v>54</v>
      </c>
      <c r="B9" s="9" t="str">
        <f>SetUp!$D$10</f>
        <v>LC</v>
      </c>
      <c r="C9" s="1" t="s">
        <v>986</v>
      </c>
    </row>
    <row r="10" spans="1:35" hidden="1" outlineLevel="1" x14ac:dyDescent="0.2">
      <c r="A10" s="8" t="s">
        <v>18</v>
      </c>
      <c r="B10" s="9" t="str">
        <f>SetUp!$D$7</f>
        <v>2024.TOTAL</v>
      </c>
      <c r="C10" s="1" t="s">
        <v>987</v>
      </c>
      <c r="D10" s="212" t="s">
        <v>988</v>
      </c>
    </row>
    <row r="11" spans="1:35" hidden="1" outlineLevel="1" x14ac:dyDescent="0.2">
      <c r="B11" s="8"/>
      <c r="M11" s="46" t="str">
        <f>IF(LEFT(SetUp!$D$6,3)="ALT","Y","N")</f>
        <v>N</v>
      </c>
      <c r="N11" s="1" t="s">
        <v>800</v>
      </c>
      <c r="O11" s="2" t="s">
        <v>682</v>
      </c>
      <c r="P11" s="2" t="s">
        <v>682</v>
      </c>
      <c r="Q11" s="2" t="s">
        <v>682</v>
      </c>
      <c r="R11" s="2" t="s">
        <v>682</v>
      </c>
      <c r="S11" s="2" t="s">
        <v>682</v>
      </c>
      <c r="T11" s="2" t="s">
        <v>682</v>
      </c>
      <c r="U11" s="2" t="s">
        <v>682</v>
      </c>
      <c r="V11" s="2" t="s">
        <v>682</v>
      </c>
      <c r="W11" s="2" t="s">
        <v>682</v>
      </c>
      <c r="X11" s="2" t="s">
        <v>682</v>
      </c>
      <c r="Y11" s="2" t="s">
        <v>682</v>
      </c>
      <c r="Z11" s="2" t="s">
        <v>682</v>
      </c>
    </row>
    <row r="12" spans="1:35" hidden="1" outlineLevel="1" x14ac:dyDescent="0.2">
      <c r="A12" s="1" t="s">
        <v>115</v>
      </c>
      <c r="B12" s="46">
        <v>2024</v>
      </c>
      <c r="N12" s="1" t="s">
        <v>597</v>
      </c>
      <c r="O12" s="213" t="s">
        <v>78</v>
      </c>
      <c r="P12" s="213" t="s">
        <v>78</v>
      </c>
      <c r="Q12" s="213" t="s">
        <v>78</v>
      </c>
      <c r="R12" s="213" t="s">
        <v>78</v>
      </c>
      <c r="S12" s="213" t="s">
        <v>78</v>
      </c>
      <c r="T12" s="213" t="s">
        <v>78</v>
      </c>
      <c r="U12" s="213" t="s">
        <v>78</v>
      </c>
      <c r="V12" s="213" t="s">
        <v>78</v>
      </c>
      <c r="W12" s="213" t="s">
        <v>78</v>
      </c>
      <c r="X12" s="213" t="s">
        <v>78</v>
      </c>
      <c r="Y12" s="213" t="s">
        <v>78</v>
      </c>
      <c r="Z12" s="213" t="s">
        <v>78</v>
      </c>
      <c r="AA12" s="213"/>
      <c r="AD12" s="213"/>
      <c r="AG12" s="213"/>
    </row>
    <row r="13" spans="1:35" hidden="1" outlineLevel="1" x14ac:dyDescent="0.2">
      <c r="A13" s="1" t="s">
        <v>602</v>
      </c>
      <c r="B13" s="46">
        <v>2024</v>
      </c>
      <c r="N13" s="1" t="s">
        <v>598</v>
      </c>
      <c r="O13" s="53">
        <v>20240100</v>
      </c>
      <c r="P13" s="53">
        <v>20240200</v>
      </c>
      <c r="Q13" s="53">
        <v>20240300</v>
      </c>
      <c r="R13" s="53">
        <v>20240400</v>
      </c>
      <c r="S13" s="53">
        <v>20240500</v>
      </c>
      <c r="T13" s="53">
        <v>20240600</v>
      </c>
      <c r="U13" s="53">
        <v>20240700</v>
      </c>
      <c r="V13" s="53">
        <v>20240800</v>
      </c>
      <c r="W13" s="53">
        <v>20240900</v>
      </c>
      <c r="X13" s="53">
        <v>20241000</v>
      </c>
      <c r="Y13" s="53">
        <v>20241100</v>
      </c>
      <c r="Z13" s="53">
        <v>20241200</v>
      </c>
      <c r="AA13" s="53">
        <v>10000193</v>
      </c>
      <c r="AD13" s="53">
        <v>10000193</v>
      </c>
      <c r="AG13" s="53">
        <v>10000183</v>
      </c>
    </row>
    <row r="14" spans="1:35" hidden="1" outlineLevel="1" x14ac:dyDescent="0.2">
      <c r="A14" s="4" t="s">
        <v>989</v>
      </c>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N16" s="1" t="s">
        <v>18</v>
      </c>
      <c r="O16" s="2" t="s">
        <v>990</v>
      </c>
      <c r="P16" s="2" t="s">
        <v>991</v>
      </c>
      <c r="Q16" s="2" t="s">
        <v>992</v>
      </c>
      <c r="R16" s="2" t="s">
        <v>993</v>
      </c>
      <c r="S16" s="2" t="s">
        <v>994</v>
      </c>
      <c r="T16" s="2" t="s">
        <v>995</v>
      </c>
      <c r="U16" s="2" t="s">
        <v>996</v>
      </c>
      <c r="V16" s="2" t="s">
        <v>997</v>
      </c>
      <c r="W16" s="2" t="s">
        <v>998</v>
      </c>
      <c r="X16" s="2" t="s">
        <v>999</v>
      </c>
      <c r="Y16" s="2" t="s">
        <v>1000</v>
      </c>
      <c r="Z16" s="2" t="str">
        <f>IF(SetUp!$O$1=TRUE,SetUp!$Q$6,IF($D$10="FY",LEFT($B$10,6)&amp;"."&amp;Z15,$B$12&amp;"."&amp;Z14))</f>
        <v>2024.DEC</v>
      </c>
      <c r="AA16" s="2" t="str">
        <f>IF($D$10="FY",LEFT($B$10,6)&amp;"."&amp;AA15,$B$12&amp;"."&amp;AA14)</f>
        <v>2024.TOTAL</v>
      </c>
      <c r="AB16" s="10"/>
      <c r="AC16" s="10"/>
      <c r="AD16" s="2" t="str">
        <f>IF(SetUp!$O$1=TRUE,SetUp!$Q$6,SetUp!$G$7)</f>
        <v>2024.TOTAL</v>
      </c>
      <c r="AE16" s="10"/>
      <c r="AF16" s="10"/>
      <c r="AG16" s="2" t="s">
        <v>955</v>
      </c>
      <c r="AH16" s="10"/>
      <c r="AI16" s="10"/>
    </row>
    <row r="17" spans="1:40" hidden="1" outlineLevel="1" x14ac:dyDescent="0.2">
      <c r="A17" s="6" t="s">
        <v>2</v>
      </c>
      <c r="B17" s="14" t="s">
        <v>1434</v>
      </c>
      <c r="N17" s="1" t="s">
        <v>19</v>
      </c>
      <c r="O17" s="2" t="s">
        <v>682</v>
      </c>
      <c r="P17" s="2" t="s">
        <v>682</v>
      </c>
      <c r="Q17" s="2" t="s">
        <v>682</v>
      </c>
      <c r="R17" s="2" t="s">
        <v>682</v>
      </c>
      <c r="S17" s="2" t="s">
        <v>682</v>
      </c>
      <c r="T17" s="2" t="s">
        <v>682</v>
      </c>
      <c r="U17" s="2" t="s">
        <v>682</v>
      </c>
      <c r="V17" s="2" t="s">
        <v>682</v>
      </c>
      <c r="W17" s="2" t="s">
        <v>682</v>
      </c>
      <c r="X17" s="2" t="s">
        <v>682</v>
      </c>
      <c r="Y17" s="2" t="s">
        <v>682</v>
      </c>
      <c r="Z17" s="2" t="s">
        <v>682</v>
      </c>
      <c r="AA17" s="2"/>
      <c r="AB17" s="10"/>
      <c r="AC17" s="10"/>
      <c r="AD17" s="2" t="str">
        <f>SetUp!$G$6</f>
        <v>BUDGET</v>
      </c>
      <c r="AE17" s="10"/>
      <c r="AF17" s="10"/>
      <c r="AG17" s="2" t="str">
        <f>SetUp!$J$6</f>
        <v>ACTUAL_CON</v>
      </c>
      <c r="AH17" s="10"/>
      <c r="AI17" s="10"/>
    </row>
    <row r="18" spans="1:40" hidden="1" outlineLevel="1" x14ac:dyDescent="0.2">
      <c r="A18" s="6" t="s">
        <v>3</v>
      </c>
      <c r="B18" s="14" t="s">
        <v>1435</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str">
        <f>IF(SetUp!$O$1=TRUE,"TRAILING12",IF(AD17="CURRENT","ROLLINGFORECAST","PERIODIC"))</f>
        <v>PERIODIC</v>
      </c>
      <c r="AE18" s="10"/>
      <c r="AF18" s="10"/>
      <c r="AG18" s="2" t="str">
        <f>IF(SetUp!$O$1=TRUE,"TRAILING12",IF(AG17="CURRENT","ROLLINGFORECAST","PERIODIC"))</f>
        <v>PERIODIC</v>
      </c>
      <c r="AH18" s="10"/>
      <c r="AI18" s="10"/>
    </row>
    <row r="19" spans="1:40" hidden="1" outlineLevel="1" x14ac:dyDescent="0.2">
      <c r="A19" s="6" t="s">
        <v>4</v>
      </c>
      <c r="B19" s="14" t="s">
        <v>1436</v>
      </c>
      <c r="G19" s="16" t="s">
        <v>499</v>
      </c>
      <c r="H19" s="16">
        <v>400000</v>
      </c>
      <c r="I19" s="17"/>
      <c r="J19" s="17"/>
      <c r="K19" s="16"/>
      <c r="L19" s="17"/>
      <c r="M19" s="17"/>
      <c r="N19" s="16" t="s">
        <v>1001</v>
      </c>
      <c r="O19" s="18">
        <v>1176929.01</v>
      </c>
      <c r="P19" s="18">
        <v>1356809.16</v>
      </c>
      <c r="Q19" s="18">
        <v>1295733.29</v>
      </c>
      <c r="R19" s="18">
        <v>1074347.0900000001</v>
      </c>
      <c r="S19" s="18">
        <v>894357.51</v>
      </c>
      <c r="T19" s="18">
        <v>630684.44999999995</v>
      </c>
      <c r="U19" s="18">
        <v>649800.93000000005</v>
      </c>
      <c r="V19" s="18">
        <v>589394.93999999994</v>
      </c>
      <c r="W19" s="18">
        <v>502527.81</v>
      </c>
      <c r="X19" s="18">
        <v>718138.97</v>
      </c>
      <c r="Y19" s="18">
        <v>816401.49</v>
      </c>
      <c r="Z19" s="18">
        <v>1134093.05</v>
      </c>
      <c r="AA19" s="18">
        <f>SUM(O19:Z19)</f>
        <v>10839217.699999999</v>
      </c>
      <c r="AB19" s="16"/>
      <c r="AC19" s="16"/>
      <c r="AD19" s="18">
        <v>11239182.24</v>
      </c>
      <c r="AE19" s="16"/>
      <c r="AF19" s="16"/>
      <c r="AG19" s="18">
        <v>12940207.16</v>
      </c>
      <c r="AH19" s="16"/>
      <c r="AI19" s="16"/>
    </row>
    <row r="20" spans="1:40" hidden="1" outlineLevel="1" x14ac:dyDescent="0.2">
      <c r="A20" s="6" t="s">
        <v>5</v>
      </c>
      <c r="B20" s="7"/>
      <c r="G20" s="16" t="s">
        <v>749</v>
      </c>
      <c r="H20" s="16">
        <v>904100</v>
      </c>
      <c r="I20" s="17"/>
      <c r="J20" s="17"/>
      <c r="K20" s="16"/>
      <c r="L20" s="17"/>
      <c r="M20" s="17"/>
      <c r="N20" s="16" t="s">
        <v>1008</v>
      </c>
      <c r="O20" s="18">
        <v>4092</v>
      </c>
      <c r="P20" s="18">
        <v>3828</v>
      </c>
      <c r="Q20" s="18">
        <v>4092</v>
      </c>
      <c r="R20" s="18">
        <v>3960</v>
      </c>
      <c r="S20" s="18">
        <v>4092</v>
      </c>
      <c r="T20" s="18">
        <v>3960</v>
      </c>
      <c r="U20" s="18">
        <v>4092</v>
      </c>
      <c r="V20" s="18">
        <v>4092</v>
      </c>
      <c r="W20" s="18">
        <v>3960</v>
      </c>
      <c r="X20" s="18">
        <v>4092</v>
      </c>
      <c r="Y20" s="18">
        <v>3960</v>
      </c>
      <c r="Z20" s="18">
        <v>4092</v>
      </c>
      <c r="AA20" s="18">
        <f>SUM(O20:Z20)</f>
        <v>48312</v>
      </c>
      <c r="AB20" s="16"/>
      <c r="AC20" s="16"/>
      <c r="AD20" s="18">
        <v>48312</v>
      </c>
      <c r="AE20" s="16"/>
      <c r="AF20" s="16"/>
      <c r="AG20" s="18">
        <v>48180</v>
      </c>
      <c r="AH20" s="16"/>
      <c r="AI20" s="16"/>
    </row>
    <row r="21" spans="1:40" hidden="1" outlineLevel="1" x14ac:dyDescent="0.2">
      <c r="A21" s="6" t="s">
        <v>6</v>
      </c>
      <c r="B21" s="7"/>
    </row>
    <row r="22" spans="1:40" hidden="1" outlineLevel="1" x14ac:dyDescent="0.2">
      <c r="A22" s="6" t="s">
        <v>7</v>
      </c>
      <c r="B22" s="14" t="s">
        <v>1437</v>
      </c>
    </row>
    <row r="23" spans="1:40" hidden="1" outlineLevel="1" x14ac:dyDescent="0.2">
      <c r="A23" s="6" t="s">
        <v>47</v>
      </c>
      <c r="B23" s="14" t="s">
        <v>1438</v>
      </c>
      <c r="K23" s="53"/>
    </row>
    <row r="24" spans="1:40" hidden="1" outlineLevel="1" x14ac:dyDescent="0.2">
      <c r="A24" s="6" t="s">
        <v>8</v>
      </c>
      <c r="B24" s="7"/>
    </row>
    <row r="25" spans="1:40" collapsed="1" x14ac:dyDescent="0.2"/>
    <row r="26" spans="1:40" ht="23" x14ac:dyDescent="0.25">
      <c r="A26" s="3" t="s">
        <v>9</v>
      </c>
      <c r="B26" s="5" t="s">
        <v>10</v>
      </c>
      <c r="N26" s="61" t="s">
        <v>982</v>
      </c>
    </row>
    <row r="27" spans="1:40" ht="18" x14ac:dyDescent="0.2">
      <c r="A27" s="6" t="s">
        <v>11</v>
      </c>
      <c r="B27" s="7" t="s">
        <v>21</v>
      </c>
      <c r="N27" s="66" t="s">
        <v>1439</v>
      </c>
    </row>
    <row r="28" spans="1:40" ht="16" x14ac:dyDescent="0.2">
      <c r="A28" s="6" t="s">
        <v>12</v>
      </c>
      <c r="B28" s="7" t="s">
        <v>22</v>
      </c>
      <c r="N28" s="67" t="s">
        <v>1002</v>
      </c>
    </row>
    <row r="29" spans="1:40" ht="15" customHeight="1" x14ac:dyDescent="0.2">
      <c r="A29" s="6" t="s">
        <v>13</v>
      </c>
      <c r="B29" s="7" t="s">
        <v>291</v>
      </c>
      <c r="N29" s="67" t="s">
        <v>986</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752</v>
      </c>
      <c r="AK30" s="209"/>
      <c r="AL30" s="210"/>
      <c r="AM30" s="209" t="s">
        <v>750</v>
      </c>
      <c r="AN30" s="209"/>
    </row>
    <row r="31" spans="1:40" x14ac:dyDescent="0.2">
      <c r="A31" s="6" t="s">
        <v>15</v>
      </c>
      <c r="B31" s="7"/>
      <c r="G31" s="13"/>
      <c r="K31" s="52"/>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tr">
        <f>AA14</f>
        <v>TOTAL</v>
      </c>
      <c r="AB31" s="207"/>
      <c r="AD31" s="540" t="s">
        <v>987</v>
      </c>
      <c r="AE31" s="541"/>
      <c r="AF31" s="211" t="s">
        <v>631</v>
      </c>
      <c r="AG31" s="540" t="s">
        <v>1003</v>
      </c>
      <c r="AH31" s="541"/>
      <c r="AI31" s="211" t="s">
        <v>631</v>
      </c>
      <c r="AJ31" s="211">
        <v>2024</v>
      </c>
      <c r="AK31" s="238">
        <v>2024</v>
      </c>
      <c r="AL31" s="238">
        <v>2023</v>
      </c>
      <c r="AM31" s="211" t="str">
        <f>"vs "&amp;AK31</f>
        <v>vs 2024</v>
      </c>
      <c r="AN31" s="211" t="str">
        <f>"vs "&amp;AL31</f>
        <v>vs 2023</v>
      </c>
    </row>
    <row r="32" spans="1:40" s="232" customFormat="1" ht="30" customHeight="1" x14ac:dyDescent="0.2">
      <c r="A32" s="230" t="s">
        <v>16</v>
      </c>
      <c r="B32" s="231" t="s">
        <v>290</v>
      </c>
      <c r="H32" s="233"/>
      <c r="I32" s="234"/>
      <c r="J32" s="234"/>
      <c r="K32" s="235" t="s">
        <v>117</v>
      </c>
      <c r="L32" s="234"/>
      <c r="M32" s="234"/>
      <c r="N32" s="236" t="s">
        <v>120</v>
      </c>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c r="AD32" s="237" t="s">
        <v>959</v>
      </c>
      <c r="AE32" s="238" t="s">
        <v>58</v>
      </c>
      <c r="AF32" s="237" t="s">
        <v>57</v>
      </c>
      <c r="AG32" s="237" t="s">
        <v>957</v>
      </c>
      <c r="AH32" s="238" t="s">
        <v>58</v>
      </c>
      <c r="AI32" s="237" t="s">
        <v>57</v>
      </c>
      <c r="AJ32" s="237" t="str">
        <f>Z32</f>
        <v>Actual</v>
      </c>
      <c r="AK32" s="238" t="str">
        <f>AD32</f>
        <v>Budget</v>
      </c>
      <c r="AL32" s="237" t="str">
        <f>AG32</f>
        <v>Actual</v>
      </c>
      <c r="AM32" s="211" t="s">
        <v>747</v>
      </c>
      <c r="AN32" s="211" t="s">
        <v>747</v>
      </c>
    </row>
    <row r="33" spans="1:40" x14ac:dyDescent="0.2">
      <c r="A33" s="6" t="s">
        <v>17</v>
      </c>
      <c r="B33" s="7"/>
      <c r="H33" s="1" t="s">
        <v>73</v>
      </c>
      <c r="I33" s="11" t="s">
        <v>1006</v>
      </c>
      <c r="J33" s="11" t="s">
        <v>78</v>
      </c>
      <c r="N33" s="37" t="s">
        <v>1073</v>
      </c>
      <c r="O33" s="50"/>
      <c r="AB33" s="51"/>
      <c r="AD33" s="50"/>
      <c r="AF33" s="51"/>
      <c r="AG33" s="50"/>
      <c r="AI33" s="51"/>
    </row>
    <row r="34" spans="1:40" x14ac:dyDescent="0.2">
      <c r="H34" s="1" t="s">
        <v>74</v>
      </c>
      <c r="I34" s="11" t="s">
        <v>1006</v>
      </c>
      <c r="J34" s="11" t="s">
        <v>78</v>
      </c>
      <c r="N34" s="8" t="s">
        <v>1074</v>
      </c>
      <c r="O34" s="40"/>
      <c r="P34" s="43"/>
      <c r="Q34" s="43"/>
      <c r="R34" s="43"/>
      <c r="S34" s="43"/>
      <c r="T34" s="43"/>
      <c r="U34" s="43"/>
      <c r="V34" s="43"/>
      <c r="W34" s="43"/>
      <c r="X34" s="43"/>
      <c r="Y34" s="43"/>
      <c r="Z34" s="43"/>
      <c r="AA34" s="43"/>
      <c r="AB34" s="41"/>
      <c r="AD34" s="40"/>
      <c r="AE34" s="43"/>
      <c r="AF34" s="41"/>
      <c r="AG34" s="40"/>
      <c r="AH34" s="43"/>
      <c r="AI34" s="41"/>
    </row>
    <row r="35" spans="1:40" x14ac:dyDescent="0.2">
      <c r="A35" s="20" t="s">
        <v>92</v>
      </c>
      <c r="B35" s="21" t="s">
        <v>93</v>
      </c>
      <c r="C35" s="21" t="s">
        <v>94</v>
      </c>
      <c r="D35" s="21" t="s">
        <v>95</v>
      </c>
      <c r="E35" s="21" t="s">
        <v>96</v>
      </c>
      <c r="F35" s="22" t="s">
        <v>97</v>
      </c>
      <c r="H35" s="10" t="s">
        <v>75</v>
      </c>
      <c r="I35" s="26" t="s">
        <v>1006</v>
      </c>
      <c r="J35" s="26" t="s">
        <v>78</v>
      </c>
      <c r="K35" s="65" t="str">
        <f>IF(AND(I35&gt;="T3"),"&gt;","")</f>
        <v/>
      </c>
      <c r="L35" s="23"/>
      <c r="M35" s="151"/>
      <c r="N35" s="23" t="s">
        <v>1076</v>
      </c>
      <c r="O35" s="35"/>
      <c r="P35" s="35"/>
      <c r="Q35" s="35"/>
      <c r="R35" s="35"/>
      <c r="S35" s="35"/>
      <c r="T35" s="35"/>
      <c r="U35" s="35"/>
      <c r="V35" s="35"/>
      <c r="W35" s="35"/>
      <c r="X35" s="35"/>
      <c r="Y35" s="35"/>
      <c r="Z35" s="35"/>
      <c r="AA35" s="35" t="str">
        <f>IF($I35="B1","",SUM(O35:Z35))</f>
        <v/>
      </c>
      <c r="AB35" s="36" t="str">
        <f>IF(AA35=0,"",IFERROR(AA35/AA$19,""))</f>
        <v/>
      </c>
      <c r="AD35" s="19"/>
      <c r="AE35" s="15" t="str">
        <f>IF(AD35=0,"",IFERROR(AD35/AD$19,""))</f>
        <v/>
      </c>
      <c r="AF35" s="47" t="str">
        <f>IF(AND($AA35="",AD35=""),"",$AA35-AD35)</f>
        <v/>
      </c>
      <c r="AG35" s="19"/>
      <c r="AH35" s="15" t="str">
        <f>IF(AG35=0,"",IFERROR(AG35/AG$19,""))</f>
        <v/>
      </c>
      <c r="AI35" s="47" t="str">
        <f>IF(AND($AA35="",AG35=""),"",$AA35-AG35)</f>
        <v/>
      </c>
      <c r="AJ35" s="371">
        <f>IFERROR(AA35/AA$20,0)</f>
        <v>0</v>
      </c>
      <c r="AK35" s="372">
        <f>IFERROR(AD35/AD$20,0)</f>
        <v>0</v>
      </c>
      <c r="AL35" s="373">
        <f>IFERROR(AG35/AG$20,0)</f>
        <v>0</v>
      </c>
      <c r="AM35" s="374">
        <f>+IFERROR(ROUND(($AB35-AE35)*100,2)&amp;" pts.",0)</f>
        <v>0</v>
      </c>
      <c r="AN35" s="375">
        <f>+IFERROR(ROUND(($AB35-AH35)*100,2)&amp;" pts.",0)</f>
        <v>0</v>
      </c>
    </row>
    <row r="36" spans="1:40" hidden="1" x14ac:dyDescent="0.2">
      <c r="H36" s="10"/>
      <c r="I36" s="26"/>
      <c r="J36" s="26"/>
      <c r="K36" s="65" t="str">
        <f>IF(AND(I36&gt;="T3"),"&gt;","")</f>
        <v/>
      </c>
      <c r="L36" s="23"/>
      <c r="M36" s="151"/>
      <c r="N36" s="23"/>
      <c r="O36" s="35"/>
      <c r="P36" s="35"/>
      <c r="Q36" s="35"/>
      <c r="R36" s="35"/>
      <c r="S36" s="35"/>
      <c r="T36" s="35"/>
      <c r="U36" s="35"/>
      <c r="V36" s="35"/>
      <c r="W36" s="35"/>
      <c r="X36" s="35"/>
      <c r="Y36" s="35"/>
      <c r="Z36" s="35"/>
      <c r="AA36" s="35">
        <f>IF($I36="B1","",SUM(O36:Z36))</f>
        <v>0</v>
      </c>
      <c r="AB36" s="36" t="str">
        <f>IF(AA36=0,"",IFERROR(AA36/AA$19,""))</f>
        <v/>
      </c>
      <c r="AD36" s="19"/>
      <c r="AE36" s="15" t="str">
        <f>IF(AD36=0,"",IFERROR(AD36/AD$19,""))</f>
        <v/>
      </c>
      <c r="AF36" s="47">
        <f>IF(AND($AA36="",AD36=""),"",$AA36-AD36)</f>
        <v>0</v>
      </c>
      <c r="AG36" s="19"/>
      <c r="AH36" s="15" t="str">
        <f>IF(AG36=0,"",IFERROR(AG36/AG$19,""))</f>
        <v/>
      </c>
      <c r="AI36" s="47">
        <f>IF(AND($AA36="",AG36=""),"",$AA36-AG36)</f>
        <v>0</v>
      </c>
      <c r="AJ36" s="371">
        <f>IFERROR(AA36/AA$20,0)</f>
        <v>0</v>
      </c>
      <c r="AK36" s="372">
        <f>IFERROR(AD36/AD$20,0)</f>
        <v>0</v>
      </c>
      <c r="AL36" s="373">
        <f>IFERROR(AG36/AG$20,0)</f>
        <v>0</v>
      </c>
      <c r="AM36" s="374">
        <f>+IFERROR(ROUND(($AB36-AE36)*100,2)&amp;" pts.",0)</f>
        <v>0</v>
      </c>
      <c r="AN36" s="375">
        <f>+IFERROR(ROUND(($AB36-AH36)*100,2)&amp;" pts.",0)</f>
        <v>0</v>
      </c>
    </row>
    <row r="37" spans="1:40" x14ac:dyDescent="0.2">
      <c r="A37" s="1" t="s">
        <v>108</v>
      </c>
      <c r="C37" s="24" t="s">
        <v>101</v>
      </c>
      <c r="D37" s="1" t="s">
        <v>106</v>
      </c>
      <c r="F37" s="1" t="s">
        <v>98</v>
      </c>
      <c r="H37" s="23"/>
      <c r="I37" s="23"/>
      <c r="J37" s="23"/>
      <c r="K37" s="23"/>
      <c r="L37" s="23"/>
      <c r="M37" s="23"/>
      <c r="N37" s="23"/>
      <c r="O37" s="50"/>
      <c r="AB37" s="51"/>
      <c r="AD37" s="50"/>
      <c r="AF37" s="51"/>
      <c r="AG37" s="50"/>
      <c r="AI37" s="51"/>
    </row>
    <row r="38" spans="1:40" x14ac:dyDescent="0.2">
      <c r="A38" s="1" t="s">
        <v>100</v>
      </c>
      <c r="C38" s="8" t="s">
        <v>101</v>
      </c>
      <c r="D38" s="1" t="s">
        <v>106</v>
      </c>
      <c r="F38" s="1" t="s">
        <v>98</v>
      </c>
      <c r="H38" s="1" t="s">
        <v>504</v>
      </c>
      <c r="I38" s="11" t="s">
        <v>1006</v>
      </c>
      <c r="J38" s="11" t="s">
        <v>78</v>
      </c>
      <c r="K38" s="23"/>
      <c r="L38" s="23"/>
      <c r="M38" s="23"/>
      <c r="N38" s="37" t="s">
        <v>1440</v>
      </c>
      <c r="O38" s="40"/>
      <c r="P38" s="43"/>
      <c r="Q38" s="43"/>
      <c r="R38" s="43"/>
      <c r="S38" s="43"/>
      <c r="T38" s="43"/>
      <c r="U38" s="43"/>
      <c r="V38" s="43"/>
      <c r="W38" s="43"/>
      <c r="X38" s="43"/>
      <c r="Y38" s="43"/>
      <c r="Z38" s="43"/>
      <c r="AA38" s="43"/>
      <c r="AB38" s="41"/>
      <c r="AD38" s="40"/>
      <c r="AE38" s="43"/>
      <c r="AF38" s="41"/>
      <c r="AG38" s="40"/>
      <c r="AH38" s="43"/>
      <c r="AI38" s="41"/>
    </row>
    <row r="39" spans="1:40" x14ac:dyDescent="0.2">
      <c r="A39" s="1" t="s">
        <v>109</v>
      </c>
      <c r="C39" s="23" t="s">
        <v>101</v>
      </c>
      <c r="D39" s="1" t="s">
        <v>106</v>
      </c>
      <c r="F39" s="1" t="s">
        <v>98</v>
      </c>
      <c r="H39" s="10" t="s">
        <v>506</v>
      </c>
      <c r="I39" s="25" t="s">
        <v>1004</v>
      </c>
      <c r="J39" s="25" t="s">
        <v>1004</v>
      </c>
      <c r="K39" s="64" t="str">
        <f>IF(AND(I39&gt;="T3"),"&gt;","")</f>
        <v/>
      </c>
      <c r="L39" s="24">
        <v>707901</v>
      </c>
      <c r="M39" s="24">
        <v>690047</v>
      </c>
      <c r="N39" s="24" t="s">
        <v>1441</v>
      </c>
      <c r="O39" s="35">
        <v>454.21</v>
      </c>
      <c r="P39" s="35">
        <v>577.36</v>
      </c>
      <c r="Q39" s="35">
        <v>1008.06</v>
      </c>
      <c r="R39" s="35">
        <v>604.19000000000005</v>
      </c>
      <c r="S39" s="35">
        <v>649.94000000000005</v>
      </c>
      <c r="T39" s="35">
        <v>361.98</v>
      </c>
      <c r="U39" s="35">
        <v>501.7</v>
      </c>
      <c r="V39" s="35">
        <v>691.46</v>
      </c>
      <c r="W39" s="35">
        <v>572.75</v>
      </c>
      <c r="X39" s="35">
        <v>682.83</v>
      </c>
      <c r="Y39" s="35">
        <v>1323.97</v>
      </c>
      <c r="Z39" s="35">
        <v>914.08</v>
      </c>
      <c r="AA39" s="35">
        <f t="shared" ref="AA39:AA44" si="0">IF($I39="B1","",SUM(O39:Z39))</f>
        <v>8342.5300000000007</v>
      </c>
      <c r="AB39" s="36">
        <f t="shared" ref="AB39:AB44" si="1">IF(AA39=0,"",IFERROR(AA39/AA$19,""))</f>
        <v>7.6966163342212426E-4</v>
      </c>
      <c r="AD39" s="35">
        <v>9684</v>
      </c>
      <c r="AE39" s="36">
        <f t="shared" ref="AE39:AE44" si="2">IF(AD39=0,"",IFERROR(AD39/AD$19,""))</f>
        <v>8.6162852360689192E-4</v>
      </c>
      <c r="AF39" s="118">
        <f t="shared" ref="AF39:AF44" si="3">IF(AND($AA39="",AD39=""),"",$AA39-AD39)</f>
        <v>-1341.4699999999993</v>
      </c>
      <c r="AG39" s="35">
        <v>10949.85</v>
      </c>
      <c r="AH39" s="36">
        <f t="shared" ref="AH39:AH44" si="4">IF(AG39=0,"",IFERROR(AG39/AG$19,""))</f>
        <v>8.4618815329692138E-4</v>
      </c>
      <c r="AI39" s="118">
        <f t="shared" ref="AI39:AI44" si="5">IF(AND($AA39="",AG39=""),"",$AA39-AG39)</f>
        <v>-2607.3199999999997</v>
      </c>
      <c r="AJ39" s="371">
        <f t="shared" ref="AJ39:AJ44" si="6">IFERROR(AA39/AA$20,0)</f>
        <v>0.17268028647127009</v>
      </c>
      <c r="AK39" s="372">
        <f t="shared" ref="AK39:AK44" si="7">IFERROR(AD39/AD$20,0)</f>
        <v>0.20044709388971685</v>
      </c>
      <c r="AL39" s="373">
        <f t="shared" ref="AL39:AL44" si="8">IFERROR(AG39/AG$20,0)</f>
        <v>0.22726961394769615</v>
      </c>
      <c r="AM39" s="374" t="str">
        <f t="shared" ref="AM39:AM44" si="9">+IFERROR(ROUND(($AB39-AE39)*100,2)&amp;" pts.",0)</f>
        <v>-0.01 pts.</v>
      </c>
      <c r="AN39" s="375" t="str">
        <f t="shared" ref="AN39:AN44" si="10">+IFERROR(ROUND(($AB39-AH39)*100,2)&amp;" pts.",0)</f>
        <v>-0.01 pts.</v>
      </c>
    </row>
    <row r="40" spans="1:40" x14ac:dyDescent="0.2">
      <c r="A40" s="1" t="s">
        <v>109</v>
      </c>
      <c r="C40" s="135" t="s">
        <v>101</v>
      </c>
      <c r="D40" s="1" t="s">
        <v>107</v>
      </c>
      <c r="F40" s="1" t="s">
        <v>99</v>
      </c>
      <c r="H40" s="10" t="s">
        <v>507</v>
      </c>
      <c r="I40" s="25" t="s">
        <v>1004</v>
      </c>
      <c r="J40" s="25" t="s">
        <v>1004</v>
      </c>
      <c r="K40" s="64" t="str">
        <f>IF(AND(I40&gt;="T3"),"&gt;","")</f>
        <v/>
      </c>
      <c r="L40" s="24">
        <v>707902</v>
      </c>
      <c r="M40" s="24">
        <v>690612</v>
      </c>
      <c r="N40" s="24" t="s">
        <v>1442</v>
      </c>
      <c r="O40" s="35">
        <v>3531.82</v>
      </c>
      <c r="P40" s="35">
        <v>3600.13</v>
      </c>
      <c r="Q40" s="35">
        <v>3513.15</v>
      </c>
      <c r="R40" s="35">
        <v>3493.16</v>
      </c>
      <c r="S40" s="35">
        <v>3553.02</v>
      </c>
      <c r="T40" s="35">
        <v>3637.61</v>
      </c>
      <c r="U40" s="35">
        <v>3662.86</v>
      </c>
      <c r="V40" s="35">
        <v>3633.47</v>
      </c>
      <c r="W40" s="35">
        <v>3535.48</v>
      </c>
      <c r="X40" s="35">
        <v>3653.98</v>
      </c>
      <c r="Y40" s="35">
        <v>3626.59</v>
      </c>
      <c r="Z40" s="35">
        <v>3719.78</v>
      </c>
      <c r="AA40" s="35">
        <f t="shared" si="0"/>
        <v>43161.05</v>
      </c>
      <c r="AB40" s="36">
        <f t="shared" si="1"/>
        <v>3.9819340467716598E-3</v>
      </c>
      <c r="AD40" s="35">
        <v>42636</v>
      </c>
      <c r="AE40" s="36">
        <f t="shared" si="2"/>
        <v>3.7935144292134903E-3</v>
      </c>
      <c r="AF40" s="118">
        <f t="shared" si="3"/>
        <v>525.05000000000291</v>
      </c>
      <c r="AG40" s="35">
        <v>39780.480000000003</v>
      </c>
      <c r="AH40" s="36">
        <f t="shared" si="4"/>
        <v>3.0741764415462419E-3</v>
      </c>
      <c r="AI40" s="118">
        <f t="shared" si="5"/>
        <v>3380.5699999999997</v>
      </c>
      <c r="AJ40" s="371">
        <f t="shared" si="6"/>
        <v>0.89338156151680748</v>
      </c>
      <c r="AK40" s="372">
        <f t="shared" si="7"/>
        <v>0.88251366120218577</v>
      </c>
      <c r="AL40" s="373">
        <f t="shared" si="8"/>
        <v>0.82566376089663762</v>
      </c>
      <c r="AM40" s="374" t="str">
        <f t="shared" si="9"/>
        <v>0.02 pts.</v>
      </c>
      <c r="AN40" s="375" t="str">
        <f t="shared" si="10"/>
        <v>0.09 pts.</v>
      </c>
    </row>
    <row r="41" spans="1:40" x14ac:dyDescent="0.2">
      <c r="A41" s="1" t="s">
        <v>110</v>
      </c>
      <c r="C41" s="23" t="s">
        <v>101</v>
      </c>
      <c r="D41" s="1" t="s">
        <v>106</v>
      </c>
      <c r="F41" s="1" t="s">
        <v>98</v>
      </c>
      <c r="H41" s="10" t="s">
        <v>508</v>
      </c>
      <c r="I41" s="25" t="s">
        <v>1004</v>
      </c>
      <c r="J41" s="25" t="s">
        <v>1004</v>
      </c>
      <c r="K41" s="64" t="str">
        <f>IF(AND(I41&gt;="T3"),"&gt;","")</f>
        <v/>
      </c>
      <c r="L41" s="24">
        <v>707903</v>
      </c>
      <c r="M41" s="24">
        <v>690045</v>
      </c>
      <c r="N41" s="24" t="s">
        <v>1257</v>
      </c>
      <c r="O41" s="35"/>
      <c r="P41" s="35"/>
      <c r="Q41" s="35"/>
      <c r="R41" s="35"/>
      <c r="S41" s="35"/>
      <c r="T41" s="35"/>
      <c r="U41" s="35"/>
      <c r="V41" s="35"/>
      <c r="W41" s="35"/>
      <c r="X41" s="35"/>
      <c r="Y41" s="35"/>
      <c r="Z41" s="35"/>
      <c r="AA41" s="35">
        <f t="shared" si="0"/>
        <v>0</v>
      </c>
      <c r="AB41" s="36" t="str">
        <f t="shared" si="1"/>
        <v/>
      </c>
      <c r="AD41" s="35"/>
      <c r="AE41" s="36" t="str">
        <f t="shared" si="2"/>
        <v/>
      </c>
      <c r="AF41" s="118">
        <f t="shared" si="3"/>
        <v>0</v>
      </c>
      <c r="AG41" s="35"/>
      <c r="AH41" s="36" t="str">
        <f t="shared" si="4"/>
        <v/>
      </c>
      <c r="AI41" s="118">
        <f t="shared" si="5"/>
        <v>0</v>
      </c>
      <c r="AJ41" s="371">
        <f t="shared" si="6"/>
        <v>0</v>
      </c>
      <c r="AK41" s="372">
        <f t="shared" si="7"/>
        <v>0</v>
      </c>
      <c r="AL41" s="373">
        <f t="shared" si="8"/>
        <v>0</v>
      </c>
      <c r="AM41" s="374">
        <f t="shared" si="9"/>
        <v>0</v>
      </c>
      <c r="AN41" s="375">
        <f t="shared" si="10"/>
        <v>0</v>
      </c>
    </row>
    <row r="42" spans="1:40" x14ac:dyDescent="0.2">
      <c r="A42" s="1" t="s">
        <v>110</v>
      </c>
      <c r="C42" s="27" t="s">
        <v>101</v>
      </c>
      <c r="D42" s="1" t="s">
        <v>107</v>
      </c>
      <c r="F42" s="1" t="s">
        <v>99</v>
      </c>
      <c r="H42" s="10" t="s">
        <v>509</v>
      </c>
      <c r="I42" s="25" t="s">
        <v>1004</v>
      </c>
      <c r="J42" s="25" t="s">
        <v>1004</v>
      </c>
      <c r="K42" s="64" t="str">
        <f>IF(AND(I42&gt;="T3"),"&gt;","")</f>
        <v/>
      </c>
      <c r="L42" s="24">
        <v>707904</v>
      </c>
      <c r="M42" s="24">
        <v>690046</v>
      </c>
      <c r="N42" s="24" t="s">
        <v>1258</v>
      </c>
      <c r="O42" s="35"/>
      <c r="P42" s="35"/>
      <c r="Q42" s="35"/>
      <c r="R42" s="35"/>
      <c r="S42" s="35"/>
      <c r="T42" s="35"/>
      <c r="U42" s="35"/>
      <c r="V42" s="35"/>
      <c r="W42" s="35"/>
      <c r="X42" s="35"/>
      <c r="Y42" s="35"/>
      <c r="Z42" s="35"/>
      <c r="AA42" s="35">
        <f t="shared" si="0"/>
        <v>0</v>
      </c>
      <c r="AB42" s="36" t="str">
        <f t="shared" si="1"/>
        <v/>
      </c>
      <c r="AD42" s="35"/>
      <c r="AE42" s="36" t="str">
        <f t="shared" si="2"/>
        <v/>
      </c>
      <c r="AF42" s="118">
        <f t="shared" si="3"/>
        <v>0</v>
      </c>
      <c r="AG42" s="35"/>
      <c r="AH42" s="36" t="str">
        <f t="shared" si="4"/>
        <v/>
      </c>
      <c r="AI42" s="118">
        <f t="shared" si="5"/>
        <v>0</v>
      </c>
      <c r="AJ42" s="371">
        <f t="shared" si="6"/>
        <v>0</v>
      </c>
      <c r="AK42" s="372">
        <f t="shared" si="7"/>
        <v>0</v>
      </c>
      <c r="AL42" s="373">
        <f t="shared" si="8"/>
        <v>0</v>
      </c>
      <c r="AM42" s="374">
        <f t="shared" si="9"/>
        <v>0</v>
      </c>
      <c r="AN42" s="375">
        <f t="shared" si="10"/>
        <v>0</v>
      </c>
    </row>
    <row r="43" spans="1:40" x14ac:dyDescent="0.2">
      <c r="C43" s="23"/>
      <c r="H43" s="10" t="s">
        <v>510</v>
      </c>
      <c r="I43" s="25" t="s">
        <v>1004</v>
      </c>
      <c r="J43" s="25" t="s">
        <v>1004</v>
      </c>
      <c r="K43" s="64" t="str">
        <f>IF(AND(I43&gt;="T3"),"&gt;","")</f>
        <v/>
      </c>
      <c r="L43" s="24">
        <v>707905</v>
      </c>
      <c r="M43" s="24">
        <v>690039</v>
      </c>
      <c r="N43" s="24" t="s">
        <v>1443</v>
      </c>
      <c r="O43" s="35">
        <v>308.98</v>
      </c>
      <c r="P43" s="35">
        <v>-15.52</v>
      </c>
      <c r="Q43" s="35"/>
      <c r="R43" s="35"/>
      <c r="S43" s="35"/>
      <c r="T43" s="35"/>
      <c r="U43" s="35">
        <v>299</v>
      </c>
      <c r="V43" s="35">
        <v>299</v>
      </c>
      <c r="W43" s="35">
        <v>299</v>
      </c>
      <c r="X43" s="35">
        <v>299</v>
      </c>
      <c r="Y43" s="35">
        <v>299</v>
      </c>
      <c r="Z43" s="35">
        <v>299</v>
      </c>
      <c r="AA43" s="35">
        <f t="shared" si="0"/>
        <v>2087.46</v>
      </c>
      <c r="AB43" s="36">
        <f t="shared" si="1"/>
        <v>1.9258400908397661E-4</v>
      </c>
      <c r="AD43" s="35">
        <v>3588</v>
      </c>
      <c r="AE43" s="36">
        <f t="shared" si="2"/>
        <v>3.1924030800304916E-4</v>
      </c>
      <c r="AF43" s="118">
        <f t="shared" si="3"/>
        <v>-1500.54</v>
      </c>
      <c r="AG43" s="35">
        <v>2017.41</v>
      </c>
      <c r="AH43" s="36">
        <f t="shared" si="4"/>
        <v>1.5590245001920048E-4</v>
      </c>
      <c r="AI43" s="118">
        <f t="shared" si="5"/>
        <v>70.049999999999955</v>
      </c>
      <c r="AJ43" s="371">
        <f t="shared" si="6"/>
        <v>4.3207898658718331E-2</v>
      </c>
      <c r="AK43" s="372">
        <f t="shared" si="7"/>
        <v>7.4267262791852959E-2</v>
      </c>
      <c r="AL43" s="373">
        <f t="shared" si="8"/>
        <v>4.1872353673723536E-2</v>
      </c>
      <c r="AM43" s="374" t="str">
        <f t="shared" si="9"/>
        <v>-0.01 pts.</v>
      </c>
      <c r="AN43" s="375" t="str">
        <f t="shared" si="10"/>
        <v>0 pts.</v>
      </c>
    </row>
    <row r="44" spans="1:40" x14ac:dyDescent="0.2">
      <c r="C44" s="23"/>
      <c r="H44" s="10" t="s">
        <v>511</v>
      </c>
      <c r="I44" s="25" t="s">
        <v>1058</v>
      </c>
      <c r="J44" s="25" t="s">
        <v>78</v>
      </c>
      <c r="K44" s="64"/>
      <c r="L44" s="24">
        <v>707900</v>
      </c>
      <c r="M44" s="24"/>
      <c r="N44" s="23" t="s">
        <v>1444</v>
      </c>
      <c r="O44" s="30">
        <f t="shared" ref="O44:Z44" si="11">SUM(O39:O43)</f>
        <v>4295.01</v>
      </c>
      <c r="P44" s="30">
        <f t="shared" si="11"/>
        <v>4161.9699999999993</v>
      </c>
      <c r="Q44" s="30">
        <f t="shared" si="11"/>
        <v>4521.21</v>
      </c>
      <c r="R44" s="30">
        <f t="shared" si="11"/>
        <v>4097.3500000000004</v>
      </c>
      <c r="S44" s="30">
        <f t="shared" si="11"/>
        <v>4202.96</v>
      </c>
      <c r="T44" s="30">
        <f t="shared" si="11"/>
        <v>3999.59</v>
      </c>
      <c r="U44" s="30">
        <f t="shared" si="11"/>
        <v>4463.5600000000004</v>
      </c>
      <c r="V44" s="30">
        <f t="shared" si="11"/>
        <v>4623.93</v>
      </c>
      <c r="W44" s="30">
        <f t="shared" si="11"/>
        <v>4407.2299999999996</v>
      </c>
      <c r="X44" s="30">
        <f t="shared" si="11"/>
        <v>4635.8100000000004</v>
      </c>
      <c r="Y44" s="30">
        <f t="shared" si="11"/>
        <v>5249.56</v>
      </c>
      <c r="Z44" s="30">
        <f t="shared" si="11"/>
        <v>4932.8600000000006</v>
      </c>
      <c r="AA44" s="30">
        <f t="shared" si="0"/>
        <v>53591.039999999994</v>
      </c>
      <c r="AB44" s="31">
        <f t="shared" si="1"/>
        <v>4.9441796892777598E-3</v>
      </c>
      <c r="AD44" s="30">
        <f>SUM(AD39:AD43)</f>
        <v>55908</v>
      </c>
      <c r="AE44" s="31">
        <f t="shared" si="2"/>
        <v>4.9743832608234312E-3</v>
      </c>
      <c r="AF44" s="49">
        <f t="shared" si="3"/>
        <v>-2316.9600000000064</v>
      </c>
      <c r="AG44" s="30">
        <f>SUM(AG39:AG43)</f>
        <v>52747.740000000005</v>
      </c>
      <c r="AH44" s="31">
        <f t="shared" si="4"/>
        <v>4.0762670448623644E-3</v>
      </c>
      <c r="AI44" s="49">
        <f t="shared" si="5"/>
        <v>843.29999999998836</v>
      </c>
      <c r="AJ44" s="387">
        <f t="shared" si="6"/>
        <v>1.1092697466467958</v>
      </c>
      <c r="AK44" s="388">
        <f t="shared" si="7"/>
        <v>1.1572280178837555</v>
      </c>
      <c r="AL44" s="389">
        <f t="shared" si="8"/>
        <v>1.0948057285180575</v>
      </c>
      <c r="AM44" s="390" t="str">
        <f t="shared" si="9"/>
        <v>0 pts.</v>
      </c>
      <c r="AN44" s="408" t="str">
        <f t="shared" si="10"/>
        <v>0.09 pts.</v>
      </c>
    </row>
    <row r="45" spans="1:40" x14ac:dyDescent="0.2">
      <c r="A45" s="4" t="s">
        <v>989</v>
      </c>
      <c r="H45" s="23"/>
      <c r="I45" s="23"/>
      <c r="J45" s="23"/>
      <c r="K45" s="23"/>
      <c r="L45" s="23"/>
      <c r="M45" s="23"/>
      <c r="N45" s="23"/>
      <c r="O45" s="38"/>
      <c r="P45" s="42"/>
      <c r="Q45" s="42"/>
      <c r="R45" s="42"/>
      <c r="S45" s="42"/>
      <c r="T45" s="42"/>
      <c r="U45" s="42"/>
      <c r="V45" s="42"/>
      <c r="W45" s="42"/>
      <c r="X45" s="42"/>
      <c r="Y45" s="42"/>
      <c r="Z45" s="42"/>
      <c r="AA45" s="42"/>
      <c r="AB45" s="39"/>
      <c r="AD45" s="38"/>
      <c r="AE45" s="42"/>
      <c r="AF45" s="39"/>
      <c r="AG45" s="38"/>
      <c r="AH45" s="42"/>
      <c r="AI45" s="39"/>
    </row>
    <row r="46" spans="1:40" x14ac:dyDescent="0.2">
      <c r="H46" s="1" t="s">
        <v>501</v>
      </c>
      <c r="I46" s="11" t="s">
        <v>1006</v>
      </c>
      <c r="J46" s="11" t="s">
        <v>78</v>
      </c>
      <c r="L46" s="1"/>
      <c r="M46" s="1"/>
      <c r="N46" s="37" t="s">
        <v>1445</v>
      </c>
      <c r="O46" s="40"/>
      <c r="P46" s="43"/>
      <c r="Q46" s="43"/>
      <c r="R46" s="43"/>
      <c r="S46" s="43"/>
      <c r="T46" s="43"/>
      <c r="U46" s="43"/>
      <c r="V46" s="43"/>
      <c r="W46" s="43"/>
      <c r="X46" s="43"/>
      <c r="Y46" s="43"/>
      <c r="Z46" s="43"/>
      <c r="AA46" s="43"/>
      <c r="AB46" s="41"/>
      <c r="AD46" s="40"/>
      <c r="AE46" s="43"/>
      <c r="AF46" s="41"/>
      <c r="AG46" s="40"/>
      <c r="AH46" s="43"/>
      <c r="AI46" s="41"/>
    </row>
    <row r="47" spans="1:40" x14ac:dyDescent="0.2">
      <c r="A47" s="3" t="s">
        <v>0</v>
      </c>
      <c r="B47" s="5" t="s">
        <v>1</v>
      </c>
      <c r="H47" s="10" t="s">
        <v>888</v>
      </c>
      <c r="I47" s="25" t="s">
        <v>1052</v>
      </c>
      <c r="J47" s="25" t="s">
        <v>78</v>
      </c>
      <c r="K47" s="64" t="str">
        <f t="shared" ref="K47:K52" si="12">IF(AND(I47&gt;="T3"),"&gt;","")</f>
        <v>&gt;</v>
      </c>
      <c r="L47" s="24">
        <v>707010</v>
      </c>
      <c r="M47" s="24"/>
      <c r="N47" s="24" t="s">
        <v>1446</v>
      </c>
      <c r="O47" s="19">
        <v>255</v>
      </c>
      <c r="P47" s="19">
        <v>255</v>
      </c>
      <c r="Q47" s="19">
        <v>255</v>
      </c>
      <c r="R47" s="19">
        <v>255</v>
      </c>
      <c r="S47" s="19">
        <v>255</v>
      </c>
      <c r="T47" s="19">
        <v>255</v>
      </c>
      <c r="U47" s="19">
        <v>255</v>
      </c>
      <c r="V47" s="19">
        <v>847</v>
      </c>
      <c r="W47" s="19">
        <v>1926.63</v>
      </c>
      <c r="X47" s="19">
        <v>255</v>
      </c>
      <c r="Y47" s="19">
        <v>255</v>
      </c>
      <c r="Z47" s="19">
        <v>441</v>
      </c>
      <c r="AA47" s="35">
        <f t="shared" ref="AA47:AA53" si="13">IF($I47="B1","",SUM(O47:Z47))</f>
        <v>5509.63</v>
      </c>
      <c r="AB47" s="15">
        <f t="shared" ref="AB47:AB53" si="14">IF(AA47=0,"",IFERROR(AA47/AA$19,""))</f>
        <v>5.0830513349685747E-4</v>
      </c>
      <c r="AD47" s="19">
        <v>6116</v>
      </c>
      <c r="AE47" s="15">
        <f t="shared" ref="AE47:AE53" si="15">IF(AD47=0,"",IFERROR(AD47/AD$19,""))</f>
        <v>5.4416770450018076E-4</v>
      </c>
      <c r="AF47" s="47">
        <f t="shared" ref="AF47:AF53" si="16">IF(AND($AA47="",AD47=""),"",$AA47-AD47)</f>
        <v>-606.36999999999989</v>
      </c>
      <c r="AG47" s="19">
        <v>5920.9</v>
      </c>
      <c r="AH47" s="15">
        <f t="shared" ref="AH47:AH53" si="17">IF(AG47=0,"",IFERROR(AG47/AG$19,""))</f>
        <v>4.5755836261279759E-4</v>
      </c>
      <c r="AI47" s="47">
        <f t="shared" ref="AI47:AI53" si="18">IF(AND($AA47="",AG47=""),"",$AA47-AG47)</f>
        <v>-411.26999999999953</v>
      </c>
      <c r="AJ47" s="371">
        <f t="shared" ref="AJ47:AJ53" si="19">IFERROR(AA47/AA$20,0)</f>
        <v>0.11404268090743501</v>
      </c>
      <c r="AK47" s="372">
        <f t="shared" ref="AK47:AK53" si="20">IFERROR(AD47/AD$20,0)</f>
        <v>0.12659380692167577</v>
      </c>
      <c r="AL47" s="373">
        <f t="shared" ref="AL47:AL53" si="21">IFERROR(AG47/AG$20,0)</f>
        <v>0.12289124117891241</v>
      </c>
      <c r="AM47" s="374" t="str">
        <f t="shared" ref="AM47:AM53" si="22">+IFERROR(ROUND(($AB47-AE47)*100,2)&amp;" pts.",0)</f>
        <v>0 pts.</v>
      </c>
      <c r="AN47" s="375" t="str">
        <f t="shared" ref="AN47:AN53" si="23">+IFERROR(ROUND(($AB47-AH47)*100,2)&amp;" pts.",0)</f>
        <v>0.01 pts.</v>
      </c>
    </row>
    <row r="48" spans="1:40" x14ac:dyDescent="0.2">
      <c r="A48" s="6" t="s">
        <v>2</v>
      </c>
      <c r="B48" s="14" t="s">
        <v>1434</v>
      </c>
      <c r="H48" s="10" t="s">
        <v>889</v>
      </c>
      <c r="I48" s="25" t="s">
        <v>1052</v>
      </c>
      <c r="J48" s="25" t="s">
        <v>78</v>
      </c>
      <c r="K48" s="64" t="str">
        <f t="shared" si="12"/>
        <v>&gt;</v>
      </c>
      <c r="L48" s="24">
        <v>707150</v>
      </c>
      <c r="M48" s="24"/>
      <c r="N48" s="24" t="s">
        <v>1447</v>
      </c>
      <c r="O48" s="19">
        <v>168.53</v>
      </c>
      <c r="P48" s="19"/>
      <c r="Q48" s="19"/>
      <c r="R48" s="19"/>
      <c r="S48" s="19"/>
      <c r="T48" s="19"/>
      <c r="U48" s="19"/>
      <c r="V48" s="19"/>
      <c r="W48" s="19"/>
      <c r="X48" s="19"/>
      <c r="Y48" s="19"/>
      <c r="Z48" s="19"/>
      <c r="AA48" s="35">
        <f t="shared" si="13"/>
        <v>168.53</v>
      </c>
      <c r="AB48" s="15">
        <f t="shared" si="14"/>
        <v>1.5548170049209364E-5</v>
      </c>
      <c r="AD48" s="19"/>
      <c r="AE48" s="15" t="str">
        <f t="shared" si="15"/>
        <v/>
      </c>
      <c r="AF48" s="47">
        <f t="shared" si="16"/>
        <v>168.53</v>
      </c>
      <c r="AG48" s="19">
        <v>21508.54</v>
      </c>
      <c r="AH48" s="15">
        <f t="shared" si="17"/>
        <v>1.6621480424583869E-3</v>
      </c>
      <c r="AI48" s="47">
        <f t="shared" si="18"/>
        <v>-21340.010000000002</v>
      </c>
      <c r="AJ48" s="371">
        <f t="shared" si="19"/>
        <v>3.4883672793508858E-3</v>
      </c>
      <c r="AK48" s="372">
        <f t="shared" si="20"/>
        <v>0</v>
      </c>
      <c r="AL48" s="373">
        <f t="shared" si="21"/>
        <v>0.44642050643420506</v>
      </c>
      <c r="AM48" s="374">
        <f t="shared" si="22"/>
        <v>0</v>
      </c>
      <c r="AN48" s="375" t="str">
        <f t="shared" si="23"/>
        <v>-0.16 pts.</v>
      </c>
    </row>
    <row r="49" spans="1:40" x14ac:dyDescent="0.2">
      <c r="A49" s="6" t="s">
        <v>3</v>
      </c>
      <c r="B49" s="14" t="s">
        <v>1435</v>
      </c>
      <c r="H49" s="10" t="s">
        <v>890</v>
      </c>
      <c r="I49" s="25" t="s">
        <v>1052</v>
      </c>
      <c r="J49" s="25" t="s">
        <v>78</v>
      </c>
      <c r="K49" s="64" t="str">
        <f t="shared" si="12"/>
        <v>&gt;</v>
      </c>
      <c r="L49" s="24">
        <v>707310</v>
      </c>
      <c r="M49" s="24"/>
      <c r="N49" s="24" t="s">
        <v>1414</v>
      </c>
      <c r="O49" s="19">
        <v>586</v>
      </c>
      <c r="P49" s="19">
        <v>828.87</v>
      </c>
      <c r="Q49" s="19">
        <v>1534.56</v>
      </c>
      <c r="R49" s="19">
        <v>3091.68</v>
      </c>
      <c r="S49" s="19">
        <v>402.64</v>
      </c>
      <c r="T49" s="19">
        <v>586</v>
      </c>
      <c r="U49" s="19">
        <v>744</v>
      </c>
      <c r="V49" s="19">
        <v>-1032.4000000000001</v>
      </c>
      <c r="W49" s="19">
        <v>-2009.28</v>
      </c>
      <c r="X49" s="19">
        <v>523.91999999999996</v>
      </c>
      <c r="Y49" s="19">
        <v>538.08000000000004</v>
      </c>
      <c r="Z49" s="19"/>
      <c r="AA49" s="35">
        <f t="shared" si="13"/>
        <v>5794.0700000000006</v>
      </c>
      <c r="AB49" s="15">
        <f t="shared" si="14"/>
        <v>5.3454687970701069E-4</v>
      </c>
      <c r="AD49" s="19">
        <v>11602</v>
      </c>
      <c r="AE49" s="15">
        <f t="shared" si="15"/>
        <v>1.0322815087657124E-3</v>
      </c>
      <c r="AF49" s="47">
        <f t="shared" si="16"/>
        <v>-5807.9299999999994</v>
      </c>
      <c r="AG49" s="19">
        <v>7058.65</v>
      </c>
      <c r="AH49" s="15">
        <f t="shared" si="17"/>
        <v>5.4548199365921123E-4</v>
      </c>
      <c r="AI49" s="47">
        <f t="shared" si="18"/>
        <v>-1264.579999999999</v>
      </c>
      <c r="AJ49" s="371">
        <f t="shared" si="19"/>
        <v>0.11993024507368771</v>
      </c>
      <c r="AK49" s="372">
        <f t="shared" si="20"/>
        <v>0.24014737539327705</v>
      </c>
      <c r="AL49" s="373">
        <f t="shared" si="21"/>
        <v>0.1465058115400581</v>
      </c>
      <c r="AM49" s="374" t="str">
        <f t="shared" si="22"/>
        <v>-0.05 pts.</v>
      </c>
      <c r="AN49" s="375" t="str">
        <f t="shared" si="23"/>
        <v>0 pts.</v>
      </c>
    </row>
    <row r="50" spans="1:40" x14ac:dyDescent="0.2">
      <c r="A50" s="6" t="s">
        <v>4</v>
      </c>
      <c r="B50" s="14" t="s">
        <v>1449</v>
      </c>
      <c r="H50" s="10" t="s">
        <v>891</v>
      </c>
      <c r="I50" s="25" t="s">
        <v>1052</v>
      </c>
      <c r="J50" s="25" t="s">
        <v>78</v>
      </c>
      <c r="K50" s="64" t="str">
        <f t="shared" si="12"/>
        <v>&gt;</v>
      </c>
      <c r="L50" s="24">
        <v>707450</v>
      </c>
      <c r="M50" s="24"/>
      <c r="N50" s="24" t="s">
        <v>586</v>
      </c>
      <c r="O50" s="19"/>
      <c r="P50" s="19"/>
      <c r="Q50" s="19">
        <v>1639.2</v>
      </c>
      <c r="R50" s="19"/>
      <c r="S50" s="19">
        <v>29.95</v>
      </c>
      <c r="T50" s="19">
        <v>2943.89</v>
      </c>
      <c r="U50" s="19">
        <v>1845</v>
      </c>
      <c r="V50" s="19">
        <v>209.08</v>
      </c>
      <c r="W50" s="19">
        <v>95</v>
      </c>
      <c r="X50" s="19">
        <v>305.20999999999998</v>
      </c>
      <c r="Y50" s="19">
        <v>72.400000000000006</v>
      </c>
      <c r="Z50" s="19">
        <v>101.5</v>
      </c>
      <c r="AA50" s="35">
        <f t="shared" si="13"/>
        <v>7241.23</v>
      </c>
      <c r="AB50" s="15">
        <f t="shared" si="14"/>
        <v>6.6805835996817367E-4</v>
      </c>
      <c r="AD50" s="19">
        <v>7733.0000000004002</v>
      </c>
      <c r="AE50" s="15">
        <f t="shared" si="15"/>
        <v>6.8803938176914905E-4</v>
      </c>
      <c r="AF50" s="47">
        <f t="shared" si="16"/>
        <v>-491.77000000040061</v>
      </c>
      <c r="AG50" s="19">
        <v>6942.26</v>
      </c>
      <c r="AH50" s="15">
        <f t="shared" si="17"/>
        <v>5.3648754723645395E-4</v>
      </c>
      <c r="AI50" s="47">
        <f t="shared" si="18"/>
        <v>298.96999999999935</v>
      </c>
      <c r="AJ50" s="371">
        <f t="shared" si="19"/>
        <v>0.14988470773306839</v>
      </c>
      <c r="AK50" s="372">
        <f t="shared" si="20"/>
        <v>0.1600637522768753</v>
      </c>
      <c r="AL50" s="373">
        <f t="shared" si="21"/>
        <v>0.14409007887090081</v>
      </c>
      <c r="AM50" s="374" t="str">
        <f t="shared" si="22"/>
        <v>0 pts.</v>
      </c>
      <c r="AN50" s="375" t="str">
        <f t="shared" si="23"/>
        <v>0.01 pts.</v>
      </c>
    </row>
    <row r="51" spans="1:40" x14ac:dyDescent="0.2">
      <c r="A51" s="6" t="s">
        <v>5</v>
      </c>
      <c r="B51" s="7"/>
      <c r="H51" s="10" t="s">
        <v>892</v>
      </c>
      <c r="I51" s="25" t="s">
        <v>1052</v>
      </c>
      <c r="J51" s="25" t="s">
        <v>78</v>
      </c>
      <c r="K51" s="64" t="str">
        <f t="shared" si="12"/>
        <v>&gt;</v>
      </c>
      <c r="L51" s="24">
        <v>707610</v>
      </c>
      <c r="M51" s="24"/>
      <c r="N51" s="24" t="s">
        <v>1014</v>
      </c>
      <c r="O51" s="19">
        <v>4436</v>
      </c>
      <c r="P51" s="19">
        <v>261</v>
      </c>
      <c r="Q51" s="19">
        <v>605</v>
      </c>
      <c r="R51" s="19">
        <v>261</v>
      </c>
      <c r="S51" s="19">
        <v>1836</v>
      </c>
      <c r="T51" s="19"/>
      <c r="U51" s="19">
        <v>261</v>
      </c>
      <c r="V51" s="19">
        <v>522</v>
      </c>
      <c r="W51" s="19">
        <v>261</v>
      </c>
      <c r="X51" s="19">
        <v>261</v>
      </c>
      <c r="Y51" s="19">
        <v>121.8</v>
      </c>
      <c r="Z51" s="19">
        <v>2835.86</v>
      </c>
      <c r="AA51" s="35">
        <f t="shared" si="13"/>
        <v>11661.66</v>
      </c>
      <c r="AB51" s="15">
        <f t="shared" si="14"/>
        <v>1.0758765367356723E-3</v>
      </c>
      <c r="AD51" s="19">
        <v>10259</v>
      </c>
      <c r="AE51" s="15">
        <f t="shared" si="15"/>
        <v>9.1278882937661132E-4</v>
      </c>
      <c r="AF51" s="47">
        <f t="shared" si="16"/>
        <v>1402.6599999999999</v>
      </c>
      <c r="AG51" s="19">
        <v>10892.2</v>
      </c>
      <c r="AH51" s="15">
        <f t="shared" si="17"/>
        <v>8.4173304687650767E-4</v>
      </c>
      <c r="AI51" s="47">
        <f t="shared" si="18"/>
        <v>769.45999999999913</v>
      </c>
      <c r="AJ51" s="371">
        <f t="shared" si="19"/>
        <v>0.24138226527570789</v>
      </c>
      <c r="AK51" s="372">
        <f t="shared" si="20"/>
        <v>0.21234889882430866</v>
      </c>
      <c r="AL51" s="373">
        <f t="shared" si="21"/>
        <v>0.2260730593607306</v>
      </c>
      <c r="AM51" s="374" t="str">
        <f t="shared" si="22"/>
        <v>0.02 pts.</v>
      </c>
      <c r="AN51" s="375" t="str">
        <f t="shared" si="23"/>
        <v>0.02 pts.</v>
      </c>
    </row>
    <row r="52" spans="1:40" x14ac:dyDescent="0.2">
      <c r="A52" s="6" t="s">
        <v>6</v>
      </c>
      <c r="B52" s="7"/>
      <c r="H52" s="10" t="s">
        <v>893</v>
      </c>
      <c r="I52" s="25" t="s">
        <v>1052</v>
      </c>
      <c r="J52" s="25" t="s">
        <v>78</v>
      </c>
      <c r="K52" s="64" t="str">
        <f t="shared" si="12"/>
        <v>&gt;</v>
      </c>
      <c r="L52" s="24">
        <v>707650</v>
      </c>
      <c r="M52" s="24"/>
      <c r="N52" s="24" t="s">
        <v>1448</v>
      </c>
      <c r="O52" s="19">
        <v>1783.15</v>
      </c>
      <c r="P52" s="19">
        <v>7910.66</v>
      </c>
      <c r="Q52" s="19">
        <v>3597.66</v>
      </c>
      <c r="R52" s="19">
        <v>1299.6300000000001</v>
      </c>
      <c r="S52" s="19">
        <v>2226.5</v>
      </c>
      <c r="T52" s="19">
        <v>-930.84</v>
      </c>
      <c r="U52" s="19">
        <v>528.48</v>
      </c>
      <c r="V52" s="19">
        <v>-245</v>
      </c>
      <c r="W52" s="19">
        <v>200</v>
      </c>
      <c r="X52" s="19">
        <v>114</v>
      </c>
      <c r="Y52" s="19">
        <v>436.44</v>
      </c>
      <c r="Z52" s="19">
        <v>2472</v>
      </c>
      <c r="AA52" s="35">
        <f t="shared" si="13"/>
        <v>19392.679999999997</v>
      </c>
      <c r="AB52" s="15">
        <f t="shared" si="14"/>
        <v>1.7891217370788668E-3</v>
      </c>
      <c r="AD52" s="19">
        <v>18162</v>
      </c>
      <c r="AE52" s="15">
        <f t="shared" si="15"/>
        <v>1.6159538667645983E-3</v>
      </c>
      <c r="AF52" s="47">
        <f t="shared" si="16"/>
        <v>1230.6799999999967</v>
      </c>
      <c r="AG52" s="19">
        <v>20653.46</v>
      </c>
      <c r="AH52" s="15">
        <f t="shared" si="17"/>
        <v>1.5960687293973738E-3</v>
      </c>
      <c r="AI52" s="47">
        <f t="shared" si="18"/>
        <v>-1260.7800000000025</v>
      </c>
      <c r="AJ52" s="371">
        <f t="shared" si="19"/>
        <v>0.40140503394601751</v>
      </c>
      <c r="AK52" s="372">
        <f t="shared" si="20"/>
        <v>0.37593144560357677</v>
      </c>
      <c r="AL52" s="373">
        <f t="shared" si="21"/>
        <v>0.42867289331672892</v>
      </c>
      <c r="AM52" s="374" t="str">
        <f t="shared" si="22"/>
        <v>0.02 pts.</v>
      </c>
      <c r="AN52" s="375" t="str">
        <f t="shared" si="23"/>
        <v>0.02 pts.</v>
      </c>
    </row>
    <row r="53" spans="1:40" x14ac:dyDescent="0.2">
      <c r="A53" s="6" t="s">
        <v>7</v>
      </c>
      <c r="B53" s="7"/>
      <c r="H53" s="10" t="s">
        <v>502</v>
      </c>
      <c r="I53" s="25" t="s">
        <v>1058</v>
      </c>
      <c r="J53" s="25" t="s">
        <v>78</v>
      </c>
      <c r="K53" s="64"/>
      <c r="L53" s="24"/>
      <c r="M53" s="24"/>
      <c r="N53" s="23" t="s">
        <v>1450</v>
      </c>
      <c r="O53" s="30">
        <f t="shared" ref="O53:Z53" si="24">SUM(O47:O52)</f>
        <v>7228.68</v>
      </c>
      <c r="P53" s="30">
        <f t="shared" si="24"/>
        <v>9255.5299999999988</v>
      </c>
      <c r="Q53" s="30">
        <f t="shared" si="24"/>
        <v>7631.42</v>
      </c>
      <c r="R53" s="30">
        <f t="shared" si="24"/>
        <v>4907.3099999999995</v>
      </c>
      <c r="S53" s="30">
        <f t="shared" si="24"/>
        <v>4750.09</v>
      </c>
      <c r="T53" s="30">
        <f t="shared" si="24"/>
        <v>2854.0499999999997</v>
      </c>
      <c r="U53" s="30">
        <f t="shared" si="24"/>
        <v>3633.48</v>
      </c>
      <c r="V53" s="30">
        <f t="shared" si="24"/>
        <v>300.67999999999995</v>
      </c>
      <c r="W53" s="30">
        <f t="shared" si="24"/>
        <v>473.35000000000014</v>
      </c>
      <c r="X53" s="30">
        <f t="shared" si="24"/>
        <v>1459.1299999999999</v>
      </c>
      <c r="Y53" s="30">
        <f t="shared" si="24"/>
        <v>1423.72</v>
      </c>
      <c r="Z53" s="30">
        <f t="shared" si="24"/>
        <v>5850.3600000000006</v>
      </c>
      <c r="AA53" s="30">
        <f t="shared" si="13"/>
        <v>49767.8</v>
      </c>
      <c r="AB53" s="31">
        <f t="shared" si="14"/>
        <v>4.5914568170357913E-3</v>
      </c>
      <c r="AD53" s="30">
        <f>SUM(AD47:AD52)</f>
        <v>53872.0000000004</v>
      </c>
      <c r="AE53" s="31">
        <f t="shared" si="15"/>
        <v>4.7932312911762517E-3</v>
      </c>
      <c r="AF53" s="49">
        <f t="shared" si="16"/>
        <v>-4104.2000000003973</v>
      </c>
      <c r="AG53" s="30">
        <f>SUM(AG47:AG52)</f>
        <v>72976.010000000009</v>
      </c>
      <c r="AH53" s="31">
        <f t="shared" si="17"/>
        <v>5.639477722240732E-3</v>
      </c>
      <c r="AI53" s="49">
        <f t="shared" si="18"/>
        <v>-23208.210000000006</v>
      </c>
      <c r="AJ53" s="387">
        <f t="shared" si="19"/>
        <v>1.0301333002152675</v>
      </c>
      <c r="AK53" s="388">
        <f t="shared" si="20"/>
        <v>1.1150852790197134</v>
      </c>
      <c r="AL53" s="389">
        <f t="shared" si="21"/>
        <v>1.5146535907015362</v>
      </c>
      <c r="AM53" s="390" t="str">
        <f t="shared" si="22"/>
        <v>-0.02 pts.</v>
      </c>
      <c r="AN53" s="408" t="str">
        <f t="shared" si="23"/>
        <v>-0.1 pts.</v>
      </c>
    </row>
    <row r="54" spans="1:40" x14ac:dyDescent="0.2">
      <c r="A54" s="6" t="s">
        <v>47</v>
      </c>
      <c r="B54" s="14" t="s">
        <v>1438</v>
      </c>
      <c r="H54" s="64"/>
      <c r="I54" s="64"/>
      <c r="J54" s="64"/>
      <c r="K54" s="64"/>
      <c r="L54" s="24"/>
      <c r="M54" s="24"/>
      <c r="N54" s="23"/>
      <c r="O54" s="38"/>
      <c r="P54" s="42"/>
      <c r="Q54" s="42"/>
      <c r="R54" s="42"/>
      <c r="S54" s="42"/>
      <c r="T54" s="42"/>
      <c r="U54" s="42"/>
      <c r="V54" s="42"/>
      <c r="W54" s="42"/>
      <c r="X54" s="42"/>
      <c r="Y54" s="42"/>
      <c r="Z54" s="42"/>
      <c r="AA54" s="42"/>
      <c r="AB54" s="39"/>
      <c r="AD54" s="38"/>
      <c r="AE54" s="42"/>
      <c r="AF54" s="39"/>
      <c r="AG54" s="38"/>
      <c r="AH54" s="42"/>
      <c r="AI54" s="39"/>
    </row>
    <row r="55" spans="1:40" x14ac:dyDescent="0.2">
      <c r="A55" s="6" t="s">
        <v>8</v>
      </c>
      <c r="B55" s="7"/>
      <c r="H55" s="1" t="s">
        <v>82</v>
      </c>
      <c r="I55" s="11" t="s">
        <v>1006</v>
      </c>
      <c r="J55" s="11" t="s">
        <v>78</v>
      </c>
      <c r="L55" s="1"/>
      <c r="M55" s="1"/>
      <c r="N55" s="37" t="s">
        <v>1087</v>
      </c>
      <c r="O55" s="40"/>
      <c r="P55" s="43"/>
      <c r="Q55" s="43"/>
      <c r="R55" s="43"/>
      <c r="S55" s="43"/>
      <c r="T55" s="43"/>
      <c r="U55" s="43"/>
      <c r="V55" s="43"/>
      <c r="W55" s="43"/>
      <c r="X55" s="43"/>
      <c r="Y55" s="43"/>
      <c r="Z55" s="43"/>
      <c r="AA55" s="43"/>
      <c r="AB55" s="41"/>
      <c r="AD55" s="40"/>
      <c r="AE55" s="43"/>
      <c r="AF55" s="41"/>
      <c r="AG55" s="40"/>
      <c r="AH55" s="43"/>
      <c r="AI55" s="41"/>
    </row>
    <row r="56" spans="1:40" x14ac:dyDescent="0.2">
      <c r="H56" s="10" t="s">
        <v>829</v>
      </c>
      <c r="I56" s="25" t="s">
        <v>1004</v>
      </c>
      <c r="J56" s="25" t="s">
        <v>1004</v>
      </c>
      <c r="K56" s="64" t="str">
        <f t="shared" ref="K56:K61" si="25">IF(AND(I56&gt;="T3"),"&gt;","")</f>
        <v/>
      </c>
      <c r="L56" s="24">
        <v>701100</v>
      </c>
      <c r="M56" s="24">
        <v>690015</v>
      </c>
      <c r="N56" s="24" t="s">
        <v>1088</v>
      </c>
      <c r="O56" s="19"/>
      <c r="P56" s="19"/>
      <c r="Q56" s="19"/>
      <c r="R56" s="19"/>
      <c r="S56" s="19"/>
      <c r="T56" s="19"/>
      <c r="U56" s="19"/>
      <c r="V56" s="19"/>
      <c r="W56" s="19"/>
      <c r="X56" s="19">
        <v>4.3099999999999996</v>
      </c>
      <c r="Y56" s="19"/>
      <c r="Z56" s="19"/>
      <c r="AA56" s="35">
        <f t="shared" ref="AA56:AA62" si="26">IF($I56="B1","",SUM(O56:Z56))</f>
        <v>4.3099999999999996</v>
      </c>
      <c r="AB56" s="15">
        <f t="shared" ref="AB56:AB62" si="27">IF(AA56=0,"",IFERROR(AA56/AA$19,""))</f>
        <v>3.9763017214794016E-7</v>
      </c>
      <c r="AD56" s="19"/>
      <c r="AE56" s="15" t="str">
        <f t="shared" ref="AE56:AE62" si="28">IF(AD56=0,"",IFERROR(AD56/AD$19,""))</f>
        <v/>
      </c>
      <c r="AF56" s="47">
        <f t="shared" ref="AF56:AF62" si="29">IF(AND($AA56="",AD56=""),"",$AA56-AD56)</f>
        <v>4.3099999999999996</v>
      </c>
      <c r="AG56" s="19"/>
      <c r="AH56" s="15" t="str">
        <f t="shared" ref="AH56:AH62" si="30">IF(AG56=0,"",IFERROR(AG56/AG$19,""))</f>
        <v/>
      </c>
      <c r="AI56" s="47">
        <f t="shared" ref="AI56:AI62" si="31">IF(AND($AA56="",AG56=""),"",$AA56-AG56)</f>
        <v>4.3099999999999996</v>
      </c>
      <c r="AJ56" s="371">
        <f t="shared" ref="AJ56:AJ62" si="32">IFERROR(AA56/AA$20,0)</f>
        <v>8.9211790031462149E-5</v>
      </c>
      <c r="AK56" s="372">
        <f t="shared" ref="AK56:AK62" si="33">IFERROR(AD56/AD$20,0)</f>
        <v>0</v>
      </c>
      <c r="AL56" s="373">
        <f t="shared" ref="AL56:AL62" si="34">IFERROR(AG56/AG$20,0)</f>
        <v>0</v>
      </c>
      <c r="AM56" s="374">
        <f t="shared" ref="AM56:AM62" si="35">+IFERROR(ROUND(($AB56-AE56)*100,2)&amp;" pts.",0)</f>
        <v>0</v>
      </c>
      <c r="AN56" s="375">
        <f t="shared" ref="AN56:AN62" si="36">+IFERROR(ROUND(($AB56-AH56)*100,2)&amp;" pts.",0)</f>
        <v>0</v>
      </c>
    </row>
    <row r="57" spans="1:40" x14ac:dyDescent="0.2">
      <c r="A57" s="3" t="s">
        <v>9</v>
      </c>
      <c r="B57" s="5" t="s">
        <v>10</v>
      </c>
      <c r="H57" s="10" t="s">
        <v>832</v>
      </c>
      <c r="I57" s="25" t="s">
        <v>1058</v>
      </c>
      <c r="J57" s="25" t="s">
        <v>78</v>
      </c>
      <c r="K57" s="64" t="str">
        <f t="shared" si="25"/>
        <v>&gt;</v>
      </c>
      <c r="L57" s="24">
        <v>701500</v>
      </c>
      <c r="M57" s="24"/>
      <c r="N57" s="24" t="s">
        <v>1090</v>
      </c>
      <c r="O57" s="19"/>
      <c r="P57" s="19"/>
      <c r="Q57" s="19"/>
      <c r="R57" s="19"/>
      <c r="S57" s="19"/>
      <c r="T57" s="19"/>
      <c r="U57" s="19"/>
      <c r="V57" s="19"/>
      <c r="W57" s="19"/>
      <c r="X57" s="19"/>
      <c r="Y57" s="19">
        <v>35</v>
      </c>
      <c r="Z57" s="19"/>
      <c r="AA57" s="35">
        <f t="shared" si="26"/>
        <v>35</v>
      </c>
      <c r="AB57" s="15">
        <f t="shared" si="27"/>
        <v>3.2290153190667997E-6</v>
      </c>
      <c r="AD57" s="19"/>
      <c r="AE57" s="15" t="str">
        <f t="shared" si="28"/>
        <v/>
      </c>
      <c r="AF57" s="47">
        <f t="shared" si="29"/>
        <v>35</v>
      </c>
      <c r="AG57" s="19"/>
      <c r="AH57" s="15" t="str">
        <f t="shared" si="30"/>
        <v/>
      </c>
      <c r="AI57" s="47">
        <f t="shared" si="31"/>
        <v>35</v>
      </c>
      <c r="AJ57" s="371">
        <f t="shared" si="32"/>
        <v>7.2445769167080642E-4</v>
      </c>
      <c r="AK57" s="372">
        <f t="shared" si="33"/>
        <v>0</v>
      </c>
      <c r="AL57" s="373">
        <f t="shared" si="34"/>
        <v>0</v>
      </c>
      <c r="AM57" s="374">
        <f t="shared" si="35"/>
        <v>0</v>
      </c>
      <c r="AN57" s="375">
        <f t="shared" si="36"/>
        <v>0</v>
      </c>
    </row>
    <row r="58" spans="1:40" x14ac:dyDescent="0.2">
      <c r="A58" s="6" t="s">
        <v>11</v>
      </c>
      <c r="B58" s="7" t="s">
        <v>21</v>
      </c>
      <c r="H58" s="10" t="s">
        <v>833</v>
      </c>
      <c r="I58" s="25" t="s">
        <v>1058</v>
      </c>
      <c r="J58" s="25" t="s">
        <v>78</v>
      </c>
      <c r="K58" s="64" t="str">
        <f t="shared" si="25"/>
        <v>&gt;</v>
      </c>
      <c r="L58" s="24"/>
      <c r="M58" s="24"/>
      <c r="N58" s="24" t="s">
        <v>1095</v>
      </c>
      <c r="O58" s="19">
        <v>91.83</v>
      </c>
      <c r="P58" s="19">
        <v>93.34</v>
      </c>
      <c r="Q58" s="19">
        <v>91.94</v>
      </c>
      <c r="R58" s="19">
        <v>91.42</v>
      </c>
      <c r="S58" s="19">
        <v>93.36</v>
      </c>
      <c r="T58" s="19">
        <v>126.03</v>
      </c>
      <c r="U58" s="19">
        <v>121.63</v>
      </c>
      <c r="V58" s="19">
        <v>187.46</v>
      </c>
      <c r="W58" s="19">
        <v>92.21</v>
      </c>
      <c r="X58" s="19">
        <v>96.41</v>
      </c>
      <c r="Y58" s="19">
        <v>94.94</v>
      </c>
      <c r="Z58" s="19">
        <v>94.94</v>
      </c>
      <c r="AA58" s="35">
        <f t="shared" si="26"/>
        <v>1275.5100000000002</v>
      </c>
      <c r="AB58" s="15">
        <f t="shared" si="27"/>
        <v>1.1767546656065413E-4</v>
      </c>
      <c r="AD58" s="19">
        <v>1584</v>
      </c>
      <c r="AE58" s="15">
        <f t="shared" si="28"/>
        <v>1.4093552058997487E-4</v>
      </c>
      <c r="AF58" s="47">
        <f t="shared" si="29"/>
        <v>-308.48999999999978</v>
      </c>
      <c r="AG58" s="19">
        <v>1930.92</v>
      </c>
      <c r="AH58" s="15">
        <f t="shared" si="30"/>
        <v>1.4921863121084686E-4</v>
      </c>
      <c r="AI58" s="47">
        <f t="shared" si="31"/>
        <v>-655.40999999999985</v>
      </c>
      <c r="AJ58" s="371">
        <f t="shared" si="32"/>
        <v>2.6401515151515155E-2</v>
      </c>
      <c r="AK58" s="372">
        <f t="shared" si="33"/>
        <v>3.2786885245901641E-2</v>
      </c>
      <c r="AL58" s="373">
        <f t="shared" si="34"/>
        <v>4.0077210460772103E-2</v>
      </c>
      <c r="AM58" s="374" t="str">
        <f t="shared" si="35"/>
        <v>0 pts.</v>
      </c>
      <c r="AN58" s="375" t="str">
        <f t="shared" si="36"/>
        <v>0 pts.</v>
      </c>
    </row>
    <row r="59" spans="1:40" x14ac:dyDescent="0.2">
      <c r="A59" s="6" t="s">
        <v>12</v>
      </c>
      <c r="B59" s="7" t="s">
        <v>22</v>
      </c>
      <c r="H59" s="10" t="s">
        <v>834</v>
      </c>
      <c r="I59" s="25" t="s">
        <v>1058</v>
      </c>
      <c r="J59" s="25" t="s">
        <v>78</v>
      </c>
      <c r="K59" s="64" t="str">
        <f t="shared" si="25"/>
        <v>&gt;</v>
      </c>
      <c r="L59" s="24"/>
      <c r="M59" s="24"/>
      <c r="N59" s="24" t="s">
        <v>1096</v>
      </c>
      <c r="O59" s="19"/>
      <c r="P59" s="19"/>
      <c r="Q59" s="19"/>
      <c r="R59" s="19">
        <v>38.43</v>
      </c>
      <c r="S59" s="19">
        <v>25.23</v>
      </c>
      <c r="T59" s="19">
        <v>3</v>
      </c>
      <c r="U59" s="19">
        <v>12.86</v>
      </c>
      <c r="V59" s="19">
        <v>129.66999999999999</v>
      </c>
      <c r="W59" s="19">
        <v>66.44</v>
      </c>
      <c r="X59" s="19"/>
      <c r="Y59" s="19">
        <v>79.349999999999994</v>
      </c>
      <c r="Z59" s="19"/>
      <c r="AA59" s="35">
        <f t="shared" si="26"/>
        <v>354.98</v>
      </c>
      <c r="AB59" s="15">
        <f t="shared" si="27"/>
        <v>3.274959594178093E-5</v>
      </c>
      <c r="AD59" s="19"/>
      <c r="AE59" s="15" t="str">
        <f t="shared" si="28"/>
        <v/>
      </c>
      <c r="AF59" s="47">
        <f t="shared" si="29"/>
        <v>354.98</v>
      </c>
      <c r="AG59" s="19">
        <v>391.65</v>
      </c>
      <c r="AH59" s="15">
        <f t="shared" si="30"/>
        <v>3.0266130608066708E-5</v>
      </c>
      <c r="AI59" s="47">
        <f t="shared" si="31"/>
        <v>-36.669999999999959</v>
      </c>
      <c r="AJ59" s="371">
        <f t="shared" si="32"/>
        <v>7.3476568968372253E-3</v>
      </c>
      <c r="AK59" s="372">
        <f t="shared" si="33"/>
        <v>0</v>
      </c>
      <c r="AL59" s="373">
        <f t="shared" si="34"/>
        <v>8.1288916562889165E-3</v>
      </c>
      <c r="AM59" s="374">
        <f t="shared" si="35"/>
        <v>0</v>
      </c>
      <c r="AN59" s="375" t="str">
        <f t="shared" si="36"/>
        <v>0 pts.</v>
      </c>
    </row>
    <row r="60" spans="1:40" x14ac:dyDescent="0.2">
      <c r="A60" s="6" t="s">
        <v>13</v>
      </c>
      <c r="B60" s="7" t="s">
        <v>505</v>
      </c>
      <c r="H60" s="10" t="s">
        <v>835</v>
      </c>
      <c r="I60" s="25" t="s">
        <v>1058</v>
      </c>
      <c r="J60" s="25" t="s">
        <v>78</v>
      </c>
      <c r="K60" s="64" t="str">
        <f t="shared" si="25"/>
        <v>&gt;</v>
      </c>
      <c r="L60" s="24">
        <v>702900</v>
      </c>
      <c r="M60" s="24"/>
      <c r="N60" s="24" t="s">
        <v>1097</v>
      </c>
      <c r="O60" s="19"/>
      <c r="P60" s="19"/>
      <c r="Q60" s="19"/>
      <c r="R60" s="19"/>
      <c r="S60" s="19"/>
      <c r="T60" s="19"/>
      <c r="U60" s="19"/>
      <c r="V60" s="19">
        <v>17.29</v>
      </c>
      <c r="W60" s="19">
        <v>10.88</v>
      </c>
      <c r="X60" s="19"/>
      <c r="Y60" s="19"/>
      <c r="Z60" s="19"/>
      <c r="AA60" s="35">
        <f t="shared" si="26"/>
        <v>28.17</v>
      </c>
      <c r="AB60" s="15">
        <f t="shared" si="27"/>
        <v>2.5988960439460502E-6</v>
      </c>
      <c r="AD60" s="19"/>
      <c r="AE60" s="15" t="str">
        <f t="shared" si="28"/>
        <v/>
      </c>
      <c r="AF60" s="47">
        <f t="shared" si="29"/>
        <v>28.17</v>
      </c>
      <c r="AG60" s="19"/>
      <c r="AH60" s="15" t="str">
        <f t="shared" si="30"/>
        <v/>
      </c>
      <c r="AI60" s="47">
        <f t="shared" si="31"/>
        <v>28.17</v>
      </c>
      <c r="AJ60" s="371">
        <f t="shared" si="32"/>
        <v>5.8308494783904628E-4</v>
      </c>
      <c r="AK60" s="372">
        <f t="shared" si="33"/>
        <v>0</v>
      </c>
      <c r="AL60" s="373">
        <f t="shared" si="34"/>
        <v>0</v>
      </c>
      <c r="AM60" s="374">
        <f t="shared" si="35"/>
        <v>0</v>
      </c>
      <c r="AN60" s="375">
        <f t="shared" si="36"/>
        <v>0</v>
      </c>
    </row>
    <row r="61" spans="1:40" x14ac:dyDescent="0.2">
      <c r="A61" s="6" t="s">
        <v>14</v>
      </c>
      <c r="B61" s="14"/>
      <c r="H61" s="10" t="s">
        <v>846</v>
      </c>
      <c r="I61" s="25" t="s">
        <v>1058</v>
      </c>
      <c r="J61" s="25" t="s">
        <v>78</v>
      </c>
      <c r="K61" s="64" t="str">
        <f t="shared" si="25"/>
        <v>&gt;</v>
      </c>
      <c r="L61" s="24">
        <v>706500</v>
      </c>
      <c r="M61" s="24"/>
      <c r="N61" s="24" t="s">
        <v>1109</v>
      </c>
      <c r="O61" s="19">
        <v>7619.92</v>
      </c>
      <c r="P61" s="19">
        <v>8625.2800000000007</v>
      </c>
      <c r="Q61" s="19">
        <v>8599.5300000000007</v>
      </c>
      <c r="R61" s="19">
        <v>6695.29</v>
      </c>
      <c r="S61" s="19">
        <v>6086.1</v>
      </c>
      <c r="T61" s="19">
        <v>4165.3900000000003</v>
      </c>
      <c r="U61" s="19">
        <v>4216.96</v>
      </c>
      <c r="V61" s="19">
        <v>3819.42</v>
      </c>
      <c r="W61" s="19">
        <v>3201.56</v>
      </c>
      <c r="X61" s="19">
        <v>4664.67</v>
      </c>
      <c r="Y61" s="19">
        <v>6162.52</v>
      </c>
      <c r="Z61" s="19">
        <v>8213.5499999999993</v>
      </c>
      <c r="AA61" s="35">
        <f t="shared" si="26"/>
        <v>72070.19</v>
      </c>
      <c r="AB61" s="15">
        <f t="shared" si="27"/>
        <v>6.6490213588015681E-3</v>
      </c>
      <c r="AD61" s="19">
        <v>73054.684559999994</v>
      </c>
      <c r="AE61" s="15">
        <f t="shared" si="28"/>
        <v>6.4999999999999997E-3</v>
      </c>
      <c r="AF61" s="47">
        <f t="shared" si="29"/>
        <v>-984.49455999999191</v>
      </c>
      <c r="AG61" s="19">
        <v>82451</v>
      </c>
      <c r="AH61" s="15">
        <f t="shared" si="30"/>
        <v>6.3716908841202815E-3</v>
      </c>
      <c r="AI61" s="47">
        <f t="shared" si="31"/>
        <v>-10380.809999999998</v>
      </c>
      <c r="AJ61" s="371">
        <f t="shared" si="32"/>
        <v>1.4917658138764696</v>
      </c>
      <c r="AK61" s="372">
        <f t="shared" si="33"/>
        <v>1.5121436612021857</v>
      </c>
      <c r="AL61" s="373">
        <f t="shared" si="34"/>
        <v>1.7113117476131174</v>
      </c>
      <c r="AM61" s="374" t="str">
        <f t="shared" si="35"/>
        <v>0.01 pts.</v>
      </c>
      <c r="AN61" s="375" t="str">
        <f t="shared" si="36"/>
        <v>0.03 pts.</v>
      </c>
    </row>
    <row r="62" spans="1:40" x14ac:dyDescent="0.2">
      <c r="A62" s="6" t="s">
        <v>15</v>
      </c>
      <c r="B62" s="7"/>
      <c r="H62" s="10" t="s">
        <v>79</v>
      </c>
      <c r="I62" s="25" t="s">
        <v>1007</v>
      </c>
      <c r="J62" s="25" t="s">
        <v>78</v>
      </c>
      <c r="K62" s="24"/>
      <c r="N62" s="23" t="s">
        <v>1111</v>
      </c>
      <c r="O62" s="30">
        <f t="shared" ref="O62:Z62" si="37">SUM(O56:O61)</f>
        <v>7711.75</v>
      </c>
      <c r="P62" s="30">
        <f t="shared" si="37"/>
        <v>8718.6200000000008</v>
      </c>
      <c r="Q62" s="30">
        <f t="shared" si="37"/>
        <v>8691.4700000000012</v>
      </c>
      <c r="R62" s="30">
        <f t="shared" si="37"/>
        <v>6825.14</v>
      </c>
      <c r="S62" s="30">
        <f t="shared" si="37"/>
        <v>6204.6900000000005</v>
      </c>
      <c r="T62" s="30">
        <f t="shared" si="37"/>
        <v>4294.42</v>
      </c>
      <c r="U62" s="30">
        <f t="shared" si="37"/>
        <v>4351.45</v>
      </c>
      <c r="V62" s="30">
        <f t="shared" si="37"/>
        <v>4153.84</v>
      </c>
      <c r="W62" s="30">
        <f t="shared" si="37"/>
        <v>3371.09</v>
      </c>
      <c r="X62" s="30">
        <f t="shared" si="37"/>
        <v>4765.3900000000003</v>
      </c>
      <c r="Y62" s="30">
        <f t="shared" si="37"/>
        <v>6371.81</v>
      </c>
      <c r="Z62" s="30">
        <f t="shared" si="37"/>
        <v>8308.49</v>
      </c>
      <c r="AA62" s="30">
        <f t="shared" si="26"/>
        <v>73768.160000000003</v>
      </c>
      <c r="AB62" s="31">
        <f t="shared" si="27"/>
        <v>6.8056719628391644E-3</v>
      </c>
      <c r="AD62" s="30">
        <f>SUM(AD56:AD61)</f>
        <v>74638.684559999994</v>
      </c>
      <c r="AE62" s="31">
        <f t="shared" si="28"/>
        <v>6.6409355205899745E-3</v>
      </c>
      <c r="AF62" s="49">
        <f t="shared" si="29"/>
        <v>-870.52455999999074</v>
      </c>
      <c r="AG62" s="30">
        <f>SUM(AG56:AG61)</f>
        <v>84773.57</v>
      </c>
      <c r="AH62" s="31">
        <f t="shared" si="30"/>
        <v>6.5511756459391956E-3</v>
      </c>
      <c r="AI62" s="49">
        <f t="shared" si="31"/>
        <v>-11005.410000000003</v>
      </c>
      <c r="AJ62" s="387">
        <f t="shared" si="32"/>
        <v>1.5269117403543633</v>
      </c>
      <c r="AK62" s="388">
        <f t="shared" si="33"/>
        <v>1.5449305464480874</v>
      </c>
      <c r="AL62" s="389">
        <f t="shared" si="34"/>
        <v>1.7595178497301787</v>
      </c>
      <c r="AM62" s="390" t="str">
        <f t="shared" si="35"/>
        <v>0.02 pts.</v>
      </c>
      <c r="AN62" s="408" t="str">
        <f t="shared" si="36"/>
        <v>0.03 pts.</v>
      </c>
    </row>
    <row r="63" spans="1:40" x14ac:dyDescent="0.2">
      <c r="A63" s="6" t="s">
        <v>16</v>
      </c>
      <c r="B63" s="7"/>
    </row>
    <row r="64" spans="1:40" x14ac:dyDescent="0.2">
      <c r="A64" s="6" t="s">
        <v>17</v>
      </c>
      <c r="B64" s="7"/>
      <c r="H64" s="10" t="s">
        <v>80</v>
      </c>
      <c r="I64" s="25" t="s">
        <v>1007</v>
      </c>
      <c r="J64" s="25" t="s">
        <v>78</v>
      </c>
      <c r="K64" s="23"/>
      <c r="N64" s="23" t="s">
        <v>1112</v>
      </c>
      <c r="O64" s="33">
        <v>19235.439999999999</v>
      </c>
      <c r="P64" s="33">
        <v>22136.12</v>
      </c>
      <c r="Q64" s="33">
        <v>20844.099999999999</v>
      </c>
      <c r="R64" s="33">
        <v>15829.8</v>
      </c>
      <c r="S64" s="33">
        <v>15157.74</v>
      </c>
      <c r="T64" s="33">
        <v>11148.06</v>
      </c>
      <c r="U64" s="33">
        <v>12448.49</v>
      </c>
      <c r="V64" s="33">
        <v>9078.4500000000007</v>
      </c>
      <c r="W64" s="33">
        <v>8251.67</v>
      </c>
      <c r="X64" s="33">
        <v>10860.33</v>
      </c>
      <c r="Y64" s="33">
        <v>13045.09</v>
      </c>
      <c r="Z64" s="33">
        <v>19091.71</v>
      </c>
      <c r="AA64" s="33">
        <f>IF($I64="B1","",SUM(O64:Z64))</f>
        <v>177126.99999999997</v>
      </c>
      <c r="AB64" s="34">
        <f>IF(AA64=0,"",IFERROR(AA64/AA$19,""))</f>
        <v>1.6341308469152712E-2</v>
      </c>
      <c r="AD64" s="33">
        <v>184418.68455999999</v>
      </c>
      <c r="AE64" s="34">
        <f>IF(AD64=0,"",IFERROR(AD64/AD$19,""))</f>
        <v>1.6408550072589623E-2</v>
      </c>
      <c r="AF64" s="55">
        <f>IF(AND($AA64="",AD64=""),"",$AA64-AD64)</f>
        <v>-7291.6845600000233</v>
      </c>
      <c r="AG64" s="56">
        <v>210497.32</v>
      </c>
      <c r="AH64" s="57">
        <f>IF(AG64=0,"",IFERROR(AG64/AG$19,""))</f>
        <v>1.6266920413042292E-2</v>
      </c>
      <c r="AI64" s="55">
        <f>IF(AND($AA64="",AG64=""),"",$AA64-AG64)</f>
        <v>-33370.320000000036</v>
      </c>
      <c r="AJ64" s="364">
        <f>IFERROR(AA64/AA$20,0)</f>
        <v>3.6663147872164261</v>
      </c>
      <c r="AK64" s="365">
        <f>IFERROR(AD64/AD$20,0)</f>
        <v>3.8172438433515481</v>
      </c>
      <c r="AL64" s="366">
        <f>IFERROR(AG64/AG$20,0)</f>
        <v>4.3689771689497716</v>
      </c>
      <c r="AM64" s="367" t="str">
        <f>+IFERROR(ROUND(($AB64-AE64)*100,2)&amp;" pts.",0)</f>
        <v>-0.01 pts.</v>
      </c>
      <c r="AN64" s="409" t="str">
        <f>+IFERROR(ROUND(($AB64-AH64)*100,2)&amp;" pts.",0)</f>
        <v>0.01 pts.</v>
      </c>
    </row>
    <row r="65" spans="1:40" ht="16" thickBot="1" x14ac:dyDescent="0.25">
      <c r="H65" s="10" t="s">
        <v>81</v>
      </c>
      <c r="I65" s="25" t="s">
        <v>1007</v>
      </c>
      <c r="J65" s="25" t="s">
        <v>78</v>
      </c>
      <c r="K65" s="23"/>
      <c r="N65" s="23" t="s">
        <v>1113</v>
      </c>
      <c r="O65" s="58">
        <v>-19235.439999999999</v>
      </c>
      <c r="P65" s="58">
        <v>-22136.12</v>
      </c>
      <c r="Q65" s="58">
        <v>-20844.099999999999</v>
      </c>
      <c r="R65" s="58">
        <v>-15829.8</v>
      </c>
      <c r="S65" s="58">
        <v>-15157.74</v>
      </c>
      <c r="T65" s="58">
        <v>-11148.06</v>
      </c>
      <c r="U65" s="58">
        <v>-12448.49</v>
      </c>
      <c r="V65" s="58">
        <v>-9078.4500000000007</v>
      </c>
      <c r="W65" s="58">
        <v>-8251.67</v>
      </c>
      <c r="X65" s="58">
        <v>-10860.33</v>
      </c>
      <c r="Y65" s="58">
        <v>-13045.09</v>
      </c>
      <c r="Z65" s="58">
        <v>-19091.71</v>
      </c>
      <c r="AA65" s="58">
        <f>IF($I65="B1","",SUM(O65:Z65))</f>
        <v>-177126.99999999997</v>
      </c>
      <c r="AB65" s="59">
        <f>IF(AA65=0,"",IFERROR(AA65/AA$19,""))</f>
        <v>-1.6341308469152712E-2</v>
      </c>
      <c r="AD65" s="58">
        <v>-184418.68455999999</v>
      </c>
      <c r="AE65" s="59">
        <f>IF(AD65=0,"",IFERROR(AD65/AD$19,""))</f>
        <v>-1.6408550072589623E-2</v>
      </c>
      <c r="AF65" s="60">
        <f>IF(AND($AA65="",AD65=""),"",$AA65-AD65)</f>
        <v>7291.6845600000233</v>
      </c>
      <c r="AG65" s="58">
        <v>-210497.32</v>
      </c>
      <c r="AH65" s="59">
        <f>IF(AG65=0,"",IFERROR(AG65/AG$19,""))</f>
        <v>-1.6266920413042292E-2</v>
      </c>
      <c r="AI65" s="60">
        <f>IF(AND($AA65="",AG65=""),"",$AA65-AG65)</f>
        <v>33370.320000000036</v>
      </c>
      <c r="AJ65" s="402">
        <f>IFERROR(AA65/AA$20,0)</f>
        <v>-3.6663147872164261</v>
      </c>
      <c r="AK65" s="403">
        <f>IFERROR(AD65/AD$20,0)</f>
        <v>-3.8172438433515481</v>
      </c>
      <c r="AL65" s="404">
        <f>IFERROR(AG65/AG$20,0)</f>
        <v>-4.3689771689497716</v>
      </c>
      <c r="AM65" s="405" t="str">
        <f>+IFERROR(ROUND(($AB65-AE65)*100,2)&amp;" pts.",0)</f>
        <v>0.01 pts.</v>
      </c>
      <c r="AN65" s="410" t="str">
        <f>+IFERROR(ROUND(($AB65-AH65)*100,2)&amp;" pts.",0)</f>
        <v>-0.01 pts.</v>
      </c>
    </row>
    <row r="66" spans="1:40" ht="16" thickTop="1" x14ac:dyDescent="0.2">
      <c r="C66" s="23"/>
    </row>
    <row r="67" spans="1:40" x14ac:dyDescent="0.2">
      <c r="N67" s="24" t="str">
        <f>N64&amp;" - Check"</f>
        <v>Total Expenses - Check</v>
      </c>
      <c r="O67" s="124">
        <f t="shared" ref="O67:AA67" si="38">SUMIF($H$35:$H$65,"600000",O$35:O$65)+SUMIF($H$35:$H$65,"707900",O$35:O$65)+SUMIF($H$35:$H$65,"ITSYS_EXP",O$35:O$65)+SUMIF($H$35:$H$65,"700000",O$35:O$65)-SUMIF($H$35:$H$65,"TOTDEPTEXP",O$35:O$65)</f>
        <v>0</v>
      </c>
      <c r="P67" s="124">
        <f t="shared" si="38"/>
        <v>0</v>
      </c>
      <c r="Q67" s="124">
        <f t="shared" si="38"/>
        <v>0</v>
      </c>
      <c r="R67" s="124">
        <f t="shared" si="38"/>
        <v>0</v>
      </c>
      <c r="S67" s="124">
        <f t="shared" si="38"/>
        <v>0</v>
      </c>
      <c r="T67" s="124">
        <f t="shared" si="38"/>
        <v>0</v>
      </c>
      <c r="U67" s="124">
        <f t="shared" si="38"/>
        <v>0</v>
      </c>
      <c r="V67" s="124">
        <f t="shared" si="38"/>
        <v>0</v>
      </c>
      <c r="W67" s="124">
        <f t="shared" si="38"/>
        <v>0</v>
      </c>
      <c r="X67" s="124">
        <f t="shared" si="38"/>
        <v>0</v>
      </c>
      <c r="Y67" s="124">
        <f t="shared" si="38"/>
        <v>0</v>
      </c>
      <c r="Z67" s="124">
        <f t="shared" si="38"/>
        <v>0</v>
      </c>
      <c r="AA67" s="124">
        <f t="shared" si="38"/>
        <v>0</v>
      </c>
      <c r="AB67" s="15"/>
      <c r="AD67" s="124">
        <f>SUMIF($H$35:$H$65,"600000",AD$35:AD$65)+SUMIF($H$35:$H$65,"707900",AD$35:AD$65)+SUMIF($H$35:$H$65,"ITSYS_EXP",AD$35:AD$65)+SUMIF($H$35:$H$65,"700000",AD$35:AD$65)-SUMIF($H$35:$H$65,"TOTDEPTEXP",AD$35:AD$65)</f>
        <v>4.0745362639427185E-10</v>
      </c>
      <c r="AE67" s="15"/>
      <c r="AF67" s="19"/>
      <c r="AG67" s="124">
        <f>SUMIF($H$35:$H$65,"600000",AG$35:AG$65)+SUMIF($H$35:$H$65,"707900",AG$35:AG$65)+SUMIF($H$35:$H$65,"ITSYS_EXP",AG$35:AG$65)+SUMIF($H$35:$H$65,"700000",AG$35:AG$65)-SUMIF($H$35:$H$65,"TOTDEPTEXP",AG$35:AG$65)</f>
        <v>0</v>
      </c>
      <c r="AH67" s="15"/>
      <c r="AI67" s="19"/>
    </row>
    <row r="68" spans="1:40" x14ac:dyDescent="0.2">
      <c r="A68" s="4" t="s">
        <v>989</v>
      </c>
      <c r="N68" s="24" t="str">
        <f>N65&amp;" - Check"</f>
        <v>Department Profit (Loss) - Check</v>
      </c>
      <c r="O68" s="124">
        <f t="shared" ref="O68:AA68" si="39">SUMIF($H$33:$H$65,"TOTDEPTEXP",O$33:O$65)+SUMIF($H$33:$H$65,"TOTDEPTPL",O$33:O$65)</f>
        <v>0</v>
      </c>
      <c r="P68" s="124">
        <f t="shared" si="39"/>
        <v>0</v>
      </c>
      <c r="Q68" s="124">
        <f t="shared" si="39"/>
        <v>0</v>
      </c>
      <c r="R68" s="124">
        <f t="shared" si="39"/>
        <v>0</v>
      </c>
      <c r="S68" s="124">
        <f t="shared" si="39"/>
        <v>0</v>
      </c>
      <c r="T68" s="124">
        <f t="shared" si="39"/>
        <v>0</v>
      </c>
      <c r="U68" s="124">
        <f t="shared" si="39"/>
        <v>0</v>
      </c>
      <c r="V68" s="124">
        <f t="shared" si="39"/>
        <v>0</v>
      </c>
      <c r="W68" s="124">
        <f t="shared" si="39"/>
        <v>0</v>
      </c>
      <c r="X68" s="124">
        <f t="shared" si="39"/>
        <v>0</v>
      </c>
      <c r="Y68" s="124">
        <f t="shared" si="39"/>
        <v>0</v>
      </c>
      <c r="Z68" s="124">
        <f t="shared" si="39"/>
        <v>0</v>
      </c>
      <c r="AA68" s="124">
        <f t="shared" si="39"/>
        <v>0</v>
      </c>
      <c r="AB68" s="15"/>
      <c r="AD68" s="124">
        <f>SUMIF($H$33:$H$65,"ROOMS_TOT",AD$33:AD$65)-SUMIF($H$33:$H$65,"TOTDEPTEXP",AD$33:AD$65)-SUMIF($H$33:$H$65,"TOTDEPTPL",AD$33:AD$65)</f>
        <v>0</v>
      </c>
      <c r="AE68" s="15"/>
      <c r="AF68" s="19"/>
      <c r="AG68" s="124">
        <f>SUMIF($H$33:$H$65,"ROOMS_TOT",AG$33:AG$65)-SUMIF($H$33:$H$65,"TOTDEPTEXP",AG$33:AG$65)-SUMIF($H$33:$H$65,"TOTDEPTPL",AG$33:AG$65)</f>
        <v>0</v>
      </c>
      <c r="AH68" s="15"/>
      <c r="AI68" s="19"/>
    </row>
    <row r="70" spans="1:40" x14ac:dyDescent="0.2">
      <c r="A70" s="3" t="s">
        <v>0</v>
      </c>
      <c r="B70" s="5" t="s">
        <v>1</v>
      </c>
    </row>
    <row r="71" spans="1:40" x14ac:dyDescent="0.2">
      <c r="A71" s="6" t="s">
        <v>2</v>
      </c>
      <c r="B71" s="14" t="s">
        <v>1434</v>
      </c>
    </row>
    <row r="72" spans="1:40" x14ac:dyDescent="0.2">
      <c r="A72" s="6" t="s">
        <v>3</v>
      </c>
      <c r="B72" s="14" t="s">
        <v>1435</v>
      </c>
    </row>
    <row r="73" spans="1:40" x14ac:dyDescent="0.2">
      <c r="A73" s="6" t="s">
        <v>4</v>
      </c>
      <c r="B73" s="14" t="s">
        <v>1451</v>
      </c>
    </row>
    <row r="74" spans="1:40" x14ac:dyDescent="0.2">
      <c r="A74" s="6" t="s">
        <v>5</v>
      </c>
      <c r="B74" s="7"/>
    </row>
    <row r="75" spans="1:40" x14ac:dyDescent="0.2">
      <c r="A75" s="6" t="s">
        <v>6</v>
      </c>
      <c r="B75" s="7"/>
      <c r="H75" s="11"/>
      <c r="J75" s="1"/>
    </row>
    <row r="76" spans="1:40" x14ac:dyDescent="0.2">
      <c r="A76" s="6" t="s">
        <v>7</v>
      </c>
      <c r="B76" s="7"/>
      <c r="H76" s="11"/>
      <c r="J76" s="1"/>
    </row>
    <row r="77" spans="1:40" x14ac:dyDescent="0.2">
      <c r="A77" s="6" t="s">
        <v>47</v>
      </c>
      <c r="B77" s="14" t="s">
        <v>1438</v>
      </c>
      <c r="H77" s="11"/>
      <c r="J77" s="1"/>
    </row>
    <row r="78" spans="1:40" x14ac:dyDescent="0.2">
      <c r="A78" s="6" t="s">
        <v>8</v>
      </c>
      <c r="B78" s="7"/>
      <c r="H78" s="11"/>
      <c r="J78" s="1"/>
    </row>
    <row r="79" spans="1:40" x14ac:dyDescent="0.2">
      <c r="H79" s="11"/>
      <c r="J79" s="1"/>
    </row>
    <row r="80" spans="1:40" x14ac:dyDescent="0.2">
      <c r="A80" s="3" t="s">
        <v>9</v>
      </c>
      <c r="B80" s="5" t="s">
        <v>10</v>
      </c>
      <c r="H80" s="11"/>
      <c r="J80" s="1"/>
    </row>
    <row r="81" spans="1:10" x14ac:dyDescent="0.2">
      <c r="A81" s="6" t="s">
        <v>11</v>
      </c>
      <c r="B81" s="7" t="s">
        <v>21</v>
      </c>
      <c r="H81" s="11"/>
      <c r="J81" s="1"/>
    </row>
    <row r="82" spans="1:10" x14ac:dyDescent="0.2">
      <c r="A82" s="6" t="s">
        <v>12</v>
      </c>
      <c r="B82" s="7" t="s">
        <v>22</v>
      </c>
      <c r="H82" s="11"/>
      <c r="J82" s="1"/>
    </row>
    <row r="83" spans="1:10" x14ac:dyDescent="0.2">
      <c r="A83" s="6" t="s">
        <v>13</v>
      </c>
      <c r="B83" s="7" t="s">
        <v>503</v>
      </c>
      <c r="H83" s="11"/>
      <c r="J83" s="1"/>
    </row>
    <row r="84" spans="1:10" x14ac:dyDescent="0.2">
      <c r="A84" s="6" t="s">
        <v>14</v>
      </c>
      <c r="B84" s="14"/>
      <c r="H84" s="11"/>
      <c r="J84" s="1"/>
    </row>
    <row r="85" spans="1:10" x14ac:dyDescent="0.2">
      <c r="A85" s="6" t="s">
        <v>15</v>
      </c>
      <c r="B85" s="7"/>
      <c r="H85" s="11"/>
      <c r="J85" s="1"/>
    </row>
    <row r="86" spans="1:10" x14ac:dyDescent="0.2">
      <c r="A86" s="6" t="s">
        <v>16</v>
      </c>
      <c r="B86" s="7" t="s">
        <v>78</v>
      </c>
      <c r="H86" s="11"/>
      <c r="J86" s="1"/>
    </row>
    <row r="87" spans="1:10" x14ac:dyDescent="0.2">
      <c r="A87" s="6" t="s">
        <v>17</v>
      </c>
      <c r="B87" s="7"/>
      <c r="H87" s="11"/>
      <c r="J87" s="1"/>
    </row>
    <row r="88" spans="1:10" x14ac:dyDescent="0.2">
      <c r="H88" s="11"/>
      <c r="J88" s="1"/>
    </row>
    <row r="89" spans="1:10" x14ac:dyDescent="0.2">
      <c r="C89" s="23"/>
      <c r="H89" s="11"/>
      <c r="J89" s="1"/>
    </row>
    <row r="90" spans="1:10" x14ac:dyDescent="0.2">
      <c r="H90" s="11"/>
      <c r="J90" s="1"/>
    </row>
    <row r="91" spans="1:10" x14ac:dyDescent="0.2">
      <c r="A91" s="4" t="s">
        <v>989</v>
      </c>
      <c r="H91" s="11"/>
      <c r="J91" s="1"/>
    </row>
    <row r="92" spans="1:10" x14ac:dyDescent="0.2">
      <c r="H92" s="11"/>
      <c r="J92" s="1"/>
    </row>
    <row r="93" spans="1:10" x14ac:dyDescent="0.2">
      <c r="A93" s="3" t="s">
        <v>0</v>
      </c>
      <c r="B93" s="5" t="s">
        <v>1</v>
      </c>
      <c r="H93" s="11"/>
      <c r="J93" s="1"/>
    </row>
    <row r="94" spans="1:10" x14ac:dyDescent="0.2">
      <c r="A94" s="6" t="s">
        <v>2</v>
      </c>
      <c r="B94" s="14" t="s">
        <v>1434</v>
      </c>
      <c r="H94" s="11"/>
      <c r="J94" s="1"/>
    </row>
    <row r="95" spans="1:10" x14ac:dyDescent="0.2">
      <c r="A95" s="6" t="s">
        <v>3</v>
      </c>
      <c r="B95" s="14" t="s">
        <v>1435</v>
      </c>
      <c r="H95" s="11"/>
      <c r="J95" s="1"/>
    </row>
    <row r="96" spans="1:10" x14ac:dyDescent="0.2">
      <c r="A96" s="6" t="s">
        <v>4</v>
      </c>
      <c r="B96" s="14" t="s">
        <v>1452</v>
      </c>
      <c r="H96" s="11"/>
      <c r="J96" s="1"/>
    </row>
    <row r="97" spans="1:10" x14ac:dyDescent="0.2">
      <c r="A97" s="6" t="s">
        <v>5</v>
      </c>
      <c r="B97" s="7"/>
      <c r="H97" s="11"/>
      <c r="J97" s="1"/>
    </row>
    <row r="98" spans="1:10" x14ac:dyDescent="0.2">
      <c r="A98" s="6" t="s">
        <v>6</v>
      </c>
      <c r="B98" s="7"/>
    </row>
    <row r="99" spans="1:10" x14ac:dyDescent="0.2">
      <c r="A99" s="6" t="s">
        <v>7</v>
      </c>
      <c r="B99" s="7"/>
    </row>
    <row r="100" spans="1:10" x14ac:dyDescent="0.2">
      <c r="A100" s="6" t="s">
        <v>47</v>
      </c>
      <c r="B100" s="14" t="s">
        <v>1438</v>
      </c>
    </row>
    <row r="101" spans="1:10" x14ac:dyDescent="0.2">
      <c r="A101" s="6" t="s">
        <v>8</v>
      </c>
      <c r="B101" s="7"/>
    </row>
    <row r="104" spans="1:10" x14ac:dyDescent="0.2">
      <c r="A104" s="3" t="s">
        <v>23</v>
      </c>
      <c r="B104" s="5" t="s">
        <v>24</v>
      </c>
    </row>
    <row r="105" spans="1:10" x14ac:dyDescent="0.2">
      <c r="A105" s="6" t="s">
        <v>25</v>
      </c>
      <c r="B105" s="7"/>
    </row>
    <row r="106" spans="1:10" x14ac:dyDescent="0.2">
      <c r="A106" s="6" t="s">
        <v>26</v>
      </c>
      <c r="B106" s="7"/>
    </row>
    <row r="107" spans="1:10" x14ac:dyDescent="0.2">
      <c r="A107" s="6" t="s">
        <v>27</v>
      </c>
      <c r="B107" s="7"/>
    </row>
    <row r="108" spans="1:10" x14ac:dyDescent="0.2">
      <c r="A108" s="6" t="s">
        <v>28</v>
      </c>
      <c r="B108" s="7"/>
    </row>
    <row r="109" spans="1:10" x14ac:dyDescent="0.2">
      <c r="A109" s="6" t="s">
        <v>29</v>
      </c>
      <c r="B109" s="7"/>
    </row>
    <row r="110" spans="1:10" x14ac:dyDescent="0.2">
      <c r="A110" s="6" t="s">
        <v>30</v>
      </c>
      <c r="B110" s="7" t="s">
        <v>78</v>
      </c>
    </row>
    <row r="111" spans="1:10" x14ac:dyDescent="0.2">
      <c r="A111" s="6" t="s">
        <v>31</v>
      </c>
      <c r="B111" s="7" t="s">
        <v>78</v>
      </c>
    </row>
    <row r="112" spans="1:10" x14ac:dyDescent="0.2">
      <c r="A112" s="6" t="s">
        <v>32</v>
      </c>
      <c r="B112" s="7"/>
    </row>
    <row r="113" spans="1:2" x14ac:dyDescent="0.2">
      <c r="A113" s="6" t="s">
        <v>33</v>
      </c>
      <c r="B113" s="7"/>
    </row>
    <row r="114" spans="1:2" x14ac:dyDescent="0.2">
      <c r="A114" s="6" t="s">
        <v>34</v>
      </c>
      <c r="B114" s="7"/>
    </row>
    <row r="115" spans="1:2" x14ac:dyDescent="0.2">
      <c r="A115" s="6" t="s">
        <v>35</v>
      </c>
      <c r="B115" s="7"/>
    </row>
    <row r="116" spans="1:2" x14ac:dyDescent="0.2">
      <c r="A116" s="6" t="s">
        <v>36</v>
      </c>
      <c r="B116" s="7"/>
    </row>
    <row r="117" spans="1:2" x14ac:dyDescent="0.2">
      <c r="A117" s="6" t="s">
        <v>37</v>
      </c>
      <c r="B117" s="7"/>
    </row>
    <row r="118" spans="1:2" x14ac:dyDescent="0.2">
      <c r="A118" s="6" t="s">
        <v>38</v>
      </c>
      <c r="B118" s="7"/>
    </row>
    <row r="119" spans="1:2" x14ac:dyDescent="0.2">
      <c r="A119" s="6" t="s">
        <v>39</v>
      </c>
      <c r="B119" s="7"/>
    </row>
    <row r="120" spans="1:2" x14ac:dyDescent="0.2">
      <c r="A120" s="6" t="s">
        <v>40</v>
      </c>
      <c r="B120" s="7"/>
    </row>
    <row r="121" spans="1:2" x14ac:dyDescent="0.2">
      <c r="A121" s="6" t="s">
        <v>41</v>
      </c>
      <c r="B121" s="7"/>
    </row>
    <row r="122" spans="1:2" x14ac:dyDescent="0.2">
      <c r="A122" s="6" t="s">
        <v>42</v>
      </c>
      <c r="B122" s="7"/>
    </row>
    <row r="123" spans="1:2" x14ac:dyDescent="0.2">
      <c r="A123" s="6" t="s">
        <v>43</v>
      </c>
      <c r="B123" s="7"/>
    </row>
    <row r="124" spans="1:2" x14ac:dyDescent="0.2">
      <c r="A124" s="6" t="s">
        <v>44</v>
      </c>
      <c r="B124" s="7"/>
    </row>
    <row r="125" spans="1:2" x14ac:dyDescent="0.2">
      <c r="A125" s="6" t="s">
        <v>45</v>
      </c>
      <c r="B125" s="7"/>
    </row>
    <row r="126" spans="1:2" x14ac:dyDescent="0.2">
      <c r="A126" s="6" t="s">
        <v>46</v>
      </c>
      <c r="B126" s="7"/>
    </row>
  </sheetData>
  <mergeCells count="2">
    <mergeCell ref="AD31:AE31"/>
    <mergeCell ref="AG31:AH31"/>
  </mergeCells>
  <dataValidations count="2">
    <dataValidation type="list" allowBlank="1" sqref="B83 B29 B60" xr:uid="{00000000-0002-0000-5100-000000000000}">
      <formula1>"SELF,ALL,BAS,DEP,BASMEMBERS,MEMBERS,NOEXPAND,GDEP"</formula1>
    </dataValidation>
    <dataValidation type="list" allowBlank="1" sqref="B82 B28 B59" xr:uid="{00000000-0002-0000-51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89">
    <tabColor theme="2" tint="-0.499984740745262"/>
    <pageSetUpPr fitToPage="1"/>
  </sheetPr>
  <dimension ref="A1:AO77"/>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6" sqref="O36"/>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1" hidden="1" customWidth="1" outlineLevel="1" collapsed="1"/>
    <col min="13" max="13" width="9.6640625" style="1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s">
        <v>980</v>
      </c>
      <c r="I1" s="1"/>
      <c r="J1" s="1"/>
      <c r="L1" s="69"/>
      <c r="M1" s="69"/>
      <c r="N1" s="69"/>
    </row>
    <row r="2" spans="1:35" hidden="1" outlineLevel="1" x14ac:dyDescent="0.2">
      <c r="A2" s="8" t="s">
        <v>22</v>
      </c>
      <c r="B2" s="12" t="s">
        <v>56</v>
      </c>
      <c r="C2" s="1" t="s">
        <v>981</v>
      </c>
      <c r="I2" s="1"/>
      <c r="J2" s="1"/>
      <c r="L2" s="69"/>
      <c r="M2" s="69"/>
    </row>
    <row r="3" spans="1:35" hidden="1" outlineLevel="1" x14ac:dyDescent="0.2">
      <c r="A3" s="8" t="s">
        <v>50</v>
      </c>
      <c r="B3" s="9" t="s">
        <v>979</v>
      </c>
      <c r="C3" s="1" t="s">
        <v>982</v>
      </c>
      <c r="I3" s="1"/>
      <c r="J3" s="1"/>
    </row>
    <row r="4" spans="1:35" hidden="1" outlineLevel="1" x14ac:dyDescent="0.2">
      <c r="A4" s="8" t="s">
        <v>19</v>
      </c>
      <c r="B4" s="9" t="str">
        <f>SetUp!$D$6</f>
        <v>CURRENT</v>
      </c>
      <c r="C4" s="1" t="s">
        <v>960</v>
      </c>
      <c r="E4" s="46">
        <v>20250100</v>
      </c>
      <c r="F4" s="46">
        <v>20250100</v>
      </c>
    </row>
    <row r="5" spans="1:35" hidden="1" outlineLevel="1" x14ac:dyDescent="0.2">
      <c r="A5" s="8" t="s">
        <v>51</v>
      </c>
      <c r="B5" s="12" t="s">
        <v>59</v>
      </c>
      <c r="C5" s="1" t="s">
        <v>59</v>
      </c>
    </row>
    <row r="6" spans="1:35" hidden="1" outlineLevel="1" x14ac:dyDescent="0.2">
      <c r="A6" s="8" t="s">
        <v>52</v>
      </c>
      <c r="B6" s="12" t="s">
        <v>498</v>
      </c>
      <c r="C6" s="1" t="s">
        <v>1423</v>
      </c>
      <c r="E6" s="46" t="s">
        <v>1424</v>
      </c>
      <c r="F6" s="1" t="s">
        <v>278</v>
      </c>
    </row>
    <row r="7" spans="1:35" hidden="1" outlineLevel="1" x14ac:dyDescent="0.2">
      <c r="A7" s="8" t="s">
        <v>53</v>
      </c>
      <c r="B7" s="12" t="s">
        <v>61</v>
      </c>
      <c r="C7" s="1" t="s">
        <v>984</v>
      </c>
    </row>
    <row r="8" spans="1:35" hidden="1" outlineLevel="1" x14ac:dyDescent="0.2">
      <c r="A8" s="8" t="s">
        <v>20</v>
      </c>
      <c r="B8" s="12" t="s">
        <v>63</v>
      </c>
      <c r="C8" s="1" t="s">
        <v>985</v>
      </c>
    </row>
    <row r="9" spans="1:35" hidden="1" outlineLevel="1" x14ac:dyDescent="0.2">
      <c r="A9" s="8" t="s">
        <v>54</v>
      </c>
      <c r="B9" s="9" t="str">
        <f>SetUp!$D$10</f>
        <v>LC</v>
      </c>
      <c r="C9" s="1" t="s">
        <v>986</v>
      </c>
    </row>
    <row r="10" spans="1:35" hidden="1" outlineLevel="1" x14ac:dyDescent="0.2">
      <c r="A10" s="8" t="s">
        <v>18</v>
      </c>
      <c r="B10" s="9" t="str">
        <f>SetUp!$D$7</f>
        <v>2024.TOTAL</v>
      </c>
      <c r="C10" s="1" t="s">
        <v>987</v>
      </c>
      <c r="D10" s="212" t="s">
        <v>988</v>
      </c>
    </row>
    <row r="11" spans="1:35" hidden="1" outlineLevel="1" x14ac:dyDescent="0.2">
      <c r="B11" s="8"/>
      <c r="M11" s="46" t="str">
        <f>IF(LEFT(SetUp!$D$6,3)="ALT","Y","N")</f>
        <v>N</v>
      </c>
      <c r="N11" s="1" t="s">
        <v>800</v>
      </c>
      <c r="O11" s="2" t="s">
        <v>682</v>
      </c>
      <c r="P11" s="2" t="s">
        <v>682</v>
      </c>
      <c r="Q11" s="2" t="s">
        <v>682</v>
      </c>
      <c r="R11" s="2" t="s">
        <v>682</v>
      </c>
      <c r="S11" s="2" t="s">
        <v>682</v>
      </c>
      <c r="T11" s="2" t="s">
        <v>682</v>
      </c>
      <c r="U11" s="2" t="s">
        <v>682</v>
      </c>
      <c r="V11" s="2" t="s">
        <v>682</v>
      </c>
      <c r="W11" s="2" t="s">
        <v>682</v>
      </c>
      <c r="X11" s="2" t="s">
        <v>682</v>
      </c>
      <c r="Y11" s="2" t="s">
        <v>682</v>
      </c>
      <c r="Z11" s="2" t="s">
        <v>682</v>
      </c>
    </row>
    <row r="12" spans="1:35" hidden="1" outlineLevel="1" x14ac:dyDescent="0.2">
      <c r="A12" s="1" t="s">
        <v>115</v>
      </c>
      <c r="B12" s="46">
        <v>2024</v>
      </c>
      <c r="N12" s="1" t="s">
        <v>597</v>
      </c>
      <c r="O12" s="213" t="s">
        <v>78</v>
      </c>
      <c r="P12" s="213" t="s">
        <v>78</v>
      </c>
      <c r="Q12" s="213" t="s">
        <v>78</v>
      </c>
      <c r="R12" s="213" t="s">
        <v>78</v>
      </c>
      <c r="S12" s="213" t="s">
        <v>78</v>
      </c>
      <c r="T12" s="213" t="s">
        <v>78</v>
      </c>
      <c r="U12" s="213" t="s">
        <v>78</v>
      </c>
      <c r="V12" s="213" t="s">
        <v>78</v>
      </c>
      <c r="W12" s="213" t="s">
        <v>78</v>
      </c>
      <c r="X12" s="213" t="s">
        <v>78</v>
      </c>
      <c r="Y12" s="213" t="s">
        <v>78</v>
      </c>
      <c r="Z12" s="213" t="s">
        <v>78</v>
      </c>
      <c r="AA12" s="213"/>
      <c r="AD12" s="213"/>
      <c r="AG12" s="213"/>
    </row>
    <row r="13" spans="1:35" hidden="1" outlineLevel="1" x14ac:dyDescent="0.2">
      <c r="A13" s="1" t="s">
        <v>602</v>
      </c>
      <c r="B13" s="46">
        <v>2024</v>
      </c>
      <c r="N13" s="1" t="s">
        <v>598</v>
      </c>
      <c r="O13" s="53">
        <v>20240100</v>
      </c>
      <c r="P13" s="53">
        <v>20240200</v>
      </c>
      <c r="Q13" s="53">
        <v>20240300</v>
      </c>
      <c r="R13" s="53">
        <v>20240400</v>
      </c>
      <c r="S13" s="53">
        <v>20240500</v>
      </c>
      <c r="T13" s="53">
        <v>20240600</v>
      </c>
      <c r="U13" s="53">
        <v>20240700</v>
      </c>
      <c r="V13" s="53">
        <v>20240800</v>
      </c>
      <c r="W13" s="53">
        <v>20240900</v>
      </c>
      <c r="X13" s="53">
        <v>20241000</v>
      </c>
      <c r="Y13" s="53">
        <v>20241100</v>
      </c>
      <c r="Z13" s="53">
        <v>20241200</v>
      </c>
      <c r="AA13" s="53">
        <v>10000193</v>
      </c>
      <c r="AD13" s="53">
        <v>10000193</v>
      </c>
      <c r="AG13" s="53">
        <v>10000183</v>
      </c>
    </row>
    <row r="14" spans="1:35" hidden="1" outlineLevel="1" x14ac:dyDescent="0.2">
      <c r="A14" s="4" t="s">
        <v>989</v>
      </c>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N16" s="1" t="s">
        <v>18</v>
      </c>
      <c r="O16" s="2" t="s">
        <v>990</v>
      </c>
      <c r="P16" s="2" t="s">
        <v>991</v>
      </c>
      <c r="Q16" s="2" t="s">
        <v>992</v>
      </c>
      <c r="R16" s="2" t="s">
        <v>993</v>
      </c>
      <c r="S16" s="2" t="s">
        <v>994</v>
      </c>
      <c r="T16" s="2" t="s">
        <v>995</v>
      </c>
      <c r="U16" s="2" t="s">
        <v>996</v>
      </c>
      <c r="V16" s="2" t="s">
        <v>997</v>
      </c>
      <c r="W16" s="2" t="s">
        <v>998</v>
      </c>
      <c r="X16" s="2" t="s">
        <v>999</v>
      </c>
      <c r="Y16" s="2" t="s">
        <v>1000</v>
      </c>
      <c r="Z16" s="2" t="str">
        <f>IF(SetUp!$O$1=TRUE,SetUp!$Q$6,IF($D$10="FY",LEFT($B$10,6)&amp;"."&amp;Z15,$B$12&amp;"."&amp;Z14))</f>
        <v>2024.DEC</v>
      </c>
      <c r="AA16" s="2" t="str">
        <f>IF($D$10="FY",LEFT($B$10,6)&amp;"."&amp;AA15,$B$12&amp;"."&amp;AA14)</f>
        <v>2024.TOTAL</v>
      </c>
      <c r="AB16" s="10"/>
      <c r="AC16" s="10"/>
      <c r="AD16" s="2" t="str">
        <f>IF(SetUp!$O$1=TRUE,SetUp!$Q$6,SetUp!$G$7)</f>
        <v>2024.TOTAL</v>
      </c>
      <c r="AE16" s="10"/>
      <c r="AF16" s="10"/>
      <c r="AG16" s="2" t="s">
        <v>955</v>
      </c>
      <c r="AH16" s="10"/>
      <c r="AI16" s="10"/>
    </row>
    <row r="17" spans="1:40" hidden="1" outlineLevel="1" x14ac:dyDescent="0.2">
      <c r="A17" s="6" t="s">
        <v>2</v>
      </c>
      <c r="B17" s="14" t="s">
        <v>1425</v>
      </c>
      <c r="N17" s="1" t="s">
        <v>19</v>
      </c>
      <c r="O17" s="2" t="s">
        <v>682</v>
      </c>
      <c r="P17" s="2" t="s">
        <v>682</v>
      </c>
      <c r="Q17" s="2" t="s">
        <v>682</v>
      </c>
      <c r="R17" s="2" t="s">
        <v>682</v>
      </c>
      <c r="S17" s="2" t="s">
        <v>682</v>
      </c>
      <c r="T17" s="2" t="s">
        <v>682</v>
      </c>
      <c r="U17" s="2" t="s">
        <v>682</v>
      </c>
      <c r="V17" s="2" t="s">
        <v>682</v>
      </c>
      <c r="W17" s="2" t="s">
        <v>682</v>
      </c>
      <c r="X17" s="2" t="s">
        <v>682</v>
      </c>
      <c r="Y17" s="2" t="s">
        <v>682</v>
      </c>
      <c r="Z17" s="2" t="s">
        <v>682</v>
      </c>
      <c r="AA17" s="2"/>
      <c r="AB17" s="10"/>
      <c r="AC17" s="10"/>
      <c r="AD17" s="2" t="str">
        <f>SetUp!$G$6</f>
        <v>BUDGET</v>
      </c>
      <c r="AE17" s="10"/>
      <c r="AF17" s="10"/>
      <c r="AG17" s="2" t="str">
        <f>SetUp!$J$6</f>
        <v>ACTUAL_CON</v>
      </c>
      <c r="AH17" s="10"/>
      <c r="AI17" s="10"/>
    </row>
    <row r="18" spans="1:40" hidden="1" outlineLevel="1" x14ac:dyDescent="0.2">
      <c r="A18" s="6" t="s">
        <v>3</v>
      </c>
      <c r="B18" s="14" t="s">
        <v>1426</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str">
        <f>IF(SetUp!$O$1=TRUE,"TRAILING12",IF(AD17="CURRENT","ROLLINGFORECAST","PERIODIC"))</f>
        <v>PERIODIC</v>
      </c>
      <c r="AE18" s="10"/>
      <c r="AF18" s="10"/>
      <c r="AG18" s="2" t="str">
        <f>IF(SetUp!$O$1=TRUE,"TRAILING12",IF(AG17="CURRENT","ROLLINGFORECAST","PERIODIC"))</f>
        <v>PERIODIC</v>
      </c>
      <c r="AH18" s="10"/>
      <c r="AI18" s="10"/>
    </row>
    <row r="19" spans="1:40" hidden="1" outlineLevel="1" x14ac:dyDescent="0.2">
      <c r="A19" s="6" t="s">
        <v>4</v>
      </c>
      <c r="B19" s="14" t="s">
        <v>1427</v>
      </c>
      <c r="G19" s="16" t="s">
        <v>499</v>
      </c>
      <c r="H19" s="16">
        <v>400000</v>
      </c>
      <c r="I19" s="17"/>
      <c r="J19" s="17"/>
      <c r="K19" s="16"/>
      <c r="L19" s="17"/>
      <c r="M19" s="17"/>
      <c r="N19" s="16" t="s">
        <v>1001</v>
      </c>
      <c r="O19" s="18">
        <v>1176929.01</v>
      </c>
      <c r="P19" s="18">
        <v>1356809.16</v>
      </c>
      <c r="Q19" s="18">
        <v>1295733.29</v>
      </c>
      <c r="R19" s="18">
        <v>1074347.0900000001</v>
      </c>
      <c r="S19" s="18">
        <v>894357.51</v>
      </c>
      <c r="T19" s="18">
        <v>630684.44999999995</v>
      </c>
      <c r="U19" s="18">
        <v>649800.93000000005</v>
      </c>
      <c r="V19" s="18">
        <v>589394.93999999994</v>
      </c>
      <c r="W19" s="18">
        <v>502527.81</v>
      </c>
      <c r="X19" s="18">
        <v>718138.97</v>
      </c>
      <c r="Y19" s="18">
        <v>816401.49</v>
      </c>
      <c r="Z19" s="18">
        <v>1134093.05</v>
      </c>
      <c r="AA19" s="18">
        <f>SUM(O19:Z19)</f>
        <v>10839217.699999999</v>
      </c>
      <c r="AB19" s="16"/>
      <c r="AC19" s="16"/>
      <c r="AD19" s="18">
        <v>11239182.24</v>
      </c>
      <c r="AE19" s="16"/>
      <c r="AF19" s="16"/>
      <c r="AG19" s="18">
        <v>12940207.16</v>
      </c>
      <c r="AH19" s="16"/>
      <c r="AI19" s="16"/>
    </row>
    <row r="20" spans="1:40" hidden="1" outlineLevel="1" x14ac:dyDescent="0.2">
      <c r="A20" s="6" t="s">
        <v>5</v>
      </c>
      <c r="B20" s="7"/>
      <c r="G20" s="16" t="s">
        <v>749</v>
      </c>
      <c r="H20" s="16">
        <v>904100</v>
      </c>
      <c r="I20" s="17"/>
      <c r="J20" s="17"/>
      <c r="K20" s="16"/>
      <c r="L20" s="17"/>
      <c r="M20" s="17"/>
      <c r="N20" s="16" t="s">
        <v>1008</v>
      </c>
      <c r="O20" s="18">
        <v>4092</v>
      </c>
      <c r="P20" s="18">
        <v>3828</v>
      </c>
      <c r="Q20" s="18">
        <v>4092</v>
      </c>
      <c r="R20" s="18">
        <v>3960</v>
      </c>
      <c r="S20" s="18">
        <v>4092</v>
      </c>
      <c r="T20" s="18">
        <v>3960</v>
      </c>
      <c r="U20" s="18">
        <v>4092</v>
      </c>
      <c r="V20" s="18">
        <v>4092</v>
      </c>
      <c r="W20" s="18">
        <v>3960</v>
      </c>
      <c r="X20" s="18">
        <v>4092</v>
      </c>
      <c r="Y20" s="18">
        <v>3960</v>
      </c>
      <c r="Z20" s="18">
        <v>4092</v>
      </c>
      <c r="AA20" s="18">
        <f>SUM(O20:Z20)</f>
        <v>48312</v>
      </c>
      <c r="AB20" s="16"/>
      <c r="AC20" s="16"/>
      <c r="AD20" s="18">
        <v>48312</v>
      </c>
      <c r="AE20" s="16"/>
      <c r="AF20" s="16"/>
      <c r="AG20" s="18">
        <v>48180</v>
      </c>
      <c r="AH20" s="16"/>
      <c r="AI20" s="16"/>
    </row>
    <row r="21" spans="1:40" hidden="1" outlineLevel="1" x14ac:dyDescent="0.2">
      <c r="A21" s="6" t="s">
        <v>6</v>
      </c>
      <c r="B21" s="7"/>
    </row>
    <row r="22" spans="1:40" hidden="1" outlineLevel="1" x14ac:dyDescent="0.2">
      <c r="A22" s="6" t="s">
        <v>7</v>
      </c>
      <c r="B22" s="7"/>
    </row>
    <row r="23" spans="1:40" hidden="1" outlineLevel="1" x14ac:dyDescent="0.2">
      <c r="A23" s="6" t="s">
        <v>47</v>
      </c>
      <c r="B23" s="14" t="s">
        <v>1428</v>
      </c>
      <c r="K23" s="53"/>
    </row>
    <row r="24" spans="1:40" hidden="1" outlineLevel="1" x14ac:dyDescent="0.2">
      <c r="A24" s="6" t="s">
        <v>8</v>
      </c>
      <c r="B24" s="7"/>
    </row>
    <row r="25" spans="1:40" collapsed="1" x14ac:dyDescent="0.2"/>
    <row r="26" spans="1:40" ht="23" x14ac:dyDescent="0.25">
      <c r="A26" s="3" t="s">
        <v>9</v>
      </c>
      <c r="B26" s="5" t="s">
        <v>10</v>
      </c>
      <c r="N26" s="61" t="s">
        <v>982</v>
      </c>
    </row>
    <row r="27" spans="1:40" ht="18" x14ac:dyDescent="0.2">
      <c r="A27" s="6" t="s">
        <v>11</v>
      </c>
      <c r="B27" s="7" t="s">
        <v>21</v>
      </c>
      <c r="N27" s="66" t="s">
        <v>1429</v>
      </c>
    </row>
    <row r="28" spans="1:40" ht="16" x14ac:dyDescent="0.2">
      <c r="A28" s="6" t="s">
        <v>12</v>
      </c>
      <c r="B28" s="7" t="s">
        <v>22</v>
      </c>
      <c r="N28" s="67" t="s">
        <v>1002</v>
      </c>
    </row>
    <row r="29" spans="1:40" ht="15" customHeight="1" x14ac:dyDescent="0.2">
      <c r="A29" s="6" t="s">
        <v>13</v>
      </c>
      <c r="B29" s="7" t="s">
        <v>111</v>
      </c>
      <c r="N29" s="67" t="s">
        <v>986</v>
      </c>
    </row>
    <row r="30" spans="1:40" x14ac:dyDescent="0.2">
      <c r="A30" s="6" t="s">
        <v>14</v>
      </c>
      <c r="B30" s="14"/>
      <c r="O30" s="208"/>
      <c r="P30" s="209"/>
      <c r="Q30" s="209"/>
      <c r="R30" s="209"/>
      <c r="S30" s="209"/>
      <c r="T30" s="209"/>
      <c r="U30" s="209"/>
      <c r="V30" s="209"/>
      <c r="W30" s="209"/>
      <c r="X30" s="209"/>
      <c r="Y30" s="209"/>
      <c r="Z30" s="209"/>
      <c r="AA30" s="209"/>
      <c r="AB30" s="210"/>
      <c r="AD30" s="209"/>
      <c r="AE30" s="209"/>
      <c r="AF30" s="209"/>
      <c r="AG30" s="209"/>
      <c r="AH30" s="209"/>
      <c r="AI30" s="209"/>
      <c r="AJ30" s="208" t="s">
        <v>752</v>
      </c>
      <c r="AK30" s="209"/>
      <c r="AL30" s="210"/>
      <c r="AM30" s="209" t="s">
        <v>750</v>
      </c>
      <c r="AN30" s="209"/>
    </row>
    <row r="31" spans="1:40" x14ac:dyDescent="0.2">
      <c r="A31" s="6" t="s">
        <v>15</v>
      </c>
      <c r="B31" s="7"/>
      <c r="G31" s="13"/>
      <c r="K31" s="52"/>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tr">
        <f>AA14</f>
        <v>TOTAL</v>
      </c>
      <c r="AB31" s="207"/>
      <c r="AD31" s="540" t="s">
        <v>987</v>
      </c>
      <c r="AE31" s="541"/>
      <c r="AF31" s="211" t="s">
        <v>631</v>
      </c>
      <c r="AG31" s="540" t="s">
        <v>1003</v>
      </c>
      <c r="AH31" s="541"/>
      <c r="AI31" s="211" t="s">
        <v>631</v>
      </c>
      <c r="AJ31" s="211">
        <v>2024</v>
      </c>
      <c r="AK31" s="238">
        <v>2024</v>
      </c>
      <c r="AL31" s="238">
        <v>2023</v>
      </c>
      <c r="AM31" s="211" t="str">
        <f>"vs "&amp;AK31</f>
        <v>vs 2024</v>
      </c>
      <c r="AN31" s="211" t="str">
        <f>"vs "&amp;AL31</f>
        <v>vs 2023</v>
      </c>
    </row>
    <row r="32" spans="1:40" s="232" customFormat="1" ht="30" customHeight="1" x14ac:dyDescent="0.2">
      <c r="A32" s="230" t="s">
        <v>16</v>
      </c>
      <c r="B32" s="231" t="s">
        <v>78</v>
      </c>
      <c r="H32" s="233"/>
      <c r="I32" s="234"/>
      <c r="J32" s="234"/>
      <c r="K32" s="235" t="s">
        <v>117</v>
      </c>
      <c r="L32" s="234"/>
      <c r="M32" s="234"/>
      <c r="N32" s="236" t="s">
        <v>120</v>
      </c>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c r="AD32" s="237" t="s">
        <v>959</v>
      </c>
      <c r="AE32" s="238" t="s">
        <v>58</v>
      </c>
      <c r="AF32" s="237" t="s">
        <v>57</v>
      </c>
      <c r="AG32" s="237" t="s">
        <v>957</v>
      </c>
      <c r="AH32" s="238" t="s">
        <v>58</v>
      </c>
      <c r="AI32" s="237" t="s">
        <v>57</v>
      </c>
      <c r="AJ32" s="237" t="str">
        <f>Z32</f>
        <v>Actual</v>
      </c>
      <c r="AK32" s="238" t="str">
        <f>AD32</f>
        <v>Budget</v>
      </c>
      <c r="AL32" s="237" t="str">
        <f>AG32</f>
        <v>Actual</v>
      </c>
      <c r="AM32" s="211" t="s">
        <v>747</v>
      </c>
      <c r="AN32" s="211" t="s">
        <v>747</v>
      </c>
    </row>
    <row r="33" spans="1:40" x14ac:dyDescent="0.2">
      <c r="A33" s="6" t="s">
        <v>17</v>
      </c>
      <c r="B33" s="7"/>
      <c r="H33" s="1" t="s">
        <v>82</v>
      </c>
      <c r="I33" s="11" t="s">
        <v>1006</v>
      </c>
      <c r="J33" s="11" t="s">
        <v>78</v>
      </c>
      <c r="L33" s="1"/>
      <c r="M33" s="1"/>
      <c r="N33" s="37" t="s">
        <v>1087</v>
      </c>
      <c r="O33" s="40"/>
      <c r="P33" s="43"/>
      <c r="Q33" s="43"/>
      <c r="R33" s="43"/>
      <c r="S33" s="43"/>
      <c r="T33" s="43"/>
      <c r="U33" s="43"/>
      <c r="V33" s="43"/>
      <c r="W33" s="43"/>
      <c r="X33" s="43"/>
      <c r="Y33" s="43"/>
      <c r="Z33" s="43"/>
      <c r="AA33" s="43"/>
      <c r="AB33" s="41"/>
      <c r="AD33" s="40"/>
      <c r="AE33" s="43"/>
      <c r="AF33" s="41"/>
      <c r="AG33" s="40"/>
      <c r="AH33" s="43"/>
      <c r="AI33" s="41"/>
    </row>
    <row r="34" spans="1:40" x14ac:dyDescent="0.2">
      <c r="H34" s="10" t="s">
        <v>829</v>
      </c>
      <c r="I34" s="25" t="s">
        <v>1004</v>
      </c>
      <c r="J34" s="25" t="s">
        <v>1004</v>
      </c>
      <c r="K34" s="64" t="str">
        <f t="shared" ref="K34:K44" si="0">IF(AND(I34&gt;="T3"),"&gt;","")</f>
        <v/>
      </c>
      <c r="L34" s="24">
        <v>701100</v>
      </c>
      <c r="M34" s="24">
        <v>690015</v>
      </c>
      <c r="N34" s="24" t="s">
        <v>1088</v>
      </c>
      <c r="O34" s="19"/>
      <c r="P34" s="19">
        <v>83.33</v>
      </c>
      <c r="Q34" s="19"/>
      <c r="R34" s="19"/>
      <c r="S34" s="19"/>
      <c r="T34" s="19">
        <v>534.57000000000005</v>
      </c>
      <c r="U34" s="19">
        <v>4.3099999999999996</v>
      </c>
      <c r="V34" s="19"/>
      <c r="W34" s="19"/>
      <c r="X34" s="19">
        <v>49.31</v>
      </c>
      <c r="Y34" s="19">
        <v>29.96</v>
      </c>
      <c r="Z34" s="19">
        <v>45</v>
      </c>
      <c r="AA34" s="35">
        <f t="shared" ref="AA34:AA45" si="1">IF($I34="B1","",SUM(O34:Z34))</f>
        <v>746.48</v>
      </c>
      <c r="AB34" s="15">
        <f t="shared" ref="AB34:AB45" si="2">IF(AA34=0,"",IFERROR(AA34/AA$19,""))</f>
        <v>6.886843872505671E-5</v>
      </c>
      <c r="AD34" s="19">
        <v>2660</v>
      </c>
      <c r="AE34" s="15">
        <f t="shared" ref="AE34:AE45" si="3">IF(AD34=0,"",IFERROR(AD34/AD$19,""))</f>
        <v>2.3667202321296286E-4</v>
      </c>
      <c r="AF34" s="47">
        <f t="shared" ref="AF34:AF45" si="4">IF(AND($AA34="",AD34=""),"",$AA34-AD34)</f>
        <v>-1913.52</v>
      </c>
      <c r="AG34" s="19">
        <v>598.54999999999995</v>
      </c>
      <c r="AH34" s="15">
        <f t="shared" ref="AH34:AH45" si="5">IF(AG34=0,"",IFERROR(AG34/AG$19,""))</f>
        <v>4.6255055471615803E-5</v>
      </c>
      <c r="AI34" s="47">
        <f t="shared" ref="AI34:AI45" si="6">IF(AND($AA34="",AG34=""),"",$AA34-AG34)</f>
        <v>147.93000000000006</v>
      </c>
      <c r="AJ34" s="371">
        <f t="shared" ref="AJ34:AJ45" si="7">IFERROR(AA34/AA$20,0)</f>
        <v>1.5451233647954961E-2</v>
      </c>
      <c r="AK34" s="372">
        <f t="shared" ref="AK34:AK45" si="8">IFERROR(AD34/AD$20,0)</f>
        <v>5.5058784566981288E-2</v>
      </c>
      <c r="AL34" s="373">
        <f t="shared" ref="AL34:AL45" si="9">IFERROR(AG34/AG$20,0)</f>
        <v>1.2423204649232045E-2</v>
      </c>
      <c r="AM34" s="374" t="str">
        <f t="shared" ref="AM34:AM45" si="10">+IFERROR(ROUND(($AB34-AE34)*100,2)&amp;" pts.",0)</f>
        <v>-0.02 pts.</v>
      </c>
      <c r="AN34" s="375" t="str">
        <f t="shared" ref="AN34:AN45" si="11">+IFERROR(ROUND(($AB34-AH34)*100,2)&amp;" pts.",0)</f>
        <v>0 pts.</v>
      </c>
    </row>
    <row r="35" spans="1:40" x14ac:dyDescent="0.2">
      <c r="C35" s="23"/>
      <c r="H35" s="10" t="s">
        <v>832</v>
      </c>
      <c r="I35" s="25" t="s">
        <v>1058</v>
      </c>
      <c r="J35" s="25" t="s">
        <v>78</v>
      </c>
      <c r="K35" s="64" t="str">
        <f t="shared" si="0"/>
        <v>&gt;</v>
      </c>
      <c r="L35" s="24">
        <v>701500</v>
      </c>
      <c r="M35" s="24"/>
      <c r="N35" s="24" t="s">
        <v>1090</v>
      </c>
      <c r="O35" s="19"/>
      <c r="P35" s="19"/>
      <c r="Q35" s="19"/>
      <c r="R35" s="19"/>
      <c r="S35" s="19"/>
      <c r="T35" s="19"/>
      <c r="U35" s="19">
        <v>13.31</v>
      </c>
      <c r="V35" s="19">
        <v>-0.01</v>
      </c>
      <c r="W35" s="19"/>
      <c r="X35" s="19">
        <v>12.29</v>
      </c>
      <c r="Y35" s="19"/>
      <c r="Z35" s="19"/>
      <c r="AA35" s="35">
        <f t="shared" si="1"/>
        <v>25.59</v>
      </c>
      <c r="AB35" s="15">
        <f t="shared" si="2"/>
        <v>2.3608714861405544E-6</v>
      </c>
      <c r="AD35" s="19">
        <v>110</v>
      </c>
      <c r="AE35" s="15">
        <f t="shared" si="3"/>
        <v>9.7871889298593666E-6</v>
      </c>
      <c r="AF35" s="47">
        <f t="shared" si="4"/>
        <v>-84.41</v>
      </c>
      <c r="AG35" s="19">
        <v>87.93</v>
      </c>
      <c r="AH35" s="15">
        <f t="shared" si="5"/>
        <v>6.7950998707195351E-6</v>
      </c>
      <c r="AI35" s="47">
        <f t="shared" si="6"/>
        <v>-62.34</v>
      </c>
      <c r="AJ35" s="371">
        <f t="shared" si="7"/>
        <v>5.296820665673125E-4</v>
      </c>
      <c r="AK35" s="372">
        <f t="shared" si="8"/>
        <v>2.2768670309653918E-3</v>
      </c>
      <c r="AL35" s="373">
        <f t="shared" si="9"/>
        <v>1.8250311332503116E-3</v>
      </c>
      <c r="AM35" s="374" t="str">
        <f t="shared" si="10"/>
        <v>0 pts.</v>
      </c>
      <c r="AN35" s="375" t="str">
        <f t="shared" si="11"/>
        <v>0 pts.</v>
      </c>
    </row>
    <row r="36" spans="1:40" x14ac:dyDescent="0.2">
      <c r="A36" s="3" t="s">
        <v>23</v>
      </c>
      <c r="B36" s="5" t="s">
        <v>24</v>
      </c>
      <c r="H36" s="10" t="s">
        <v>859</v>
      </c>
      <c r="I36" s="25" t="s">
        <v>1004</v>
      </c>
      <c r="J36" s="25" t="s">
        <v>1004</v>
      </c>
      <c r="K36" s="64" t="str">
        <f t="shared" si="0"/>
        <v/>
      </c>
      <c r="L36" s="24">
        <v>702300</v>
      </c>
      <c r="M36" s="24">
        <v>590040</v>
      </c>
      <c r="N36" s="24" t="s">
        <v>1093</v>
      </c>
      <c r="O36" s="19"/>
      <c r="P36" s="19"/>
      <c r="Q36" s="19"/>
      <c r="R36" s="19"/>
      <c r="S36" s="19"/>
      <c r="T36" s="19"/>
      <c r="U36" s="19"/>
      <c r="V36" s="19"/>
      <c r="W36" s="19"/>
      <c r="X36" s="19"/>
      <c r="Y36" s="19"/>
      <c r="Z36" s="19"/>
      <c r="AA36" s="35">
        <f t="shared" si="1"/>
        <v>0</v>
      </c>
      <c r="AB36" s="15" t="str">
        <f t="shared" si="2"/>
        <v/>
      </c>
      <c r="AD36" s="19"/>
      <c r="AE36" s="15" t="str">
        <f t="shared" si="3"/>
        <v/>
      </c>
      <c r="AF36" s="47">
        <f t="shared" si="4"/>
        <v>0</v>
      </c>
      <c r="AG36" s="19">
        <v>43.85</v>
      </c>
      <c r="AH36" s="15">
        <f t="shared" si="5"/>
        <v>3.3886629060735997E-6</v>
      </c>
      <c r="AI36" s="47">
        <f t="shared" si="6"/>
        <v>-43.85</v>
      </c>
      <c r="AJ36" s="371">
        <f t="shared" si="7"/>
        <v>0</v>
      </c>
      <c r="AK36" s="372">
        <f t="shared" si="8"/>
        <v>0</v>
      </c>
      <c r="AL36" s="373">
        <f t="shared" si="9"/>
        <v>9.1012868410128686E-4</v>
      </c>
      <c r="AM36" s="374">
        <f t="shared" si="10"/>
        <v>0</v>
      </c>
      <c r="AN36" s="375">
        <f t="shared" si="11"/>
        <v>0</v>
      </c>
    </row>
    <row r="37" spans="1:40" x14ac:dyDescent="0.2">
      <c r="A37" s="6" t="s">
        <v>25</v>
      </c>
      <c r="B37" s="7"/>
      <c r="H37" s="10" t="s">
        <v>833</v>
      </c>
      <c r="I37" s="25" t="s">
        <v>1058</v>
      </c>
      <c r="J37" s="25" t="s">
        <v>78</v>
      </c>
      <c r="K37" s="64" t="str">
        <f t="shared" si="0"/>
        <v>&gt;</v>
      </c>
      <c r="L37" s="24"/>
      <c r="M37" s="24"/>
      <c r="N37" s="24" t="s">
        <v>1095</v>
      </c>
      <c r="O37" s="19"/>
      <c r="P37" s="19"/>
      <c r="Q37" s="19"/>
      <c r="R37" s="19">
        <v>700</v>
      </c>
      <c r="S37" s="19"/>
      <c r="T37" s="19"/>
      <c r="U37" s="19"/>
      <c r="V37" s="19">
        <v>2000</v>
      </c>
      <c r="W37" s="19"/>
      <c r="X37" s="19"/>
      <c r="Y37" s="19">
        <v>175</v>
      </c>
      <c r="Z37" s="19"/>
      <c r="AA37" s="35">
        <f t="shared" si="1"/>
        <v>2875</v>
      </c>
      <c r="AB37" s="15">
        <f t="shared" si="2"/>
        <v>2.6524054406620141E-4</v>
      </c>
      <c r="AD37" s="19">
        <v>3400</v>
      </c>
      <c r="AE37" s="15">
        <f t="shared" si="3"/>
        <v>3.0251311237747134E-4</v>
      </c>
      <c r="AF37" s="47">
        <f t="shared" si="4"/>
        <v>-525</v>
      </c>
      <c r="AG37" s="19">
        <v>-605.01</v>
      </c>
      <c r="AH37" s="15">
        <f t="shared" si="5"/>
        <v>-4.6754274681951846E-5</v>
      </c>
      <c r="AI37" s="47">
        <f t="shared" si="6"/>
        <v>3480.01</v>
      </c>
      <c r="AJ37" s="371">
        <f t="shared" si="7"/>
        <v>5.9509024672959099E-2</v>
      </c>
      <c r="AK37" s="372">
        <f t="shared" si="8"/>
        <v>7.0375890048021195E-2</v>
      </c>
      <c r="AL37" s="373">
        <f t="shared" si="9"/>
        <v>-1.2557285180572851E-2</v>
      </c>
      <c r="AM37" s="374" t="str">
        <f t="shared" si="10"/>
        <v>0 pts.</v>
      </c>
      <c r="AN37" s="375" t="str">
        <f t="shared" si="11"/>
        <v>0.03 pts.</v>
      </c>
    </row>
    <row r="38" spans="1:40" x14ac:dyDescent="0.2">
      <c r="A38" s="6" t="s">
        <v>26</v>
      </c>
      <c r="B38" s="7"/>
      <c r="H38" s="10" t="s">
        <v>834</v>
      </c>
      <c r="I38" s="25" t="s">
        <v>1058</v>
      </c>
      <c r="J38" s="25" t="s">
        <v>78</v>
      </c>
      <c r="K38" s="64" t="str">
        <f t="shared" si="0"/>
        <v>&gt;</v>
      </c>
      <c r="L38" s="24"/>
      <c r="M38" s="24"/>
      <c r="N38" s="24" t="s">
        <v>1096</v>
      </c>
      <c r="O38" s="19"/>
      <c r="P38" s="19"/>
      <c r="Q38" s="19"/>
      <c r="R38" s="19">
        <v>47.42</v>
      </c>
      <c r="S38" s="19"/>
      <c r="T38" s="19">
        <v>14.17</v>
      </c>
      <c r="U38" s="19">
        <v>2.8</v>
      </c>
      <c r="V38" s="19"/>
      <c r="W38" s="19">
        <v>64.94</v>
      </c>
      <c r="X38" s="19">
        <v>15.65</v>
      </c>
      <c r="Y38" s="19">
        <v>23.73</v>
      </c>
      <c r="Z38" s="19"/>
      <c r="AA38" s="35">
        <f t="shared" si="1"/>
        <v>168.70999999999998</v>
      </c>
      <c r="AB38" s="15">
        <f t="shared" si="2"/>
        <v>1.556477641370742E-5</v>
      </c>
      <c r="AD38" s="19">
        <v>2720</v>
      </c>
      <c r="AE38" s="15">
        <f t="shared" si="3"/>
        <v>2.4201048990197705E-4</v>
      </c>
      <c r="AF38" s="47">
        <f t="shared" si="4"/>
        <v>-2551.29</v>
      </c>
      <c r="AG38" s="19">
        <v>814.94</v>
      </c>
      <c r="AH38" s="15">
        <f t="shared" si="5"/>
        <v>6.297735344756259E-5</v>
      </c>
      <c r="AI38" s="47">
        <f t="shared" si="6"/>
        <v>-646.23</v>
      </c>
      <c r="AJ38" s="371">
        <f t="shared" si="7"/>
        <v>3.4920930617651923E-3</v>
      </c>
      <c r="AK38" s="372">
        <f t="shared" si="8"/>
        <v>5.630071203841696E-2</v>
      </c>
      <c r="AL38" s="373">
        <f t="shared" si="9"/>
        <v>1.6914487339144874E-2</v>
      </c>
      <c r="AM38" s="374" t="str">
        <f t="shared" si="10"/>
        <v>-0.02 pts.</v>
      </c>
      <c r="AN38" s="375" t="str">
        <f t="shared" si="11"/>
        <v>0 pts.</v>
      </c>
    </row>
    <row r="39" spans="1:40" x14ac:dyDescent="0.2">
      <c r="A39" s="6" t="s">
        <v>27</v>
      </c>
      <c r="B39" s="7"/>
      <c r="H39" s="10" t="s">
        <v>835</v>
      </c>
      <c r="I39" s="25" t="s">
        <v>1058</v>
      </c>
      <c r="J39" s="25" t="s">
        <v>78</v>
      </c>
      <c r="K39" s="64" t="str">
        <f t="shared" si="0"/>
        <v>&gt;</v>
      </c>
      <c r="L39" s="24">
        <v>702900</v>
      </c>
      <c r="M39" s="24"/>
      <c r="N39" s="24" t="s">
        <v>1097</v>
      </c>
      <c r="O39" s="19"/>
      <c r="P39" s="19"/>
      <c r="Q39" s="19"/>
      <c r="R39" s="19"/>
      <c r="S39" s="19"/>
      <c r="T39" s="19">
        <v>11.45</v>
      </c>
      <c r="U39" s="19">
        <v>53.13</v>
      </c>
      <c r="V39" s="19">
        <v>0.89</v>
      </c>
      <c r="W39" s="19"/>
      <c r="X39" s="19">
        <v>10.8</v>
      </c>
      <c r="Y39" s="19">
        <v>21.12</v>
      </c>
      <c r="Z39" s="19"/>
      <c r="AA39" s="35">
        <f t="shared" si="1"/>
        <v>97.39</v>
      </c>
      <c r="AB39" s="15">
        <f t="shared" si="2"/>
        <v>8.9849657692547318E-6</v>
      </c>
      <c r="AD39" s="19">
        <v>985</v>
      </c>
      <c r="AE39" s="15">
        <f t="shared" si="3"/>
        <v>8.7639828144649786E-5</v>
      </c>
      <c r="AF39" s="47">
        <f t="shared" si="4"/>
        <v>-887.61</v>
      </c>
      <c r="AG39" s="19">
        <v>322.81</v>
      </c>
      <c r="AH39" s="15">
        <f t="shared" si="5"/>
        <v>2.4946277598851053E-5</v>
      </c>
      <c r="AI39" s="47">
        <f t="shared" si="6"/>
        <v>-225.42000000000002</v>
      </c>
      <c r="AJ39" s="371">
        <f t="shared" si="7"/>
        <v>2.0158552740519955E-3</v>
      </c>
      <c r="AK39" s="372">
        <f t="shared" si="8"/>
        <v>2.0388309322735554E-2</v>
      </c>
      <c r="AL39" s="373">
        <f t="shared" si="9"/>
        <v>6.7000830220008299E-3</v>
      </c>
      <c r="AM39" s="374" t="str">
        <f t="shared" si="10"/>
        <v>-0.01 pts.</v>
      </c>
      <c r="AN39" s="375" t="str">
        <f t="shared" si="11"/>
        <v>0 pts.</v>
      </c>
    </row>
    <row r="40" spans="1:40" x14ac:dyDescent="0.2">
      <c r="A40" s="6" t="s">
        <v>28</v>
      </c>
      <c r="B40" s="7"/>
      <c r="H40" s="10" t="s">
        <v>874</v>
      </c>
      <c r="I40" s="25" t="s">
        <v>1004</v>
      </c>
      <c r="J40" s="25" t="s">
        <v>1004</v>
      </c>
      <c r="K40" s="64" t="str">
        <f t="shared" si="0"/>
        <v/>
      </c>
      <c r="L40" s="24">
        <v>703100</v>
      </c>
      <c r="M40" s="24">
        <v>690035</v>
      </c>
      <c r="N40" s="24" t="s">
        <v>1100</v>
      </c>
      <c r="O40" s="19"/>
      <c r="P40" s="19">
        <v>916.66</v>
      </c>
      <c r="Q40" s="19">
        <v>458.33</v>
      </c>
      <c r="R40" s="19">
        <v>458.33</v>
      </c>
      <c r="S40" s="19">
        <v>-1833.32</v>
      </c>
      <c r="T40" s="19"/>
      <c r="U40" s="19">
        <v>414.83</v>
      </c>
      <c r="V40" s="19"/>
      <c r="W40" s="19">
        <v>165.6</v>
      </c>
      <c r="X40" s="19"/>
      <c r="Y40" s="19"/>
      <c r="Z40" s="19"/>
      <c r="AA40" s="35">
        <f t="shared" si="1"/>
        <v>580.42999999999995</v>
      </c>
      <c r="AB40" s="15">
        <f t="shared" si="2"/>
        <v>5.3549067475598356E-5</v>
      </c>
      <c r="AD40" s="19">
        <v>4052.1120000000001</v>
      </c>
      <c r="AE40" s="15">
        <f t="shared" si="3"/>
        <v>3.6053441553591181E-4</v>
      </c>
      <c r="AF40" s="47">
        <f t="shared" si="4"/>
        <v>-3471.6820000000002</v>
      </c>
      <c r="AG40" s="19">
        <v>133.33000000000001</v>
      </c>
      <c r="AH40" s="15">
        <f t="shared" si="5"/>
        <v>1.0303544475867573E-5</v>
      </c>
      <c r="AI40" s="47">
        <f t="shared" si="6"/>
        <v>447.09999999999991</v>
      </c>
      <c r="AJ40" s="371">
        <f t="shared" si="7"/>
        <v>1.2014199370756746E-2</v>
      </c>
      <c r="AK40" s="372">
        <f t="shared" si="8"/>
        <v>8.3873820168902144E-2</v>
      </c>
      <c r="AL40" s="373">
        <f t="shared" si="9"/>
        <v>2.7673308426733089E-3</v>
      </c>
      <c r="AM40" s="374" t="str">
        <f t="shared" si="10"/>
        <v>-0.03 pts.</v>
      </c>
      <c r="AN40" s="375" t="str">
        <f t="shared" si="11"/>
        <v>0 pts.</v>
      </c>
    </row>
    <row r="41" spans="1:40" x14ac:dyDescent="0.2">
      <c r="A41" s="6" t="s">
        <v>29</v>
      </c>
      <c r="B41" s="7"/>
      <c r="H41" s="10" t="s">
        <v>836</v>
      </c>
      <c r="I41" s="25" t="s">
        <v>1004</v>
      </c>
      <c r="J41" s="25" t="s">
        <v>1004</v>
      </c>
      <c r="K41" s="64" t="str">
        <f t="shared" si="0"/>
        <v/>
      </c>
      <c r="L41" s="24">
        <v>703300</v>
      </c>
      <c r="M41" s="24">
        <v>590115</v>
      </c>
      <c r="N41" s="24" t="s">
        <v>1102</v>
      </c>
      <c r="O41" s="19"/>
      <c r="P41" s="19"/>
      <c r="Q41" s="19"/>
      <c r="R41" s="19">
        <v>60.7</v>
      </c>
      <c r="S41" s="19"/>
      <c r="T41" s="19">
        <v>64.14</v>
      </c>
      <c r="U41" s="19">
        <v>125.42</v>
      </c>
      <c r="V41" s="19"/>
      <c r="W41" s="19"/>
      <c r="X41" s="19"/>
      <c r="Y41" s="19"/>
      <c r="Z41" s="19"/>
      <c r="AA41" s="35">
        <f t="shared" si="1"/>
        <v>250.26</v>
      </c>
      <c r="AB41" s="15">
        <f t="shared" si="2"/>
        <v>2.3088382107133064E-5</v>
      </c>
      <c r="AD41" s="19"/>
      <c r="AE41" s="15" t="str">
        <f t="shared" si="3"/>
        <v/>
      </c>
      <c r="AF41" s="47">
        <f t="shared" si="4"/>
        <v>250.26</v>
      </c>
      <c r="AG41" s="19"/>
      <c r="AH41" s="15" t="str">
        <f t="shared" si="5"/>
        <v/>
      </c>
      <c r="AI41" s="47">
        <f t="shared" si="6"/>
        <v>250.26</v>
      </c>
      <c r="AJ41" s="371">
        <f t="shared" si="7"/>
        <v>5.1800794833581718E-3</v>
      </c>
      <c r="AK41" s="372">
        <f t="shared" si="8"/>
        <v>0</v>
      </c>
      <c r="AL41" s="373">
        <f t="shared" si="9"/>
        <v>0</v>
      </c>
      <c r="AM41" s="374">
        <f t="shared" si="10"/>
        <v>0</v>
      </c>
      <c r="AN41" s="375">
        <f t="shared" si="11"/>
        <v>0</v>
      </c>
    </row>
    <row r="42" spans="1:40" x14ac:dyDescent="0.2">
      <c r="A42" s="6" t="s">
        <v>30</v>
      </c>
      <c r="B42" s="7" t="s">
        <v>78</v>
      </c>
      <c r="H42" s="10" t="s">
        <v>885</v>
      </c>
      <c r="I42" s="25" t="s">
        <v>1004</v>
      </c>
      <c r="J42" s="25" t="s">
        <v>1004</v>
      </c>
      <c r="K42" s="64" t="str">
        <f t="shared" si="0"/>
        <v/>
      </c>
      <c r="L42" s="24">
        <v>706700</v>
      </c>
      <c r="M42" s="24">
        <v>690248</v>
      </c>
      <c r="N42" s="24" t="s">
        <v>1430</v>
      </c>
      <c r="O42" s="19">
        <v>378.24</v>
      </c>
      <c r="P42" s="19">
        <v>2779.07</v>
      </c>
      <c r="Q42" s="19">
        <v>3358.81</v>
      </c>
      <c r="R42" s="19">
        <v>1723.62</v>
      </c>
      <c r="S42" s="19">
        <v>4534.04</v>
      </c>
      <c r="T42" s="19">
        <v>998.34</v>
      </c>
      <c r="U42" s="19">
        <v>1140.19</v>
      </c>
      <c r="V42" s="19">
        <v>3876.8</v>
      </c>
      <c r="W42" s="19">
        <v>2458.83</v>
      </c>
      <c r="X42" s="19">
        <v>546.04</v>
      </c>
      <c r="Y42" s="19">
        <v>4071.15</v>
      </c>
      <c r="Z42" s="19">
        <v>7703.95</v>
      </c>
      <c r="AA42" s="35">
        <f t="shared" si="1"/>
        <v>33569.08</v>
      </c>
      <c r="AB42" s="15">
        <f t="shared" si="2"/>
        <v>3.0970021019136838E-3</v>
      </c>
      <c r="AD42" s="19">
        <v>38367</v>
      </c>
      <c r="AE42" s="15">
        <f t="shared" si="3"/>
        <v>3.4136825242901303E-3</v>
      </c>
      <c r="AF42" s="47">
        <f t="shared" si="4"/>
        <v>-4797.9199999999983</v>
      </c>
      <c r="AG42" s="19">
        <v>45424.5</v>
      </c>
      <c r="AH42" s="15">
        <f t="shared" si="5"/>
        <v>3.5103379287785685E-3</v>
      </c>
      <c r="AI42" s="47">
        <f t="shared" si="6"/>
        <v>-11855.419999999998</v>
      </c>
      <c r="AJ42" s="371">
        <f t="shared" si="7"/>
        <v>0.69483937738036106</v>
      </c>
      <c r="AK42" s="372">
        <f t="shared" si="8"/>
        <v>0.79415052160953803</v>
      </c>
      <c r="AL42" s="373">
        <f t="shared" si="9"/>
        <v>0.94280821917808222</v>
      </c>
      <c r="AM42" s="374" t="str">
        <f t="shared" si="10"/>
        <v>-0.03 pts.</v>
      </c>
      <c r="AN42" s="375" t="str">
        <f t="shared" si="11"/>
        <v>-0.04 pts.</v>
      </c>
    </row>
    <row r="43" spans="1:40" x14ac:dyDescent="0.2">
      <c r="A43" s="6" t="s">
        <v>31</v>
      </c>
      <c r="B43" s="7" t="s">
        <v>78</v>
      </c>
      <c r="H43" s="10" t="s">
        <v>886</v>
      </c>
      <c r="I43" s="25" t="s">
        <v>1004</v>
      </c>
      <c r="J43" s="25" t="s">
        <v>1004</v>
      </c>
      <c r="K43" s="64" t="str">
        <f t="shared" si="0"/>
        <v/>
      </c>
      <c r="L43" s="24">
        <v>706800</v>
      </c>
      <c r="M43" s="24">
        <v>690030</v>
      </c>
      <c r="N43" s="24" t="s">
        <v>1431</v>
      </c>
      <c r="O43" s="19">
        <v>114.54</v>
      </c>
      <c r="P43" s="19"/>
      <c r="Q43" s="19">
        <v>374.51</v>
      </c>
      <c r="R43" s="19"/>
      <c r="S43" s="19">
        <v>5098.7</v>
      </c>
      <c r="T43" s="19">
        <v>695.44</v>
      </c>
      <c r="U43" s="19">
        <v>367.55</v>
      </c>
      <c r="V43" s="19">
        <v>288.45999999999998</v>
      </c>
      <c r="W43" s="19">
        <v>720.58</v>
      </c>
      <c r="X43" s="19">
        <v>455.9</v>
      </c>
      <c r="Y43" s="19">
        <v>626.85</v>
      </c>
      <c r="Z43" s="19">
        <v>325.10000000000002</v>
      </c>
      <c r="AA43" s="35">
        <f t="shared" si="1"/>
        <v>9067.630000000001</v>
      </c>
      <c r="AB43" s="15">
        <f t="shared" si="2"/>
        <v>8.3655760507513391E-4</v>
      </c>
      <c r="AD43" s="19">
        <v>5785.1</v>
      </c>
      <c r="AE43" s="15">
        <f t="shared" si="3"/>
        <v>5.1472606071026751E-4</v>
      </c>
      <c r="AF43" s="47">
        <f t="shared" si="4"/>
        <v>3282.5300000000007</v>
      </c>
      <c r="AG43" s="19">
        <v>5692.08</v>
      </c>
      <c r="AH43" s="15">
        <f t="shared" si="5"/>
        <v>4.398754926887894E-4</v>
      </c>
      <c r="AI43" s="47">
        <f t="shared" si="6"/>
        <v>3375.5500000000011</v>
      </c>
      <c r="AJ43" s="371">
        <f t="shared" si="7"/>
        <v>0.18768897996357015</v>
      </c>
      <c r="AK43" s="372">
        <f t="shared" si="8"/>
        <v>0.11974457691670808</v>
      </c>
      <c r="AL43" s="373">
        <f t="shared" si="9"/>
        <v>0.11814196762141968</v>
      </c>
      <c r="AM43" s="374" t="str">
        <f t="shared" si="10"/>
        <v>0.03 pts.</v>
      </c>
      <c r="AN43" s="375" t="str">
        <f t="shared" si="11"/>
        <v>0.04 pts.</v>
      </c>
    </row>
    <row r="44" spans="1:40" x14ac:dyDescent="0.2">
      <c r="A44" s="6" t="s">
        <v>32</v>
      </c>
      <c r="B44" s="7"/>
      <c r="H44" s="10" t="s">
        <v>887</v>
      </c>
      <c r="I44" s="25" t="s">
        <v>1004</v>
      </c>
      <c r="J44" s="25" t="s">
        <v>1004</v>
      </c>
      <c r="K44" s="64" t="str">
        <f t="shared" si="0"/>
        <v/>
      </c>
      <c r="L44" s="24">
        <v>706900</v>
      </c>
      <c r="M44" s="24">
        <v>690031</v>
      </c>
      <c r="N44" s="24" t="s">
        <v>1432</v>
      </c>
      <c r="O44" s="19"/>
      <c r="P44" s="19"/>
      <c r="Q44" s="19"/>
      <c r="R44" s="19"/>
      <c r="S44" s="19"/>
      <c r="T44" s="19"/>
      <c r="U44" s="19"/>
      <c r="V44" s="19"/>
      <c r="W44" s="19"/>
      <c r="X44" s="19"/>
      <c r="Y44" s="19"/>
      <c r="Z44" s="19"/>
      <c r="AA44" s="35">
        <f t="shared" si="1"/>
        <v>0</v>
      </c>
      <c r="AB44" s="15" t="str">
        <f t="shared" si="2"/>
        <v/>
      </c>
      <c r="AD44" s="19"/>
      <c r="AE44" s="15" t="str">
        <f t="shared" si="3"/>
        <v/>
      </c>
      <c r="AF44" s="47">
        <f t="shared" si="4"/>
        <v>0</v>
      </c>
      <c r="AG44" s="19">
        <v>1607.43</v>
      </c>
      <c r="AH44" s="15">
        <f t="shared" si="5"/>
        <v>1.2421980422143411E-4</v>
      </c>
      <c r="AI44" s="47">
        <f t="shared" si="6"/>
        <v>-1607.43</v>
      </c>
      <c r="AJ44" s="371">
        <f t="shared" si="7"/>
        <v>0</v>
      </c>
      <c r="AK44" s="372">
        <f t="shared" si="8"/>
        <v>0</v>
      </c>
      <c r="AL44" s="373">
        <f t="shared" si="9"/>
        <v>3.3363013698630137E-2</v>
      </c>
      <c r="AM44" s="374">
        <f t="shared" si="10"/>
        <v>0</v>
      </c>
      <c r="AN44" s="375">
        <f t="shared" si="11"/>
        <v>0</v>
      </c>
    </row>
    <row r="45" spans="1:40" x14ac:dyDescent="0.2">
      <c r="A45" s="6" t="s">
        <v>33</v>
      </c>
      <c r="B45" s="7"/>
      <c r="H45" s="10" t="s">
        <v>79</v>
      </c>
      <c r="I45" s="25" t="s">
        <v>1007</v>
      </c>
      <c r="J45" s="25" t="s">
        <v>78</v>
      </c>
      <c r="K45" s="24"/>
      <c r="N45" s="23" t="s">
        <v>1111</v>
      </c>
      <c r="O45" s="30">
        <f t="shared" ref="O45:Z45" si="12">SUM(O34:O44)</f>
        <v>492.78000000000003</v>
      </c>
      <c r="P45" s="30">
        <f t="shared" si="12"/>
        <v>3779.0600000000004</v>
      </c>
      <c r="Q45" s="30">
        <f t="shared" si="12"/>
        <v>4191.6499999999996</v>
      </c>
      <c r="R45" s="30">
        <f t="shared" si="12"/>
        <v>2990.0699999999997</v>
      </c>
      <c r="S45" s="30">
        <f t="shared" si="12"/>
        <v>7799.42</v>
      </c>
      <c r="T45" s="30">
        <f t="shared" si="12"/>
        <v>2318.11</v>
      </c>
      <c r="U45" s="30">
        <f t="shared" si="12"/>
        <v>2121.54</v>
      </c>
      <c r="V45" s="30">
        <f t="shared" si="12"/>
        <v>6166.14</v>
      </c>
      <c r="W45" s="30">
        <f t="shared" si="12"/>
        <v>3409.95</v>
      </c>
      <c r="X45" s="30">
        <f t="shared" si="12"/>
        <v>1089.9899999999998</v>
      </c>
      <c r="Y45" s="30">
        <f t="shared" si="12"/>
        <v>4947.8100000000004</v>
      </c>
      <c r="Z45" s="30">
        <f t="shared" si="12"/>
        <v>8074.05</v>
      </c>
      <c r="AA45" s="30">
        <f t="shared" si="1"/>
        <v>47380.57</v>
      </c>
      <c r="AB45" s="31">
        <f t="shared" si="2"/>
        <v>4.3712167530319092E-3</v>
      </c>
      <c r="AD45" s="30">
        <f>SUM(AD34:AD44)</f>
        <v>58079.212</v>
      </c>
      <c r="AE45" s="31">
        <f t="shared" si="3"/>
        <v>5.1675656431032294E-3</v>
      </c>
      <c r="AF45" s="49">
        <f t="shared" si="4"/>
        <v>-10698.642</v>
      </c>
      <c r="AG45" s="30">
        <f>SUM(AG34:AG44)</f>
        <v>54120.41</v>
      </c>
      <c r="AH45" s="31">
        <f t="shared" si="5"/>
        <v>4.1823449447775307E-3</v>
      </c>
      <c r="AI45" s="49">
        <f t="shared" si="6"/>
        <v>-6739.8400000000038</v>
      </c>
      <c r="AJ45" s="387">
        <f t="shared" si="7"/>
        <v>0.98072052492134454</v>
      </c>
      <c r="AK45" s="388">
        <f t="shared" si="8"/>
        <v>1.2021694817022686</v>
      </c>
      <c r="AL45" s="389">
        <f t="shared" si="9"/>
        <v>1.1232961809879618</v>
      </c>
      <c r="AM45" s="390" t="str">
        <f t="shared" si="10"/>
        <v>-0.08 pts.</v>
      </c>
      <c r="AN45" s="408" t="str">
        <f t="shared" si="11"/>
        <v>0.02 pts.</v>
      </c>
    </row>
    <row r="46" spans="1:40" x14ac:dyDescent="0.2">
      <c r="A46" s="6" t="s">
        <v>34</v>
      </c>
      <c r="B46" s="7"/>
    </row>
    <row r="47" spans="1:40" x14ac:dyDescent="0.2">
      <c r="A47" s="6" t="s">
        <v>35</v>
      </c>
      <c r="B47" s="7"/>
      <c r="H47" s="10" t="s">
        <v>498</v>
      </c>
      <c r="N47" s="24" t="str">
        <f>N45&amp;" - Check"</f>
        <v>Total Operations Expense - Check</v>
      </c>
      <c r="O47" s="124" t="e">
        <f>INDEX(#REF!,MATCH($H$47,#REF!,0))-O45</f>
        <v>#REF!</v>
      </c>
      <c r="P47" s="124" t="e">
        <f>INDEX(#REF!,MATCH($H$47,#REF!,0))-P45</f>
        <v>#REF!</v>
      </c>
      <c r="Q47" s="124" t="e">
        <f>INDEX(#REF!,MATCH($H$47,#REF!,0))-Q45</f>
        <v>#REF!</v>
      </c>
      <c r="R47" s="124" t="e">
        <f>INDEX(#REF!,MATCH($H$47,#REF!,0))-R45</f>
        <v>#REF!</v>
      </c>
      <c r="S47" s="124" t="e">
        <f>INDEX(#REF!,MATCH($H$47,#REF!,0))-S45</f>
        <v>#REF!</v>
      </c>
      <c r="T47" s="124" t="e">
        <f>INDEX(#REF!,MATCH($H$47,#REF!,0))-T45</f>
        <v>#REF!</v>
      </c>
      <c r="U47" s="124" t="e">
        <f>INDEX(#REF!,MATCH($H$47,#REF!,0))-U45</f>
        <v>#REF!</v>
      </c>
      <c r="V47" s="124" t="e">
        <f>INDEX(#REF!,MATCH($H$47,#REF!,0))-V45</f>
        <v>#REF!</v>
      </c>
      <c r="W47" s="124" t="e">
        <f>INDEX(#REF!,MATCH($H$47,#REF!,0))-W45</f>
        <v>#REF!</v>
      </c>
      <c r="X47" s="124" t="e">
        <f>INDEX(#REF!,MATCH($H$47,#REF!,0))-X45</f>
        <v>#REF!</v>
      </c>
      <c r="Y47" s="124" t="e">
        <f>INDEX(#REF!,MATCH($H$47,#REF!,0))-Y45</f>
        <v>#REF!</v>
      </c>
      <c r="Z47" s="124" t="e">
        <f>INDEX(#REF!,MATCH($H$47,#REF!,0))-Z45</f>
        <v>#REF!</v>
      </c>
      <c r="AA47" s="124" t="e">
        <f>IF($I47="B1","",SUM(O47:Z47))</f>
        <v>#REF!</v>
      </c>
      <c r="AB47" s="321"/>
      <c r="AC47" s="147"/>
      <c r="AD47" s="124" t="e">
        <f>INDEX(#REF!,MATCH($H$47,#REF!,0))-AD45</f>
        <v>#REF!</v>
      </c>
      <c r="AE47" s="321"/>
      <c r="AF47" s="19"/>
      <c r="AG47" s="124" t="e">
        <f>INDEX(#REF!,MATCH($H$47,#REF!,0))-AG45</f>
        <v>#REF!</v>
      </c>
      <c r="AH47" s="321"/>
      <c r="AI47" s="19"/>
    </row>
    <row r="48" spans="1:40" x14ac:dyDescent="0.2">
      <c r="A48" s="6" t="s">
        <v>36</v>
      </c>
      <c r="B48" s="7"/>
      <c r="N48" s="11"/>
      <c r="O48" s="11"/>
      <c r="P48" s="11"/>
      <c r="Q48" s="11"/>
      <c r="R48" s="11"/>
      <c r="S48" s="11"/>
      <c r="T48" s="11"/>
      <c r="U48" s="11"/>
      <c r="V48" s="11"/>
      <c r="W48" s="11"/>
      <c r="X48" s="11"/>
      <c r="Y48" s="11"/>
      <c r="Z48" s="11"/>
      <c r="AA48" s="11"/>
      <c r="AB48" s="11"/>
      <c r="AD48" s="11"/>
      <c r="AE48" s="11"/>
      <c r="AF48" s="11"/>
      <c r="AG48" s="11"/>
      <c r="AH48" s="11"/>
      <c r="AI48" s="11"/>
    </row>
    <row r="49" spans="1:10" x14ac:dyDescent="0.2">
      <c r="A49" s="6" t="s">
        <v>37</v>
      </c>
      <c r="B49" s="7"/>
    </row>
    <row r="50" spans="1:10" x14ac:dyDescent="0.2">
      <c r="A50" s="6" t="s">
        <v>38</v>
      </c>
      <c r="B50" s="7"/>
    </row>
    <row r="51" spans="1:10" x14ac:dyDescent="0.2">
      <c r="A51" s="6" t="s">
        <v>39</v>
      </c>
      <c r="B51" s="7"/>
    </row>
    <row r="52" spans="1:10" x14ac:dyDescent="0.2">
      <c r="A52" s="6" t="s">
        <v>40</v>
      </c>
      <c r="B52" s="7"/>
    </row>
    <row r="53" spans="1:10" x14ac:dyDescent="0.2">
      <c r="A53" s="6" t="s">
        <v>41</v>
      </c>
      <c r="B53" s="7"/>
    </row>
    <row r="54" spans="1:10" x14ac:dyDescent="0.2">
      <c r="A54" s="6" t="s">
        <v>42</v>
      </c>
      <c r="B54" s="7"/>
    </row>
    <row r="55" spans="1:10" x14ac:dyDescent="0.2">
      <c r="A55" s="6" t="s">
        <v>43</v>
      </c>
      <c r="B55" s="7"/>
      <c r="H55" s="11"/>
      <c r="J55" s="1"/>
    </row>
    <row r="56" spans="1:10" x14ac:dyDescent="0.2">
      <c r="A56" s="6" t="s">
        <v>44</v>
      </c>
      <c r="B56" s="7"/>
      <c r="H56" s="11"/>
      <c r="J56" s="1"/>
    </row>
    <row r="57" spans="1:10" x14ac:dyDescent="0.2">
      <c r="A57" s="6" t="s">
        <v>45</v>
      </c>
      <c r="B57" s="7"/>
      <c r="H57" s="11"/>
      <c r="J57" s="1"/>
    </row>
    <row r="58" spans="1:10" x14ac:dyDescent="0.2">
      <c r="A58" s="6" t="s">
        <v>46</v>
      </c>
      <c r="B58" s="7"/>
      <c r="H58" s="11"/>
      <c r="J58" s="1"/>
    </row>
    <row r="59" spans="1:10" x14ac:dyDescent="0.2">
      <c r="H59" s="11"/>
      <c r="J59" s="1"/>
    </row>
    <row r="60" spans="1:10" x14ac:dyDescent="0.2">
      <c r="H60" s="11"/>
      <c r="J60" s="1"/>
    </row>
    <row r="61" spans="1:10" x14ac:dyDescent="0.2">
      <c r="H61" s="11"/>
      <c r="J61" s="1"/>
    </row>
    <row r="62" spans="1:10" x14ac:dyDescent="0.2">
      <c r="H62" s="11"/>
      <c r="J62" s="1"/>
    </row>
    <row r="63" spans="1:10" x14ac:dyDescent="0.2">
      <c r="H63" s="11"/>
      <c r="J63" s="1"/>
    </row>
    <row r="64" spans="1:10" x14ac:dyDescent="0.2">
      <c r="H64" s="11"/>
      <c r="J64" s="1"/>
    </row>
    <row r="65" spans="8:10" x14ac:dyDescent="0.2">
      <c r="H65" s="11"/>
      <c r="J65" s="1"/>
    </row>
    <row r="66" spans="8:10" x14ac:dyDescent="0.2">
      <c r="H66" s="11"/>
      <c r="J66" s="1"/>
    </row>
    <row r="67" spans="8:10" x14ac:dyDescent="0.2">
      <c r="H67" s="11"/>
      <c r="J67" s="1"/>
    </row>
    <row r="68" spans="8:10" x14ac:dyDescent="0.2">
      <c r="H68" s="11"/>
      <c r="J68" s="1"/>
    </row>
    <row r="69" spans="8:10" x14ac:dyDescent="0.2">
      <c r="H69" s="11"/>
      <c r="J69" s="1"/>
    </row>
    <row r="70" spans="8:10" x14ac:dyDescent="0.2">
      <c r="H70" s="11"/>
      <c r="J70" s="1"/>
    </row>
    <row r="71" spans="8:10" x14ac:dyDescent="0.2">
      <c r="H71" s="11"/>
      <c r="J71" s="1"/>
    </row>
    <row r="72" spans="8:10" x14ac:dyDescent="0.2">
      <c r="H72" s="11"/>
      <c r="J72" s="1"/>
    </row>
    <row r="73" spans="8:10" x14ac:dyDescent="0.2">
      <c r="H73" s="11"/>
      <c r="J73" s="1"/>
    </row>
    <row r="74" spans="8:10" x14ac:dyDescent="0.2">
      <c r="H74" s="11"/>
      <c r="J74" s="1"/>
    </row>
    <row r="75" spans="8:10" x14ac:dyDescent="0.2">
      <c r="H75" s="11"/>
      <c r="J75" s="1"/>
    </row>
    <row r="76" spans="8:10" x14ac:dyDescent="0.2">
      <c r="H76" s="11"/>
      <c r="J76" s="1"/>
    </row>
    <row r="77" spans="8:10" x14ac:dyDescent="0.2">
      <c r="H77" s="11"/>
      <c r="J77" s="1"/>
    </row>
  </sheetData>
  <mergeCells count="2">
    <mergeCell ref="AD31:AE31"/>
    <mergeCell ref="AG31:AH31"/>
  </mergeCells>
  <dataValidations count="2">
    <dataValidation type="list" allowBlank="1" sqref="B28" xr:uid="{00000000-0002-0000-4F00-000000000000}">
      <formula1>"ACCOUNT,BUSINESSUNIT,CATEGORY,DATASRC,DEPARTMENT,INTCO,MEASURES,RPTCURRENCY,TIME"</formula1>
    </dataValidation>
    <dataValidation type="list" allowBlank="1" sqref="B29" xr:uid="{00000000-0002-0000-4F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53528-6EF8-46DE-9E09-E1E4783C4545}">
  <sheetPr>
    <tabColor theme="9" tint="0.79998168889431442"/>
  </sheetPr>
  <dimension ref="N1:AE83"/>
  <sheetViews>
    <sheetView showGridLines="0" topLeftCell="M25" zoomScale="71" zoomScaleNormal="71" workbookViewId="0">
      <pane xSplit="2" ySplit="8" topLeftCell="O64" activePane="bottomRight" state="frozen"/>
      <selection activeCell="Z56" sqref="Z56"/>
      <selection pane="topRight" activeCell="Z56" sqref="Z56"/>
      <selection pane="bottomLeft" activeCell="Z56" sqref="Z56"/>
      <selection pane="bottomRight" activeCell="Z56" sqref="Z56"/>
    </sheetView>
  </sheetViews>
  <sheetFormatPr baseColWidth="10" defaultColWidth="8.83203125" defaultRowHeight="15" x14ac:dyDescent="0.2"/>
  <cols>
    <col min="1" max="12" width="0" hidden="1" customWidth="1"/>
    <col min="13" max="13" width="6.6640625" customWidth="1"/>
    <col min="14" max="14" width="32.83203125" bestFit="1" customWidth="1"/>
    <col min="15" max="17" width="11.83203125" bestFit="1" customWidth="1"/>
    <col min="18" max="20" width="12.33203125" bestFit="1" customWidth="1"/>
    <col min="21" max="21" width="11.1640625" bestFit="1" customWidth="1"/>
    <col min="22" max="22" width="11.83203125" bestFit="1" customWidth="1"/>
    <col min="23" max="24" width="12.33203125" bestFit="1" customWidth="1"/>
    <col min="25" max="26" width="11.83203125" bestFit="1" customWidth="1"/>
    <col min="27" max="27" width="14" bestFit="1" customWidth="1"/>
  </cols>
  <sheetData>
    <row r="1" hidden="1" x14ac:dyDescent="0.2"/>
    <row r="2" hidden="1" x14ac:dyDescent="0.2"/>
    <row r="3" hidden="1" x14ac:dyDescent="0.2"/>
    <row r="4" hidden="1" x14ac:dyDescent="0.2"/>
    <row r="5" hidden="1" x14ac:dyDescent="0.2"/>
    <row r="6" hidden="1" x14ac:dyDescent="0.2"/>
    <row r="7" hidden="1" x14ac:dyDescent="0.2"/>
    <row r="8" hidden="1" x14ac:dyDescent="0.2"/>
    <row r="9" hidden="1" x14ac:dyDescent="0.2"/>
    <row r="10" hidden="1" x14ac:dyDescent="0.2"/>
    <row r="11" hidden="1" x14ac:dyDescent="0.2"/>
    <row r="12" hidden="1" x14ac:dyDescent="0.2"/>
    <row r="13" hidden="1" x14ac:dyDescent="0.2"/>
    <row r="14" hidden="1" x14ac:dyDescent="0.2"/>
    <row r="15" hidden="1" x14ac:dyDescent="0.2"/>
    <row r="16" hidden="1" x14ac:dyDescent="0.2"/>
    <row r="17" spans="14:28" hidden="1" x14ac:dyDescent="0.2"/>
    <row r="18" spans="14:28" hidden="1" x14ac:dyDescent="0.2"/>
    <row r="19" spans="14:28" hidden="1" x14ac:dyDescent="0.2"/>
    <row r="20" spans="14:28" hidden="1" x14ac:dyDescent="0.2"/>
    <row r="21" spans="14:28" hidden="1" x14ac:dyDescent="0.2"/>
    <row r="22" spans="14:28" hidden="1" x14ac:dyDescent="0.2"/>
    <row r="23" spans="14:28" hidden="1" x14ac:dyDescent="0.2"/>
    <row r="24" spans="14:28" hidden="1" x14ac:dyDescent="0.2"/>
    <row r="26" spans="14:28" ht="23" x14ac:dyDescent="0.25">
      <c r="N26" s="61" t="s">
        <v>982</v>
      </c>
      <c r="O26" s="1"/>
      <c r="P26" s="1"/>
      <c r="Q26" s="1"/>
      <c r="R26" s="1"/>
      <c r="S26" s="1"/>
      <c r="T26" s="1"/>
      <c r="U26" s="1"/>
      <c r="V26" s="1"/>
      <c r="W26" s="1"/>
      <c r="X26" s="1"/>
      <c r="Y26" s="1"/>
      <c r="Z26" s="1"/>
      <c r="AA26" s="1"/>
      <c r="AB26" s="1"/>
    </row>
    <row r="27" spans="14:28" ht="18" x14ac:dyDescent="0.2">
      <c r="N27" s="66" t="s">
        <v>1453</v>
      </c>
      <c r="O27" s="1"/>
      <c r="P27" s="1"/>
      <c r="Q27" s="1"/>
      <c r="R27" s="1"/>
      <c r="S27" s="1"/>
      <c r="T27" s="1"/>
      <c r="U27" s="1"/>
      <c r="V27" s="1"/>
      <c r="W27" s="1"/>
      <c r="X27" s="1"/>
      <c r="Y27" s="1"/>
      <c r="Z27" s="1"/>
      <c r="AA27" s="526"/>
      <c r="AB27" s="1"/>
    </row>
    <row r="28" spans="14:28" ht="16" x14ac:dyDescent="0.2">
      <c r="N28" s="67" t="s">
        <v>1002</v>
      </c>
      <c r="O28" s="1"/>
      <c r="P28" s="1"/>
      <c r="Q28" s="1"/>
      <c r="R28" s="1"/>
      <c r="S28" s="1"/>
      <c r="T28" s="1"/>
      <c r="U28" s="1"/>
      <c r="V28" s="1"/>
      <c r="W28" s="1"/>
      <c r="X28" s="1"/>
      <c r="Y28" s="1"/>
      <c r="Z28" s="527" t="s">
        <v>1001</v>
      </c>
      <c r="AA28" s="510">
        <v>13481730.289999999</v>
      </c>
      <c r="AB28" s="1"/>
    </row>
    <row r="29" spans="14:28" ht="16" x14ac:dyDescent="0.2">
      <c r="N29" s="67" t="s">
        <v>986</v>
      </c>
      <c r="O29" s="1"/>
      <c r="P29" s="1"/>
      <c r="Q29" s="1"/>
      <c r="R29" s="1"/>
      <c r="S29" s="1"/>
      <c r="T29" s="1"/>
      <c r="U29" s="1"/>
      <c r="V29" s="1"/>
      <c r="W29" s="1"/>
      <c r="X29" s="1"/>
      <c r="Y29" s="1"/>
      <c r="Z29" s="1"/>
      <c r="AA29" s="1"/>
      <c r="AB29" s="1"/>
    </row>
    <row r="30" spans="14:28" x14ac:dyDescent="0.2">
      <c r="N30" s="1"/>
      <c r="O30" s="208"/>
      <c r="P30" s="209"/>
      <c r="Q30" s="209"/>
      <c r="R30" s="209"/>
      <c r="S30" s="209"/>
      <c r="T30" s="209"/>
      <c r="U30" s="209"/>
      <c r="V30" s="209"/>
      <c r="W30" s="209"/>
      <c r="X30" s="209"/>
      <c r="Y30" s="209"/>
      <c r="Z30" s="209"/>
      <c r="AA30" s="209"/>
      <c r="AB30" s="210"/>
    </row>
    <row r="31" spans="14:28" x14ac:dyDescent="0.2">
      <c r="N31" s="1"/>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
        <v>116</v>
      </c>
      <c r="AB31" s="207"/>
    </row>
    <row r="32" spans="14:28" ht="16" x14ac:dyDescent="0.2">
      <c r="N32" s="236"/>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row>
    <row r="33" spans="14:28" x14ac:dyDescent="0.2">
      <c r="N33" s="37" t="s">
        <v>1073</v>
      </c>
      <c r="O33" s="50"/>
      <c r="P33" s="1"/>
      <c r="Q33" s="1"/>
      <c r="R33" s="1"/>
      <c r="S33" s="1"/>
      <c r="T33" s="1"/>
      <c r="U33" s="1"/>
      <c r="V33" s="1"/>
      <c r="W33" s="1"/>
      <c r="X33" s="1"/>
      <c r="Y33" s="1"/>
      <c r="Z33" s="1"/>
      <c r="AA33" s="1"/>
      <c r="AB33" s="51"/>
    </row>
    <row r="34" spans="14:28" x14ac:dyDescent="0.2">
      <c r="N34" s="8" t="s">
        <v>1074</v>
      </c>
      <c r="O34" s="40"/>
      <c r="P34" s="43"/>
      <c r="Q34" s="43"/>
      <c r="R34" s="43"/>
      <c r="S34" s="43"/>
      <c r="T34" s="43"/>
      <c r="U34" s="43"/>
      <c r="V34" s="43"/>
      <c r="W34" s="43"/>
      <c r="X34" s="43"/>
      <c r="Y34" s="43"/>
      <c r="Z34" s="43"/>
      <c r="AA34" s="43"/>
      <c r="AB34" s="41"/>
    </row>
    <row r="35" spans="14:28" x14ac:dyDescent="0.2">
      <c r="N35" s="24" t="s">
        <v>1075</v>
      </c>
      <c r="O35" s="35">
        <v>20204.310000000001</v>
      </c>
      <c r="P35" s="35">
        <v>23402.2</v>
      </c>
      <c r="Q35" s="35">
        <v>24038.39</v>
      </c>
      <c r="R35" s="35">
        <v>24739.37</v>
      </c>
      <c r="S35" s="35">
        <v>23901.95</v>
      </c>
      <c r="T35" s="35">
        <v>21429.22</v>
      </c>
      <c r="U35" s="35">
        <v>23858.240000000002</v>
      </c>
      <c r="V35" s="35">
        <v>19590.07</v>
      </c>
      <c r="W35" s="35">
        <v>23902.26</v>
      </c>
      <c r="X35" s="35">
        <v>22870.14</v>
      </c>
      <c r="Y35" s="35">
        <v>22242.42</v>
      </c>
      <c r="Z35" s="35">
        <v>16230.11</v>
      </c>
      <c r="AA35" s="35">
        <v>266408.68</v>
      </c>
      <c r="AB35" s="36">
        <v>1.976071871112918E-2</v>
      </c>
    </row>
    <row r="36" spans="14:28" x14ac:dyDescent="0.2">
      <c r="N36" s="24"/>
      <c r="O36" s="35"/>
      <c r="P36" s="35"/>
      <c r="Q36" s="35"/>
      <c r="R36" s="35"/>
      <c r="S36" s="35"/>
      <c r="T36" s="35"/>
      <c r="U36" s="35"/>
      <c r="V36" s="35"/>
      <c r="W36" s="35"/>
      <c r="X36" s="35"/>
      <c r="Y36" s="35"/>
      <c r="Z36" s="35"/>
      <c r="AA36" s="35"/>
      <c r="AB36" s="36"/>
    </row>
    <row r="37" spans="14:28" x14ac:dyDescent="0.2">
      <c r="N37" s="23" t="s">
        <v>1076</v>
      </c>
      <c r="O37" s="35"/>
      <c r="P37" s="35"/>
      <c r="Q37" s="35"/>
      <c r="R37" s="35"/>
      <c r="S37" s="35"/>
      <c r="T37" s="35"/>
      <c r="U37" s="35"/>
      <c r="V37" s="35"/>
      <c r="W37" s="35"/>
      <c r="X37" s="35"/>
      <c r="Y37" s="35"/>
      <c r="Z37" s="35"/>
      <c r="AA37" s="35"/>
      <c r="AB37" s="36"/>
    </row>
    <row r="38" spans="14:28" x14ac:dyDescent="0.2">
      <c r="N38" s="24" t="s">
        <v>1454</v>
      </c>
      <c r="O38" s="44">
        <v>2267.7600000000002</v>
      </c>
      <c r="P38" s="44">
        <v>4377.2299999999996</v>
      </c>
      <c r="Q38" s="44">
        <v>3786.39</v>
      </c>
      <c r="R38" s="44">
        <v>3789.28</v>
      </c>
      <c r="S38" s="44">
        <v>4774.22</v>
      </c>
      <c r="T38" s="44">
        <v>3759.25</v>
      </c>
      <c r="U38" s="44">
        <v>4210.3599999999997</v>
      </c>
      <c r="V38" s="44">
        <v>4136</v>
      </c>
      <c r="W38" s="44">
        <v>3935.25</v>
      </c>
      <c r="X38" s="44">
        <v>4411</v>
      </c>
      <c r="Y38" s="44">
        <v>3937.75</v>
      </c>
      <c r="Z38" s="44">
        <v>4166.5</v>
      </c>
      <c r="AA38" s="44">
        <v>47550.990000000005</v>
      </c>
      <c r="AB38" s="45">
        <v>3.5270687795372004E-3</v>
      </c>
    </row>
    <row r="39" spans="14:28" x14ac:dyDescent="0.2">
      <c r="N39" s="151" t="s">
        <v>1079</v>
      </c>
      <c r="O39" s="120">
        <v>22472.07</v>
      </c>
      <c r="P39" s="120">
        <v>27779.43</v>
      </c>
      <c r="Q39" s="120">
        <v>27824.78</v>
      </c>
      <c r="R39" s="120">
        <v>28528.649999999998</v>
      </c>
      <c r="S39" s="120">
        <v>28676.170000000002</v>
      </c>
      <c r="T39" s="120">
        <v>25188.47</v>
      </c>
      <c r="U39" s="120">
        <v>28068.600000000002</v>
      </c>
      <c r="V39" s="120">
        <v>23726.07</v>
      </c>
      <c r="W39" s="120">
        <v>27837.51</v>
      </c>
      <c r="X39" s="120">
        <v>27281.14</v>
      </c>
      <c r="Y39" s="120">
        <v>26180.17</v>
      </c>
      <c r="Z39" s="120">
        <v>20396.61</v>
      </c>
      <c r="AA39" s="120">
        <v>313959.67</v>
      </c>
      <c r="AB39" s="121">
        <v>2.328778749066638E-2</v>
      </c>
    </row>
    <row r="40" spans="14:28" x14ac:dyDescent="0.2">
      <c r="N40" s="24" t="s">
        <v>1081</v>
      </c>
      <c r="O40" s="44">
        <v>3500</v>
      </c>
      <c r="P40" s="44">
        <v>3500</v>
      </c>
      <c r="Q40" s="44">
        <v>3500</v>
      </c>
      <c r="R40" s="44">
        <v>3500</v>
      </c>
      <c r="S40" s="44">
        <v>3500</v>
      </c>
      <c r="T40" s="44">
        <v>3500</v>
      </c>
      <c r="U40" s="44">
        <v>3500</v>
      </c>
      <c r="V40" s="44">
        <v>3500</v>
      </c>
      <c r="W40" s="44">
        <v>3500</v>
      </c>
      <c r="X40" s="44">
        <v>3500</v>
      </c>
      <c r="Y40" s="44">
        <v>3500</v>
      </c>
      <c r="Z40" s="44">
        <v>3500</v>
      </c>
      <c r="AA40" s="44">
        <v>42000</v>
      </c>
      <c r="AB40" s="45">
        <v>3.1153271202253078E-3</v>
      </c>
    </row>
    <row r="41" spans="14:28" x14ac:dyDescent="0.2">
      <c r="N41" s="24" t="s">
        <v>1082</v>
      </c>
      <c r="O41" s="44">
        <v>0</v>
      </c>
      <c r="P41" s="44">
        <v>-251.49</v>
      </c>
      <c r="Q41" s="44">
        <v>7651.61</v>
      </c>
      <c r="R41" s="44">
        <v>3641.12</v>
      </c>
      <c r="S41" s="44">
        <v>2762.76</v>
      </c>
      <c r="T41" s="44">
        <v>5908.23</v>
      </c>
      <c r="U41" s="44">
        <v>2735.88</v>
      </c>
      <c r="V41" s="44">
        <v>7906.58</v>
      </c>
      <c r="W41" s="44">
        <v>5745.42</v>
      </c>
      <c r="X41" s="44">
        <v>1117.8</v>
      </c>
      <c r="Y41" s="44">
        <v>3833.06</v>
      </c>
      <c r="Z41" s="44">
        <v>899.42</v>
      </c>
      <c r="AA41" s="44">
        <v>41950.39</v>
      </c>
      <c r="AB41" s="45">
        <v>3.1116473255006797E-3</v>
      </c>
    </row>
    <row r="42" spans="14:28" x14ac:dyDescent="0.2">
      <c r="N42" s="151" t="s">
        <v>1083</v>
      </c>
      <c r="O42" s="120">
        <v>3500</v>
      </c>
      <c r="P42" s="120">
        <v>3248.51</v>
      </c>
      <c r="Q42" s="120">
        <v>11151.61</v>
      </c>
      <c r="R42" s="120">
        <v>7141.12</v>
      </c>
      <c r="S42" s="120">
        <v>6262.76</v>
      </c>
      <c r="T42" s="120">
        <v>9408.23</v>
      </c>
      <c r="U42" s="120">
        <v>6235.88</v>
      </c>
      <c r="V42" s="120">
        <v>11406.58</v>
      </c>
      <c r="W42" s="120">
        <v>9245.42</v>
      </c>
      <c r="X42" s="120">
        <v>4617.8</v>
      </c>
      <c r="Y42" s="120">
        <v>7333.0599999999995</v>
      </c>
      <c r="Z42" s="120">
        <v>4399.42</v>
      </c>
      <c r="AA42" s="120">
        <v>83950.39</v>
      </c>
      <c r="AB42" s="121">
        <v>6.2269744457259871E-3</v>
      </c>
    </row>
    <row r="43" spans="14:28" x14ac:dyDescent="0.2">
      <c r="N43" s="24" t="s">
        <v>561</v>
      </c>
      <c r="O43" s="44">
        <v>2036.56</v>
      </c>
      <c r="P43" s="44">
        <v>2300.81</v>
      </c>
      <c r="Q43" s="44">
        <v>2326.88</v>
      </c>
      <c r="R43" s="44">
        <v>2208.35</v>
      </c>
      <c r="S43" s="44">
        <v>2108.61</v>
      </c>
      <c r="T43" s="44">
        <v>2316.02</v>
      </c>
      <c r="U43" s="44">
        <v>2160.0300000000002</v>
      </c>
      <c r="V43" s="44">
        <v>2272.6799999999998</v>
      </c>
      <c r="W43" s="44">
        <v>2175.37</v>
      </c>
      <c r="X43" s="44">
        <v>1668.3</v>
      </c>
      <c r="Y43" s="44">
        <v>2291.13</v>
      </c>
      <c r="Z43" s="44">
        <v>1561.1</v>
      </c>
      <c r="AA43" s="44">
        <v>25425.84</v>
      </c>
      <c r="AB43" s="45">
        <v>1.8859478311073676E-3</v>
      </c>
    </row>
    <row r="44" spans="14:28" x14ac:dyDescent="0.2">
      <c r="N44" s="24" t="s">
        <v>560</v>
      </c>
      <c r="O44" s="44">
        <v>3633.26</v>
      </c>
      <c r="P44" s="44">
        <v>2021.4</v>
      </c>
      <c r="Q44" s="44">
        <v>1981.02</v>
      </c>
      <c r="R44" s="44">
        <v>2022.61</v>
      </c>
      <c r="S44" s="44">
        <v>3230.7</v>
      </c>
      <c r="T44" s="44">
        <v>1597.4</v>
      </c>
      <c r="U44" s="44">
        <v>3107.31</v>
      </c>
      <c r="V44" s="44">
        <v>4192.67</v>
      </c>
      <c r="W44" s="44">
        <v>3041.67</v>
      </c>
      <c r="X44" s="44">
        <v>3044.15</v>
      </c>
      <c r="Y44" s="44">
        <v>1072.83</v>
      </c>
      <c r="Z44" s="44">
        <v>526.57000000000005</v>
      </c>
      <c r="AA44" s="44">
        <v>29471.590000000004</v>
      </c>
      <c r="AB44" s="45">
        <v>2.1860391334085948E-3</v>
      </c>
    </row>
    <row r="45" spans="14:28" x14ac:dyDescent="0.2">
      <c r="N45" s="24" t="s">
        <v>562</v>
      </c>
      <c r="O45" s="44">
        <v>5615.86</v>
      </c>
      <c r="P45" s="44">
        <v>5118.05</v>
      </c>
      <c r="Q45" s="44">
        <v>5289.53</v>
      </c>
      <c r="R45" s="44">
        <v>3502.44</v>
      </c>
      <c r="S45" s="44">
        <v>3504.52</v>
      </c>
      <c r="T45" s="44">
        <v>3502.45</v>
      </c>
      <c r="U45" s="44">
        <v>3502.38</v>
      </c>
      <c r="V45" s="44">
        <v>3495.77</v>
      </c>
      <c r="W45" s="44">
        <v>3495.7</v>
      </c>
      <c r="X45" s="44">
        <v>3495.69</v>
      </c>
      <c r="Y45" s="44">
        <v>3487.57</v>
      </c>
      <c r="Z45" s="44">
        <v>4747.67</v>
      </c>
      <c r="AA45" s="44">
        <v>48757.63</v>
      </c>
      <c r="AB45" s="45">
        <v>3.6165706442121684E-3</v>
      </c>
    </row>
    <row r="46" spans="14:28" x14ac:dyDescent="0.2">
      <c r="N46" s="151" t="s">
        <v>1084</v>
      </c>
      <c r="O46" s="33">
        <v>11285.68</v>
      </c>
      <c r="P46" s="33">
        <v>9440.26</v>
      </c>
      <c r="Q46" s="33">
        <v>9597.43</v>
      </c>
      <c r="R46" s="33">
        <v>7733.4</v>
      </c>
      <c r="S46" s="33">
        <v>8843.83</v>
      </c>
      <c r="T46" s="33">
        <v>7415.87</v>
      </c>
      <c r="U46" s="33">
        <v>8769.7200000000012</v>
      </c>
      <c r="V46" s="33">
        <v>9961.1200000000008</v>
      </c>
      <c r="W46" s="33">
        <v>8712.74</v>
      </c>
      <c r="X46" s="33">
        <v>8208.14</v>
      </c>
      <c r="Y46" s="33">
        <v>6851.5300000000007</v>
      </c>
      <c r="Z46" s="33">
        <v>6835.34</v>
      </c>
      <c r="AA46" s="33">
        <v>103655.06000000001</v>
      </c>
      <c r="AB46" s="34">
        <v>7.6885576087281316E-3</v>
      </c>
    </row>
    <row r="47" spans="14:28" x14ac:dyDescent="0.2">
      <c r="N47" s="151" t="s">
        <v>1085</v>
      </c>
      <c r="O47" s="33">
        <v>37257.75</v>
      </c>
      <c r="P47" s="33">
        <v>40468.199999999997</v>
      </c>
      <c r="Q47" s="33">
        <v>48573.82</v>
      </c>
      <c r="R47" s="33">
        <v>43403.17</v>
      </c>
      <c r="S47" s="33">
        <v>43782.76</v>
      </c>
      <c r="T47" s="33">
        <v>42012.57</v>
      </c>
      <c r="U47" s="33">
        <v>43074.200000000004</v>
      </c>
      <c r="V47" s="33">
        <v>45093.770000000004</v>
      </c>
      <c r="W47" s="33">
        <v>45795.67</v>
      </c>
      <c r="X47" s="33">
        <v>40107.08</v>
      </c>
      <c r="Y47" s="33">
        <v>40364.759999999995</v>
      </c>
      <c r="Z47" s="33">
        <v>31631.370000000003</v>
      </c>
      <c r="AA47" s="33">
        <v>501565.12000000005</v>
      </c>
      <c r="AB47" s="34">
        <v>3.7203319545120503E-2</v>
      </c>
    </row>
    <row r="48" spans="14:28" x14ac:dyDescent="0.2">
      <c r="N48" s="23"/>
      <c r="O48" s="38"/>
      <c r="P48" s="42"/>
      <c r="Q48" s="42"/>
      <c r="R48" s="42"/>
      <c r="S48" s="42"/>
      <c r="T48" s="42"/>
      <c r="U48" s="42"/>
      <c r="V48" s="42"/>
      <c r="W48" s="42"/>
      <c r="X48" s="42"/>
      <c r="Y48" s="42"/>
      <c r="Z48" s="42"/>
      <c r="AA48" s="42"/>
      <c r="AB48" s="39"/>
    </row>
    <row r="49" spans="14:28" x14ac:dyDescent="0.2">
      <c r="N49" s="37" t="s">
        <v>1087</v>
      </c>
      <c r="O49" s="40"/>
      <c r="P49" s="43"/>
      <c r="Q49" s="43"/>
      <c r="R49" s="43"/>
      <c r="S49" s="43"/>
      <c r="T49" s="43"/>
      <c r="U49" s="43"/>
      <c r="V49" s="43"/>
      <c r="W49" s="43"/>
      <c r="X49" s="43"/>
      <c r="Y49" s="43"/>
      <c r="Z49" s="43"/>
      <c r="AA49" s="43"/>
      <c r="AB49" s="41"/>
    </row>
    <row r="50" spans="14:28" x14ac:dyDescent="0.2">
      <c r="N50" s="24" t="s">
        <v>1088</v>
      </c>
      <c r="O50" s="19">
        <v>3147.95</v>
      </c>
      <c r="P50" s="19">
        <v>3767.48</v>
      </c>
      <c r="Q50" s="19">
        <v>-662.74</v>
      </c>
      <c r="R50" s="19">
        <v>3429.21</v>
      </c>
      <c r="S50" s="19">
        <v>3125.25</v>
      </c>
      <c r="T50" s="19">
        <v>4011.66</v>
      </c>
      <c r="U50" s="19">
        <v>3319.22</v>
      </c>
      <c r="V50" s="19">
        <v>5087.3</v>
      </c>
      <c r="W50" s="19">
        <v>3428.69</v>
      </c>
      <c r="X50" s="19">
        <v>4398.3999999999996</v>
      </c>
      <c r="Y50" s="19">
        <v>2079.15</v>
      </c>
      <c r="Z50" s="19">
        <v>3364.13</v>
      </c>
      <c r="AA50" s="35">
        <v>38495.699999999997</v>
      </c>
      <c r="AB50" s="15">
        <v>2.8553975767156518E-3</v>
      </c>
    </row>
    <row r="51" spans="14:28" x14ac:dyDescent="0.2">
      <c r="N51" s="24" t="s">
        <v>1223</v>
      </c>
      <c r="O51" s="19">
        <v>0</v>
      </c>
      <c r="P51" s="19">
        <v>0</v>
      </c>
      <c r="Q51" s="19">
        <v>0</v>
      </c>
      <c r="R51" s="19">
        <v>0</v>
      </c>
      <c r="S51" s="19">
        <v>0</v>
      </c>
      <c r="T51" s="19">
        <v>0</v>
      </c>
      <c r="U51" s="19">
        <v>0</v>
      </c>
      <c r="V51" s="19">
        <v>0</v>
      </c>
      <c r="W51" s="19">
        <v>0</v>
      </c>
      <c r="X51" s="19">
        <v>0</v>
      </c>
      <c r="Y51" s="19">
        <v>0</v>
      </c>
      <c r="Z51" s="19">
        <v>0</v>
      </c>
      <c r="AA51" s="35">
        <v>0</v>
      </c>
      <c r="AB51" s="15">
        <v>0</v>
      </c>
    </row>
    <row r="52" spans="14:28" x14ac:dyDescent="0.2">
      <c r="N52" s="24" t="s">
        <v>1089</v>
      </c>
      <c r="O52" s="19">
        <v>0</v>
      </c>
      <c r="P52" s="19">
        <v>0</v>
      </c>
      <c r="Q52" s="19">
        <v>0</v>
      </c>
      <c r="R52" s="19">
        <v>0</v>
      </c>
      <c r="S52" s="19">
        <v>0</v>
      </c>
      <c r="T52" s="19">
        <v>0</v>
      </c>
      <c r="U52" s="19">
        <v>0</v>
      </c>
      <c r="V52" s="19">
        <v>0</v>
      </c>
      <c r="W52" s="19">
        <v>0</v>
      </c>
      <c r="X52" s="19">
        <v>0</v>
      </c>
      <c r="Y52" s="19">
        <v>0</v>
      </c>
      <c r="Z52" s="19">
        <v>0</v>
      </c>
      <c r="AA52" s="35">
        <v>0</v>
      </c>
      <c r="AB52" s="15">
        <v>0</v>
      </c>
    </row>
    <row r="53" spans="14:28" x14ac:dyDescent="0.2">
      <c r="N53" s="24" t="s">
        <v>1090</v>
      </c>
      <c r="O53" s="19">
        <v>82</v>
      </c>
      <c r="P53" s="19">
        <v>-115.41</v>
      </c>
      <c r="Q53" s="19">
        <v>0</v>
      </c>
      <c r="R53" s="19">
        <v>0</v>
      </c>
      <c r="S53" s="19">
        <v>0</v>
      </c>
      <c r="T53" s="19">
        <v>0</v>
      </c>
      <c r="U53" s="19">
        <v>0</v>
      </c>
      <c r="V53" s="19">
        <v>0</v>
      </c>
      <c r="W53" s="19">
        <v>0</v>
      </c>
      <c r="X53" s="19">
        <v>138.74</v>
      </c>
      <c r="Y53" s="19">
        <v>0</v>
      </c>
      <c r="Z53" s="19">
        <v>0</v>
      </c>
      <c r="AA53" s="35">
        <v>105.33000000000001</v>
      </c>
      <c r="AB53" s="15">
        <v>7.8127953707936113E-6</v>
      </c>
    </row>
    <row r="54" spans="14:28" x14ac:dyDescent="0.2">
      <c r="N54" s="24" t="s">
        <v>1232</v>
      </c>
      <c r="O54" s="19">
        <v>0</v>
      </c>
      <c r="P54" s="19">
        <v>0</v>
      </c>
      <c r="Q54" s="19">
        <v>0</v>
      </c>
      <c r="R54" s="19">
        <v>0</v>
      </c>
      <c r="S54" s="19">
        <v>3360.2</v>
      </c>
      <c r="T54" s="19">
        <v>0</v>
      </c>
      <c r="U54" s="19">
        <v>0</v>
      </c>
      <c r="V54" s="19">
        <v>0</v>
      </c>
      <c r="W54" s="19">
        <v>1434</v>
      </c>
      <c r="X54" s="19">
        <v>-100</v>
      </c>
      <c r="Y54" s="19">
        <v>0</v>
      </c>
      <c r="Z54" s="19">
        <v>0</v>
      </c>
      <c r="AA54" s="35">
        <v>4694.2</v>
      </c>
      <c r="AB54" s="15">
        <v>3.4818972780384854E-4</v>
      </c>
    </row>
    <row r="55" spans="14:28" x14ac:dyDescent="0.2">
      <c r="N55" s="24" t="s">
        <v>1095</v>
      </c>
      <c r="O55" s="19">
        <v>1052.94</v>
      </c>
      <c r="P55" s="19">
        <v>430.29</v>
      </c>
      <c r="Q55" s="19">
        <v>450.25</v>
      </c>
      <c r="R55" s="19">
        <v>429</v>
      </c>
      <c r="S55" s="19">
        <v>429</v>
      </c>
      <c r="T55" s="19">
        <v>429.65</v>
      </c>
      <c r="U55" s="19">
        <v>431.31</v>
      </c>
      <c r="V55" s="19">
        <v>449</v>
      </c>
      <c r="W55" s="19">
        <v>410.7</v>
      </c>
      <c r="X55" s="19">
        <v>429.7</v>
      </c>
      <c r="Y55" s="19">
        <v>429.17</v>
      </c>
      <c r="Z55" s="19">
        <v>429.15</v>
      </c>
      <c r="AA55" s="35">
        <v>5800.16</v>
      </c>
      <c r="AB55" s="15">
        <v>4.3022370832490527E-4</v>
      </c>
    </row>
    <row r="56" spans="14:28" x14ac:dyDescent="0.2">
      <c r="N56" s="24" t="s">
        <v>1096</v>
      </c>
      <c r="O56" s="19">
        <v>-37.29</v>
      </c>
      <c r="P56" s="19">
        <v>0</v>
      </c>
      <c r="Q56" s="19">
        <v>191.1</v>
      </c>
      <c r="R56" s="19">
        <v>211.94</v>
      </c>
      <c r="S56" s="19">
        <v>4139.57</v>
      </c>
      <c r="T56" s="19">
        <v>-441.36</v>
      </c>
      <c r="U56" s="19">
        <v>-1.72</v>
      </c>
      <c r="V56" s="19">
        <v>274.76</v>
      </c>
      <c r="W56" s="19">
        <v>40.24</v>
      </c>
      <c r="X56" s="19">
        <v>40.85</v>
      </c>
      <c r="Y56" s="19">
        <v>1406.6</v>
      </c>
      <c r="Z56" s="19">
        <v>-1253.77</v>
      </c>
      <c r="AA56" s="35">
        <v>4570.92</v>
      </c>
      <c r="AB56" s="15">
        <v>3.3904550096143483E-4</v>
      </c>
    </row>
    <row r="57" spans="14:28" x14ac:dyDescent="0.2">
      <c r="N57" s="24" t="s">
        <v>1097</v>
      </c>
      <c r="O57" s="19">
        <v>184.9</v>
      </c>
      <c r="P57" s="19">
        <v>-100</v>
      </c>
      <c r="Q57" s="19">
        <v>101.22</v>
      </c>
      <c r="R57" s="19">
        <v>242.5</v>
      </c>
      <c r="S57" s="19">
        <v>821.24</v>
      </c>
      <c r="T57" s="19">
        <v>311.77</v>
      </c>
      <c r="U57" s="19">
        <v>131.44999999999999</v>
      </c>
      <c r="V57" s="19">
        <v>322.47000000000003</v>
      </c>
      <c r="W57" s="19">
        <v>0</v>
      </c>
      <c r="X57" s="19">
        <v>705.4</v>
      </c>
      <c r="Y57" s="19">
        <v>400.36</v>
      </c>
      <c r="Z57" s="19">
        <v>143.05000000000001</v>
      </c>
      <c r="AA57" s="35">
        <v>3264.3600000000006</v>
      </c>
      <c r="AB57" s="15">
        <v>2.4213212471854017E-4</v>
      </c>
    </row>
    <row r="58" spans="14:28" x14ac:dyDescent="0.2">
      <c r="N58" s="24" t="s">
        <v>1099</v>
      </c>
      <c r="O58" s="19">
        <v>775.53</v>
      </c>
      <c r="P58" s="19">
        <v>1107.17</v>
      </c>
      <c r="Q58" s="19">
        <v>917.72</v>
      </c>
      <c r="R58" s="19">
        <v>897.29</v>
      </c>
      <c r="S58" s="19">
        <v>-1685.02</v>
      </c>
      <c r="T58" s="19">
        <v>2848.81</v>
      </c>
      <c r="U58" s="19">
        <v>112.34</v>
      </c>
      <c r="V58" s="19">
        <v>69.11</v>
      </c>
      <c r="W58" s="19">
        <v>0</v>
      </c>
      <c r="X58" s="19">
        <v>259.01</v>
      </c>
      <c r="Y58" s="19">
        <v>0</v>
      </c>
      <c r="Z58" s="19">
        <v>1235.76</v>
      </c>
      <c r="AA58" s="35">
        <v>6537.72</v>
      </c>
      <c r="AB58" s="15">
        <v>4.8493181953427141E-4</v>
      </c>
    </row>
    <row r="59" spans="14:28" x14ac:dyDescent="0.2">
      <c r="N59" s="483" t="s">
        <v>1624</v>
      </c>
      <c r="O59" s="484">
        <v>0</v>
      </c>
      <c r="P59" s="484">
        <v>0</v>
      </c>
      <c r="Q59" s="484">
        <v>0</v>
      </c>
      <c r="R59" s="484">
        <v>10429.040000000001</v>
      </c>
      <c r="S59" s="484">
        <v>6508.85</v>
      </c>
      <c r="T59" s="484">
        <v>4958.24</v>
      </c>
      <c r="U59" s="484">
        <v>4532.38</v>
      </c>
      <c r="V59" s="484">
        <v>9488.57</v>
      </c>
      <c r="W59" s="484">
        <v>8060.92</v>
      </c>
      <c r="X59" s="484">
        <v>6412.79</v>
      </c>
      <c r="Y59" s="484">
        <v>7981.06</v>
      </c>
      <c r="Z59" s="484">
        <v>2975.2</v>
      </c>
      <c r="AA59" s="494">
        <v>61347.049999999996</v>
      </c>
      <c r="AB59" s="485">
        <v>4.5503840145432843E-3</v>
      </c>
    </row>
    <row r="60" spans="14:28" x14ac:dyDescent="0.2">
      <c r="N60" s="24" t="s">
        <v>1100</v>
      </c>
      <c r="O60" s="19">
        <v>0</v>
      </c>
      <c r="P60" s="19">
        <v>0</v>
      </c>
      <c r="Q60" s="19">
        <v>0</v>
      </c>
      <c r="R60" s="19">
        <v>0</v>
      </c>
      <c r="S60" s="19">
        <v>0</v>
      </c>
      <c r="T60" s="19">
        <v>0</v>
      </c>
      <c r="U60" s="19">
        <v>0</v>
      </c>
      <c r="V60" s="19">
        <v>0</v>
      </c>
      <c r="W60" s="19">
        <v>0</v>
      </c>
      <c r="X60" s="19">
        <v>0</v>
      </c>
      <c r="Y60" s="19">
        <v>0</v>
      </c>
      <c r="Z60" s="19">
        <v>0</v>
      </c>
      <c r="AA60" s="35">
        <v>0</v>
      </c>
      <c r="AB60" s="15">
        <v>0</v>
      </c>
    </row>
    <row r="61" spans="14:28" x14ac:dyDescent="0.2">
      <c r="N61" s="24" t="s">
        <v>1102</v>
      </c>
      <c r="O61" s="19">
        <v>159.77000000000001</v>
      </c>
      <c r="P61" s="19">
        <v>152.44999999999999</v>
      </c>
      <c r="Q61" s="19">
        <v>152.44999999999999</v>
      </c>
      <c r="R61" s="19">
        <v>78.41</v>
      </c>
      <c r="S61" s="19">
        <v>90.37</v>
      </c>
      <c r="T61" s="19">
        <v>114.71</v>
      </c>
      <c r="U61" s="19">
        <v>112.92</v>
      </c>
      <c r="V61" s="19">
        <v>85.14</v>
      </c>
      <c r="W61" s="19">
        <v>122.7</v>
      </c>
      <c r="X61" s="19">
        <v>122.89</v>
      </c>
      <c r="Y61" s="19">
        <v>109.96</v>
      </c>
      <c r="Z61" s="19">
        <v>80.62</v>
      </c>
      <c r="AA61" s="35">
        <v>1382.3900000000003</v>
      </c>
      <c r="AB61" s="15">
        <v>1.0253802518400629E-4</v>
      </c>
    </row>
    <row r="62" spans="14:28" x14ac:dyDescent="0.2">
      <c r="N62" s="24" t="s">
        <v>1109</v>
      </c>
      <c r="O62" s="19">
        <v>21015.18</v>
      </c>
      <c r="P62" s="19">
        <v>24548.45</v>
      </c>
      <c r="Q62" s="19">
        <v>24112.26</v>
      </c>
      <c r="R62" s="19">
        <v>18317.97</v>
      </c>
      <c r="S62" s="19">
        <v>16306.24</v>
      </c>
      <c r="T62" s="19">
        <v>10620.61</v>
      </c>
      <c r="U62" s="19">
        <v>10824.75</v>
      </c>
      <c r="V62" s="19">
        <v>9614.19</v>
      </c>
      <c r="W62" s="19">
        <v>8421.1200000000008</v>
      </c>
      <c r="X62" s="19">
        <v>12204.44</v>
      </c>
      <c r="Y62" s="19">
        <v>13905.18</v>
      </c>
      <c r="Z62" s="19">
        <v>20940.36</v>
      </c>
      <c r="AA62" s="35">
        <v>190830.75</v>
      </c>
      <c r="AB62" s="15">
        <v>1.4154766924950849E-2</v>
      </c>
    </row>
    <row r="63" spans="14:28" x14ac:dyDescent="0.2">
      <c r="N63" s="24" t="s">
        <v>1455</v>
      </c>
      <c r="O63" s="19">
        <v>1350.5</v>
      </c>
      <c r="P63" s="19">
        <v>2424.1</v>
      </c>
      <c r="Q63" s="19">
        <v>862.11</v>
      </c>
      <c r="R63" s="19">
        <v>0</v>
      </c>
      <c r="S63" s="19">
        <v>0</v>
      </c>
      <c r="T63" s="19">
        <v>9149.65</v>
      </c>
      <c r="U63" s="19">
        <v>2587.6</v>
      </c>
      <c r="V63" s="19">
        <v>350</v>
      </c>
      <c r="W63" s="19">
        <v>500.02</v>
      </c>
      <c r="X63" s="19">
        <v>529.6</v>
      </c>
      <c r="Y63" s="19">
        <v>100</v>
      </c>
      <c r="Z63" s="19">
        <v>852.45</v>
      </c>
      <c r="AA63" s="35">
        <v>18706.03</v>
      </c>
      <c r="AB63" s="15">
        <v>1.3875095850178145E-3</v>
      </c>
    </row>
    <row r="64" spans="14:28" x14ac:dyDescent="0.2">
      <c r="N64" s="24" t="s">
        <v>1456</v>
      </c>
      <c r="O64" s="19">
        <v>0</v>
      </c>
      <c r="P64" s="19">
        <v>0</v>
      </c>
      <c r="Q64" s="19">
        <v>0</v>
      </c>
      <c r="R64" s="19">
        <v>0</v>
      </c>
      <c r="S64" s="19">
        <v>0</v>
      </c>
      <c r="T64" s="19">
        <v>0</v>
      </c>
      <c r="U64" s="19">
        <v>0</v>
      </c>
      <c r="V64" s="19">
        <v>0</v>
      </c>
      <c r="W64" s="19">
        <v>0</v>
      </c>
      <c r="X64" s="19">
        <v>0</v>
      </c>
      <c r="Y64" s="19">
        <v>0</v>
      </c>
      <c r="Z64" s="19">
        <v>0</v>
      </c>
      <c r="AA64" s="35">
        <v>0</v>
      </c>
      <c r="AB64" s="15">
        <v>0</v>
      </c>
    </row>
    <row r="65" spans="14:31" x14ac:dyDescent="0.2">
      <c r="N65" s="24" t="s">
        <v>1457</v>
      </c>
      <c r="O65" s="19">
        <v>21.49</v>
      </c>
      <c r="P65" s="19">
        <v>46.46</v>
      </c>
      <c r="Q65" s="19">
        <v>38.909999999999997</v>
      </c>
      <c r="R65" s="19">
        <v>1656.49</v>
      </c>
      <c r="S65" s="19">
        <v>990.54</v>
      </c>
      <c r="T65" s="19">
        <v>34.5</v>
      </c>
      <c r="U65" s="19">
        <v>25.78</v>
      </c>
      <c r="V65" s="19">
        <v>17.46</v>
      </c>
      <c r="W65" s="19">
        <v>0</v>
      </c>
      <c r="X65" s="19">
        <v>0</v>
      </c>
      <c r="Y65" s="19">
        <v>2500</v>
      </c>
      <c r="Z65" s="19">
        <v>528.85</v>
      </c>
      <c r="AA65" s="35">
        <v>5860.4800000000005</v>
      </c>
      <c r="AB65" s="15">
        <v>4.3469791146519076E-4</v>
      </c>
    </row>
    <row r="66" spans="14:31" x14ac:dyDescent="0.2">
      <c r="N66" s="24" t="s">
        <v>1458</v>
      </c>
      <c r="O66" s="19">
        <v>0</v>
      </c>
      <c r="P66" s="19">
        <v>0</v>
      </c>
      <c r="Q66" s="19">
        <v>0</v>
      </c>
      <c r="R66" s="19">
        <v>0</v>
      </c>
      <c r="S66" s="19">
        <v>0</v>
      </c>
      <c r="T66" s="19">
        <v>0</v>
      </c>
      <c r="U66" s="19">
        <v>0</v>
      </c>
      <c r="V66" s="19">
        <v>0</v>
      </c>
      <c r="W66" s="19">
        <v>0</v>
      </c>
      <c r="X66" s="19">
        <v>0</v>
      </c>
      <c r="Y66" s="19">
        <v>0</v>
      </c>
      <c r="Z66" s="19">
        <v>100</v>
      </c>
      <c r="AA66" s="35">
        <v>100</v>
      </c>
      <c r="AB66" s="15">
        <v>7.4174455243459705E-6</v>
      </c>
    </row>
    <row r="67" spans="14:31" x14ac:dyDescent="0.2">
      <c r="N67" s="24" t="s">
        <v>1459</v>
      </c>
      <c r="O67" s="19">
        <v>0</v>
      </c>
      <c r="P67" s="19">
        <v>0</v>
      </c>
      <c r="Q67" s="19">
        <v>0</v>
      </c>
      <c r="R67" s="19">
        <v>0</v>
      </c>
      <c r="S67" s="19">
        <v>0</v>
      </c>
      <c r="T67" s="19">
        <v>0</v>
      </c>
      <c r="U67" s="19">
        <v>0</v>
      </c>
      <c r="V67" s="19">
        <v>0</v>
      </c>
      <c r="W67" s="19">
        <v>0</v>
      </c>
      <c r="X67" s="19">
        <v>0</v>
      </c>
      <c r="Y67" s="19">
        <v>0</v>
      </c>
      <c r="Z67" s="19">
        <v>0</v>
      </c>
      <c r="AA67" s="35">
        <v>0</v>
      </c>
      <c r="AB67" s="15">
        <v>0</v>
      </c>
    </row>
    <row r="68" spans="14:31" x14ac:dyDescent="0.2">
      <c r="N68" s="24" t="s">
        <v>1460</v>
      </c>
      <c r="O68" s="19">
        <v>3125</v>
      </c>
      <c r="P68" s="19">
        <v>2025</v>
      </c>
      <c r="Q68" s="19">
        <v>3044.8</v>
      </c>
      <c r="R68" s="19">
        <v>4265.6400000000003</v>
      </c>
      <c r="S68" s="19">
        <v>2477.59</v>
      </c>
      <c r="T68" s="19">
        <v>2525.9699999999998</v>
      </c>
      <c r="U68" s="19">
        <v>2627.59</v>
      </c>
      <c r="V68" s="19">
        <v>2627.59</v>
      </c>
      <c r="W68" s="19">
        <v>2127.59</v>
      </c>
      <c r="X68" s="19">
        <v>2477.59</v>
      </c>
      <c r="Y68" s="19">
        <v>2477.59</v>
      </c>
      <c r="Z68" s="19">
        <v>4044.59</v>
      </c>
      <c r="AA68" s="35">
        <v>33846.54</v>
      </c>
      <c r="AB68" s="15">
        <v>2.5105486663759688E-3</v>
      </c>
    </row>
    <row r="69" spans="14:31" x14ac:dyDescent="0.2">
      <c r="N69" s="24" t="s">
        <v>1461</v>
      </c>
      <c r="O69" s="19">
        <v>15898.49</v>
      </c>
      <c r="P69" s="19">
        <v>8656.2099999999991</v>
      </c>
      <c r="Q69" s="19">
        <v>9928.84</v>
      </c>
      <c r="R69" s="19">
        <v>17752.650000000001</v>
      </c>
      <c r="S69" s="19">
        <v>10346.790000000001</v>
      </c>
      <c r="T69" s="19">
        <v>8346.81</v>
      </c>
      <c r="U69" s="19">
        <v>15542</v>
      </c>
      <c r="V69" s="19">
        <v>9253.7999999999993</v>
      </c>
      <c r="W69" s="19">
        <v>9718.52</v>
      </c>
      <c r="X69" s="19">
        <v>11057.35</v>
      </c>
      <c r="Y69" s="19">
        <v>14381.69</v>
      </c>
      <c r="Z69" s="19">
        <v>8411.93</v>
      </c>
      <c r="AA69" s="35">
        <v>139295.08000000002</v>
      </c>
      <c r="AB69" s="15">
        <v>1.033213667709414E-2</v>
      </c>
    </row>
    <row r="70" spans="14:31" x14ac:dyDescent="0.2">
      <c r="N70" s="24" t="s">
        <v>1462</v>
      </c>
      <c r="O70" s="19">
        <v>1339.92</v>
      </c>
      <c r="P70" s="19">
        <v>839.92</v>
      </c>
      <c r="Q70" s="19">
        <v>675.64</v>
      </c>
      <c r="R70" s="19">
        <v>926.34</v>
      </c>
      <c r="S70" s="19">
        <v>800.97</v>
      </c>
      <c r="T70" s="19">
        <v>800.97</v>
      </c>
      <c r="U70" s="19">
        <v>853.96</v>
      </c>
      <c r="V70" s="19">
        <v>1269.1300000000001</v>
      </c>
      <c r="W70" s="19">
        <v>1268.79</v>
      </c>
      <c r="X70" s="19">
        <v>1268.96</v>
      </c>
      <c r="Y70" s="19">
        <v>-391.04</v>
      </c>
      <c r="Z70" s="19">
        <v>1573.96</v>
      </c>
      <c r="AA70" s="35">
        <v>11227.519999999997</v>
      </c>
      <c r="AB70" s="15">
        <v>8.3279517973504846E-4</v>
      </c>
    </row>
    <row r="71" spans="14:31" x14ac:dyDescent="0.2">
      <c r="N71" s="24" t="s">
        <v>1463</v>
      </c>
      <c r="O71" s="19">
        <v>0</v>
      </c>
      <c r="P71" s="19">
        <v>0</v>
      </c>
      <c r="Q71" s="19">
        <v>0</v>
      </c>
      <c r="R71" s="19">
        <v>0</v>
      </c>
      <c r="S71" s="19">
        <v>0</v>
      </c>
      <c r="T71" s="19">
        <v>0</v>
      </c>
      <c r="U71" s="19">
        <v>0</v>
      </c>
      <c r="V71" s="19">
        <v>0</v>
      </c>
      <c r="W71" s="19">
        <v>0</v>
      </c>
      <c r="X71" s="19">
        <v>0</v>
      </c>
      <c r="Y71" s="19">
        <v>0</v>
      </c>
      <c r="Z71" s="19">
        <v>0</v>
      </c>
      <c r="AA71" s="35"/>
      <c r="AB71" s="15"/>
    </row>
    <row r="72" spans="14:31" x14ac:dyDescent="0.2">
      <c r="N72" s="24" t="s">
        <v>1464</v>
      </c>
      <c r="O72" s="19">
        <v>7668.2</v>
      </c>
      <c r="P72" s="19">
        <v>12562.27</v>
      </c>
      <c r="Q72" s="19">
        <v>12894.28</v>
      </c>
      <c r="R72" s="19">
        <v>10589.59</v>
      </c>
      <c r="S72" s="19">
        <v>11768.46</v>
      </c>
      <c r="T72" s="19">
        <v>8241.68</v>
      </c>
      <c r="U72" s="19">
        <v>8509.27</v>
      </c>
      <c r="V72" s="19">
        <v>4113.1000000000004</v>
      </c>
      <c r="W72" s="19">
        <v>5914.46</v>
      </c>
      <c r="X72" s="19">
        <v>5886.44</v>
      </c>
      <c r="Y72" s="19">
        <v>7209.49</v>
      </c>
      <c r="Z72" s="19">
        <v>5438.79</v>
      </c>
      <c r="AA72" s="35">
        <v>100796.03000000001</v>
      </c>
      <c r="AB72" s="15">
        <v>7.4764906159534234E-3</v>
      </c>
    </row>
    <row r="73" spans="14:31" x14ac:dyDescent="0.2">
      <c r="N73" s="24" t="s">
        <v>1465</v>
      </c>
      <c r="O73" s="19">
        <v>3662.5</v>
      </c>
      <c r="P73" s="19">
        <v>3432.48</v>
      </c>
      <c r="Q73" s="19">
        <v>3432.48</v>
      </c>
      <c r="R73" s="19">
        <v>3098.48</v>
      </c>
      <c r="S73" s="19">
        <v>3348.48</v>
      </c>
      <c r="T73" s="19">
        <v>2100</v>
      </c>
      <c r="U73" s="19">
        <v>4764.4799999999996</v>
      </c>
      <c r="V73" s="19">
        <v>3432</v>
      </c>
      <c r="W73" s="19">
        <v>3432.96</v>
      </c>
      <c r="X73" s="19">
        <v>3432.96</v>
      </c>
      <c r="Y73" s="19">
        <v>3432</v>
      </c>
      <c r="Z73" s="19">
        <v>3432.96</v>
      </c>
      <c r="AA73" s="35">
        <v>41001.78</v>
      </c>
      <c r="AB73" s="15">
        <v>3.0412846955121813E-3</v>
      </c>
    </row>
    <row r="74" spans="14:31" x14ac:dyDescent="0.2">
      <c r="N74" s="23" t="s">
        <v>1111</v>
      </c>
      <c r="O74" s="30">
        <v>59447.079999999994</v>
      </c>
      <c r="P74" s="30">
        <v>59776.87</v>
      </c>
      <c r="Q74" s="30">
        <v>56139.32</v>
      </c>
      <c r="R74" s="30">
        <v>72324.549999999988</v>
      </c>
      <c r="S74" s="30">
        <v>62828.530000000006</v>
      </c>
      <c r="T74" s="30">
        <v>54053.67</v>
      </c>
      <c r="U74" s="30">
        <v>54373.329999999987</v>
      </c>
      <c r="V74" s="30">
        <v>46453.619999999995</v>
      </c>
      <c r="W74" s="30">
        <v>44880.71</v>
      </c>
      <c r="X74" s="30">
        <v>49265.120000000003</v>
      </c>
      <c r="Y74" s="30">
        <v>56021.21</v>
      </c>
      <c r="Z74" s="30">
        <v>52298.03</v>
      </c>
      <c r="AA74" s="30">
        <v>667862.04</v>
      </c>
      <c r="AB74" s="31">
        <v>4.9538302994785698E-2</v>
      </c>
    </row>
    <row r="75" spans="14:31" x14ac:dyDescent="0.2">
      <c r="N75" s="1"/>
      <c r="O75" s="1"/>
      <c r="P75" s="1"/>
      <c r="Q75" s="1"/>
      <c r="R75" s="1"/>
      <c r="S75" s="1"/>
      <c r="T75" s="1"/>
      <c r="U75" s="1"/>
      <c r="V75" s="1"/>
      <c r="W75" s="1"/>
      <c r="X75" s="1"/>
      <c r="Y75" s="1"/>
      <c r="Z75" s="1"/>
      <c r="AA75" s="1"/>
      <c r="AB75" s="1"/>
    </row>
    <row r="76" spans="14:31" x14ac:dyDescent="0.2">
      <c r="N76" s="23" t="s">
        <v>1112</v>
      </c>
      <c r="O76" s="33">
        <v>96704.829999999987</v>
      </c>
      <c r="P76" s="33">
        <v>100245.07</v>
      </c>
      <c r="Q76" s="33">
        <v>104713.14</v>
      </c>
      <c r="R76" s="33">
        <v>115727.71999999999</v>
      </c>
      <c r="S76" s="33">
        <v>106611.29000000001</v>
      </c>
      <c r="T76" s="33">
        <v>96066.239999999991</v>
      </c>
      <c r="U76" s="33">
        <v>97447.53</v>
      </c>
      <c r="V76" s="33">
        <v>91547.39</v>
      </c>
      <c r="W76" s="33">
        <v>90676.38</v>
      </c>
      <c r="X76" s="33">
        <v>89372.200000000012</v>
      </c>
      <c r="Y76" s="33">
        <v>96385.97</v>
      </c>
      <c r="Z76" s="33">
        <v>83929.4</v>
      </c>
      <c r="AA76" s="33">
        <v>1169427.1599999999</v>
      </c>
      <c r="AB76" s="34">
        <v>8.6741622539906194E-2</v>
      </c>
    </row>
    <row r="77" spans="14:31" ht="16" thickBot="1" x14ac:dyDescent="0.25">
      <c r="N77" s="23" t="s">
        <v>1113</v>
      </c>
      <c r="O77" s="58">
        <v>-96704.829999999987</v>
      </c>
      <c r="P77" s="58">
        <v>-100245.07</v>
      </c>
      <c r="Q77" s="58">
        <v>-104713.14</v>
      </c>
      <c r="R77" s="58">
        <v>-115727.71999999999</v>
      </c>
      <c r="S77" s="58">
        <v>-106611.29000000001</v>
      </c>
      <c r="T77" s="58">
        <v>-96066.239999999991</v>
      </c>
      <c r="U77" s="58">
        <v>-97447.53</v>
      </c>
      <c r="V77" s="58">
        <v>-91547.39</v>
      </c>
      <c r="W77" s="58">
        <v>-90676.38</v>
      </c>
      <c r="X77" s="58">
        <v>-89372.200000000012</v>
      </c>
      <c r="Y77" s="58">
        <v>-96385.97</v>
      </c>
      <c r="Z77" s="58">
        <v>-83929.4</v>
      </c>
      <c r="AA77" s="58">
        <v>-1169427.1599999999</v>
      </c>
      <c r="AB77" s="59">
        <v>-8.6741622539906194E-2</v>
      </c>
      <c r="AC77" s="23"/>
    </row>
    <row r="78" spans="14:31" ht="16" thickTop="1" x14ac:dyDescent="0.2">
      <c r="N78" s="23"/>
      <c r="O78" s="23"/>
      <c r="P78" s="23"/>
      <c r="Q78" s="23"/>
      <c r="R78" s="23"/>
      <c r="S78" s="23"/>
      <c r="T78" s="23"/>
      <c r="U78" s="23"/>
      <c r="V78" s="23"/>
      <c r="W78" s="23"/>
      <c r="X78" s="23"/>
      <c r="Y78" s="23"/>
      <c r="Z78" s="23"/>
      <c r="AA78" s="23"/>
      <c r="AB78" s="23"/>
    </row>
    <row r="79" spans="14:31" x14ac:dyDescent="0.2">
      <c r="N79" s="530" t="s">
        <v>1625</v>
      </c>
      <c r="O79" s="19">
        <v>0</v>
      </c>
      <c r="P79" s="19">
        <v>0</v>
      </c>
      <c r="Q79" s="531">
        <v>0</v>
      </c>
      <c r="R79" s="531">
        <v>10429.040000000001</v>
      </c>
      <c r="S79" s="19">
        <v>6508.85</v>
      </c>
      <c r="T79" s="19">
        <v>4958.24</v>
      </c>
      <c r="U79" s="19">
        <v>4532.38</v>
      </c>
      <c r="V79" s="19">
        <v>9488.57</v>
      </c>
      <c r="W79" s="19">
        <v>8060.92</v>
      </c>
      <c r="X79" s="19">
        <v>6412.79</v>
      </c>
      <c r="Y79" s="19">
        <v>7981.06</v>
      </c>
      <c r="Z79" s="19">
        <v>2975.2</v>
      </c>
      <c r="AA79" s="19">
        <v>61347.049999999996</v>
      </c>
      <c r="AE79" s="529"/>
    </row>
    <row r="80" spans="14:31" x14ac:dyDescent="0.2">
      <c r="N80" s="23" t="s">
        <v>1586</v>
      </c>
      <c r="O80" s="30">
        <v>0</v>
      </c>
      <c r="P80" s="30">
        <v>0</v>
      </c>
      <c r="Q80" s="30">
        <v>0</v>
      </c>
      <c r="R80" s="30">
        <v>10429.040000000001</v>
      </c>
      <c r="S80" s="30">
        <v>6508.85</v>
      </c>
      <c r="T80" s="30">
        <v>4958.24</v>
      </c>
      <c r="U80" s="30">
        <v>4532.38</v>
      </c>
      <c r="V80" s="30">
        <v>9488.57</v>
      </c>
      <c r="W80" s="30">
        <v>8060.92</v>
      </c>
      <c r="X80" s="30">
        <v>6412.79</v>
      </c>
      <c r="Y80" s="30">
        <v>7981.06</v>
      </c>
      <c r="Z80" s="30">
        <v>2975.2</v>
      </c>
      <c r="AA80" s="30">
        <v>61347.049999999996</v>
      </c>
    </row>
    <row r="82" spans="14:27" x14ac:dyDescent="0.2">
      <c r="N82" s="490" t="s">
        <v>1573</v>
      </c>
    </row>
    <row r="83" spans="14:27" x14ac:dyDescent="0.2">
      <c r="N83" t="s">
        <v>1112</v>
      </c>
      <c r="O83" s="512">
        <v>0</v>
      </c>
      <c r="P83" s="512">
        <v>0</v>
      </c>
      <c r="Q83" s="512">
        <v>0</v>
      </c>
      <c r="R83" s="512">
        <v>10429.039999999994</v>
      </c>
      <c r="S83" s="512">
        <v>6508.8500000000058</v>
      </c>
      <c r="T83" s="512">
        <v>4958.2399999999907</v>
      </c>
      <c r="U83" s="512">
        <v>4532.3800000000047</v>
      </c>
      <c r="V83" s="512">
        <v>9488.5699999999924</v>
      </c>
      <c r="W83" s="512">
        <v>8060.9199999999983</v>
      </c>
      <c r="X83" s="512">
        <v>6412.7900000000081</v>
      </c>
      <c r="Y83" s="512">
        <v>7981.0599999999977</v>
      </c>
      <c r="Z83" s="512">
        <v>2975.1999999999971</v>
      </c>
      <c r="AA83" s="512">
        <v>61347.049999999814</v>
      </c>
    </row>
  </sheetData>
  <pageMargins left="0.7" right="0.7" top="0.75" bottom="0.75" header="0.3" footer="0.3"/>
  <legacy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455FE-49FA-4323-B997-A7E2677940C4}">
  <sheetPr>
    <tabColor theme="9" tint="0.79998168889431442"/>
  </sheetPr>
  <dimension ref="N1:AE85"/>
  <sheetViews>
    <sheetView showGridLines="0" topLeftCell="M25" zoomScale="82" zoomScaleNormal="82" workbookViewId="0">
      <pane xSplit="2" ySplit="8" topLeftCell="O33" activePane="bottomRight" state="frozen"/>
      <selection activeCell="Z56" sqref="Z56"/>
      <selection pane="topRight" activeCell="Z56" sqref="Z56"/>
      <selection pane="bottomLeft" activeCell="Z56" sqref="Z56"/>
      <selection pane="bottomRight" activeCell="Z56" sqref="Z56"/>
    </sheetView>
  </sheetViews>
  <sheetFormatPr baseColWidth="10" defaultColWidth="8.83203125" defaultRowHeight="15" x14ac:dyDescent="0.2"/>
  <cols>
    <col min="1" max="12" width="0" hidden="1" customWidth="1"/>
    <col min="14" max="14" width="35.5" customWidth="1"/>
    <col min="15" max="25" width="10.83203125" customWidth="1"/>
    <col min="26" max="26" width="13.33203125" customWidth="1"/>
    <col min="27" max="27" width="12.6640625" customWidth="1"/>
    <col min="28" max="28" width="10.83203125" customWidth="1"/>
  </cols>
  <sheetData>
    <row r="1" hidden="1" x14ac:dyDescent="0.2"/>
    <row r="2" hidden="1" x14ac:dyDescent="0.2"/>
    <row r="3" hidden="1" x14ac:dyDescent="0.2"/>
    <row r="4" hidden="1" x14ac:dyDescent="0.2"/>
    <row r="5" hidden="1" x14ac:dyDescent="0.2"/>
    <row r="6" hidden="1" x14ac:dyDescent="0.2"/>
    <row r="7" hidden="1" x14ac:dyDescent="0.2"/>
    <row r="8" hidden="1" x14ac:dyDescent="0.2"/>
    <row r="9" hidden="1" x14ac:dyDescent="0.2"/>
    <row r="10" hidden="1" x14ac:dyDescent="0.2"/>
    <row r="11" hidden="1" x14ac:dyDescent="0.2"/>
    <row r="12" hidden="1" x14ac:dyDescent="0.2"/>
    <row r="13" hidden="1" x14ac:dyDescent="0.2"/>
    <row r="14" hidden="1" x14ac:dyDescent="0.2"/>
    <row r="15" hidden="1" x14ac:dyDescent="0.2"/>
    <row r="16" hidden="1" x14ac:dyDescent="0.2"/>
    <row r="17" spans="14:28" hidden="1" x14ac:dyDescent="0.2"/>
    <row r="18" spans="14:28" hidden="1" x14ac:dyDescent="0.2"/>
    <row r="19" spans="14:28" hidden="1" x14ac:dyDescent="0.2"/>
    <row r="20" spans="14:28" hidden="1" x14ac:dyDescent="0.2"/>
    <row r="21" spans="14:28" hidden="1" x14ac:dyDescent="0.2"/>
    <row r="22" spans="14:28" hidden="1" x14ac:dyDescent="0.2"/>
    <row r="23" spans="14:28" hidden="1" x14ac:dyDescent="0.2"/>
    <row r="24" spans="14:28" hidden="1" x14ac:dyDescent="0.2"/>
    <row r="26" spans="14:28" ht="23" x14ac:dyDescent="0.25">
      <c r="N26" s="61" t="s">
        <v>982</v>
      </c>
      <c r="O26" s="1"/>
      <c r="P26" s="1"/>
      <c r="Q26" s="1"/>
      <c r="R26" s="1"/>
      <c r="S26" s="1"/>
      <c r="T26" s="1"/>
      <c r="U26" s="1"/>
      <c r="V26" s="1"/>
      <c r="W26" s="1"/>
      <c r="X26" s="1"/>
      <c r="Y26" s="1"/>
      <c r="Z26" s="1"/>
      <c r="AA26" s="1"/>
      <c r="AB26" s="1"/>
    </row>
    <row r="27" spans="14:28" ht="18" x14ac:dyDescent="0.2">
      <c r="N27" s="66" t="s">
        <v>1466</v>
      </c>
      <c r="O27" s="1"/>
      <c r="P27" s="1"/>
      <c r="Q27" s="1"/>
      <c r="R27" s="1"/>
      <c r="S27" s="1"/>
      <c r="T27" s="1"/>
      <c r="U27" s="1"/>
      <c r="V27" s="1"/>
      <c r="W27" s="1"/>
      <c r="X27" s="1"/>
      <c r="Y27" s="1"/>
      <c r="Z27" s="1"/>
      <c r="AA27" s="1"/>
      <c r="AB27" s="1"/>
    </row>
    <row r="28" spans="14:28" ht="16" x14ac:dyDescent="0.2">
      <c r="N28" s="67" t="s">
        <v>1002</v>
      </c>
      <c r="O28" s="1"/>
      <c r="P28" s="1"/>
      <c r="Q28" s="1"/>
      <c r="R28" s="1"/>
      <c r="S28" s="1"/>
      <c r="T28" s="1"/>
      <c r="U28" s="1"/>
      <c r="V28" s="1"/>
      <c r="W28" s="1"/>
      <c r="X28" s="1"/>
      <c r="Y28" s="1"/>
      <c r="Z28" s="527" t="s">
        <v>1001</v>
      </c>
      <c r="AA28" s="510">
        <v>13481730.289999999</v>
      </c>
      <c r="AB28" s="1"/>
    </row>
    <row r="29" spans="14:28" ht="16" x14ac:dyDescent="0.2">
      <c r="N29" s="67" t="s">
        <v>986</v>
      </c>
      <c r="O29" s="1"/>
      <c r="P29" s="1"/>
      <c r="Q29" s="1"/>
      <c r="R29" s="1"/>
      <c r="S29" s="1"/>
      <c r="T29" s="1"/>
      <c r="U29" s="1"/>
      <c r="V29" s="1"/>
      <c r="W29" s="1"/>
      <c r="X29" s="1"/>
      <c r="Y29" s="1"/>
      <c r="Z29" s="1"/>
      <c r="AA29" s="1"/>
      <c r="AB29" s="1"/>
    </row>
    <row r="30" spans="14:28" x14ac:dyDescent="0.2">
      <c r="N30" s="1"/>
      <c r="O30" s="208"/>
      <c r="P30" s="209"/>
      <c r="Q30" s="209"/>
      <c r="R30" s="209"/>
      <c r="S30" s="209"/>
      <c r="T30" s="209"/>
      <c r="U30" s="209"/>
      <c r="V30" s="209"/>
      <c r="W30" s="209"/>
      <c r="X30" s="209"/>
      <c r="Y30" s="209"/>
      <c r="Z30" s="209"/>
      <c r="AA30" s="209"/>
      <c r="AB30" s="210"/>
    </row>
    <row r="31" spans="14:28" x14ac:dyDescent="0.2">
      <c r="N31" s="1"/>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
        <v>116</v>
      </c>
      <c r="AB31" s="207"/>
    </row>
    <row r="32" spans="14:28" ht="16" x14ac:dyDescent="0.2">
      <c r="N32" s="236"/>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row>
    <row r="33" spans="14:28" x14ac:dyDescent="0.2">
      <c r="N33" s="37" t="s">
        <v>1073</v>
      </c>
      <c r="O33" s="50"/>
      <c r="P33" s="1"/>
      <c r="Q33" s="1"/>
      <c r="R33" s="1"/>
      <c r="S33" s="1"/>
      <c r="T33" s="1"/>
      <c r="U33" s="1"/>
      <c r="V33" s="1"/>
      <c r="W33" s="1"/>
      <c r="X33" s="1"/>
      <c r="Y33" s="1"/>
      <c r="Z33" s="1"/>
      <c r="AA33" s="1"/>
      <c r="AB33" s="51"/>
    </row>
    <row r="34" spans="14:28" x14ac:dyDescent="0.2">
      <c r="N34" s="8" t="s">
        <v>1074</v>
      </c>
      <c r="O34" s="40"/>
      <c r="P34" s="43"/>
      <c r="Q34" s="43"/>
      <c r="R34" s="43"/>
      <c r="S34" s="43"/>
      <c r="T34" s="43"/>
      <c r="U34" s="43"/>
      <c r="V34" s="43"/>
      <c r="W34" s="43"/>
      <c r="X34" s="43"/>
      <c r="Y34" s="43"/>
      <c r="Z34" s="43"/>
      <c r="AA34" s="43"/>
      <c r="AB34" s="41"/>
    </row>
    <row r="35" spans="14:28" x14ac:dyDescent="0.2">
      <c r="N35" s="24" t="s">
        <v>1075</v>
      </c>
      <c r="O35" s="35">
        <v>7942.48</v>
      </c>
      <c r="P35" s="35">
        <v>7942.48</v>
      </c>
      <c r="Q35" s="35">
        <v>8750</v>
      </c>
      <c r="R35" s="35">
        <v>7367.73</v>
      </c>
      <c r="S35" s="35">
        <v>2604.17</v>
      </c>
      <c r="T35" s="35">
        <v>6250</v>
      </c>
      <c r="U35" s="35">
        <v>5961.66</v>
      </c>
      <c r="V35" s="35">
        <v>6250</v>
      </c>
      <c r="W35" s="35">
        <v>5961.66</v>
      </c>
      <c r="X35" s="35">
        <v>5673.2</v>
      </c>
      <c r="Y35" s="35">
        <v>5096.3999999999996</v>
      </c>
      <c r="Z35" s="35">
        <v>5961.78</v>
      </c>
      <c r="AA35" s="35">
        <v>75761.56</v>
      </c>
      <c r="AB35" s="36">
        <v>5.6195724413946871E-3</v>
      </c>
    </row>
    <row r="36" spans="14:28" x14ac:dyDescent="0.2">
      <c r="N36" s="23" t="s">
        <v>1076</v>
      </c>
      <c r="O36" s="35">
        <v>0</v>
      </c>
      <c r="P36" s="35">
        <v>0</v>
      </c>
      <c r="Q36" s="35">
        <v>0</v>
      </c>
      <c r="R36" s="35">
        <v>0</v>
      </c>
      <c r="S36" s="35">
        <v>0</v>
      </c>
      <c r="T36" s="35">
        <v>0</v>
      </c>
      <c r="U36" s="35">
        <v>0</v>
      </c>
      <c r="V36" s="35">
        <v>0</v>
      </c>
      <c r="W36" s="35">
        <v>0</v>
      </c>
      <c r="X36" s="35">
        <v>0</v>
      </c>
      <c r="Y36" s="35">
        <v>0</v>
      </c>
      <c r="Z36" s="35">
        <v>0</v>
      </c>
      <c r="AA36" s="35"/>
      <c r="AB36" s="36">
        <v>0</v>
      </c>
    </row>
    <row r="37" spans="14:28" x14ac:dyDescent="0.2">
      <c r="N37" s="24" t="s">
        <v>1467</v>
      </c>
      <c r="O37" s="44">
        <v>18663.68</v>
      </c>
      <c r="P37" s="44">
        <v>18742.810000000001</v>
      </c>
      <c r="Q37" s="44">
        <v>18567.53</v>
      </c>
      <c r="R37" s="44">
        <v>18995.93</v>
      </c>
      <c r="S37" s="44">
        <v>15746.02</v>
      </c>
      <c r="T37" s="44">
        <v>13842.12</v>
      </c>
      <c r="U37" s="44">
        <v>15858.86</v>
      </c>
      <c r="V37" s="44">
        <v>15214.24</v>
      </c>
      <c r="W37" s="44">
        <v>16264.26</v>
      </c>
      <c r="X37" s="44">
        <v>18181.23</v>
      </c>
      <c r="Y37" s="44">
        <v>16335.8</v>
      </c>
      <c r="Z37" s="44">
        <v>15054.19</v>
      </c>
      <c r="AA37" s="44">
        <v>201466.67</v>
      </c>
      <c r="AB37" s="45">
        <v>1.4943680496963867E-2</v>
      </c>
    </row>
    <row r="38" spans="14:28" x14ac:dyDescent="0.2">
      <c r="N38" s="151" t="s">
        <v>1079</v>
      </c>
      <c r="O38" s="120">
        <v>26606.16</v>
      </c>
      <c r="P38" s="120">
        <v>26685.29</v>
      </c>
      <c r="Q38" s="120">
        <v>27317.53</v>
      </c>
      <c r="R38" s="120">
        <v>26363.66</v>
      </c>
      <c r="S38" s="120">
        <v>18350.190000000002</v>
      </c>
      <c r="T38" s="120">
        <v>20092.120000000003</v>
      </c>
      <c r="U38" s="120">
        <v>21820.52</v>
      </c>
      <c r="V38" s="120">
        <v>21464.239999999998</v>
      </c>
      <c r="W38" s="120">
        <v>22225.919999999998</v>
      </c>
      <c r="X38" s="120">
        <v>23854.43</v>
      </c>
      <c r="Y38" s="120">
        <v>21432.199999999997</v>
      </c>
      <c r="Z38" s="120">
        <v>21015.97</v>
      </c>
      <c r="AA38" s="120">
        <v>277228.23</v>
      </c>
      <c r="AB38" s="121">
        <v>2.0563252938358551E-2</v>
      </c>
    </row>
    <row r="39" spans="14:28" x14ac:dyDescent="0.2">
      <c r="N39" s="24" t="s">
        <v>1081</v>
      </c>
      <c r="O39" s="44">
        <v>0</v>
      </c>
      <c r="P39" s="44">
        <v>0</v>
      </c>
      <c r="Q39" s="44">
        <v>0</v>
      </c>
      <c r="R39" s="44">
        <v>0</v>
      </c>
      <c r="S39" s="44">
        <v>0</v>
      </c>
      <c r="T39" s="44">
        <v>0</v>
      </c>
      <c r="U39" s="44">
        <v>0</v>
      </c>
      <c r="V39" s="44">
        <v>0</v>
      </c>
      <c r="W39" s="44">
        <v>0</v>
      </c>
      <c r="X39" s="44">
        <v>0</v>
      </c>
      <c r="Y39" s="44">
        <v>0</v>
      </c>
      <c r="Z39" s="44">
        <v>2112</v>
      </c>
      <c r="AA39" s="44">
        <v>2112</v>
      </c>
      <c r="AB39" s="45">
        <v>1.566564494741869E-4</v>
      </c>
    </row>
    <row r="40" spans="14:28" x14ac:dyDescent="0.2">
      <c r="N40" s="24" t="s">
        <v>1082</v>
      </c>
      <c r="O40" s="44">
        <v>0</v>
      </c>
      <c r="P40" s="44">
        <v>-600</v>
      </c>
      <c r="Q40" s="44">
        <v>962.5</v>
      </c>
      <c r="R40" s="44">
        <v>-2362.5</v>
      </c>
      <c r="S40" s="44">
        <v>0</v>
      </c>
      <c r="T40" s="44">
        <v>375.02</v>
      </c>
      <c r="U40" s="44">
        <v>-0.02</v>
      </c>
      <c r="V40" s="44">
        <v>187.5</v>
      </c>
      <c r="W40" s="44">
        <v>1012.5</v>
      </c>
      <c r="X40" s="44">
        <v>925</v>
      </c>
      <c r="Y40" s="44">
        <v>743</v>
      </c>
      <c r="Z40" s="44">
        <v>257</v>
      </c>
      <c r="AA40" s="44">
        <v>1500</v>
      </c>
      <c r="AB40" s="45">
        <v>1.1126168286518956E-4</v>
      </c>
    </row>
    <row r="41" spans="14:28" x14ac:dyDescent="0.2">
      <c r="N41" s="151" t="s">
        <v>1083</v>
      </c>
      <c r="O41" s="120">
        <v>26606.16</v>
      </c>
      <c r="P41" s="120">
        <v>26085.29</v>
      </c>
      <c r="Q41" s="120">
        <v>28280.03</v>
      </c>
      <c r="R41" s="120">
        <v>24001.16</v>
      </c>
      <c r="S41" s="120">
        <v>18350.190000000002</v>
      </c>
      <c r="T41" s="120">
        <v>20467.140000000003</v>
      </c>
      <c r="U41" s="120">
        <v>21820.5</v>
      </c>
      <c r="V41" s="120">
        <v>21651.739999999998</v>
      </c>
      <c r="W41" s="120">
        <v>23238.42</v>
      </c>
      <c r="X41" s="120">
        <v>24779.43</v>
      </c>
      <c r="Y41" s="120">
        <v>22175.199999999997</v>
      </c>
      <c r="Z41" s="120">
        <v>23384.97</v>
      </c>
      <c r="AA41" s="120">
        <v>280840.23</v>
      </c>
      <c r="AB41" s="121">
        <v>2.0831171070697929E-2</v>
      </c>
    </row>
    <row r="42" spans="14:28" x14ac:dyDescent="0.2">
      <c r="N42" s="24" t="s">
        <v>561</v>
      </c>
      <c r="O42" s="44">
        <v>2374.1</v>
      </c>
      <c r="P42" s="44">
        <v>2185.8200000000002</v>
      </c>
      <c r="Q42" s="44">
        <v>2137.23</v>
      </c>
      <c r="R42" s="44">
        <v>2404.15</v>
      </c>
      <c r="S42" s="44">
        <v>1356.01</v>
      </c>
      <c r="T42" s="44">
        <v>1583.09</v>
      </c>
      <c r="U42" s="44">
        <v>1710.65</v>
      </c>
      <c r="V42" s="44">
        <v>1834.46</v>
      </c>
      <c r="W42" s="44">
        <v>1952.53</v>
      </c>
      <c r="X42" s="44">
        <v>1957.41</v>
      </c>
      <c r="Y42" s="44">
        <v>1951.24</v>
      </c>
      <c r="Z42" s="44">
        <v>1951.83</v>
      </c>
      <c r="AA42" s="44">
        <v>23398.519999999997</v>
      </c>
      <c r="AB42" s="45">
        <v>1.7355724745031966E-3</v>
      </c>
    </row>
    <row r="43" spans="14:28" x14ac:dyDescent="0.2">
      <c r="N43" s="24" t="s">
        <v>560</v>
      </c>
      <c r="O43" s="44">
        <v>3690.14</v>
      </c>
      <c r="P43" s="44">
        <v>1544.21</v>
      </c>
      <c r="Q43" s="44">
        <v>1588.2</v>
      </c>
      <c r="R43" s="44">
        <v>1009.18</v>
      </c>
      <c r="S43" s="44">
        <v>3816.83</v>
      </c>
      <c r="T43" s="44">
        <v>1672.57</v>
      </c>
      <c r="U43" s="44">
        <v>2858.83</v>
      </c>
      <c r="V43" s="44">
        <v>2919.32</v>
      </c>
      <c r="W43" s="44">
        <v>3190.11</v>
      </c>
      <c r="X43" s="44">
        <v>995.36</v>
      </c>
      <c r="Y43" s="44">
        <v>1118.54</v>
      </c>
      <c r="Z43" s="44">
        <v>-2462.83</v>
      </c>
      <c r="AA43" s="44">
        <v>21940.460000000006</v>
      </c>
      <c r="AB43" s="45">
        <v>1.6274216682909185E-3</v>
      </c>
    </row>
    <row r="44" spans="14:28" x14ac:dyDescent="0.2">
      <c r="N44" s="24" t="s">
        <v>562</v>
      </c>
      <c r="O44" s="44">
        <v>5352.98</v>
      </c>
      <c r="P44" s="44">
        <v>6542.97</v>
      </c>
      <c r="Q44" s="44">
        <v>7116.46</v>
      </c>
      <c r="R44" s="44">
        <v>7273.01</v>
      </c>
      <c r="S44" s="44">
        <v>7245.5</v>
      </c>
      <c r="T44" s="44">
        <v>1674.16</v>
      </c>
      <c r="U44" s="44">
        <v>4566.84</v>
      </c>
      <c r="V44" s="44">
        <v>4518.3</v>
      </c>
      <c r="W44" s="44">
        <v>4361.84</v>
      </c>
      <c r="X44" s="44">
        <v>4061.29</v>
      </c>
      <c r="Y44" s="44">
        <v>4109.5200000000004</v>
      </c>
      <c r="Z44" s="44">
        <v>4093.57</v>
      </c>
      <c r="AA44" s="44">
        <v>60916.439999999995</v>
      </c>
      <c r="AB44" s="45">
        <v>4.5184437523708987E-3</v>
      </c>
    </row>
    <row r="45" spans="14:28" x14ac:dyDescent="0.2">
      <c r="N45" s="151" t="s">
        <v>1084</v>
      </c>
      <c r="O45" s="33">
        <v>11417.22</v>
      </c>
      <c r="P45" s="33">
        <v>10273</v>
      </c>
      <c r="Q45" s="33">
        <v>10841.89</v>
      </c>
      <c r="R45" s="33">
        <v>10686.34</v>
      </c>
      <c r="S45" s="33">
        <v>12418.34</v>
      </c>
      <c r="T45" s="33">
        <v>4929.82</v>
      </c>
      <c r="U45" s="33">
        <v>9136.32</v>
      </c>
      <c r="V45" s="33">
        <v>9272.0800000000017</v>
      </c>
      <c r="W45" s="33">
        <v>9504.48</v>
      </c>
      <c r="X45" s="33">
        <v>7014.0599999999995</v>
      </c>
      <c r="Y45" s="33">
        <v>7179.3</v>
      </c>
      <c r="Z45" s="33">
        <v>3582.57</v>
      </c>
      <c r="AA45" s="33">
        <v>106255.42</v>
      </c>
      <c r="AB45" s="34">
        <v>7.8814378951650131E-3</v>
      </c>
    </row>
    <row r="46" spans="14:28" x14ac:dyDescent="0.2">
      <c r="N46" s="151" t="s">
        <v>1085</v>
      </c>
      <c r="O46" s="33">
        <v>38023.379999999997</v>
      </c>
      <c r="P46" s="33">
        <v>36358.29</v>
      </c>
      <c r="Q46" s="33">
        <v>39121.919999999998</v>
      </c>
      <c r="R46" s="33">
        <v>34687.5</v>
      </c>
      <c r="S46" s="33">
        <v>30768.530000000002</v>
      </c>
      <c r="T46" s="33">
        <v>25396.960000000003</v>
      </c>
      <c r="U46" s="33">
        <v>30956.82</v>
      </c>
      <c r="V46" s="33">
        <v>30923.82</v>
      </c>
      <c r="W46" s="33">
        <v>32742.899999999998</v>
      </c>
      <c r="X46" s="33">
        <v>31793.489999999998</v>
      </c>
      <c r="Y46" s="33">
        <v>29354.499999999996</v>
      </c>
      <c r="Z46" s="33">
        <v>26967.54</v>
      </c>
      <c r="AA46" s="33">
        <v>387095.64999999997</v>
      </c>
      <c r="AB46" s="34">
        <v>2.8712608965862942E-2</v>
      </c>
    </row>
    <row r="47" spans="14:28" x14ac:dyDescent="0.2">
      <c r="N47" s="23"/>
      <c r="O47" s="38"/>
      <c r="P47" s="42"/>
      <c r="Q47" s="42"/>
      <c r="R47" s="42"/>
      <c r="S47" s="42"/>
      <c r="T47" s="42"/>
      <c r="U47" s="42"/>
      <c r="V47" s="42"/>
      <c r="W47" s="42"/>
      <c r="X47" s="42"/>
      <c r="Y47" s="42"/>
      <c r="Z47" s="42"/>
      <c r="AA47" s="42"/>
      <c r="AB47" s="39"/>
    </row>
    <row r="48" spans="14:28" x14ac:dyDescent="0.2">
      <c r="N48" s="37" t="s">
        <v>1087</v>
      </c>
      <c r="O48" s="40"/>
      <c r="P48" s="43"/>
      <c r="Q48" s="43"/>
      <c r="R48" s="43"/>
      <c r="S48" s="43"/>
      <c r="T48" s="43"/>
      <c r="U48" s="43"/>
      <c r="V48" s="43"/>
      <c r="W48" s="43"/>
      <c r="X48" s="43"/>
      <c r="Y48" s="43"/>
      <c r="Z48" s="43"/>
      <c r="AA48" s="43"/>
      <c r="AB48" s="41"/>
    </row>
    <row r="49" spans="14:31" x14ac:dyDescent="0.2">
      <c r="N49" s="24" t="s">
        <v>1090</v>
      </c>
      <c r="O49" s="19">
        <v>0</v>
      </c>
      <c r="P49" s="19">
        <v>965.1</v>
      </c>
      <c r="Q49" s="19">
        <v>202.9</v>
      </c>
      <c r="R49" s="19">
        <v>239.02</v>
      </c>
      <c r="S49" s="19">
        <v>472.81</v>
      </c>
      <c r="T49" s="19">
        <v>169.68</v>
      </c>
      <c r="U49" s="19">
        <v>164.2</v>
      </c>
      <c r="V49" s="19">
        <v>100</v>
      </c>
      <c r="W49" s="19">
        <v>567.71</v>
      </c>
      <c r="X49" s="19">
        <v>183.23</v>
      </c>
      <c r="Y49" s="19">
        <v>231.88</v>
      </c>
      <c r="Z49" s="19">
        <v>588.4</v>
      </c>
      <c r="AA49" s="35">
        <v>3884.93</v>
      </c>
      <c r="AB49" s="15">
        <v>2.8816256640897393E-4</v>
      </c>
    </row>
    <row r="50" spans="14:31" x14ac:dyDescent="0.2">
      <c r="N50" s="483" t="s">
        <v>1095</v>
      </c>
      <c r="O50" s="484">
        <v>5477.93</v>
      </c>
      <c r="P50" s="484">
        <v>4795.87</v>
      </c>
      <c r="Q50" s="484">
        <v>3455.09</v>
      </c>
      <c r="R50" s="484">
        <v>5946.05</v>
      </c>
      <c r="S50" s="484">
        <v>9257.1</v>
      </c>
      <c r="T50" s="484">
        <v>1924.19</v>
      </c>
      <c r="U50" s="484">
        <v>2042.37</v>
      </c>
      <c r="V50" s="484">
        <v>2356.9299999999998</v>
      </c>
      <c r="W50" s="484">
        <v>4702.71</v>
      </c>
      <c r="X50" s="484">
        <v>2247.98</v>
      </c>
      <c r="Y50" s="484">
        <v>1695.02</v>
      </c>
      <c r="Z50" s="484">
        <v>741.67999999999984</v>
      </c>
      <c r="AA50" s="494">
        <v>44642.92</v>
      </c>
      <c r="AB50" s="485">
        <v>3.3113642714773521E-3</v>
      </c>
      <c r="AE50" s="486"/>
    </row>
    <row r="51" spans="14:31" x14ac:dyDescent="0.2">
      <c r="N51" s="24" t="s">
        <v>1096</v>
      </c>
      <c r="O51" s="19">
        <v>52</v>
      </c>
      <c r="P51" s="19">
        <v>94.06</v>
      </c>
      <c r="Q51" s="19">
        <v>75.040000000000006</v>
      </c>
      <c r="R51" s="19">
        <v>0</v>
      </c>
      <c r="S51" s="19">
        <v>67.900000000000006</v>
      </c>
      <c r="T51" s="19">
        <v>-33.950000000000003</v>
      </c>
      <c r="U51" s="19">
        <v>76.930000000000007</v>
      </c>
      <c r="V51" s="19">
        <v>0</v>
      </c>
      <c r="W51" s="19">
        <v>16.93</v>
      </c>
      <c r="X51" s="19">
        <v>0</v>
      </c>
      <c r="Y51" s="19">
        <v>36.85</v>
      </c>
      <c r="Z51" s="19">
        <v>13.4</v>
      </c>
      <c r="AA51" s="35">
        <v>399.16</v>
      </c>
      <c r="AB51" s="15">
        <v>2.9607475554979378E-5</v>
      </c>
    </row>
    <row r="52" spans="14:31" x14ac:dyDescent="0.2">
      <c r="N52" s="24" t="s">
        <v>1097</v>
      </c>
      <c r="O52" s="19">
        <v>0</v>
      </c>
      <c r="P52" s="19">
        <v>0</v>
      </c>
      <c r="Q52" s="19">
        <v>0</v>
      </c>
      <c r="R52" s="19">
        <v>0</v>
      </c>
      <c r="S52" s="19">
        <v>0</v>
      </c>
      <c r="T52" s="19">
        <v>0</v>
      </c>
      <c r="U52" s="19">
        <v>0</v>
      </c>
      <c r="V52" s="19">
        <v>0</v>
      </c>
      <c r="W52" s="19">
        <v>0</v>
      </c>
      <c r="X52" s="19">
        <v>0</v>
      </c>
      <c r="Y52" s="19">
        <v>0</v>
      </c>
      <c r="Z52" s="19">
        <v>0</v>
      </c>
      <c r="AA52" s="35">
        <v>0</v>
      </c>
      <c r="AB52" s="15">
        <v>0</v>
      </c>
    </row>
    <row r="53" spans="14:31" x14ac:dyDescent="0.2">
      <c r="N53" s="24" t="s">
        <v>1101</v>
      </c>
      <c r="O53" s="19">
        <v>225.94</v>
      </c>
      <c r="P53" s="19">
        <v>0</v>
      </c>
      <c r="Q53" s="19">
        <v>0</v>
      </c>
      <c r="R53" s="19">
        <v>304.33999999999997</v>
      </c>
      <c r="S53" s="19">
        <v>0</v>
      </c>
      <c r="T53" s="19">
        <v>0</v>
      </c>
      <c r="U53" s="19">
        <v>328.55</v>
      </c>
      <c r="V53" s="19">
        <v>0</v>
      </c>
      <c r="W53" s="19">
        <v>0</v>
      </c>
      <c r="X53" s="19">
        <v>400</v>
      </c>
      <c r="Y53" s="19">
        <v>400</v>
      </c>
      <c r="Z53" s="19">
        <v>519</v>
      </c>
      <c r="AA53" s="35">
        <v>2177.83</v>
      </c>
      <c r="AB53" s="15">
        <v>1.6153935386286386E-4</v>
      </c>
    </row>
    <row r="54" spans="14:31" x14ac:dyDescent="0.2">
      <c r="N54" s="24" t="s">
        <v>1102</v>
      </c>
      <c r="O54" s="19">
        <v>258.77</v>
      </c>
      <c r="P54" s="19">
        <v>298.54000000000002</v>
      </c>
      <c r="Q54" s="19">
        <v>298.52999999999997</v>
      </c>
      <c r="R54" s="19">
        <v>472.73</v>
      </c>
      <c r="S54" s="19">
        <v>402.05</v>
      </c>
      <c r="T54" s="19">
        <v>132.4</v>
      </c>
      <c r="U54" s="19">
        <v>166.36</v>
      </c>
      <c r="V54" s="19">
        <v>243.52</v>
      </c>
      <c r="W54" s="19">
        <v>165.51</v>
      </c>
      <c r="X54" s="19">
        <v>253.18</v>
      </c>
      <c r="Y54" s="19">
        <v>201.19</v>
      </c>
      <c r="Z54" s="19">
        <v>256.64999999999998</v>
      </c>
      <c r="AA54" s="35">
        <v>3149.43</v>
      </c>
      <c r="AB54" s="15">
        <v>2.336072545774093E-4</v>
      </c>
    </row>
    <row r="55" spans="14:31" x14ac:dyDescent="0.2">
      <c r="N55" s="24" t="s">
        <v>1234</v>
      </c>
      <c r="O55" s="19">
        <v>0</v>
      </c>
      <c r="P55" s="19">
        <v>0</v>
      </c>
      <c r="Q55" s="19">
        <v>0</v>
      </c>
      <c r="R55" s="19">
        <v>-5300</v>
      </c>
      <c r="S55" s="19">
        <v>0</v>
      </c>
      <c r="T55" s="19">
        <v>0</v>
      </c>
      <c r="U55" s="19">
        <v>250.35</v>
      </c>
      <c r="V55" s="19">
        <v>1000</v>
      </c>
      <c r="W55" s="19">
        <v>0</v>
      </c>
      <c r="X55" s="19">
        <v>150</v>
      </c>
      <c r="Y55" s="19">
        <v>5300</v>
      </c>
      <c r="Z55" s="19">
        <v>2085</v>
      </c>
      <c r="AA55" s="35">
        <v>3485.3500000000004</v>
      </c>
      <c r="AB55" s="15">
        <v>2.5852393758279231E-4</v>
      </c>
    </row>
    <row r="56" spans="14:31" x14ac:dyDescent="0.2">
      <c r="N56" s="24" t="s">
        <v>1468</v>
      </c>
      <c r="O56" s="19">
        <v>728.34</v>
      </c>
      <c r="P56" s="19">
        <v>353.46</v>
      </c>
      <c r="Q56" s="19">
        <v>1485.47</v>
      </c>
      <c r="R56" s="19">
        <v>68.260000000000005</v>
      </c>
      <c r="S56" s="19">
        <v>1752.63</v>
      </c>
      <c r="T56" s="19">
        <v>1380.99</v>
      </c>
      <c r="U56" s="19">
        <v>210</v>
      </c>
      <c r="V56" s="19">
        <v>422.65</v>
      </c>
      <c r="W56" s="19">
        <v>625.25</v>
      </c>
      <c r="X56" s="19">
        <v>1280.25</v>
      </c>
      <c r="Y56" s="19">
        <v>290.25</v>
      </c>
      <c r="Z56" s="19">
        <v>906.25</v>
      </c>
      <c r="AA56" s="35">
        <v>9503.7999999999993</v>
      </c>
      <c r="AB56" s="15">
        <v>7.0493918774279236E-4</v>
      </c>
    </row>
    <row r="57" spans="14:31" x14ac:dyDescent="0.2">
      <c r="N57" s="24" t="s">
        <v>1469</v>
      </c>
      <c r="O57" s="19">
        <v>1319.87</v>
      </c>
      <c r="P57" s="19">
        <v>538.53</v>
      </c>
      <c r="Q57" s="19">
        <v>72.3</v>
      </c>
      <c r="R57" s="19">
        <v>-194.85</v>
      </c>
      <c r="S57" s="19">
        <v>165.61</v>
      </c>
      <c r="T57" s="19">
        <v>915.3</v>
      </c>
      <c r="U57" s="19">
        <v>759.19</v>
      </c>
      <c r="V57" s="19">
        <v>1816.24</v>
      </c>
      <c r="W57" s="19">
        <v>250</v>
      </c>
      <c r="X57" s="19">
        <v>1644.05</v>
      </c>
      <c r="Y57" s="19">
        <v>313.97000000000003</v>
      </c>
      <c r="Z57" s="19">
        <v>284.66000000000003</v>
      </c>
      <c r="AA57" s="35">
        <v>7884.8700000000008</v>
      </c>
      <c r="AB57" s="15">
        <v>5.8485593691549821E-4</v>
      </c>
    </row>
    <row r="58" spans="14:31" x14ac:dyDescent="0.2">
      <c r="N58" s="24" t="s">
        <v>1470</v>
      </c>
      <c r="O58" s="19">
        <v>1691.97</v>
      </c>
      <c r="P58" s="19">
        <v>1615.91</v>
      </c>
      <c r="Q58" s="19">
        <v>4714.55</v>
      </c>
      <c r="R58" s="19">
        <v>-5583.42</v>
      </c>
      <c r="S58" s="19">
        <v>1003.19</v>
      </c>
      <c r="T58" s="19">
        <v>3025</v>
      </c>
      <c r="U58" s="19">
        <v>1326.3</v>
      </c>
      <c r="V58" s="19">
        <v>1268.71</v>
      </c>
      <c r="W58" s="19">
        <v>1271.45</v>
      </c>
      <c r="X58" s="19">
        <v>557.74</v>
      </c>
      <c r="Y58" s="19">
        <v>1317.66</v>
      </c>
      <c r="Z58" s="19">
        <v>3500</v>
      </c>
      <c r="AA58" s="35">
        <v>15709.060000000001</v>
      </c>
      <c r="AB58" s="15">
        <v>1.1652109678868233E-3</v>
      </c>
    </row>
    <row r="59" spans="14:31" x14ac:dyDescent="0.2">
      <c r="N59" s="24" t="s">
        <v>1471</v>
      </c>
      <c r="O59" s="19">
        <v>-775</v>
      </c>
      <c r="P59" s="19">
        <v>135.82</v>
      </c>
      <c r="Q59" s="19">
        <v>100</v>
      </c>
      <c r="R59" s="19">
        <v>-100</v>
      </c>
      <c r="S59" s="19">
        <v>0</v>
      </c>
      <c r="T59" s="19">
        <v>100</v>
      </c>
      <c r="U59" s="19">
        <v>100</v>
      </c>
      <c r="V59" s="19">
        <v>60.25</v>
      </c>
      <c r="W59" s="19">
        <v>100</v>
      </c>
      <c r="X59" s="19">
        <v>199.32</v>
      </c>
      <c r="Y59" s="19">
        <v>1160</v>
      </c>
      <c r="Z59" s="19">
        <v>339.75</v>
      </c>
      <c r="AA59" s="35">
        <v>1420.1399999999999</v>
      </c>
      <c r="AB59" s="15">
        <v>1.0533811086944686E-4</v>
      </c>
    </row>
    <row r="60" spans="14:31" x14ac:dyDescent="0.2">
      <c r="N60" s="24" t="s">
        <v>1472</v>
      </c>
      <c r="O60" s="19">
        <v>1604.62</v>
      </c>
      <c r="P60" s="19">
        <v>1593.07</v>
      </c>
      <c r="Q60" s="19">
        <v>1614.39</v>
      </c>
      <c r="R60" s="19">
        <v>594.46</v>
      </c>
      <c r="S60" s="19">
        <v>1739.99</v>
      </c>
      <c r="T60" s="19">
        <v>578.23</v>
      </c>
      <c r="U60" s="19">
        <v>927.03</v>
      </c>
      <c r="V60" s="19">
        <v>746.4</v>
      </c>
      <c r="W60" s="19">
        <v>1506</v>
      </c>
      <c r="X60" s="19">
        <v>905</v>
      </c>
      <c r="Y60" s="19">
        <v>1405.99</v>
      </c>
      <c r="Z60" s="19">
        <v>806.5</v>
      </c>
      <c r="AA60" s="35">
        <v>14021.68</v>
      </c>
      <c r="AB60" s="15">
        <v>1.0400504755981141E-3</v>
      </c>
    </row>
    <row r="61" spans="14:31" x14ac:dyDescent="0.2">
      <c r="N61" s="24" t="s">
        <v>1473</v>
      </c>
      <c r="O61" s="19">
        <v>200</v>
      </c>
      <c r="P61" s="19">
        <v>242.68</v>
      </c>
      <c r="Q61" s="19">
        <v>531.11</v>
      </c>
      <c r="R61" s="19">
        <v>156.09</v>
      </c>
      <c r="S61" s="19">
        <v>232.66</v>
      </c>
      <c r="T61" s="19">
        <v>236.93</v>
      </c>
      <c r="U61" s="19">
        <v>270</v>
      </c>
      <c r="V61" s="19">
        <v>858.12</v>
      </c>
      <c r="W61" s="19">
        <v>304.31</v>
      </c>
      <c r="X61" s="19">
        <v>462.38</v>
      </c>
      <c r="Y61" s="19">
        <v>504.84</v>
      </c>
      <c r="Z61" s="19">
        <v>195.78</v>
      </c>
      <c r="AA61" s="35">
        <v>4194.9000000000005</v>
      </c>
      <c r="AB61" s="15">
        <v>3.1115442230078918E-4</v>
      </c>
    </row>
    <row r="62" spans="14:31" x14ac:dyDescent="0.2">
      <c r="N62" s="24" t="s">
        <v>1474</v>
      </c>
      <c r="O62" s="19">
        <v>0</v>
      </c>
      <c r="P62" s="19">
        <v>0</v>
      </c>
      <c r="Q62" s="19">
        <v>0</v>
      </c>
      <c r="R62" s="19">
        <v>0</v>
      </c>
      <c r="S62" s="19">
        <v>0</v>
      </c>
      <c r="T62" s="19">
        <v>0</v>
      </c>
      <c r="U62" s="19">
        <v>0</v>
      </c>
      <c r="V62" s="19">
        <v>0</v>
      </c>
      <c r="W62" s="19">
        <v>0</v>
      </c>
      <c r="X62" s="19">
        <v>0</v>
      </c>
      <c r="Y62" s="19">
        <v>0</v>
      </c>
      <c r="Z62" s="19">
        <v>0</v>
      </c>
      <c r="AA62" s="35">
        <v>0</v>
      </c>
      <c r="AB62" s="15">
        <v>0</v>
      </c>
    </row>
    <row r="63" spans="14:31" x14ac:dyDescent="0.2">
      <c r="N63" s="24" t="s">
        <v>1475</v>
      </c>
      <c r="O63" s="19">
        <v>1092.5999999999999</v>
      </c>
      <c r="P63" s="19">
        <v>1085.19</v>
      </c>
      <c r="Q63" s="19">
        <v>1031.49</v>
      </c>
      <c r="R63" s="19">
        <v>846.83</v>
      </c>
      <c r="S63" s="19">
        <v>1140.04</v>
      </c>
      <c r="T63" s="19">
        <v>394.7</v>
      </c>
      <c r="U63" s="19">
        <v>700</v>
      </c>
      <c r="V63" s="19">
        <v>462.95</v>
      </c>
      <c r="W63" s="19">
        <v>1250.1500000000001</v>
      </c>
      <c r="X63" s="19">
        <v>1086.53</v>
      </c>
      <c r="Y63" s="19">
        <v>667.4</v>
      </c>
      <c r="Z63" s="19">
        <v>920.29</v>
      </c>
      <c r="AA63" s="35">
        <v>10678.169999999998</v>
      </c>
      <c r="AB63" s="15">
        <v>7.9204744274705401E-4</v>
      </c>
    </row>
    <row r="64" spans="14:31" x14ac:dyDescent="0.2">
      <c r="N64" s="24" t="s">
        <v>1476</v>
      </c>
      <c r="O64" s="19">
        <v>2620.4899999999998</v>
      </c>
      <c r="P64" s="19">
        <v>2735.07</v>
      </c>
      <c r="Q64" s="19">
        <v>5247.38</v>
      </c>
      <c r="R64" s="19">
        <v>1735.07</v>
      </c>
      <c r="S64" s="19">
        <v>2705.11</v>
      </c>
      <c r="T64" s="19">
        <v>2339.11</v>
      </c>
      <c r="U64" s="19">
        <v>1977.11</v>
      </c>
      <c r="V64" s="19">
        <v>1772.11</v>
      </c>
      <c r="W64" s="19">
        <v>2677.11</v>
      </c>
      <c r="X64" s="19">
        <v>4129.6099999999997</v>
      </c>
      <c r="Y64" s="19">
        <v>2705.11</v>
      </c>
      <c r="Z64" s="19">
        <v>2204.5500000000002</v>
      </c>
      <c r="AA64" s="35">
        <v>32847.83</v>
      </c>
      <c r="AB64" s="15">
        <v>2.4364698961797733E-3</v>
      </c>
    </row>
    <row r="65" spans="14:28" x14ac:dyDescent="0.2">
      <c r="N65" s="24" t="s">
        <v>1477</v>
      </c>
      <c r="O65" s="19">
        <v>2620.39</v>
      </c>
      <c r="P65" s="19">
        <v>1919.73</v>
      </c>
      <c r="Q65" s="19">
        <v>2557.7399999999998</v>
      </c>
      <c r="R65" s="19">
        <v>1437.23</v>
      </c>
      <c r="S65" s="19">
        <v>1191.81</v>
      </c>
      <c r="T65" s="19">
        <v>2830.23</v>
      </c>
      <c r="U65" s="19">
        <v>1727</v>
      </c>
      <c r="V65" s="19">
        <v>2615.7199999999998</v>
      </c>
      <c r="W65" s="19">
        <v>2717.12</v>
      </c>
      <c r="X65" s="19">
        <v>2011.67</v>
      </c>
      <c r="Y65" s="19">
        <v>1937.25</v>
      </c>
      <c r="Z65" s="19">
        <v>3383.54</v>
      </c>
      <c r="AA65" s="35">
        <v>26949.43</v>
      </c>
      <c r="AB65" s="15">
        <v>1.9989592893717503E-3</v>
      </c>
    </row>
    <row r="66" spans="14:28" x14ac:dyDescent="0.2">
      <c r="N66" s="24" t="s">
        <v>1478</v>
      </c>
      <c r="O66" s="19">
        <v>3415.5</v>
      </c>
      <c r="P66" s="19">
        <v>2850</v>
      </c>
      <c r="Q66" s="19">
        <v>2850.49</v>
      </c>
      <c r="R66" s="19">
        <v>2532</v>
      </c>
      <c r="S66" s="19">
        <v>2500</v>
      </c>
      <c r="T66" s="19">
        <v>2500</v>
      </c>
      <c r="U66" s="19">
        <v>2950</v>
      </c>
      <c r="V66" s="19">
        <v>2500</v>
      </c>
      <c r="W66" s="19">
        <v>2878.23</v>
      </c>
      <c r="X66" s="19">
        <v>2500</v>
      </c>
      <c r="Y66" s="19">
        <v>2850</v>
      </c>
      <c r="Z66" s="19">
        <v>2645</v>
      </c>
      <c r="AA66" s="35">
        <v>32971.22</v>
      </c>
      <c r="AB66" s="15">
        <v>2.4456222822122637E-3</v>
      </c>
    </row>
    <row r="67" spans="14:28" x14ac:dyDescent="0.2">
      <c r="N67" s="24" t="s">
        <v>1479</v>
      </c>
      <c r="O67" s="19">
        <v>302.08999999999997</v>
      </c>
      <c r="P67" s="19">
        <v>236.87</v>
      </c>
      <c r="Q67" s="19">
        <v>553.33000000000004</v>
      </c>
      <c r="R67" s="19">
        <v>-432.21</v>
      </c>
      <c r="S67" s="19">
        <v>0</v>
      </c>
      <c r="T67" s="19">
        <v>154.22999999999999</v>
      </c>
      <c r="U67" s="19">
        <v>199.73</v>
      </c>
      <c r="V67" s="19">
        <v>55.02</v>
      </c>
      <c r="W67" s="19">
        <v>437.54</v>
      </c>
      <c r="X67" s="19">
        <v>105</v>
      </c>
      <c r="Y67" s="19">
        <v>475.8</v>
      </c>
      <c r="Z67" s="19">
        <v>192.36</v>
      </c>
      <c r="AA67" s="35">
        <v>2279.7600000000002</v>
      </c>
      <c r="AB67" s="15">
        <v>1.6909995608582973E-4</v>
      </c>
    </row>
    <row r="68" spans="14:28" x14ac:dyDescent="0.2">
      <c r="N68" s="24" t="s">
        <v>1480</v>
      </c>
      <c r="O68" s="19">
        <v>709.77</v>
      </c>
      <c r="P68" s="19">
        <v>790.28</v>
      </c>
      <c r="Q68" s="19">
        <v>763.85</v>
      </c>
      <c r="R68" s="19">
        <v>-842.9</v>
      </c>
      <c r="S68" s="19">
        <v>257.08999999999997</v>
      </c>
      <c r="T68" s="19">
        <v>141.91999999999999</v>
      </c>
      <c r="U68" s="19">
        <v>30.29</v>
      </c>
      <c r="V68" s="19">
        <v>482.89</v>
      </c>
      <c r="W68" s="19">
        <v>256.70999999999998</v>
      </c>
      <c r="X68" s="19">
        <v>127.42</v>
      </c>
      <c r="Y68" s="19">
        <v>517.04999999999995</v>
      </c>
      <c r="Z68" s="19">
        <v>-137.79</v>
      </c>
      <c r="AA68" s="35">
        <v>3096.58</v>
      </c>
      <c r="AB68" s="15">
        <v>2.2968713461779246E-4</v>
      </c>
    </row>
    <row r="69" spans="14:28" x14ac:dyDescent="0.2">
      <c r="N69" s="505" t="s">
        <v>1481</v>
      </c>
      <c r="O69" s="532">
        <v>2605.44</v>
      </c>
      <c r="P69" s="532">
        <v>2459.9499999999998</v>
      </c>
      <c r="Q69" s="532">
        <v>2586.44</v>
      </c>
      <c r="R69" s="532">
        <v>2549.54</v>
      </c>
      <c r="S69" s="532">
        <v>2549.54</v>
      </c>
      <c r="T69" s="532">
        <v>2549.54</v>
      </c>
      <c r="U69" s="532">
        <v>2549.54</v>
      </c>
      <c r="V69" s="532">
        <v>2549.54</v>
      </c>
      <c r="W69" s="532">
        <v>2549.54</v>
      </c>
      <c r="X69" s="532">
        <v>2587.7800000000002</v>
      </c>
      <c r="Y69" s="532">
        <v>2549.54</v>
      </c>
      <c r="Z69" s="532">
        <v>2588.36</v>
      </c>
      <c r="AA69" s="506">
        <v>30674.750000000004</v>
      </c>
      <c r="AB69" s="533">
        <v>2.275282870979316E-3</v>
      </c>
    </row>
    <row r="70" spans="14:28" x14ac:dyDescent="0.2">
      <c r="N70" s="23" t="s">
        <v>1111</v>
      </c>
      <c r="O70" s="30">
        <v>24150.719999999998</v>
      </c>
      <c r="P70" s="30">
        <v>22710.129999999997</v>
      </c>
      <c r="Q70" s="30">
        <v>28140.099999999995</v>
      </c>
      <c r="R70" s="30">
        <v>4428.2400000000016</v>
      </c>
      <c r="S70" s="30">
        <v>25437.530000000002</v>
      </c>
      <c r="T70" s="30">
        <v>19338.5</v>
      </c>
      <c r="U70" s="30">
        <v>16754.95</v>
      </c>
      <c r="V70" s="30">
        <v>19311.050000000003</v>
      </c>
      <c r="W70" s="30">
        <v>22276.27</v>
      </c>
      <c r="X70" s="30">
        <v>20831.14</v>
      </c>
      <c r="Y70" s="30">
        <v>24559.8</v>
      </c>
      <c r="Z70" s="30">
        <v>22033.38</v>
      </c>
      <c r="AA70" s="30">
        <v>249971.80999999994</v>
      </c>
      <c r="AB70" s="31">
        <v>1.854152283297161E-2</v>
      </c>
    </row>
    <row r="71" spans="14:28" x14ac:dyDescent="0.2">
      <c r="N71" s="1"/>
      <c r="O71" s="1"/>
      <c r="P71" s="1"/>
      <c r="Q71" s="1"/>
      <c r="R71" s="1"/>
      <c r="S71" s="1"/>
      <c r="T71" s="1"/>
      <c r="U71" s="1"/>
      <c r="V71" s="1"/>
      <c r="W71" s="1"/>
      <c r="X71" s="1"/>
      <c r="Y71" s="1"/>
      <c r="Z71" s="1"/>
      <c r="AA71" s="1"/>
      <c r="AB71" s="1"/>
    </row>
    <row r="72" spans="14:28" x14ac:dyDescent="0.2">
      <c r="N72" s="23" t="s">
        <v>1112</v>
      </c>
      <c r="O72" s="33">
        <v>62174.099999999991</v>
      </c>
      <c r="P72" s="33">
        <v>59068.42</v>
      </c>
      <c r="Q72" s="33">
        <v>67262.01999999999</v>
      </c>
      <c r="R72" s="33">
        <v>39115.740000000005</v>
      </c>
      <c r="S72" s="33">
        <v>56206.060000000005</v>
      </c>
      <c r="T72" s="33">
        <v>44735.460000000006</v>
      </c>
      <c r="U72" s="33">
        <v>47711.770000000004</v>
      </c>
      <c r="V72" s="33">
        <v>50234.87</v>
      </c>
      <c r="W72" s="33">
        <v>55019.17</v>
      </c>
      <c r="X72" s="33">
        <v>52624.63</v>
      </c>
      <c r="Y72" s="33">
        <v>53914.299999999996</v>
      </c>
      <c r="Z72" s="33">
        <v>49000.92</v>
      </c>
      <c r="AA72" s="33">
        <v>637067.46000000008</v>
      </c>
      <c r="AB72" s="34">
        <v>4.7254131798834566E-2</v>
      </c>
    </row>
    <row r="73" spans="14:28" ht="16" thickBot="1" x14ac:dyDescent="0.25">
      <c r="N73" s="23" t="s">
        <v>1113</v>
      </c>
      <c r="O73" s="58">
        <v>-62174.099999999991</v>
      </c>
      <c r="P73" s="58">
        <v>-59068.42</v>
      </c>
      <c r="Q73" s="58">
        <v>-67262.01999999999</v>
      </c>
      <c r="R73" s="58">
        <v>-39115.740000000005</v>
      </c>
      <c r="S73" s="58">
        <v>-56206.060000000005</v>
      </c>
      <c r="T73" s="58">
        <v>-44735.460000000006</v>
      </c>
      <c r="U73" s="58">
        <v>-47711.770000000004</v>
      </c>
      <c r="V73" s="58">
        <v>-50234.87</v>
      </c>
      <c r="W73" s="58">
        <v>-55019.17</v>
      </c>
      <c r="X73" s="58">
        <v>-52624.63</v>
      </c>
      <c r="Y73" s="58">
        <v>-53914.299999999996</v>
      </c>
      <c r="Z73" s="58">
        <v>-49000.92</v>
      </c>
      <c r="AA73" s="58">
        <v>-637067.46000000008</v>
      </c>
      <c r="AB73" s="59">
        <v>-4.7254131798834566E-2</v>
      </c>
    </row>
    <row r="74" spans="14:28" ht="16" thickTop="1" x14ac:dyDescent="0.2"/>
    <row r="77" spans="14:28" x14ac:dyDescent="0.2">
      <c r="N77" s="37" t="s">
        <v>1575</v>
      </c>
    </row>
    <row r="78" spans="14:28" x14ac:dyDescent="0.2">
      <c r="N78" s="489" t="s">
        <v>1626</v>
      </c>
      <c r="O78" s="19">
        <v>310.3</v>
      </c>
      <c r="P78" s="19">
        <v>1500.8</v>
      </c>
      <c r="Q78" s="19">
        <v>2012.42</v>
      </c>
      <c r="R78" s="19">
        <v>2660.01</v>
      </c>
      <c r="S78" s="19">
        <v>3649.88</v>
      </c>
      <c r="T78" s="19">
        <v>488.9</v>
      </c>
      <c r="U78" s="19">
        <v>591.61</v>
      </c>
      <c r="V78" s="19">
        <v>906.17</v>
      </c>
      <c r="W78" s="19">
        <v>1390.15</v>
      </c>
      <c r="X78" s="19">
        <v>397.1</v>
      </c>
      <c r="Y78" s="19">
        <v>-578.44000000000005</v>
      </c>
      <c r="Z78" s="19">
        <v>-2821.54</v>
      </c>
      <c r="AA78" s="19">
        <v>10507.36</v>
      </c>
    </row>
    <row r="79" spans="14:28" x14ac:dyDescent="0.2">
      <c r="N79" s="489" t="s">
        <v>1627</v>
      </c>
      <c r="O79" s="19">
        <v>3769.16</v>
      </c>
      <c r="P79" s="19">
        <v>1200</v>
      </c>
      <c r="Q79" s="19">
        <v>0</v>
      </c>
      <c r="R79" s="19">
        <v>1605</v>
      </c>
      <c r="S79" s="19">
        <v>3476.66</v>
      </c>
      <c r="T79" s="19">
        <v>0</v>
      </c>
      <c r="U79" s="19">
        <v>0</v>
      </c>
      <c r="V79" s="19">
        <v>0</v>
      </c>
      <c r="W79" s="19">
        <v>1861.8</v>
      </c>
      <c r="X79" s="19">
        <v>353.1</v>
      </c>
      <c r="Y79" s="19">
        <v>822.69999999999993</v>
      </c>
      <c r="Z79" s="19">
        <v>2115.39</v>
      </c>
      <c r="AA79" s="19">
        <v>15203.81</v>
      </c>
    </row>
    <row r="80" spans="14:28" x14ac:dyDescent="0.2">
      <c r="N80" s="490" t="s">
        <v>1586</v>
      </c>
      <c r="O80" s="534">
        <v>4079.46</v>
      </c>
      <c r="P80" s="534">
        <v>2700.8</v>
      </c>
      <c r="Q80" s="534">
        <v>2012.42</v>
      </c>
      <c r="R80" s="534">
        <v>4265.01</v>
      </c>
      <c r="S80" s="534">
        <v>7126.54</v>
      </c>
      <c r="T80" s="534">
        <v>488.9</v>
      </c>
      <c r="U80" s="534">
        <v>591.61</v>
      </c>
      <c r="V80" s="534">
        <v>906.17</v>
      </c>
      <c r="W80" s="534">
        <v>3251.95</v>
      </c>
      <c r="X80" s="534">
        <v>750.2</v>
      </c>
      <c r="Y80" s="534">
        <v>244.25999999999988</v>
      </c>
      <c r="Z80" s="534">
        <v>-706.15000000000009</v>
      </c>
      <c r="AA80" s="534">
        <v>25711.17</v>
      </c>
    </row>
    <row r="81" spans="14:27" x14ac:dyDescent="0.2">
      <c r="N81" s="490"/>
      <c r="O81" s="486"/>
    </row>
    <row r="82" spans="14:27" x14ac:dyDescent="0.2">
      <c r="N82" s="490" t="s">
        <v>1573</v>
      </c>
    </row>
    <row r="83" spans="14:27" x14ac:dyDescent="0.2">
      <c r="N83" t="s">
        <v>1112</v>
      </c>
      <c r="O83" s="512">
        <v>4079.4599999999919</v>
      </c>
      <c r="P83" s="512">
        <v>2700.7999999999956</v>
      </c>
      <c r="Q83" s="512">
        <v>2012.419999999991</v>
      </c>
      <c r="R83" s="512">
        <v>4265.010000000002</v>
      </c>
      <c r="S83" s="512">
        <v>7126.5400000000081</v>
      </c>
      <c r="T83" s="512">
        <v>488.90000000000873</v>
      </c>
      <c r="U83" s="512">
        <v>591.61000000000058</v>
      </c>
      <c r="V83" s="512">
        <v>906.17000000000553</v>
      </c>
      <c r="W83" s="512">
        <v>3251.9499999999971</v>
      </c>
      <c r="X83" s="512">
        <v>750.19999999999709</v>
      </c>
      <c r="Y83" s="512">
        <v>244.25999999999476</v>
      </c>
      <c r="Z83" s="512">
        <v>-706.15000000000146</v>
      </c>
      <c r="AA83" s="512">
        <v>25711.170000000042</v>
      </c>
    </row>
    <row r="85" spans="14:27" x14ac:dyDescent="0.2">
      <c r="Z85" s="486"/>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9F33C-C498-448D-9A4E-1E6ADB4846D2}">
  <sheetPr>
    <tabColor theme="9" tint="0.79998168889431442"/>
  </sheetPr>
  <dimension ref="N1:AB52"/>
  <sheetViews>
    <sheetView showGridLines="0" topLeftCell="M25" workbookViewId="0">
      <pane xSplit="2" ySplit="8" topLeftCell="O33" activePane="bottomRight" state="frozen"/>
      <selection activeCell="Z56" sqref="Z56"/>
      <selection pane="topRight" activeCell="Z56" sqref="Z56"/>
      <selection pane="bottomLeft" activeCell="Z56" sqref="Z56"/>
      <selection pane="bottomRight" activeCell="Z56" sqref="Z56"/>
    </sheetView>
  </sheetViews>
  <sheetFormatPr baseColWidth="10" defaultColWidth="8.83203125" defaultRowHeight="15" x14ac:dyDescent="0.2"/>
  <cols>
    <col min="1" max="12" width="0" hidden="1" customWidth="1"/>
    <col min="14" max="14" width="31.5" customWidth="1"/>
    <col min="27" max="27" width="10.83203125" bestFit="1" customWidth="1"/>
  </cols>
  <sheetData>
    <row r="1" hidden="1" x14ac:dyDescent="0.2"/>
    <row r="2" hidden="1" x14ac:dyDescent="0.2"/>
    <row r="3" hidden="1" x14ac:dyDescent="0.2"/>
    <row r="4" hidden="1" x14ac:dyDescent="0.2"/>
    <row r="5" hidden="1" x14ac:dyDescent="0.2"/>
    <row r="6" hidden="1" x14ac:dyDescent="0.2"/>
    <row r="7" hidden="1" x14ac:dyDescent="0.2"/>
    <row r="8" hidden="1" x14ac:dyDescent="0.2"/>
    <row r="9" hidden="1" x14ac:dyDescent="0.2"/>
    <row r="10" hidden="1" x14ac:dyDescent="0.2"/>
    <row r="11" hidden="1" x14ac:dyDescent="0.2"/>
    <row r="12" hidden="1" x14ac:dyDescent="0.2"/>
    <row r="13" hidden="1" x14ac:dyDescent="0.2"/>
    <row r="14" hidden="1" x14ac:dyDescent="0.2"/>
    <row r="15" hidden="1" x14ac:dyDescent="0.2"/>
    <row r="16" hidden="1" x14ac:dyDescent="0.2"/>
    <row r="17" spans="14:28" hidden="1" x14ac:dyDescent="0.2"/>
    <row r="18" spans="14:28" hidden="1" x14ac:dyDescent="0.2"/>
    <row r="19" spans="14:28" hidden="1" x14ac:dyDescent="0.2"/>
    <row r="20" spans="14:28" hidden="1" x14ac:dyDescent="0.2"/>
    <row r="21" spans="14:28" hidden="1" x14ac:dyDescent="0.2"/>
    <row r="22" spans="14:28" hidden="1" x14ac:dyDescent="0.2"/>
    <row r="23" spans="14:28" hidden="1" x14ac:dyDescent="0.2"/>
    <row r="24" spans="14:28" hidden="1" x14ac:dyDescent="0.2"/>
    <row r="26" spans="14:28" ht="23" x14ac:dyDescent="0.25">
      <c r="N26" s="61" t="s">
        <v>982</v>
      </c>
      <c r="O26" s="1"/>
      <c r="P26" s="1"/>
      <c r="Q26" s="1"/>
      <c r="R26" s="1"/>
      <c r="S26" s="1"/>
      <c r="T26" s="1"/>
      <c r="U26" s="1"/>
      <c r="V26" s="1"/>
      <c r="W26" s="1"/>
      <c r="X26" s="1"/>
      <c r="Y26" s="1"/>
      <c r="Z26" s="1"/>
      <c r="AA26" s="1"/>
      <c r="AB26" s="1"/>
    </row>
    <row r="27" spans="14:28" ht="18" x14ac:dyDescent="0.2">
      <c r="N27" s="66" t="s">
        <v>1482</v>
      </c>
      <c r="O27" s="1"/>
      <c r="P27" s="1"/>
      <c r="Q27" s="1"/>
      <c r="R27" s="1"/>
      <c r="S27" s="1"/>
      <c r="T27" s="1"/>
      <c r="U27" s="1"/>
      <c r="V27" s="1"/>
      <c r="W27" s="1"/>
      <c r="X27" s="1"/>
      <c r="Y27" s="1"/>
      <c r="Z27" s="1"/>
      <c r="AA27" s="1"/>
      <c r="AB27" s="1"/>
    </row>
    <row r="28" spans="14:28" ht="16" x14ac:dyDescent="0.2">
      <c r="N28" s="67" t="s">
        <v>1002</v>
      </c>
      <c r="O28" s="1"/>
      <c r="P28" s="1"/>
      <c r="Q28" s="1"/>
      <c r="R28" s="1"/>
      <c r="S28" s="1"/>
      <c r="T28" s="1"/>
      <c r="U28" s="1"/>
      <c r="V28" s="1"/>
      <c r="W28" s="1"/>
      <c r="X28" s="1"/>
      <c r="Y28" s="1"/>
      <c r="Z28" s="527" t="s">
        <v>1001</v>
      </c>
      <c r="AA28" s="510">
        <v>13481730.289999999</v>
      </c>
      <c r="AB28" s="1"/>
    </row>
    <row r="29" spans="14:28" ht="16" x14ac:dyDescent="0.2">
      <c r="N29" s="67" t="s">
        <v>986</v>
      </c>
      <c r="O29" s="1"/>
      <c r="P29" s="1"/>
      <c r="Q29" s="1"/>
      <c r="R29" s="1"/>
      <c r="S29" s="1"/>
      <c r="T29" s="1"/>
      <c r="U29" s="1"/>
      <c r="V29" s="1"/>
      <c r="W29" s="1"/>
      <c r="X29" s="1"/>
      <c r="Y29" s="1"/>
      <c r="Z29" s="1"/>
      <c r="AA29" s="1"/>
      <c r="AB29" s="1"/>
    </row>
    <row r="30" spans="14:28" x14ac:dyDescent="0.2">
      <c r="N30" s="1"/>
      <c r="O30" s="208"/>
      <c r="P30" s="209"/>
      <c r="Q30" s="209"/>
      <c r="R30" s="209"/>
      <c r="S30" s="209"/>
      <c r="T30" s="209"/>
      <c r="U30" s="209"/>
      <c r="V30" s="209"/>
      <c r="W30" s="209"/>
      <c r="X30" s="209"/>
      <c r="Y30" s="209"/>
      <c r="Z30" s="209"/>
      <c r="AA30" s="209"/>
      <c r="AB30" s="210"/>
    </row>
    <row r="31" spans="14:28" x14ac:dyDescent="0.2">
      <c r="N31" s="1"/>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
        <v>116</v>
      </c>
      <c r="AB31" s="207"/>
    </row>
    <row r="32" spans="14:28" ht="16" x14ac:dyDescent="0.2">
      <c r="N32" s="236"/>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row>
    <row r="33" spans="14:28" x14ac:dyDescent="0.2">
      <c r="N33" s="37" t="s">
        <v>1023</v>
      </c>
      <c r="O33" s="40"/>
      <c r="P33" s="43"/>
      <c r="Q33" s="43"/>
      <c r="R33" s="43"/>
      <c r="S33" s="43"/>
      <c r="T33" s="43"/>
      <c r="U33" s="43"/>
      <c r="V33" s="43"/>
      <c r="W33" s="43"/>
      <c r="X33" s="43"/>
      <c r="Y33" s="43"/>
      <c r="Z33" s="43"/>
      <c r="AA33" s="43"/>
      <c r="AB33" s="41"/>
    </row>
    <row r="34" spans="14:28" x14ac:dyDescent="0.2">
      <c r="N34" s="24" t="s">
        <v>1483</v>
      </c>
      <c r="O34" s="19">
        <v>12295.8</v>
      </c>
      <c r="P34" s="19">
        <v>13879.24</v>
      </c>
      <c r="Q34" s="19">
        <v>13658.31</v>
      </c>
      <c r="R34" s="19">
        <v>14346.01</v>
      </c>
      <c r="S34" s="19">
        <v>14193.26</v>
      </c>
      <c r="T34" s="19">
        <v>18822.099999999999</v>
      </c>
      <c r="U34" s="19">
        <v>16828.580000000002</v>
      </c>
      <c r="V34" s="19">
        <v>15215.12</v>
      </c>
      <c r="W34" s="19">
        <v>15015.77</v>
      </c>
      <c r="X34" s="19">
        <v>15935.72</v>
      </c>
      <c r="Y34" s="19">
        <v>15716.17</v>
      </c>
      <c r="Z34" s="19">
        <v>9617.7900000000009</v>
      </c>
      <c r="AA34" s="35">
        <v>175523.87000000002</v>
      </c>
      <c r="AB34" s="15">
        <v>1.3019387439473841E-2</v>
      </c>
    </row>
    <row r="35" spans="14:28" x14ac:dyDescent="0.2">
      <c r="N35" s="24" t="s">
        <v>1484</v>
      </c>
      <c r="O35" s="19">
        <v>3020.99</v>
      </c>
      <c r="P35" s="19">
        <v>2830.39</v>
      </c>
      <c r="Q35" s="19">
        <v>1199.58</v>
      </c>
      <c r="R35" s="19">
        <v>3143.23</v>
      </c>
      <c r="S35" s="19">
        <v>2304.52</v>
      </c>
      <c r="T35" s="19">
        <v>3696.34</v>
      </c>
      <c r="U35" s="19">
        <v>1884.9</v>
      </c>
      <c r="V35" s="19">
        <v>2079.9299999999998</v>
      </c>
      <c r="W35" s="19">
        <v>1759.68</v>
      </c>
      <c r="X35" s="19">
        <v>1964.89</v>
      </c>
      <c r="Y35" s="19">
        <v>1701.6</v>
      </c>
      <c r="Z35" s="19">
        <v>2559.2399999999998</v>
      </c>
      <c r="AA35" s="35">
        <v>28145.29</v>
      </c>
      <c r="AB35" s="15">
        <v>2.0876615534191944E-3</v>
      </c>
    </row>
    <row r="36" spans="14:28" x14ac:dyDescent="0.2">
      <c r="N36" s="24" t="s">
        <v>1485</v>
      </c>
      <c r="O36" s="19">
        <v>7206.03</v>
      </c>
      <c r="P36" s="19">
        <v>5237.6099999999997</v>
      </c>
      <c r="Q36" s="19">
        <v>7016.67</v>
      </c>
      <c r="R36" s="19">
        <v>5657.22</v>
      </c>
      <c r="S36" s="19">
        <v>6283.23</v>
      </c>
      <c r="T36" s="19">
        <v>5538.07</v>
      </c>
      <c r="U36" s="19">
        <v>5635.14</v>
      </c>
      <c r="V36" s="19">
        <v>5386.11</v>
      </c>
      <c r="W36" s="19">
        <v>6978.8</v>
      </c>
      <c r="X36" s="19">
        <v>6175.35</v>
      </c>
      <c r="Y36" s="19">
        <v>5786.63</v>
      </c>
      <c r="Z36" s="19">
        <v>6921.94</v>
      </c>
      <c r="AA36" s="35">
        <v>73822.8</v>
      </c>
      <c r="AB36" s="15">
        <v>5.4757659745468777E-3</v>
      </c>
    </row>
    <row r="37" spans="14:28" x14ac:dyDescent="0.2">
      <c r="N37" s="483" t="s">
        <v>1486</v>
      </c>
      <c r="O37" s="484">
        <v>943.98</v>
      </c>
      <c r="P37" s="484">
        <v>1124.72</v>
      </c>
      <c r="Q37" s="484">
        <v>1643.91</v>
      </c>
      <c r="R37" s="484">
        <v>1120.9100000000001</v>
      </c>
      <c r="S37" s="484">
        <v>1173</v>
      </c>
      <c r="T37" s="484">
        <v>1142.8</v>
      </c>
      <c r="U37" s="484">
        <v>1130.8900000000001</v>
      </c>
      <c r="V37" s="484">
        <v>1141.17</v>
      </c>
      <c r="W37" s="484">
        <v>1132.54</v>
      </c>
      <c r="X37" s="484">
        <v>1139.25</v>
      </c>
      <c r="Y37" s="484">
        <v>1139.25</v>
      </c>
      <c r="Z37" s="484">
        <v>1132.29</v>
      </c>
      <c r="AA37" s="494">
        <v>13964.71</v>
      </c>
      <c r="AB37" s="485">
        <v>1.0358247568828941E-3</v>
      </c>
    </row>
    <row r="38" spans="14:28" x14ac:dyDescent="0.2">
      <c r="N38" s="23" t="s">
        <v>1111</v>
      </c>
      <c r="O38" s="30">
        <v>23466.799999999999</v>
      </c>
      <c r="P38" s="30">
        <v>23071.960000000003</v>
      </c>
      <c r="Q38" s="30">
        <v>23518.469999999998</v>
      </c>
      <c r="R38" s="30">
        <v>24267.370000000003</v>
      </c>
      <c r="S38" s="30">
        <v>23954.01</v>
      </c>
      <c r="T38" s="30">
        <v>29199.309999999998</v>
      </c>
      <c r="U38" s="30">
        <v>25479.510000000002</v>
      </c>
      <c r="V38" s="30">
        <v>23822.33</v>
      </c>
      <c r="W38" s="30">
        <v>24886.79</v>
      </c>
      <c r="X38" s="30">
        <v>25215.21</v>
      </c>
      <c r="Y38" s="30">
        <v>24343.65</v>
      </c>
      <c r="Z38" s="30">
        <v>20231.260000000002</v>
      </c>
      <c r="AA38" s="30">
        <v>291456.67000000004</v>
      </c>
      <c r="AB38" s="31">
        <v>2.1618639724322809E-2</v>
      </c>
    </row>
    <row r="42" spans="14:28" x14ac:dyDescent="0.2">
      <c r="N42" s="37" t="s">
        <v>1575</v>
      </c>
    </row>
    <row r="43" spans="14:28" x14ac:dyDescent="0.2">
      <c r="N43" s="489" t="s">
        <v>1628</v>
      </c>
      <c r="O43" s="19">
        <v>3494.9</v>
      </c>
      <c r="P43" s="19">
        <v>4166.67</v>
      </c>
      <c r="Q43" s="19">
        <v>4666.67</v>
      </c>
      <c r="R43" s="19">
        <v>4166.67</v>
      </c>
      <c r="S43" s="19">
        <v>4166.67</v>
      </c>
      <c r="T43" s="19">
        <v>4166.67</v>
      </c>
      <c r="U43" s="19">
        <v>4166.67</v>
      </c>
      <c r="V43" s="19">
        <v>4166.67</v>
      </c>
      <c r="W43" s="19">
        <v>4166.67</v>
      </c>
      <c r="X43" s="19">
        <v>4166.67</v>
      </c>
      <c r="Y43" s="19">
        <v>4166.67</v>
      </c>
      <c r="Z43" s="19">
        <v>4166.67</v>
      </c>
      <c r="AA43" s="19">
        <v>49828.26999999999</v>
      </c>
    </row>
    <row r="44" spans="14:28" x14ac:dyDescent="0.2">
      <c r="N44" s="489" t="s">
        <v>1629</v>
      </c>
      <c r="O44" s="19">
        <v>943.98</v>
      </c>
      <c r="P44" s="19">
        <v>1124.72</v>
      </c>
      <c r="Q44" s="19">
        <v>1143.9100000000001</v>
      </c>
      <c r="R44" s="19">
        <v>1120.9100000000001</v>
      </c>
      <c r="S44" s="19">
        <v>1173</v>
      </c>
      <c r="T44" s="19">
        <v>1142.8</v>
      </c>
      <c r="U44" s="19">
        <v>1130.8900000000001</v>
      </c>
      <c r="V44" s="19">
        <v>1141.17</v>
      </c>
      <c r="W44" s="19">
        <v>1132.54</v>
      </c>
      <c r="X44" s="19">
        <v>1139.25</v>
      </c>
      <c r="Y44" s="19">
        <v>1139.25</v>
      </c>
      <c r="Z44" s="19">
        <v>1132.29</v>
      </c>
      <c r="AA44" s="19">
        <v>13464.710000000003</v>
      </c>
    </row>
    <row r="45" spans="14:28" x14ac:dyDescent="0.2">
      <c r="N45" s="490" t="s">
        <v>1586</v>
      </c>
      <c r="O45" s="534">
        <v>4438.88</v>
      </c>
      <c r="P45" s="534">
        <v>5291.39</v>
      </c>
      <c r="Q45" s="534">
        <v>5810.58</v>
      </c>
      <c r="R45" s="534">
        <v>5287.58</v>
      </c>
      <c r="S45" s="534">
        <v>5339.67</v>
      </c>
      <c r="T45" s="534">
        <v>5309.47</v>
      </c>
      <c r="U45" s="534">
        <v>5297.56</v>
      </c>
      <c r="V45" s="534">
        <v>5307.84</v>
      </c>
      <c r="W45" s="534">
        <v>5299.21</v>
      </c>
      <c r="X45" s="534">
        <v>5305.92</v>
      </c>
      <c r="Y45" s="534">
        <v>5305.92</v>
      </c>
      <c r="Z45" s="534">
        <v>5298.96</v>
      </c>
      <c r="AA45" s="534">
        <v>63292.979999999996</v>
      </c>
    </row>
    <row r="46" spans="14:28" x14ac:dyDescent="0.2">
      <c r="N46" s="489"/>
      <c r="O46" s="486"/>
      <c r="P46" s="486"/>
      <c r="Q46" s="486"/>
      <c r="R46" s="486"/>
      <c r="S46" s="486"/>
      <c r="T46" s="486"/>
      <c r="U46" s="486"/>
      <c r="V46" s="486"/>
      <c r="W46" s="486"/>
      <c r="X46" s="486"/>
      <c r="Y46" s="486"/>
      <c r="Z46" s="486"/>
      <c r="AA46" s="486"/>
    </row>
    <row r="47" spans="14:28" x14ac:dyDescent="0.2">
      <c r="N47" s="490" t="s">
        <v>1573</v>
      </c>
    </row>
    <row r="48" spans="14:28" x14ac:dyDescent="0.2">
      <c r="N48" t="s">
        <v>1111</v>
      </c>
      <c r="O48" s="19">
        <v>4438.880000000001</v>
      </c>
      <c r="P48" s="19">
        <v>5291.3900000000031</v>
      </c>
      <c r="Q48" s="19">
        <v>5810.5799999999981</v>
      </c>
      <c r="R48" s="19">
        <v>5287.5800000000017</v>
      </c>
      <c r="S48" s="19">
        <v>5339.6700000000019</v>
      </c>
      <c r="T48" s="19">
        <v>5309.4700000000012</v>
      </c>
      <c r="U48" s="19">
        <v>5297.5599999999977</v>
      </c>
      <c r="V48" s="19">
        <v>5307.8400000000038</v>
      </c>
      <c r="W48" s="19">
        <v>5299.2099999999991</v>
      </c>
      <c r="X48" s="19">
        <v>5305.9199999999983</v>
      </c>
      <c r="Y48" s="19">
        <v>5305.9199999999983</v>
      </c>
      <c r="Z48" s="19">
        <v>5298.9600000000009</v>
      </c>
      <c r="AA48" s="19">
        <v>63292.98000000004</v>
      </c>
    </row>
    <row r="50" spans="17:17" x14ac:dyDescent="0.2">
      <c r="Q50" s="486"/>
    </row>
    <row r="52" spans="17:17" x14ac:dyDescent="0.2">
      <c r="Q52" s="486"/>
    </row>
  </sheetData>
  <pageMargins left="0.7" right="0.7" top="0.75" bottom="0.75" header="0.3" footer="0.3"/>
  <legacy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E18F42-2841-426A-81F7-082D394E4E57}">
  <sheetPr>
    <tabColor theme="9" tint="0.79998168889431442"/>
  </sheetPr>
  <dimension ref="N1:AB45"/>
  <sheetViews>
    <sheetView showGridLines="0" topLeftCell="M25" workbookViewId="0">
      <pane xSplit="2" ySplit="8" topLeftCell="O33" activePane="bottomRight" state="frozen"/>
      <selection activeCell="Z56" sqref="Z56"/>
      <selection pane="topRight" activeCell="Z56" sqref="Z56"/>
      <selection pane="bottomLeft" activeCell="Z56" sqref="Z56"/>
      <selection pane="bottomRight" activeCell="Z56" sqref="Z56"/>
    </sheetView>
  </sheetViews>
  <sheetFormatPr baseColWidth="10" defaultColWidth="8.83203125" defaultRowHeight="15" x14ac:dyDescent="0.2"/>
  <cols>
    <col min="1" max="12" width="0" hidden="1" customWidth="1"/>
    <col min="14" max="14" width="31.33203125" customWidth="1"/>
    <col min="27" max="27" width="10.83203125" bestFit="1" customWidth="1"/>
  </cols>
  <sheetData>
    <row r="1" hidden="1" x14ac:dyDescent="0.2"/>
    <row r="2" hidden="1" x14ac:dyDescent="0.2"/>
    <row r="3" hidden="1" x14ac:dyDescent="0.2"/>
    <row r="4" hidden="1" x14ac:dyDescent="0.2"/>
    <row r="5" hidden="1" x14ac:dyDescent="0.2"/>
    <row r="6" hidden="1" x14ac:dyDescent="0.2"/>
    <row r="7" hidden="1" x14ac:dyDescent="0.2"/>
    <row r="8" hidden="1" x14ac:dyDescent="0.2"/>
    <row r="9" hidden="1" x14ac:dyDescent="0.2"/>
    <row r="10" hidden="1" x14ac:dyDescent="0.2"/>
    <row r="11" hidden="1" x14ac:dyDescent="0.2"/>
    <row r="12" hidden="1" x14ac:dyDescent="0.2"/>
    <row r="13" hidden="1" x14ac:dyDescent="0.2"/>
    <row r="14" hidden="1" x14ac:dyDescent="0.2"/>
    <row r="15" hidden="1" x14ac:dyDescent="0.2"/>
    <row r="16" hidden="1" x14ac:dyDescent="0.2"/>
    <row r="17" spans="14:28" hidden="1" x14ac:dyDescent="0.2"/>
    <row r="18" spans="14:28" hidden="1" x14ac:dyDescent="0.2"/>
    <row r="19" spans="14:28" hidden="1" x14ac:dyDescent="0.2"/>
    <row r="20" spans="14:28" hidden="1" x14ac:dyDescent="0.2"/>
    <row r="21" spans="14:28" hidden="1" x14ac:dyDescent="0.2"/>
    <row r="22" spans="14:28" hidden="1" x14ac:dyDescent="0.2"/>
    <row r="23" spans="14:28" hidden="1" x14ac:dyDescent="0.2"/>
    <row r="24" spans="14:28" hidden="1" x14ac:dyDescent="0.2"/>
    <row r="26" spans="14:28" ht="23" x14ac:dyDescent="0.25">
      <c r="N26" s="61" t="s">
        <v>982</v>
      </c>
      <c r="O26" s="1"/>
      <c r="P26" s="1"/>
      <c r="Q26" s="1"/>
      <c r="R26" s="1"/>
      <c r="S26" s="1"/>
      <c r="T26" s="1"/>
      <c r="U26" s="1"/>
      <c r="V26" s="1"/>
      <c r="W26" s="1"/>
      <c r="X26" s="1"/>
      <c r="Y26" s="1"/>
      <c r="Z26" s="1"/>
      <c r="AA26" s="1"/>
      <c r="AB26" s="1"/>
    </row>
    <row r="27" spans="14:28" ht="18" x14ac:dyDescent="0.2">
      <c r="N27" s="66" t="s">
        <v>1487</v>
      </c>
      <c r="O27" s="1"/>
      <c r="P27" s="1"/>
      <c r="Q27" s="1"/>
      <c r="R27" s="1"/>
      <c r="S27" s="1"/>
      <c r="T27" s="1"/>
      <c r="U27" s="1"/>
      <c r="V27" s="1"/>
      <c r="W27" s="1"/>
      <c r="X27" s="1"/>
      <c r="Y27" s="1"/>
      <c r="Z27" s="1"/>
      <c r="AA27" s="1"/>
      <c r="AB27" s="1"/>
    </row>
    <row r="28" spans="14:28" ht="16" x14ac:dyDescent="0.2">
      <c r="N28" s="67" t="s">
        <v>1002</v>
      </c>
      <c r="O28" s="1"/>
      <c r="P28" s="1"/>
      <c r="Q28" s="1"/>
      <c r="R28" s="1"/>
      <c r="S28" s="1"/>
      <c r="T28" s="1"/>
      <c r="U28" s="1"/>
      <c r="V28" s="1"/>
      <c r="W28" s="1"/>
      <c r="X28" s="1"/>
      <c r="Y28" s="1"/>
      <c r="Z28" s="527" t="s">
        <v>1001</v>
      </c>
      <c r="AA28" s="510">
        <v>13481730.289999999</v>
      </c>
      <c r="AB28" s="1"/>
    </row>
    <row r="29" spans="14:28" ht="16" x14ac:dyDescent="0.2">
      <c r="N29" s="67" t="s">
        <v>986</v>
      </c>
      <c r="O29" s="1"/>
      <c r="P29" s="1"/>
      <c r="Q29" s="1"/>
      <c r="R29" s="1"/>
      <c r="S29" s="1"/>
      <c r="T29" s="1"/>
      <c r="U29" s="1"/>
      <c r="V29" s="1"/>
      <c r="W29" s="1"/>
      <c r="X29" s="1"/>
      <c r="Y29" s="1"/>
      <c r="Z29" s="1"/>
      <c r="AA29" s="1"/>
      <c r="AB29" s="1"/>
    </row>
    <row r="30" spans="14:28" x14ac:dyDescent="0.2">
      <c r="N30" s="1"/>
      <c r="O30" s="208"/>
      <c r="P30" s="209"/>
      <c r="Q30" s="209"/>
      <c r="R30" s="209"/>
      <c r="S30" s="209"/>
      <c r="T30" s="209"/>
      <c r="U30" s="209"/>
      <c r="V30" s="209"/>
      <c r="W30" s="209"/>
      <c r="X30" s="209"/>
      <c r="Y30" s="209"/>
      <c r="Z30" s="209"/>
      <c r="AA30" s="209"/>
      <c r="AB30" s="210"/>
    </row>
    <row r="31" spans="14:28" x14ac:dyDescent="0.2">
      <c r="N31" s="1"/>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
        <v>116</v>
      </c>
      <c r="AB31" s="207"/>
    </row>
    <row r="32" spans="14:28" ht="16" x14ac:dyDescent="0.2">
      <c r="N32" s="236"/>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row>
    <row r="33" spans="14:28" x14ac:dyDescent="0.2">
      <c r="N33" s="37" t="s">
        <v>1025</v>
      </c>
      <c r="O33" s="40"/>
      <c r="P33" s="43"/>
      <c r="Q33" s="43"/>
      <c r="R33" s="43"/>
      <c r="S33" s="43"/>
      <c r="T33" s="43"/>
      <c r="U33" s="43"/>
      <c r="V33" s="43"/>
      <c r="W33" s="43"/>
      <c r="X33" s="43"/>
      <c r="Y33" s="43"/>
      <c r="Z33" s="43"/>
      <c r="AA33" s="43"/>
      <c r="AB33" s="41"/>
    </row>
    <row r="34" spans="14:28" x14ac:dyDescent="0.2">
      <c r="N34" s="24" t="s">
        <v>1488</v>
      </c>
      <c r="O34" s="19">
        <v>38099.58</v>
      </c>
      <c r="P34" s="19">
        <v>43126.38</v>
      </c>
      <c r="Q34" s="19">
        <v>42997.71</v>
      </c>
      <c r="R34" s="19">
        <v>33478.239999999998</v>
      </c>
      <c r="S34" s="19">
        <v>30428.69</v>
      </c>
      <c r="T34" s="19">
        <v>20826.96</v>
      </c>
      <c r="U34" s="19">
        <v>21084.799999999999</v>
      </c>
      <c r="V34" s="19">
        <v>19097.080000000002</v>
      </c>
      <c r="W34" s="19">
        <v>16320.53</v>
      </c>
      <c r="X34" s="19">
        <v>23355.85</v>
      </c>
      <c r="Y34" s="19">
        <v>32709.040000000001</v>
      </c>
      <c r="Z34" s="19">
        <v>38070.14</v>
      </c>
      <c r="AA34" s="19">
        <v>359594.99999999994</v>
      </c>
      <c r="AB34" s="15">
        <v>2.667276323327189E-2</v>
      </c>
    </row>
    <row r="35" spans="14:28" x14ac:dyDescent="0.2">
      <c r="N35" s="24" t="s">
        <v>1489</v>
      </c>
      <c r="O35" s="19">
        <v>6333.33</v>
      </c>
      <c r="P35" s="19">
        <v>6333.33</v>
      </c>
      <c r="Q35" s="19">
        <v>6333.33</v>
      </c>
      <c r="R35" s="19">
        <v>6333.33</v>
      </c>
      <c r="S35" s="19">
        <v>6333.33</v>
      </c>
      <c r="T35" s="19">
        <v>6333.33</v>
      </c>
      <c r="U35" s="19">
        <v>6333.33</v>
      </c>
      <c r="V35" s="19">
        <v>6333.33</v>
      </c>
      <c r="W35" s="19">
        <v>6333.33</v>
      </c>
      <c r="X35" s="19">
        <v>6333.33</v>
      </c>
      <c r="Y35" s="19">
        <v>6333.33</v>
      </c>
      <c r="Z35" s="19">
        <v>6333.33</v>
      </c>
      <c r="AA35" s="19">
        <v>75999.960000000006</v>
      </c>
      <c r="AB35" s="15">
        <v>5.6372556315247282E-3</v>
      </c>
    </row>
    <row r="36" spans="14:28" x14ac:dyDescent="0.2">
      <c r="N36" s="483" t="s">
        <v>1630</v>
      </c>
      <c r="O36" s="494">
        <v>9397.76</v>
      </c>
      <c r="P36" s="494">
        <v>18499.060000000001</v>
      </c>
      <c r="Q36" s="494">
        <v>15331.29</v>
      </c>
      <c r="R36" s="494">
        <v>17105.96</v>
      </c>
      <c r="S36" s="494">
        <v>19059.900000000001</v>
      </c>
      <c r="T36" s="494">
        <v>13997.37</v>
      </c>
      <c r="U36" s="494">
        <v>14569.59</v>
      </c>
      <c r="V36" s="494">
        <v>12332.53</v>
      </c>
      <c r="W36" s="494">
        <v>14542.96</v>
      </c>
      <c r="X36" s="494">
        <v>12968</v>
      </c>
      <c r="Y36" s="494">
        <v>16494.71</v>
      </c>
      <c r="Z36" s="494">
        <v>19939.55</v>
      </c>
      <c r="AA36" s="494">
        <v>184238.67999999996</v>
      </c>
      <c r="AB36" s="495">
        <v>1.3665803723774092E-2</v>
      </c>
    </row>
    <row r="37" spans="14:28" x14ac:dyDescent="0.2">
      <c r="N37" s="23" t="s">
        <v>1111</v>
      </c>
      <c r="O37" s="30">
        <v>53830.670000000006</v>
      </c>
      <c r="P37" s="30">
        <v>67958.77</v>
      </c>
      <c r="Q37" s="30">
        <v>64662.33</v>
      </c>
      <c r="R37" s="30">
        <v>56917.53</v>
      </c>
      <c r="S37" s="30">
        <v>55821.919999999998</v>
      </c>
      <c r="T37" s="30">
        <v>41157.660000000003</v>
      </c>
      <c r="U37" s="30">
        <v>41987.72</v>
      </c>
      <c r="V37" s="30">
        <v>37762.94</v>
      </c>
      <c r="W37" s="30">
        <v>37196.82</v>
      </c>
      <c r="X37" s="30">
        <v>42657.18</v>
      </c>
      <c r="Y37" s="30">
        <v>55537.08</v>
      </c>
      <c r="Z37" s="30">
        <v>64343.020000000004</v>
      </c>
      <c r="AA37" s="30">
        <v>619833.64</v>
      </c>
      <c r="AB37" s="31">
        <v>4.5975822588570719E-2</v>
      </c>
    </row>
    <row r="38" spans="14:28" x14ac:dyDescent="0.2">
      <c r="N38" s="1"/>
      <c r="O38" s="1"/>
      <c r="P38" s="1"/>
      <c r="Q38" s="1"/>
      <c r="R38" s="1"/>
      <c r="S38" s="1"/>
      <c r="T38" s="1"/>
      <c r="U38" s="1"/>
      <c r="V38" s="1"/>
      <c r="W38" s="1"/>
      <c r="X38" s="1"/>
      <c r="Y38" s="1"/>
      <c r="Z38" s="1"/>
      <c r="AA38" s="1"/>
      <c r="AB38" s="1"/>
    </row>
    <row r="41" spans="14:28" x14ac:dyDescent="0.2">
      <c r="N41" s="535" t="s">
        <v>1575</v>
      </c>
    </row>
    <row r="42" spans="14:28" x14ac:dyDescent="0.2">
      <c r="N42" s="489" t="s">
        <v>1631</v>
      </c>
      <c r="O42" s="19">
        <v>9397.76</v>
      </c>
      <c r="P42" s="19">
        <v>18499.060000000001</v>
      </c>
      <c r="Q42" s="19">
        <v>15331.29</v>
      </c>
      <c r="R42" s="19">
        <v>17105.96</v>
      </c>
      <c r="S42" s="19">
        <v>19059.900000000001</v>
      </c>
      <c r="T42" s="19">
        <v>13997.37</v>
      </c>
      <c r="U42" s="19">
        <v>14569.59</v>
      </c>
      <c r="V42" s="19">
        <v>12332.53</v>
      </c>
      <c r="W42" s="19">
        <v>14542.96</v>
      </c>
      <c r="X42" s="19">
        <v>12968</v>
      </c>
      <c r="Y42" s="19">
        <v>16494.71</v>
      </c>
      <c r="Z42" s="19">
        <v>19939.55</v>
      </c>
      <c r="AA42" s="19">
        <v>184238.67999999996</v>
      </c>
    </row>
    <row r="44" spans="14:28" x14ac:dyDescent="0.2">
      <c r="N44" s="490" t="s">
        <v>1573</v>
      </c>
    </row>
    <row r="45" spans="14:28" x14ac:dyDescent="0.2">
      <c r="N45" t="s">
        <v>1111</v>
      </c>
      <c r="O45" s="19">
        <v>9397.760000000002</v>
      </c>
      <c r="P45" s="19">
        <v>18499.060000000005</v>
      </c>
      <c r="Q45" s="19">
        <v>15331.29</v>
      </c>
      <c r="R45" s="19">
        <v>17105.96</v>
      </c>
      <c r="S45" s="19">
        <v>19059.900000000001</v>
      </c>
      <c r="T45" s="19">
        <v>13997.370000000003</v>
      </c>
      <c r="U45" s="19">
        <v>14569.590000000004</v>
      </c>
      <c r="V45" s="19">
        <v>12332.529999999999</v>
      </c>
      <c r="W45" s="19">
        <v>14542.96</v>
      </c>
      <c r="X45" s="19">
        <v>12968</v>
      </c>
      <c r="Y45" s="19">
        <v>16494.71</v>
      </c>
      <c r="Z45" s="19">
        <v>19939.550000000003</v>
      </c>
      <c r="AA45" s="19">
        <v>184238.68000000005</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43B84-1806-4604-9680-61068B1F5F53}">
  <sheetPr>
    <tabColor theme="9" tint="0.79998168889431442"/>
  </sheetPr>
  <dimension ref="N1:AB73"/>
  <sheetViews>
    <sheetView showGridLines="0" topLeftCell="M25" zoomScale="93" zoomScaleNormal="93" workbookViewId="0">
      <pane xSplit="2" ySplit="8" topLeftCell="O45" activePane="bottomRight" state="frozen"/>
      <selection activeCell="Z56" sqref="Z56"/>
      <selection pane="topRight" activeCell="Z56" sqref="Z56"/>
      <selection pane="bottomLeft" activeCell="Z56" sqref="Z56"/>
      <selection pane="bottomRight" activeCell="Z56" sqref="Z56"/>
    </sheetView>
  </sheetViews>
  <sheetFormatPr baseColWidth="10" defaultColWidth="8.83203125" defaultRowHeight="15" x14ac:dyDescent="0.2"/>
  <cols>
    <col min="1" max="12" width="0" hidden="1" customWidth="1"/>
    <col min="14" max="14" width="38.5" customWidth="1"/>
    <col min="15" max="25" width="10.6640625" customWidth="1"/>
    <col min="26" max="26" width="13.5" customWidth="1"/>
    <col min="27" max="27" width="11.6640625" customWidth="1"/>
    <col min="28" max="28" width="10.6640625" customWidth="1"/>
  </cols>
  <sheetData>
    <row r="1" hidden="1" x14ac:dyDescent="0.2"/>
    <row r="2" hidden="1" x14ac:dyDescent="0.2"/>
    <row r="3" hidden="1" x14ac:dyDescent="0.2"/>
    <row r="4" hidden="1" x14ac:dyDescent="0.2"/>
    <row r="5" hidden="1" x14ac:dyDescent="0.2"/>
    <row r="6" hidden="1" x14ac:dyDescent="0.2"/>
    <row r="7" hidden="1" x14ac:dyDescent="0.2"/>
    <row r="8" hidden="1" x14ac:dyDescent="0.2"/>
    <row r="9" hidden="1" x14ac:dyDescent="0.2"/>
    <row r="10" hidden="1" x14ac:dyDescent="0.2"/>
    <row r="11" hidden="1" x14ac:dyDescent="0.2"/>
    <row r="12" hidden="1" x14ac:dyDescent="0.2"/>
    <row r="13" hidden="1" x14ac:dyDescent="0.2"/>
    <row r="14" hidden="1" x14ac:dyDescent="0.2"/>
    <row r="15" hidden="1" x14ac:dyDescent="0.2"/>
    <row r="16" hidden="1" x14ac:dyDescent="0.2"/>
    <row r="17" spans="14:28" hidden="1" x14ac:dyDescent="0.2"/>
    <row r="18" spans="14:28" hidden="1" x14ac:dyDescent="0.2"/>
    <row r="19" spans="14:28" hidden="1" x14ac:dyDescent="0.2"/>
    <row r="20" spans="14:28" hidden="1" x14ac:dyDescent="0.2"/>
    <row r="21" spans="14:28" hidden="1" x14ac:dyDescent="0.2"/>
    <row r="22" spans="14:28" hidden="1" x14ac:dyDescent="0.2"/>
    <row r="23" spans="14:28" hidden="1" x14ac:dyDescent="0.2"/>
    <row r="24" spans="14:28" hidden="1" x14ac:dyDescent="0.2"/>
    <row r="26" spans="14:28" ht="23" x14ac:dyDescent="0.25">
      <c r="N26" s="61" t="s">
        <v>982</v>
      </c>
      <c r="O26" s="1"/>
      <c r="P26" s="1"/>
      <c r="Q26" s="1"/>
      <c r="R26" s="1"/>
      <c r="S26" s="1"/>
      <c r="T26" s="1"/>
      <c r="U26" s="1"/>
      <c r="V26" s="1"/>
      <c r="W26" s="1"/>
      <c r="X26" s="1"/>
      <c r="Y26" s="1"/>
      <c r="Z26" s="1"/>
      <c r="AA26" s="1"/>
      <c r="AB26" s="1"/>
    </row>
    <row r="27" spans="14:28" ht="18" x14ac:dyDescent="0.2">
      <c r="N27" s="66" t="s">
        <v>1490</v>
      </c>
      <c r="O27" s="1"/>
      <c r="P27" s="1"/>
      <c r="Q27" s="1"/>
      <c r="R27" s="1"/>
      <c r="S27" s="1"/>
      <c r="T27" s="1"/>
      <c r="U27" s="1"/>
      <c r="V27" s="1"/>
      <c r="W27" s="1"/>
      <c r="X27" s="1"/>
      <c r="Y27" s="1"/>
      <c r="Z27" s="1"/>
      <c r="AA27" s="1"/>
      <c r="AB27" s="1"/>
    </row>
    <row r="28" spans="14:28" ht="16" x14ac:dyDescent="0.2">
      <c r="N28" s="67" t="s">
        <v>1002</v>
      </c>
      <c r="O28" s="1"/>
      <c r="P28" s="1"/>
      <c r="Q28" s="1"/>
      <c r="R28" s="1"/>
      <c r="S28" s="1"/>
      <c r="T28" s="1"/>
      <c r="U28" s="1"/>
      <c r="V28" s="1"/>
      <c r="W28" s="1"/>
      <c r="X28" s="1"/>
      <c r="Y28" s="1"/>
      <c r="Z28" s="527" t="s">
        <v>1001</v>
      </c>
      <c r="AA28" s="510">
        <v>13481730.289999999</v>
      </c>
    </row>
    <row r="29" spans="14:28" ht="16" x14ac:dyDescent="0.2">
      <c r="N29" s="67" t="s">
        <v>986</v>
      </c>
      <c r="O29" s="1"/>
      <c r="P29" s="1"/>
      <c r="Q29" s="1"/>
      <c r="R29" s="1"/>
      <c r="S29" s="1"/>
      <c r="T29" s="1"/>
      <c r="U29" s="1"/>
      <c r="V29" s="1"/>
      <c r="W29" s="1"/>
      <c r="X29" s="1"/>
      <c r="Y29" s="1"/>
      <c r="Z29" s="1"/>
      <c r="AA29" s="1"/>
      <c r="AB29" s="1"/>
    </row>
    <row r="30" spans="14:28" x14ac:dyDescent="0.2">
      <c r="N30" s="1"/>
      <c r="O30" s="208"/>
      <c r="P30" s="209"/>
      <c r="Q30" s="209"/>
      <c r="R30" s="209"/>
      <c r="S30" s="209"/>
      <c r="T30" s="209"/>
      <c r="U30" s="209"/>
      <c r="V30" s="209"/>
      <c r="W30" s="209"/>
      <c r="X30" s="209"/>
      <c r="Y30" s="209"/>
      <c r="Z30" s="209"/>
      <c r="AA30" s="209"/>
      <c r="AB30" s="210"/>
    </row>
    <row r="31" spans="14:28" x14ac:dyDescent="0.2">
      <c r="N31" s="1"/>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
        <v>116</v>
      </c>
      <c r="AB31" s="207"/>
    </row>
    <row r="32" spans="14:28" ht="16" x14ac:dyDescent="0.2">
      <c r="N32" s="236"/>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row>
    <row r="33" spans="14:28" x14ac:dyDescent="0.2">
      <c r="N33" s="37" t="s">
        <v>1491</v>
      </c>
      <c r="O33" s="40"/>
      <c r="P33" s="43"/>
      <c r="Q33" s="43"/>
      <c r="R33" s="43"/>
      <c r="S33" s="43"/>
      <c r="T33" s="43"/>
      <c r="U33" s="43"/>
      <c r="V33" s="43"/>
      <c r="W33" s="43"/>
      <c r="X33" s="43"/>
      <c r="Y33" s="43"/>
      <c r="Z33" s="43"/>
      <c r="AA33" s="43"/>
      <c r="AB33" s="41"/>
    </row>
    <row r="34" spans="14:28" x14ac:dyDescent="0.2">
      <c r="N34" s="24" t="s">
        <v>1492</v>
      </c>
      <c r="O34" s="19">
        <v>0</v>
      </c>
      <c r="P34" s="19">
        <v>0</v>
      </c>
      <c r="Q34" s="19">
        <v>0</v>
      </c>
      <c r="R34" s="19">
        <v>0</v>
      </c>
      <c r="S34" s="19">
        <v>0</v>
      </c>
      <c r="T34" s="19">
        <v>0</v>
      </c>
      <c r="U34" s="19">
        <v>0</v>
      </c>
      <c r="V34" s="19">
        <v>0</v>
      </c>
      <c r="W34" s="19">
        <v>0</v>
      </c>
      <c r="X34" s="19">
        <v>0</v>
      </c>
      <c r="Y34" s="19">
        <v>0</v>
      </c>
      <c r="Z34" s="19">
        <v>0</v>
      </c>
      <c r="AA34" s="28">
        <v>0</v>
      </c>
      <c r="AB34" s="15" t="s">
        <v>667</v>
      </c>
    </row>
    <row r="35" spans="14:28" x14ac:dyDescent="0.2">
      <c r="N35" s="24" t="s">
        <v>1493</v>
      </c>
      <c r="O35" s="19">
        <v>-1939.85</v>
      </c>
      <c r="P35" s="19">
        <v>-1838.2</v>
      </c>
      <c r="Q35" s="19">
        <v>-2002.55</v>
      </c>
      <c r="R35" s="19">
        <v>-1967.65</v>
      </c>
      <c r="S35" s="19">
        <v>-2116.0700000000002</v>
      </c>
      <c r="T35" s="19">
        <v>-2077.4899999999998</v>
      </c>
      <c r="U35" s="19">
        <v>-2152.0300000000002</v>
      </c>
      <c r="V35" s="19">
        <v>-2157.5</v>
      </c>
      <c r="W35" s="19">
        <v>-1997.83</v>
      </c>
      <c r="X35" s="19">
        <v>-1918.92</v>
      </c>
      <c r="Y35" s="19">
        <v>0</v>
      </c>
      <c r="Z35" s="19">
        <v>0</v>
      </c>
      <c r="AA35" s="19">
        <v>-20168.089999999997</v>
      </c>
      <c r="AB35" s="15">
        <v>-1.4959570890510671E-3</v>
      </c>
    </row>
    <row r="36" spans="14:28" x14ac:dyDescent="0.2">
      <c r="N36" s="24" t="s">
        <v>1494</v>
      </c>
      <c r="O36" s="28">
        <v>0</v>
      </c>
      <c r="P36" s="28">
        <v>0</v>
      </c>
      <c r="Q36" s="28">
        <v>0</v>
      </c>
      <c r="R36" s="28">
        <v>0</v>
      </c>
      <c r="S36" s="28">
        <v>0</v>
      </c>
      <c r="T36" s="28">
        <v>0</v>
      </c>
      <c r="U36" s="28">
        <v>0</v>
      </c>
      <c r="V36" s="28">
        <v>0</v>
      </c>
      <c r="W36" s="28">
        <v>0</v>
      </c>
      <c r="X36" s="28">
        <v>0</v>
      </c>
      <c r="Y36" s="28">
        <v>0</v>
      </c>
      <c r="Z36" s="28">
        <v>0</v>
      </c>
      <c r="AA36" s="28">
        <v>0</v>
      </c>
      <c r="AB36" s="29" t="s">
        <v>667</v>
      </c>
    </row>
    <row r="37" spans="14:28" x14ac:dyDescent="0.2">
      <c r="N37" s="151" t="s">
        <v>1495</v>
      </c>
      <c r="O37" s="30">
        <v>-1939.85</v>
      </c>
      <c r="P37" s="30">
        <v>-1940</v>
      </c>
      <c r="Q37" s="30">
        <v>-1940</v>
      </c>
      <c r="R37" s="30">
        <v>-1940</v>
      </c>
      <c r="S37" s="30">
        <v>-1940</v>
      </c>
      <c r="T37" s="30">
        <v>-1940</v>
      </c>
      <c r="U37" s="30">
        <v>-1940</v>
      </c>
      <c r="V37" s="30">
        <v>-1940</v>
      </c>
      <c r="W37" s="30">
        <v>-1940</v>
      </c>
      <c r="X37" s="30">
        <v>-1940</v>
      </c>
      <c r="Y37" s="30">
        <v>-1940</v>
      </c>
      <c r="Z37" s="30">
        <v>-1940</v>
      </c>
      <c r="AA37" s="30">
        <v>-23279.85</v>
      </c>
      <c r="AB37" s="31">
        <v>-1.7267701918994554E-3</v>
      </c>
    </row>
    <row r="38" spans="14:28" x14ac:dyDescent="0.2">
      <c r="N38" s="450" t="s">
        <v>1029</v>
      </c>
      <c r="O38" s="19"/>
      <c r="P38" s="19"/>
      <c r="Q38" s="19"/>
      <c r="R38" s="19"/>
      <c r="S38" s="19"/>
      <c r="T38" s="19"/>
      <c r="U38" s="19"/>
      <c r="V38" s="19"/>
      <c r="W38" s="19"/>
      <c r="X38" s="19"/>
      <c r="Y38" s="19"/>
      <c r="Z38" s="19"/>
      <c r="AA38" s="19"/>
      <c r="AB38" s="15" t="s">
        <v>667</v>
      </c>
    </row>
    <row r="39" spans="14:28" x14ac:dyDescent="0.2">
      <c r="N39" s="24" t="s">
        <v>1496</v>
      </c>
      <c r="O39" s="19">
        <v>0</v>
      </c>
      <c r="P39" s="19">
        <v>0</v>
      </c>
      <c r="Q39" s="19">
        <v>0</v>
      </c>
      <c r="R39" s="19">
        <v>0</v>
      </c>
      <c r="S39" s="19">
        <v>0</v>
      </c>
      <c r="T39" s="19">
        <v>5.66</v>
      </c>
      <c r="U39" s="19">
        <v>0</v>
      </c>
      <c r="V39" s="19">
        <v>0</v>
      </c>
      <c r="W39" s="19">
        <v>0</v>
      </c>
      <c r="X39" s="19">
        <v>0</v>
      </c>
      <c r="Y39" s="19">
        <v>0</v>
      </c>
      <c r="Z39" s="19">
        <v>0</v>
      </c>
      <c r="AA39" s="19">
        <v>5.66</v>
      </c>
      <c r="AB39" s="15">
        <v>4.1982741667798197E-7</v>
      </c>
    </row>
    <row r="40" spans="14:28" x14ac:dyDescent="0.2">
      <c r="N40" s="24" t="s">
        <v>1497</v>
      </c>
      <c r="O40" s="28">
        <v>999.18</v>
      </c>
      <c r="P40" s="28">
        <v>1697.89</v>
      </c>
      <c r="Q40" s="28">
        <v>1671.22</v>
      </c>
      <c r="R40" s="28">
        <v>-196.17</v>
      </c>
      <c r="S40" s="28">
        <v>1870.24</v>
      </c>
      <c r="T40" s="28">
        <v>652.47</v>
      </c>
      <c r="U40" s="28">
        <v>837.03</v>
      </c>
      <c r="V40" s="28">
        <v>517.89</v>
      </c>
      <c r="W40" s="28">
        <v>3514.57</v>
      </c>
      <c r="X40" s="28">
        <v>-800.55</v>
      </c>
      <c r="Y40" s="28">
        <v>2224.88</v>
      </c>
      <c r="Z40" s="28">
        <v>-2950.36</v>
      </c>
      <c r="AA40" s="28">
        <v>10038.290000000001</v>
      </c>
      <c r="AB40" s="29">
        <v>7.4458469232586923E-4</v>
      </c>
    </row>
    <row r="41" spans="14:28" x14ac:dyDescent="0.2">
      <c r="N41" s="151" t="s">
        <v>1498</v>
      </c>
      <c r="O41" s="30">
        <v>999.18</v>
      </c>
      <c r="P41" s="30">
        <v>1217.4166666666999</v>
      </c>
      <c r="Q41" s="30">
        <v>1467.4166666666999</v>
      </c>
      <c r="R41" s="30">
        <v>1217.4166666666999</v>
      </c>
      <c r="S41" s="30">
        <v>1217.4166666666999</v>
      </c>
      <c r="T41" s="30">
        <v>1467.4166666666999</v>
      </c>
      <c r="U41" s="30">
        <v>1217.4166666666999</v>
      </c>
      <c r="V41" s="30">
        <v>1217.4166666666999</v>
      </c>
      <c r="W41" s="30">
        <v>1467.4166666666999</v>
      </c>
      <c r="X41" s="30">
        <v>1217.4166666666999</v>
      </c>
      <c r="Y41" s="30">
        <v>1217.4166666666999</v>
      </c>
      <c r="Z41" s="30">
        <v>1967.4166666666999</v>
      </c>
      <c r="AA41" s="30">
        <v>15890.763333333702</v>
      </c>
      <c r="AB41" s="31">
        <v>1.1786887136527712E-3</v>
      </c>
    </row>
    <row r="42" spans="14:28" x14ac:dyDescent="0.2">
      <c r="N42" s="450" t="s">
        <v>1030</v>
      </c>
      <c r="O42" s="19"/>
      <c r="P42" s="19"/>
      <c r="Q42" s="19"/>
      <c r="R42" s="19"/>
      <c r="S42" s="19"/>
      <c r="T42" s="19"/>
      <c r="U42" s="19"/>
      <c r="V42" s="19"/>
      <c r="W42" s="19"/>
      <c r="X42" s="19"/>
      <c r="Y42" s="19"/>
      <c r="Z42" s="19"/>
      <c r="AA42" s="19"/>
      <c r="AB42" s="15" t="s">
        <v>667</v>
      </c>
    </row>
    <row r="43" spans="14:28" x14ac:dyDescent="0.2">
      <c r="N43" s="24" t="s">
        <v>1499</v>
      </c>
      <c r="O43" s="19">
        <v>40564</v>
      </c>
      <c r="P43" s="19">
        <v>37098</v>
      </c>
      <c r="Q43" s="19">
        <v>37098</v>
      </c>
      <c r="R43" s="19">
        <v>37098</v>
      </c>
      <c r="S43" s="19">
        <v>37098</v>
      </c>
      <c r="T43" s="19">
        <v>37098</v>
      </c>
      <c r="U43" s="19">
        <v>37098</v>
      </c>
      <c r="V43" s="19">
        <v>37098</v>
      </c>
      <c r="W43" s="19">
        <v>37098</v>
      </c>
      <c r="X43" s="19">
        <v>37098</v>
      </c>
      <c r="Y43" s="19">
        <v>34816.28</v>
      </c>
      <c r="Z43" s="19">
        <v>37098</v>
      </c>
      <c r="AA43" s="19">
        <v>446360.28</v>
      </c>
      <c r="AB43" s="15">
        <v>3.3108530611318146E-2</v>
      </c>
    </row>
    <row r="44" spans="14:28" x14ac:dyDescent="0.2">
      <c r="N44" s="24" t="s">
        <v>1500</v>
      </c>
      <c r="O44" s="19">
        <v>8363</v>
      </c>
      <c r="P44" s="19">
        <v>8363</v>
      </c>
      <c r="Q44" s="19">
        <v>8363</v>
      </c>
      <c r="R44" s="19">
        <v>8363.2000000000007</v>
      </c>
      <c r="S44" s="19">
        <v>8363</v>
      </c>
      <c r="T44" s="19">
        <v>8363</v>
      </c>
      <c r="U44" s="19">
        <v>8363</v>
      </c>
      <c r="V44" s="19">
        <v>8363</v>
      </c>
      <c r="W44" s="19">
        <v>8363</v>
      </c>
      <c r="X44" s="19">
        <v>8363</v>
      </c>
      <c r="Y44" s="19">
        <v>51542.28</v>
      </c>
      <c r="Z44" s="19">
        <v>95554.87</v>
      </c>
      <c r="AA44" s="19">
        <v>230727.34999999998</v>
      </c>
      <c r="AB44" s="15">
        <v>1.711407549601706E-2</v>
      </c>
    </row>
    <row r="45" spans="14:28" x14ac:dyDescent="0.2">
      <c r="N45" s="24" t="s">
        <v>1501</v>
      </c>
      <c r="O45" s="19">
        <v>0</v>
      </c>
      <c r="P45" s="19">
        <v>0</v>
      </c>
      <c r="Q45" s="19">
        <v>0</v>
      </c>
      <c r="R45" s="19">
        <v>16589</v>
      </c>
      <c r="S45" s="19">
        <v>0</v>
      </c>
      <c r="T45" s="19">
        <v>0</v>
      </c>
      <c r="U45" s="19">
        <v>0</v>
      </c>
      <c r="V45" s="19">
        <v>0</v>
      </c>
      <c r="W45" s="19">
        <v>0</v>
      </c>
      <c r="X45" s="19">
        <v>0</v>
      </c>
      <c r="Y45" s="19">
        <v>0</v>
      </c>
      <c r="Z45" s="19">
        <v>0</v>
      </c>
      <c r="AA45" s="19">
        <v>16589</v>
      </c>
      <c r="AB45" s="15">
        <v>1.2304800380337532E-3</v>
      </c>
    </row>
    <row r="46" spans="14:28" x14ac:dyDescent="0.2">
      <c r="N46" s="24" t="s">
        <v>1502</v>
      </c>
      <c r="O46" s="19">
        <v>0</v>
      </c>
      <c r="P46" s="19">
        <v>0</v>
      </c>
      <c r="Q46" s="19">
        <v>0</v>
      </c>
      <c r="R46" s="19">
        <v>0</v>
      </c>
      <c r="S46" s="19">
        <v>0</v>
      </c>
      <c r="T46" s="19">
        <v>0</v>
      </c>
      <c r="U46" s="19">
        <v>0</v>
      </c>
      <c r="V46" s="19">
        <v>0</v>
      </c>
      <c r="W46" s="19">
        <v>0</v>
      </c>
      <c r="X46" s="19">
        <v>0</v>
      </c>
      <c r="Y46" s="19">
        <v>0</v>
      </c>
      <c r="Z46" s="19">
        <v>0</v>
      </c>
      <c r="AA46" s="19">
        <v>0</v>
      </c>
      <c r="AB46" s="15" t="s">
        <v>667</v>
      </c>
    </row>
    <row r="47" spans="14:28" x14ac:dyDescent="0.2">
      <c r="N47" s="24" t="s">
        <v>1503</v>
      </c>
      <c r="O47" s="28">
        <v>0</v>
      </c>
      <c r="P47" s="28">
        <v>0</v>
      </c>
      <c r="Q47" s="28">
        <v>0</v>
      </c>
      <c r="R47" s="28">
        <v>0</v>
      </c>
      <c r="S47" s="28">
        <v>0</v>
      </c>
      <c r="T47" s="28">
        <v>0</v>
      </c>
      <c r="U47" s="28">
        <v>0</v>
      </c>
      <c r="V47" s="28">
        <v>0</v>
      </c>
      <c r="W47" s="28">
        <v>0</v>
      </c>
      <c r="X47" s="28">
        <v>0</v>
      </c>
      <c r="Y47" s="28">
        <v>0</v>
      </c>
      <c r="Z47" s="28">
        <v>0</v>
      </c>
      <c r="AA47" s="28">
        <v>0</v>
      </c>
      <c r="AB47" s="29" t="s">
        <v>667</v>
      </c>
    </row>
    <row r="48" spans="14:28" x14ac:dyDescent="0.2">
      <c r="N48" s="151" t="s">
        <v>1504</v>
      </c>
      <c r="O48" s="30">
        <v>48927</v>
      </c>
      <c r="P48" s="30">
        <v>45461</v>
      </c>
      <c r="Q48" s="30">
        <v>45461</v>
      </c>
      <c r="R48" s="30">
        <v>62050.2</v>
      </c>
      <c r="S48" s="30">
        <v>45461</v>
      </c>
      <c r="T48" s="30">
        <v>45461</v>
      </c>
      <c r="U48" s="30">
        <v>45461</v>
      </c>
      <c r="V48" s="30">
        <v>45461</v>
      </c>
      <c r="W48" s="30">
        <v>45461</v>
      </c>
      <c r="X48" s="30">
        <v>45461</v>
      </c>
      <c r="Y48" s="30">
        <v>86358.56</v>
      </c>
      <c r="Z48" s="30">
        <v>132652.87</v>
      </c>
      <c r="AA48" s="30">
        <v>693676.63</v>
      </c>
      <c r="AB48" s="31">
        <v>5.1453086145368962E-2</v>
      </c>
    </row>
    <row r="49" spans="14:28" x14ac:dyDescent="0.2">
      <c r="N49" s="450" t="s">
        <v>1031</v>
      </c>
      <c r="O49" s="19"/>
      <c r="P49" s="19"/>
      <c r="Q49" s="19"/>
      <c r="R49" s="19"/>
      <c r="S49" s="19"/>
      <c r="T49" s="19"/>
      <c r="U49" s="19"/>
      <c r="V49" s="19"/>
      <c r="W49" s="19"/>
      <c r="X49" s="19"/>
      <c r="Y49" s="19"/>
      <c r="Z49" s="19"/>
      <c r="AA49" s="19"/>
      <c r="AB49" s="15" t="s">
        <v>667</v>
      </c>
    </row>
    <row r="50" spans="14:28" x14ac:dyDescent="0.2">
      <c r="N50" s="24" t="s">
        <v>1505</v>
      </c>
      <c r="O50" s="19">
        <v>0</v>
      </c>
      <c r="P50" s="19">
        <v>0</v>
      </c>
      <c r="Q50" s="19">
        <v>0</v>
      </c>
      <c r="R50" s="19">
        <v>0</v>
      </c>
      <c r="S50" s="19">
        <v>0</v>
      </c>
      <c r="T50" s="19">
        <v>0</v>
      </c>
      <c r="U50" s="19">
        <v>0</v>
      </c>
      <c r="V50" s="19">
        <v>0</v>
      </c>
      <c r="W50" s="19">
        <v>0</v>
      </c>
      <c r="X50" s="19">
        <v>0</v>
      </c>
      <c r="Y50" s="19">
        <v>0</v>
      </c>
      <c r="Z50" s="19">
        <v>0</v>
      </c>
      <c r="AA50" s="19">
        <v>0</v>
      </c>
      <c r="AB50" s="15" t="s">
        <v>667</v>
      </c>
    </row>
    <row r="51" spans="14:28" x14ac:dyDescent="0.2">
      <c r="N51" s="24" t="s">
        <v>1506</v>
      </c>
      <c r="O51" s="19">
        <v>117130.14</v>
      </c>
      <c r="P51" s="19">
        <v>117130.14</v>
      </c>
      <c r="Q51" s="19">
        <v>117130.14</v>
      </c>
      <c r="R51" s="19">
        <v>117130.14</v>
      </c>
      <c r="S51" s="19">
        <v>103880.28</v>
      </c>
      <c r="T51" s="19">
        <v>103880.13</v>
      </c>
      <c r="U51" s="19">
        <v>103880.13</v>
      </c>
      <c r="V51" s="19">
        <v>102599.53</v>
      </c>
      <c r="W51" s="19">
        <v>103880.13</v>
      </c>
      <c r="X51" s="19">
        <v>103880.13</v>
      </c>
      <c r="Y51" s="19">
        <v>103880.13</v>
      </c>
      <c r="Z51" s="19">
        <v>103880.13</v>
      </c>
      <c r="AA51" s="19">
        <v>1298281.1499999999</v>
      </c>
      <c r="AB51" s="15">
        <v>9.6299297054102395E-2</v>
      </c>
    </row>
    <row r="52" spans="14:28" x14ac:dyDescent="0.2">
      <c r="N52" s="483" t="s">
        <v>1507</v>
      </c>
      <c r="O52" s="484">
        <v>9029.4</v>
      </c>
      <c r="P52" s="484">
        <v>10303.48</v>
      </c>
      <c r="Q52" s="484">
        <v>10303.48</v>
      </c>
      <c r="R52" s="484">
        <v>10303.48</v>
      </c>
      <c r="S52" s="484">
        <v>10303.48</v>
      </c>
      <c r="T52" s="484">
        <v>10303.48</v>
      </c>
      <c r="U52" s="484">
        <v>10303.48</v>
      </c>
      <c r="V52" s="484">
        <v>10303.48</v>
      </c>
      <c r="W52" s="484">
        <v>10303.48</v>
      </c>
      <c r="X52" s="484">
        <v>10303.48</v>
      </c>
      <c r="Y52" s="484">
        <v>10303.48</v>
      </c>
      <c r="Z52" s="484">
        <v>21317.26</v>
      </c>
      <c r="AA52" s="484">
        <v>133381.45999999996</v>
      </c>
      <c r="AB52" s="485">
        <v>9.8934971350773081E-3</v>
      </c>
    </row>
    <row r="53" spans="14:28" x14ac:dyDescent="0.2">
      <c r="N53" s="24" t="s">
        <v>1508</v>
      </c>
      <c r="O53" s="19">
        <v>2936.82</v>
      </c>
      <c r="P53" s="19">
        <v>2936.82</v>
      </c>
      <c r="Q53" s="19">
        <v>2936.82</v>
      </c>
      <c r="R53" s="19">
        <v>3200.19</v>
      </c>
      <c r="S53" s="19">
        <v>2673.45</v>
      </c>
      <c r="T53" s="19">
        <v>2936.86</v>
      </c>
      <c r="U53" s="19">
        <v>2936.82</v>
      </c>
      <c r="V53" s="19">
        <v>3059.56</v>
      </c>
      <c r="W53" s="19">
        <v>3183.35</v>
      </c>
      <c r="X53" s="19">
        <v>3183.23</v>
      </c>
      <c r="Y53" s="19">
        <v>3183.23</v>
      </c>
      <c r="Z53" s="19">
        <v>3183.23</v>
      </c>
      <c r="AA53" s="19">
        <v>36350.380000000005</v>
      </c>
      <c r="AB53" s="15">
        <v>2.6962696343927534E-3</v>
      </c>
    </row>
    <row r="54" spans="14:28" x14ac:dyDescent="0.2">
      <c r="N54" s="24" t="s">
        <v>1509</v>
      </c>
      <c r="O54" s="28">
        <v>356.97</v>
      </c>
      <c r="P54" s="28">
        <v>350.51</v>
      </c>
      <c r="Q54" s="28">
        <v>350.51</v>
      </c>
      <c r="R54" s="28">
        <v>350.51</v>
      </c>
      <c r="S54" s="28">
        <v>350.51</v>
      </c>
      <c r="T54" s="28">
        <v>350.51</v>
      </c>
      <c r="U54" s="28">
        <v>350.51</v>
      </c>
      <c r="V54" s="28">
        <v>350.51</v>
      </c>
      <c r="W54" s="28">
        <v>350.51</v>
      </c>
      <c r="X54" s="28">
        <v>350.51</v>
      </c>
      <c r="Y54" s="28">
        <v>350.51</v>
      </c>
      <c r="Z54" s="28">
        <v>2584.4</v>
      </c>
      <c r="AA54" s="28">
        <v>6446.4700000000012</v>
      </c>
      <c r="AB54" s="29">
        <v>4.7816340049330576E-4</v>
      </c>
    </row>
    <row r="55" spans="14:28" x14ac:dyDescent="0.2">
      <c r="N55" s="151" t="s">
        <v>1510</v>
      </c>
      <c r="O55" s="30">
        <v>129453.33</v>
      </c>
      <c r="P55" s="30">
        <v>130720.95</v>
      </c>
      <c r="Q55" s="30">
        <v>130720.95</v>
      </c>
      <c r="R55" s="30">
        <v>130984.31999999999</v>
      </c>
      <c r="S55" s="30">
        <v>117207.71999999999</v>
      </c>
      <c r="T55" s="30">
        <v>117470.98</v>
      </c>
      <c r="U55" s="30">
        <v>117470.94</v>
      </c>
      <c r="V55" s="30">
        <v>116313.07999999999</v>
      </c>
      <c r="W55" s="30">
        <v>117717.47</v>
      </c>
      <c r="X55" s="30">
        <v>117717.34999999999</v>
      </c>
      <c r="Y55" s="30">
        <v>117717.34999999999</v>
      </c>
      <c r="Z55" s="30">
        <v>130965.01999999999</v>
      </c>
      <c r="AA55" s="30">
        <v>1474459.4600000002</v>
      </c>
      <c r="AB55" s="31">
        <v>0.10936722722406578</v>
      </c>
    </row>
    <row r="56" spans="14:28" x14ac:dyDescent="0.2">
      <c r="N56" s="450" t="s">
        <v>586</v>
      </c>
      <c r="O56" s="19"/>
      <c r="P56" s="19"/>
      <c r="Q56" s="19"/>
      <c r="R56" s="19"/>
      <c r="S56" s="19"/>
      <c r="T56" s="19"/>
      <c r="U56" s="19"/>
      <c r="V56" s="19"/>
      <c r="W56" s="19"/>
      <c r="X56" s="19"/>
      <c r="Y56" s="19"/>
      <c r="Z56" s="19"/>
      <c r="AA56" s="19">
        <v>0</v>
      </c>
      <c r="AB56" s="15" t="s">
        <v>667</v>
      </c>
    </row>
    <row r="57" spans="14:28" x14ac:dyDescent="0.2">
      <c r="N57" s="24" t="s">
        <v>1511</v>
      </c>
      <c r="O57" s="19">
        <v>0</v>
      </c>
      <c r="P57" s="19">
        <v>0</v>
      </c>
      <c r="Q57" s="19">
        <v>0</v>
      </c>
      <c r="R57" s="19">
        <v>0</v>
      </c>
      <c r="S57" s="19">
        <v>0</v>
      </c>
      <c r="T57" s="19">
        <v>0</v>
      </c>
      <c r="U57" s="19">
        <v>0</v>
      </c>
      <c r="V57" s="19">
        <v>0</v>
      </c>
      <c r="W57" s="19">
        <v>0</v>
      </c>
      <c r="X57" s="19">
        <v>0</v>
      </c>
      <c r="Y57" s="19">
        <v>0</v>
      </c>
      <c r="Z57" s="19">
        <v>0</v>
      </c>
      <c r="AA57" s="19">
        <v>0</v>
      </c>
      <c r="AB57" s="15" t="s">
        <v>667</v>
      </c>
    </row>
    <row r="58" spans="14:28" x14ac:dyDescent="0.2">
      <c r="N58" s="24" t="s">
        <v>1512</v>
      </c>
      <c r="O58" s="19">
        <v>0</v>
      </c>
      <c r="P58" s="19">
        <v>0</v>
      </c>
      <c r="Q58" s="19">
        <v>0</v>
      </c>
      <c r="R58" s="19">
        <v>0</v>
      </c>
      <c r="S58" s="19">
        <v>0</v>
      </c>
      <c r="T58" s="19">
        <v>0</v>
      </c>
      <c r="U58" s="19">
        <v>0</v>
      </c>
      <c r="V58" s="19">
        <v>0</v>
      </c>
      <c r="W58" s="19">
        <v>0</v>
      </c>
      <c r="X58" s="19">
        <v>0</v>
      </c>
      <c r="Y58" s="19">
        <v>0</v>
      </c>
      <c r="Z58" s="19">
        <v>0</v>
      </c>
      <c r="AA58" s="19">
        <v>0</v>
      </c>
      <c r="AB58" s="15" t="s">
        <v>667</v>
      </c>
    </row>
    <row r="59" spans="14:28" x14ac:dyDescent="0.2">
      <c r="N59" s="24" t="s">
        <v>1513</v>
      </c>
      <c r="O59" s="19">
        <v>0</v>
      </c>
      <c r="P59" s="19">
        <v>0</v>
      </c>
      <c r="Q59" s="19">
        <v>0</v>
      </c>
      <c r="R59" s="19">
        <v>0</v>
      </c>
      <c r="S59" s="19">
        <v>0</v>
      </c>
      <c r="T59" s="19">
        <v>0</v>
      </c>
      <c r="U59" s="19">
        <v>0</v>
      </c>
      <c r="V59" s="19">
        <v>0</v>
      </c>
      <c r="W59" s="19">
        <v>0</v>
      </c>
      <c r="X59" s="19">
        <v>0</v>
      </c>
      <c r="Y59" s="19">
        <v>0</v>
      </c>
      <c r="Z59" s="19">
        <v>0</v>
      </c>
      <c r="AA59" s="19">
        <v>0</v>
      </c>
      <c r="AB59" s="15" t="s">
        <v>667</v>
      </c>
    </row>
    <row r="60" spans="14:28" x14ac:dyDescent="0.2">
      <c r="N60" s="24" t="s">
        <v>1514</v>
      </c>
      <c r="O60" s="19">
        <v>0</v>
      </c>
      <c r="P60" s="19">
        <v>0</v>
      </c>
      <c r="Q60" s="19">
        <v>0</v>
      </c>
      <c r="R60" s="19">
        <v>0</v>
      </c>
      <c r="S60" s="19">
        <v>0</v>
      </c>
      <c r="T60" s="19">
        <v>0</v>
      </c>
      <c r="U60" s="19">
        <v>0</v>
      </c>
      <c r="V60" s="19">
        <v>0</v>
      </c>
      <c r="W60" s="19">
        <v>0</v>
      </c>
      <c r="X60" s="19">
        <v>0</v>
      </c>
      <c r="Y60" s="19">
        <v>0</v>
      </c>
      <c r="Z60" s="19">
        <v>0</v>
      </c>
      <c r="AA60" s="19">
        <v>0</v>
      </c>
      <c r="AB60" s="15" t="s">
        <v>667</v>
      </c>
    </row>
    <row r="61" spans="14:28" x14ac:dyDescent="0.2">
      <c r="N61" s="24" t="s">
        <v>1515</v>
      </c>
      <c r="O61" s="19">
        <v>0</v>
      </c>
      <c r="P61" s="19">
        <v>0</v>
      </c>
      <c r="Q61" s="19">
        <v>0</v>
      </c>
      <c r="R61" s="19">
        <v>0</v>
      </c>
      <c r="S61" s="19">
        <v>0</v>
      </c>
      <c r="T61" s="19">
        <v>0</v>
      </c>
      <c r="U61" s="19">
        <v>0</v>
      </c>
      <c r="V61" s="19">
        <v>0</v>
      </c>
      <c r="W61" s="19">
        <v>0</v>
      </c>
      <c r="X61" s="19">
        <v>0</v>
      </c>
      <c r="Y61" s="19">
        <v>0</v>
      </c>
      <c r="Z61" s="19">
        <v>0</v>
      </c>
      <c r="AA61" s="19">
        <v>0</v>
      </c>
      <c r="AB61" s="15" t="s">
        <v>667</v>
      </c>
    </row>
    <row r="62" spans="14:28" x14ac:dyDescent="0.2">
      <c r="N62" s="24" t="s">
        <v>1516</v>
      </c>
      <c r="O62" s="19">
        <v>0</v>
      </c>
      <c r="P62" s="19">
        <v>0</v>
      </c>
      <c r="Q62" s="19">
        <v>0</v>
      </c>
      <c r="R62" s="19">
        <v>0</v>
      </c>
      <c r="S62" s="19">
        <v>0</v>
      </c>
      <c r="T62" s="19">
        <v>0</v>
      </c>
      <c r="U62" s="19">
        <v>0</v>
      </c>
      <c r="V62" s="19">
        <v>0</v>
      </c>
      <c r="W62" s="19">
        <v>0</v>
      </c>
      <c r="X62" s="19">
        <v>0</v>
      </c>
      <c r="Y62" s="19">
        <v>0</v>
      </c>
      <c r="Z62" s="19">
        <v>0</v>
      </c>
      <c r="AA62" s="19">
        <v>0</v>
      </c>
      <c r="AB62" s="15" t="s">
        <v>667</v>
      </c>
    </row>
    <row r="63" spans="14:28" x14ac:dyDescent="0.2">
      <c r="N63" s="24" t="s">
        <v>1517</v>
      </c>
      <c r="O63" s="19">
        <v>0</v>
      </c>
      <c r="P63" s="19">
        <v>0</v>
      </c>
      <c r="Q63" s="19">
        <v>0</v>
      </c>
      <c r="R63" s="19">
        <v>0</v>
      </c>
      <c r="S63" s="19">
        <v>0</v>
      </c>
      <c r="T63" s="19">
        <v>0</v>
      </c>
      <c r="U63" s="19">
        <v>0</v>
      </c>
      <c r="V63" s="19">
        <v>0</v>
      </c>
      <c r="W63" s="19">
        <v>0</v>
      </c>
      <c r="X63" s="19">
        <v>0</v>
      </c>
      <c r="Y63" s="19">
        <v>0</v>
      </c>
      <c r="Z63" s="19">
        <v>0</v>
      </c>
      <c r="AA63" s="19">
        <v>0</v>
      </c>
      <c r="AB63" s="15" t="s">
        <v>667</v>
      </c>
    </row>
    <row r="64" spans="14:28" x14ac:dyDescent="0.2">
      <c r="N64" s="24" t="s">
        <v>1518</v>
      </c>
      <c r="O64" s="28">
        <v>0</v>
      </c>
      <c r="P64" s="28">
        <v>0</v>
      </c>
      <c r="Q64" s="28">
        <v>0</v>
      </c>
      <c r="R64" s="28">
        <v>0</v>
      </c>
      <c r="S64" s="28">
        <v>0</v>
      </c>
      <c r="T64" s="28">
        <v>0</v>
      </c>
      <c r="U64" s="28">
        <v>0</v>
      </c>
      <c r="V64" s="28">
        <v>0</v>
      </c>
      <c r="W64" s="28">
        <v>0</v>
      </c>
      <c r="X64" s="28">
        <v>0</v>
      </c>
      <c r="Y64" s="28">
        <v>0</v>
      </c>
      <c r="Z64" s="28">
        <v>0</v>
      </c>
      <c r="AA64" s="28">
        <v>0</v>
      </c>
      <c r="AB64" s="29" t="s">
        <v>667</v>
      </c>
    </row>
    <row r="65" spans="14:28" x14ac:dyDescent="0.2">
      <c r="N65" s="151" t="s">
        <v>1041</v>
      </c>
      <c r="O65" s="30">
        <v>0</v>
      </c>
      <c r="P65" s="30">
        <v>0</v>
      </c>
      <c r="Q65" s="30">
        <v>0</v>
      </c>
      <c r="R65" s="30">
        <v>0</v>
      </c>
      <c r="S65" s="30">
        <v>0</v>
      </c>
      <c r="T65" s="30">
        <v>0</v>
      </c>
      <c r="U65" s="30">
        <v>0</v>
      </c>
      <c r="V65" s="30">
        <v>0</v>
      </c>
      <c r="W65" s="30">
        <v>0</v>
      </c>
      <c r="X65" s="30">
        <v>0</v>
      </c>
      <c r="Y65" s="30">
        <v>0</v>
      </c>
      <c r="Z65" s="30">
        <v>0</v>
      </c>
      <c r="AA65" s="30">
        <v>0</v>
      </c>
      <c r="AB65" s="31" t="s">
        <v>667</v>
      </c>
    </row>
    <row r="66" spans="14:28" x14ac:dyDescent="0.2">
      <c r="N66" s="24" t="s">
        <v>1042</v>
      </c>
      <c r="O66" s="19">
        <v>0</v>
      </c>
      <c r="P66" s="19">
        <v>0</v>
      </c>
      <c r="Q66" s="19">
        <v>0</v>
      </c>
      <c r="R66" s="19">
        <v>0</v>
      </c>
      <c r="S66" s="19">
        <v>0</v>
      </c>
      <c r="T66" s="19">
        <v>0</v>
      </c>
      <c r="U66" s="19">
        <v>0</v>
      </c>
      <c r="V66" s="19">
        <v>0</v>
      </c>
      <c r="W66" s="19">
        <v>0</v>
      </c>
      <c r="X66" s="19">
        <v>0</v>
      </c>
      <c r="Y66" s="19">
        <v>0</v>
      </c>
      <c r="Z66" s="19">
        <v>0</v>
      </c>
      <c r="AA66" s="19"/>
      <c r="AB66" s="15"/>
    </row>
    <row r="67" spans="14:28" x14ac:dyDescent="0.2">
      <c r="N67" s="23" t="s">
        <v>588</v>
      </c>
      <c r="O67" s="30">
        <v>0</v>
      </c>
      <c r="P67" s="30">
        <v>0</v>
      </c>
      <c r="Q67" s="30">
        <v>0</v>
      </c>
      <c r="R67" s="30">
        <v>0</v>
      </c>
      <c r="S67" s="30">
        <v>0</v>
      </c>
      <c r="T67" s="30">
        <v>0</v>
      </c>
      <c r="U67" s="30">
        <v>0</v>
      </c>
      <c r="V67" s="30">
        <v>0</v>
      </c>
      <c r="W67" s="30">
        <v>0</v>
      </c>
      <c r="X67" s="30">
        <v>0</v>
      </c>
      <c r="Y67" s="30">
        <v>0</v>
      </c>
      <c r="Z67" s="30">
        <v>0</v>
      </c>
      <c r="AA67" s="30">
        <v>0</v>
      </c>
      <c r="AB67" s="31" t="s">
        <v>667</v>
      </c>
    </row>
    <row r="68" spans="14:28" x14ac:dyDescent="0.2">
      <c r="N68" s="23" t="s">
        <v>1519</v>
      </c>
      <c r="O68" s="30">
        <v>0</v>
      </c>
      <c r="P68" s="30">
        <v>0</v>
      </c>
      <c r="Q68" s="30">
        <v>0</v>
      </c>
      <c r="R68" s="30">
        <v>0</v>
      </c>
      <c r="S68" s="30">
        <v>0</v>
      </c>
      <c r="T68" s="30">
        <v>0</v>
      </c>
      <c r="U68" s="30">
        <v>0</v>
      </c>
      <c r="V68" s="30">
        <v>0</v>
      </c>
      <c r="W68" s="30">
        <v>0</v>
      </c>
      <c r="X68" s="30">
        <v>0</v>
      </c>
      <c r="Y68" s="30">
        <v>0</v>
      </c>
      <c r="Z68" s="30">
        <v>0</v>
      </c>
      <c r="AA68" s="30">
        <v>0</v>
      </c>
      <c r="AB68" s="31" t="s">
        <v>667</v>
      </c>
    </row>
    <row r="72" spans="14:28" x14ac:dyDescent="0.2">
      <c r="N72" s="535" t="s">
        <v>1575</v>
      </c>
    </row>
    <row r="73" spans="14:28" x14ac:dyDescent="0.2">
      <c r="N73" s="489" t="s">
        <v>1632</v>
      </c>
      <c r="O73" s="19">
        <v>5833</v>
      </c>
      <c r="P73" s="19">
        <v>7107.08</v>
      </c>
      <c r="Q73" s="19">
        <v>7107.08</v>
      </c>
      <c r="R73" s="19">
        <v>7107.08</v>
      </c>
      <c r="S73" s="19">
        <v>7107.08</v>
      </c>
      <c r="T73" s="19">
        <v>7107.08</v>
      </c>
      <c r="U73" s="19">
        <v>7107.08</v>
      </c>
      <c r="V73" s="19">
        <v>7107.08</v>
      </c>
      <c r="W73" s="19">
        <v>7107.08</v>
      </c>
      <c r="X73" s="19">
        <v>7107.08</v>
      </c>
      <c r="Y73" s="19">
        <v>7107.08</v>
      </c>
      <c r="Z73" s="19">
        <v>7349.3</v>
      </c>
      <c r="AA73" s="19">
        <v>84253.1</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24">
    <pageSetUpPr fitToPage="1"/>
  </sheetPr>
  <dimension ref="A1:AO126"/>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1" hidden="1" customWidth="1" outlineLevel="1" collapsed="1"/>
    <col min="13" max="13" width="9.6640625" style="1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c r="L1" s="69"/>
      <c r="M1" s="69"/>
      <c r="N1" s="69"/>
    </row>
    <row r="2" spans="1:35" hidden="1" outlineLevel="1" x14ac:dyDescent="0.2">
      <c r="A2" s="8" t="s">
        <v>22</v>
      </c>
      <c r="B2" s="12" t="s">
        <v>56</v>
      </c>
      <c r="C2" s="1" t="e">
        <f ca="1">_xll.EVDES(B2,$B$1)</f>
        <v>#NAME?</v>
      </c>
      <c r="I2" s="1"/>
      <c r="J2" s="1"/>
      <c r="L2" s="69"/>
      <c r="M2" s="69"/>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500</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row>
    <row r="12" spans="1:35" hidden="1" outlineLevel="1" x14ac:dyDescent="0.2">
      <c r="A12" s="1" t="s">
        <v>115</v>
      </c>
      <c r="B12" s="46" t="e">
        <f ca="1">_xll.EVPRO($B$1,$B$10,"YEAR")</f>
        <v>#NAME?</v>
      </c>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_xll.EVRNG(H35:H36)</f>
        <v>#NAME?</v>
      </c>
      <c r="G19" s="16" t="s">
        <v>499</v>
      </c>
      <c r="H19" s="16">
        <v>400000</v>
      </c>
      <c r="I19" s="17"/>
      <c r="J19" s="17"/>
      <c r="K19" s="16"/>
      <c r="L19" s="17"/>
      <c r="M19" s="17"/>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
        <v>749</v>
      </c>
      <c r="H20" s="16">
        <v>904100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row>
    <row r="22" spans="1:40" hidden="1" outlineLevel="1" x14ac:dyDescent="0.2">
      <c r="A22" s="6" t="s">
        <v>7</v>
      </c>
      <c r="B22" s="7" t="e">
        <f ca="1">_xll.EVRNG(A36:F42)</f>
        <v>#NAME?</v>
      </c>
    </row>
    <row r="23" spans="1:40" hidden="1" outlineLevel="1" x14ac:dyDescent="0.2">
      <c r="A23" s="6" t="s">
        <v>47</v>
      </c>
      <c r="B23" s="7" t="e">
        <f ca="1">_xll.EVRNG($A$105:$B$126)</f>
        <v>#NAME?</v>
      </c>
      <c r="K23" s="53"/>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IF(_xll.EVDES(B6,$B$1)="#NODATA","",_xll.EVDES(B6,$B$1)&amp;" Department")</f>
        <v>#NAME?</v>
      </c>
    </row>
    <row r="28" spans="1:40" ht="16" x14ac:dyDescent="0.2">
      <c r="A28" s="6" t="s">
        <v>12</v>
      </c>
      <c r="B28" s="7" t="s">
        <v>22</v>
      </c>
      <c r="N28" s="67" t="e">
        <f ca="1">"For the Period ended"&amp;" "&amp;IF(_xll.EVDES($B$10,$B$1)="#NODATA","",_xll.EVDES($B$10,$B$1))</f>
        <v>#NAME?</v>
      </c>
    </row>
    <row r="29" spans="1:40" ht="15" customHeight="1" x14ac:dyDescent="0.2">
      <c r="A29" s="6" t="s">
        <v>13</v>
      </c>
      <c r="B29" s="7" t="s">
        <v>291</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752</v>
      </c>
      <c r="AK30" s="209"/>
      <c r="AL30" s="210"/>
      <c r="AM30" s="209" t="s">
        <v>750</v>
      </c>
      <c r="AN30" s="209"/>
    </row>
    <row r="31" spans="1:40" x14ac:dyDescent="0.2">
      <c r="A31" s="6" t="s">
        <v>15</v>
      </c>
      <c r="B31" s="7"/>
      <c r="G31" s="13"/>
      <c r="K31" s="52"/>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t="s">
        <v>290</v>
      </c>
      <c r="H32" s="233"/>
      <c r="I32" s="234"/>
      <c r="J32" s="234"/>
      <c r="K32" s="235" t="s">
        <v>117</v>
      </c>
      <c r="L32" s="234"/>
      <c r="M32" s="234"/>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73</v>
      </c>
      <c r="I33" s="11" t="e">
        <f ca="1">_xll.EVPRO($B$1,$H33,"STYLE")</f>
        <v>#NAME?</v>
      </c>
      <c r="J33" s="11" t="e">
        <f ca="1">_xll.EVPRO($B$1,$H33,"CALC")</f>
        <v>#NAME?</v>
      </c>
      <c r="N33" s="37" t="e">
        <f ca="1">IF(_xll.EVDES(H33,$B$1)="#NODATA","",_xll.EVDES(H33,$B$1))</f>
        <v>#NAME?</v>
      </c>
      <c r="O33" s="50"/>
      <c r="AB33" s="51"/>
      <c r="AD33" s="50"/>
      <c r="AF33" s="51"/>
      <c r="AG33" s="50"/>
      <c r="AI33" s="51"/>
    </row>
    <row r="34" spans="1:40" x14ac:dyDescent="0.2">
      <c r="H34" s="1" t="s">
        <v>74</v>
      </c>
      <c r="I34" s="11" t="e">
        <f ca="1">_xll.EVPRO($B$1,$H34,"STYLE")</f>
        <v>#NAME?</v>
      </c>
      <c r="J34" s="11" t="e">
        <f ca="1">_xll.EVPRO($B$1,$H34,"CALC")</f>
        <v>#NAME?</v>
      </c>
      <c r="N34" s="8" t="e">
        <f ca="1">IF(_xll.EVDES(H34,$B$1)="#NODATA","",_xll.EVDES(H34,$B$1))</f>
        <v>#NAME?</v>
      </c>
      <c r="O34" s="40"/>
      <c r="P34" s="43"/>
      <c r="Q34" s="43"/>
      <c r="R34" s="43"/>
      <c r="S34" s="43"/>
      <c r="T34" s="43"/>
      <c r="U34" s="43"/>
      <c r="V34" s="43"/>
      <c r="W34" s="43"/>
      <c r="X34" s="43"/>
      <c r="Y34" s="43"/>
      <c r="Z34" s="43"/>
      <c r="AA34" s="43"/>
      <c r="AB34" s="41"/>
      <c r="AD34" s="40"/>
      <c r="AE34" s="43"/>
      <c r="AF34" s="41"/>
      <c r="AG34" s="40"/>
      <c r="AH34" s="43"/>
      <c r="AI34" s="41"/>
    </row>
    <row r="35" spans="1:40" x14ac:dyDescent="0.2">
      <c r="A35" s="20" t="s">
        <v>92</v>
      </c>
      <c r="B35" s="21" t="s">
        <v>93</v>
      </c>
      <c r="C35" s="21" t="s">
        <v>94</v>
      </c>
      <c r="D35" s="21" t="s">
        <v>95</v>
      </c>
      <c r="E35" s="21" t="s">
        <v>96</v>
      </c>
      <c r="F35" s="22" t="s">
        <v>97</v>
      </c>
      <c r="H35" s="10" t="s">
        <v>75</v>
      </c>
      <c r="I35" s="26" t="e">
        <f ca="1">_xll.EVPRO($B$1,$H35,"STYLE")</f>
        <v>#NAME?</v>
      </c>
      <c r="J35" s="26" t="e">
        <f ca="1">_xll.EVPRO($B$1,$H35,"CALC")</f>
        <v>#NAME?</v>
      </c>
      <c r="K35" s="65" t="e">
        <f ca="1">IF(AND(I35&gt;="T3"),"&gt;","")</f>
        <v>#NAME?</v>
      </c>
      <c r="L35" s="23" t="e">
        <f ca="1">_xll.EVPRO($B$1,H35,"JDEID")</f>
        <v>#NAME?</v>
      </c>
      <c r="M35" s="151" t="e">
        <f ca="1">IF(AND(I35="N",J35="N"),_xll.EVPRO($B$1,H35,"PSFTID"),"")</f>
        <v>#NAME?</v>
      </c>
      <c r="N35" s="23" t="e">
        <f ca="1">IF(_xll.EVDES(H35,$B$1)="#NODATA","",_xll.EVDES(H35,$B$1))</f>
        <v>#NAME?</v>
      </c>
      <c r="O35" s="35"/>
      <c r="P35" s="35"/>
      <c r="Q35" s="35"/>
      <c r="R35" s="35"/>
      <c r="S35" s="35"/>
      <c r="T35" s="35"/>
      <c r="U35" s="35"/>
      <c r="V35" s="35"/>
      <c r="W35" s="35"/>
      <c r="X35" s="35"/>
      <c r="Y35" s="35"/>
      <c r="Z35" s="35"/>
      <c r="AA35" s="35" t="e">
        <f ca="1">IF($I35="B1","",SUM(O35:Z35))</f>
        <v>#NAME?</v>
      </c>
      <c r="AB35" s="36" t="e">
        <f ca="1">IF(AA35=0,"",IFERROR(AA35/AA$19,""))</f>
        <v>#NAME?</v>
      </c>
      <c r="AD35" s="19"/>
      <c r="AE35" s="15" t="str">
        <f>IF(AD35=0,"",IFERROR(AD35/AD$19,""))</f>
        <v/>
      </c>
      <c r="AF35" s="47" t="e">
        <f ca="1">IF(AND($AA35="",AD35=""),"",$AA35-AD35)</f>
        <v>#NAME?</v>
      </c>
      <c r="AG35" s="19"/>
      <c r="AH35" s="15" t="str">
        <f>IF(AG35=0,"",IFERROR(AG35/AG$19,""))</f>
        <v/>
      </c>
      <c r="AI35" s="47" t="e">
        <f ca="1">IF(AND($AA35="",AG35=""),"",$AA35-AG35)</f>
        <v>#NAME?</v>
      </c>
      <c r="AJ35" s="371">
        <f ca="1">IFERROR(AA35/AA$20,0)</f>
        <v>0</v>
      </c>
      <c r="AK35" s="372">
        <f ca="1">IFERROR(AD35/AD$20,0)</f>
        <v>0</v>
      </c>
      <c r="AL35" s="373">
        <f ca="1">IFERROR(AG35/AG$20,0)</f>
        <v>0</v>
      </c>
      <c r="AM35" s="374">
        <f ca="1">+IFERROR(ROUND(($AB35-AE35)*100,2)&amp;" pts.",0)</f>
        <v>0</v>
      </c>
      <c r="AN35" s="375">
        <f ca="1">+IFERROR(ROUND(($AB35-AH35)*100,2)&amp;" pts.",0)</f>
        <v>0</v>
      </c>
    </row>
    <row r="36" spans="1:40" hidden="1" x14ac:dyDescent="0.2">
      <c r="H36" s="10"/>
      <c r="I36" s="26" t="e">
        <f ca="1">_xll.EVPRO($B$1,$H36,"STYLE")</f>
        <v>#NAME?</v>
      </c>
      <c r="J36" s="26" t="e">
        <f ca="1">_xll.EVPRO($B$1,$H36,"CALC")</f>
        <v>#NAME?</v>
      </c>
      <c r="K36" s="65" t="e">
        <f ca="1">IF(AND(I36&gt;="T3"),"&gt;","")</f>
        <v>#NAME?</v>
      </c>
      <c r="L36" s="23" t="e">
        <f ca="1">_xll.EVPRO($B$1,H36,"JDEID")</f>
        <v>#NAME?</v>
      </c>
      <c r="M36" s="151" t="e">
        <f ca="1">IF(AND(I36="N",J36="N"),_xll.EVPRO($B$1,H36,"PSFTID"),"")</f>
        <v>#NAME?</v>
      </c>
      <c r="N36" s="23" t="e">
        <f ca="1">IF(_xll.EVDES(H36,$B$1)="#NODATA","",_xll.EVDES(H36,$B$1))</f>
        <v>#NAME?</v>
      </c>
      <c r="O36" s="35"/>
      <c r="P36" s="35"/>
      <c r="Q36" s="35"/>
      <c r="R36" s="35"/>
      <c r="S36" s="35"/>
      <c r="T36" s="35"/>
      <c r="U36" s="35"/>
      <c r="V36" s="35"/>
      <c r="W36" s="35"/>
      <c r="X36" s="35"/>
      <c r="Y36" s="35"/>
      <c r="Z36" s="35"/>
      <c r="AA36" s="35" t="e">
        <f ca="1">IF($I36="B1","",SUM(O36:Z36))</f>
        <v>#NAME?</v>
      </c>
      <c r="AB36" s="36" t="e">
        <f ca="1">IF(AA36=0,"",IFERROR(AA36/AA$19,""))</f>
        <v>#NAME?</v>
      </c>
      <c r="AD36" s="19"/>
      <c r="AE36" s="15" t="str">
        <f>IF(AD36=0,"",IFERROR(AD36/AD$19,""))</f>
        <v/>
      </c>
      <c r="AF36" s="47" t="e">
        <f ca="1">IF(AND($AA36="",AD36=""),"",$AA36-AD36)</f>
        <v>#NAME?</v>
      </c>
      <c r="AG36" s="19"/>
      <c r="AH36" s="15" t="str">
        <f>IF(AG36=0,"",IFERROR(AG36/AG$19,""))</f>
        <v/>
      </c>
      <c r="AI36" s="47" t="e">
        <f ca="1">IF(AND($AA36="",AG36=""),"",$AA36-AG36)</f>
        <v>#NAME?</v>
      </c>
      <c r="AJ36" s="371">
        <f ca="1">IFERROR(AA36/AA$20,0)</f>
        <v>0</v>
      </c>
      <c r="AK36" s="372">
        <f ca="1">IFERROR(AD36/AD$20,0)</f>
        <v>0</v>
      </c>
      <c r="AL36" s="373">
        <f ca="1">IFERROR(AG36/AG$20,0)</f>
        <v>0</v>
      </c>
      <c r="AM36" s="374">
        <f ca="1">+IFERROR(ROUND(($AB36-AE36)*100,2)&amp;" pts.",0)</f>
        <v>0</v>
      </c>
      <c r="AN36" s="375">
        <f ca="1">+IFERROR(ROUND(($AB36-AH36)*100,2)&amp;" pts.",0)</f>
        <v>0</v>
      </c>
    </row>
    <row r="37" spans="1:40" x14ac:dyDescent="0.2">
      <c r="A37" s="1" t="s">
        <v>108</v>
      </c>
      <c r="C37" s="24" t="s">
        <v>101</v>
      </c>
      <c r="D37" s="1" t="s">
        <v>106</v>
      </c>
      <c r="F37" s="1" t="s">
        <v>98</v>
      </c>
      <c r="H37" s="23"/>
      <c r="I37" s="23"/>
      <c r="J37" s="23"/>
      <c r="K37" s="23"/>
      <c r="L37" s="23"/>
      <c r="M37" s="23"/>
      <c r="N37" s="23"/>
      <c r="O37" s="50"/>
      <c r="AB37" s="51"/>
      <c r="AD37" s="50"/>
      <c r="AF37" s="51"/>
      <c r="AG37" s="50"/>
      <c r="AI37" s="51"/>
    </row>
    <row r="38" spans="1:40" x14ac:dyDescent="0.2">
      <c r="A38" s="1" t="s">
        <v>100</v>
      </c>
      <c r="C38" s="8" t="s">
        <v>101</v>
      </c>
      <c r="D38" s="1" t="s">
        <v>106</v>
      </c>
      <c r="F38" s="1" t="s">
        <v>98</v>
      </c>
      <c r="H38" s="1" t="s">
        <v>504</v>
      </c>
      <c r="I38" s="11" t="e">
        <f ca="1">_xll.EVPRO($B$1,$H38,"STYLE")</f>
        <v>#NAME?</v>
      </c>
      <c r="J38" s="11" t="e">
        <f ca="1">_xll.EVPRO($B$1,$H38,"CALC")</f>
        <v>#NAME?</v>
      </c>
      <c r="K38" s="23"/>
      <c r="L38" s="23"/>
      <c r="M38" s="23"/>
      <c r="N38" s="37" t="e">
        <f ca="1">IF(_xll.EVDES(H38,$B$1)="#NODATA","",_xll.EVDES(H38,$B$1))</f>
        <v>#NAME?</v>
      </c>
      <c r="O38" s="40"/>
      <c r="P38" s="43"/>
      <c r="Q38" s="43"/>
      <c r="R38" s="43"/>
      <c r="S38" s="43"/>
      <c r="T38" s="43"/>
      <c r="U38" s="43"/>
      <c r="V38" s="43"/>
      <c r="W38" s="43"/>
      <c r="X38" s="43"/>
      <c r="Y38" s="43"/>
      <c r="Z38" s="43"/>
      <c r="AA38" s="43"/>
      <c r="AB38" s="41"/>
      <c r="AD38" s="40"/>
      <c r="AE38" s="43"/>
      <c r="AF38" s="41"/>
      <c r="AG38" s="40"/>
      <c r="AH38" s="43"/>
      <c r="AI38" s="41"/>
    </row>
    <row r="39" spans="1:40" x14ac:dyDescent="0.2">
      <c r="A39" s="1" t="s">
        <v>109</v>
      </c>
      <c r="C39" s="23" t="s">
        <v>101</v>
      </c>
      <c r="D39" s="1" t="s">
        <v>106</v>
      </c>
      <c r="F39" s="1" t="s">
        <v>98</v>
      </c>
      <c r="H39" s="10" t="s">
        <v>506</v>
      </c>
      <c r="I39" s="25" t="e">
        <f ca="1">_xll.EVPRO($B$1,$H39,"STYLE")</f>
        <v>#NAME?</v>
      </c>
      <c r="J39" s="25" t="e">
        <f ca="1">_xll.EVPRO($B$1,$H39,"CALC")</f>
        <v>#NAME?</v>
      </c>
      <c r="K39" s="64" t="e">
        <f ca="1">IF(AND(I39&gt;="T3"),"&gt;","")</f>
        <v>#NAME?</v>
      </c>
      <c r="L39" s="24" t="e">
        <f ca="1">_xll.EVPRO($B$1,H39,"JDEID")</f>
        <v>#NAME?</v>
      </c>
      <c r="M39" s="24" t="e">
        <f ca="1">IF(AND(I39="N",J39="N"),_xll.EVPRO($B$1,H39,"PSFTID"),"")</f>
        <v>#NAME?</v>
      </c>
      <c r="N39" s="24" t="e">
        <f ca="1">IF(_xll.EVDES(H39,$B$1)="#NODATA","",_xll.EVDES(H39,$B$1))</f>
        <v>#NAME?</v>
      </c>
      <c r="O39" s="35">
        <v>454.21</v>
      </c>
      <c r="P39" s="35">
        <v>577.36</v>
      </c>
      <c r="Q39" s="35">
        <v>1008.06</v>
      </c>
      <c r="R39" s="35">
        <v>604.19000000000005</v>
      </c>
      <c r="S39" s="35">
        <v>649.94000000000005</v>
      </c>
      <c r="T39" s="35">
        <v>361.98</v>
      </c>
      <c r="U39" s="35">
        <v>501.7</v>
      </c>
      <c r="V39" s="35">
        <v>691.46</v>
      </c>
      <c r="W39" s="35">
        <v>572.75</v>
      </c>
      <c r="X39" s="35">
        <v>682.83</v>
      </c>
      <c r="Y39" s="35">
        <v>1323.97</v>
      </c>
      <c r="Z39" s="35">
        <v>914.08</v>
      </c>
      <c r="AA39" s="35" t="e">
        <f ca="1">IF($I39="B1","",SUM(O39:Z39))</f>
        <v>#NAME?</v>
      </c>
      <c r="AB39" s="36" t="e">
        <f ca="1">IF(AA39=0,"",IFERROR(AA39/AA$19,""))</f>
        <v>#NAME?</v>
      </c>
      <c r="AD39" s="35">
        <v>9684</v>
      </c>
      <c r="AE39" s="36" t="str">
        <f ca="1">IF(AD39=0,"",IFERROR(AD39/AD$19,""))</f>
        <v/>
      </c>
      <c r="AF39" s="118" t="e">
        <f ca="1">IF(AND($AA39="",AD39=""),"",$AA39-AD39)</f>
        <v>#NAME?</v>
      </c>
      <c r="AG39" s="35">
        <v>10949.85</v>
      </c>
      <c r="AH39" s="36" t="str">
        <f t="shared" ref="AH39:AH44" ca="1" si="0">IF(AG39=0,"",IFERROR(AG39/AG$19,""))</f>
        <v/>
      </c>
      <c r="AI39" s="118" t="e">
        <f t="shared" ref="AI39:AI44" ca="1" si="1">IF(AND($AA39="",AG39=""),"",$AA39-AG39)</f>
        <v>#NAME?</v>
      </c>
      <c r="AJ39" s="371">
        <f t="shared" ref="AJ39:AJ44" ca="1" si="2">IFERROR(AA39/AA$20,0)</f>
        <v>0</v>
      </c>
      <c r="AK39" s="372">
        <f t="shared" ref="AK39:AK44" ca="1" si="3">IFERROR(AD39/AD$20,0)</f>
        <v>0</v>
      </c>
      <c r="AL39" s="373">
        <f t="shared" ref="AL39:AL44" ca="1" si="4">IFERROR(AG39/AG$20,0)</f>
        <v>0</v>
      </c>
      <c r="AM39" s="374">
        <f t="shared" ref="AM39:AM44" ca="1" si="5">+IFERROR(ROUND(($AB39-AE39)*100,2)&amp;" pts.",0)</f>
        <v>0</v>
      </c>
      <c r="AN39" s="375">
        <f t="shared" ref="AN39:AN44" ca="1" si="6">+IFERROR(ROUND(($AB39-AH39)*100,2)&amp;" pts.",0)</f>
        <v>0</v>
      </c>
    </row>
    <row r="40" spans="1:40" x14ac:dyDescent="0.2">
      <c r="A40" s="1" t="s">
        <v>109</v>
      </c>
      <c r="C40" s="135" t="s">
        <v>101</v>
      </c>
      <c r="D40" s="1" t="s">
        <v>107</v>
      </c>
      <c r="F40" s="1" t="s">
        <v>99</v>
      </c>
      <c r="H40" s="10" t="s">
        <v>507</v>
      </c>
      <c r="I40" s="25" t="e">
        <f ca="1">_xll.EVPRO($B$1,$H40,"STYLE")</f>
        <v>#NAME?</v>
      </c>
      <c r="J40" s="25" t="e">
        <f ca="1">_xll.EVPRO($B$1,$H40,"CALC")</f>
        <v>#NAME?</v>
      </c>
      <c r="K40" s="64" t="e">
        <f t="shared" ref="K40:K43" ca="1" si="7">IF(AND(I40&gt;="T3"),"&gt;","")</f>
        <v>#NAME?</v>
      </c>
      <c r="L40" s="24" t="e">
        <f ca="1">_xll.EVPRO($B$1,H40,"JDEID")</f>
        <v>#NAME?</v>
      </c>
      <c r="M40" s="24" t="e">
        <f ca="1">IF(AND(I40="N",J40="N"),_xll.EVPRO($B$1,H40,"PSFTID"),"")</f>
        <v>#NAME?</v>
      </c>
      <c r="N40" s="24" t="e">
        <f ca="1">IF(_xll.EVDES(H40,$B$1)="#NODATA","",_xll.EVDES(H40,$B$1))</f>
        <v>#NAME?</v>
      </c>
      <c r="O40" s="35">
        <v>3531.82</v>
      </c>
      <c r="P40" s="35">
        <v>3600.13</v>
      </c>
      <c r="Q40" s="35">
        <v>3513.15</v>
      </c>
      <c r="R40" s="35">
        <v>3493.16</v>
      </c>
      <c r="S40" s="35">
        <v>3553.02</v>
      </c>
      <c r="T40" s="35">
        <v>3637.61</v>
      </c>
      <c r="U40" s="35">
        <v>3662.86</v>
      </c>
      <c r="V40" s="35">
        <v>3633.47</v>
      </c>
      <c r="W40" s="35">
        <v>3535.48</v>
      </c>
      <c r="X40" s="35">
        <v>3653.98</v>
      </c>
      <c r="Y40" s="35">
        <v>3626.59</v>
      </c>
      <c r="Z40" s="35">
        <v>3719.78</v>
      </c>
      <c r="AA40" s="35" t="e">
        <f ca="1">IF($I40="B1","",SUM(O40:Z40))</f>
        <v>#NAME?</v>
      </c>
      <c r="AB40" s="36" t="e">
        <f ca="1">IF(AA40=0,"",IFERROR(AA40/AA$19,""))</f>
        <v>#NAME?</v>
      </c>
      <c r="AD40" s="35">
        <v>42636</v>
      </c>
      <c r="AE40" s="36" t="str">
        <f ca="1">IF(AD40=0,"",IFERROR(AD40/AD$19,""))</f>
        <v/>
      </c>
      <c r="AF40" s="118" t="e">
        <f ca="1">IF(AND($AA40="",AD40=""),"",$AA40-AD40)</f>
        <v>#NAME?</v>
      </c>
      <c r="AG40" s="35">
        <v>39780.480000000003</v>
      </c>
      <c r="AH40" s="36" t="str">
        <f t="shared" ref="AH40:AH43" ca="1" si="8">IF(AG40=0,"",IFERROR(AG40/AG$19,""))</f>
        <v/>
      </c>
      <c r="AI40" s="118" t="e">
        <f t="shared" ref="AI40:AI43" ca="1" si="9">IF(AND($AA40="",AG40=""),"",$AA40-AG40)</f>
        <v>#NAME?</v>
      </c>
      <c r="AJ40" s="371">
        <f t="shared" ref="AJ40:AJ43" ca="1" si="10">IFERROR(AA40/AA$20,0)</f>
        <v>0</v>
      </c>
      <c r="AK40" s="372">
        <f t="shared" ref="AK40:AK43" ca="1" si="11">IFERROR(AD40/AD$20,0)</f>
        <v>0</v>
      </c>
      <c r="AL40" s="373">
        <f t="shared" ref="AL40:AL43" ca="1" si="12">IFERROR(AG40/AG$20,0)</f>
        <v>0</v>
      </c>
      <c r="AM40" s="374">
        <f t="shared" ref="AM40:AM43" ca="1" si="13">+IFERROR(ROUND(($AB40-AE40)*100,2)&amp;" pts.",0)</f>
        <v>0</v>
      </c>
      <c r="AN40" s="375">
        <f t="shared" ref="AN40:AN43" ca="1" si="14">+IFERROR(ROUND(($AB40-AH40)*100,2)&amp;" pts.",0)</f>
        <v>0</v>
      </c>
    </row>
    <row r="41" spans="1:40" x14ac:dyDescent="0.2">
      <c r="A41" s="1" t="s">
        <v>110</v>
      </c>
      <c r="C41" s="23" t="s">
        <v>101</v>
      </c>
      <c r="D41" s="1" t="s">
        <v>106</v>
      </c>
      <c r="F41" s="1" t="s">
        <v>98</v>
      </c>
      <c r="H41" s="10" t="s">
        <v>508</v>
      </c>
      <c r="I41" s="25" t="e">
        <f ca="1">_xll.EVPRO($B$1,$H41,"STYLE")</f>
        <v>#NAME?</v>
      </c>
      <c r="J41" s="25" t="e">
        <f ca="1">_xll.EVPRO($B$1,$H41,"CALC")</f>
        <v>#NAME?</v>
      </c>
      <c r="K41" s="64" t="e">
        <f t="shared" ca="1" si="7"/>
        <v>#NAME?</v>
      </c>
      <c r="L41" s="24" t="e">
        <f ca="1">_xll.EVPRO($B$1,H41,"JDEID")</f>
        <v>#NAME?</v>
      </c>
      <c r="M41" s="24" t="e">
        <f ca="1">IF(AND(I41="N",J41="N"),_xll.EVPRO($B$1,H41,"PSFTID"),"")</f>
        <v>#NAME?</v>
      </c>
      <c r="N41" s="24" t="e">
        <f ca="1">IF(_xll.EVDES(H41,$B$1)="#NODATA","",_xll.EVDES(H41,$B$1))</f>
        <v>#NAME?</v>
      </c>
      <c r="O41" s="35"/>
      <c r="P41" s="35"/>
      <c r="Q41" s="35"/>
      <c r="R41" s="35"/>
      <c r="S41" s="35"/>
      <c r="T41" s="35"/>
      <c r="U41" s="35"/>
      <c r="V41" s="35"/>
      <c r="W41" s="35"/>
      <c r="X41" s="35"/>
      <c r="Y41" s="35"/>
      <c r="Z41" s="35"/>
      <c r="AA41" s="35" t="e">
        <f ca="1">IF($I41="B1","",SUM(O41:Z41))</f>
        <v>#NAME?</v>
      </c>
      <c r="AB41" s="36" t="e">
        <f ca="1">IF(AA41=0,"",IFERROR(AA41/AA$19,""))</f>
        <v>#NAME?</v>
      </c>
      <c r="AD41" s="35"/>
      <c r="AE41" s="36" t="str">
        <f>IF(AD41=0,"",IFERROR(AD41/AD$19,""))</f>
        <v/>
      </c>
      <c r="AF41" s="118" t="e">
        <f ca="1">IF(AND($AA41="",AD41=""),"",$AA41-AD41)</f>
        <v>#NAME?</v>
      </c>
      <c r="AG41" s="35"/>
      <c r="AH41" s="36" t="str">
        <f t="shared" si="8"/>
        <v/>
      </c>
      <c r="AI41" s="118" t="e">
        <f t="shared" ca="1" si="9"/>
        <v>#NAME?</v>
      </c>
      <c r="AJ41" s="371">
        <f t="shared" ca="1" si="10"/>
        <v>0</v>
      </c>
      <c r="AK41" s="372">
        <f t="shared" ca="1" si="11"/>
        <v>0</v>
      </c>
      <c r="AL41" s="373">
        <f t="shared" ca="1" si="12"/>
        <v>0</v>
      </c>
      <c r="AM41" s="374">
        <f t="shared" ca="1" si="13"/>
        <v>0</v>
      </c>
      <c r="AN41" s="375">
        <f t="shared" ca="1" si="14"/>
        <v>0</v>
      </c>
    </row>
    <row r="42" spans="1:40" x14ac:dyDescent="0.2">
      <c r="A42" s="1" t="s">
        <v>110</v>
      </c>
      <c r="C42" s="27" t="s">
        <v>101</v>
      </c>
      <c r="D42" s="1" t="s">
        <v>107</v>
      </c>
      <c r="F42" s="1" t="s">
        <v>99</v>
      </c>
      <c r="H42" s="10" t="s">
        <v>509</v>
      </c>
      <c r="I42" s="25" t="e">
        <f ca="1">_xll.EVPRO($B$1,$H42,"STYLE")</f>
        <v>#NAME?</v>
      </c>
      <c r="J42" s="25" t="e">
        <f ca="1">_xll.EVPRO($B$1,$H42,"CALC")</f>
        <v>#NAME?</v>
      </c>
      <c r="K42" s="64" t="e">
        <f t="shared" ca="1" si="7"/>
        <v>#NAME?</v>
      </c>
      <c r="L42" s="24" t="e">
        <f ca="1">_xll.EVPRO($B$1,H42,"JDEID")</f>
        <v>#NAME?</v>
      </c>
      <c r="M42" s="24" t="e">
        <f ca="1">IF(AND(I42="N",J42="N"),_xll.EVPRO($B$1,H42,"PSFTID"),"")</f>
        <v>#NAME?</v>
      </c>
      <c r="N42" s="24" t="e">
        <f ca="1">IF(_xll.EVDES(H42,$B$1)="#NODATA","",_xll.EVDES(H42,$B$1))</f>
        <v>#NAME?</v>
      </c>
      <c r="O42" s="35"/>
      <c r="P42" s="35"/>
      <c r="Q42" s="35"/>
      <c r="R42" s="35"/>
      <c r="S42" s="35"/>
      <c r="T42" s="35"/>
      <c r="U42" s="35"/>
      <c r="V42" s="35"/>
      <c r="W42" s="35"/>
      <c r="X42" s="35"/>
      <c r="Y42" s="35"/>
      <c r="Z42" s="35"/>
      <c r="AA42" s="35" t="e">
        <f ca="1">IF($I42="B1","",SUM(O42:Z42))</f>
        <v>#NAME?</v>
      </c>
      <c r="AB42" s="36" t="e">
        <f ca="1">IF(AA42=0,"",IFERROR(AA42/AA$19,""))</f>
        <v>#NAME?</v>
      </c>
      <c r="AD42" s="35"/>
      <c r="AE42" s="36" t="str">
        <f>IF(AD42=0,"",IFERROR(AD42/AD$19,""))</f>
        <v/>
      </c>
      <c r="AF42" s="118" t="e">
        <f ca="1">IF(AND($AA42="",AD42=""),"",$AA42-AD42)</f>
        <v>#NAME?</v>
      </c>
      <c r="AG42" s="35"/>
      <c r="AH42" s="36" t="str">
        <f t="shared" si="8"/>
        <v/>
      </c>
      <c r="AI42" s="118" t="e">
        <f t="shared" ca="1" si="9"/>
        <v>#NAME?</v>
      </c>
      <c r="AJ42" s="371">
        <f t="shared" ca="1" si="10"/>
        <v>0</v>
      </c>
      <c r="AK42" s="372">
        <f t="shared" ca="1" si="11"/>
        <v>0</v>
      </c>
      <c r="AL42" s="373">
        <f t="shared" ca="1" si="12"/>
        <v>0</v>
      </c>
      <c r="AM42" s="374">
        <f t="shared" ca="1" si="13"/>
        <v>0</v>
      </c>
      <c r="AN42" s="375">
        <f t="shared" ca="1" si="14"/>
        <v>0</v>
      </c>
    </row>
    <row r="43" spans="1:40" x14ac:dyDescent="0.2">
      <c r="C43" s="23"/>
      <c r="H43" s="10" t="s">
        <v>510</v>
      </c>
      <c r="I43" s="25" t="e">
        <f ca="1">_xll.EVPRO($B$1,$H43,"STYLE")</f>
        <v>#NAME?</v>
      </c>
      <c r="J43" s="25" t="e">
        <f ca="1">_xll.EVPRO($B$1,$H43,"CALC")</f>
        <v>#NAME?</v>
      </c>
      <c r="K43" s="64" t="e">
        <f t="shared" ca="1" si="7"/>
        <v>#NAME?</v>
      </c>
      <c r="L43" s="24" t="e">
        <f ca="1">_xll.EVPRO($B$1,H43,"JDEID")</f>
        <v>#NAME?</v>
      </c>
      <c r="M43" s="24" t="e">
        <f ca="1">IF(AND(I43="N",J43="N"),_xll.EVPRO($B$1,H43,"PSFTID"),"")</f>
        <v>#NAME?</v>
      </c>
      <c r="N43" s="24" t="e">
        <f ca="1">IF(_xll.EVDES(H43,$B$1)="#NODATA","",_xll.EVDES(H43,$B$1))</f>
        <v>#NAME?</v>
      </c>
      <c r="O43" s="35">
        <v>308.98</v>
      </c>
      <c r="P43" s="35">
        <v>-15.52</v>
      </c>
      <c r="Q43" s="35"/>
      <c r="R43" s="35"/>
      <c r="S43" s="35"/>
      <c r="T43" s="35"/>
      <c r="U43" s="35">
        <v>299</v>
      </c>
      <c r="V43" s="35">
        <v>299</v>
      </c>
      <c r="W43" s="35">
        <v>299</v>
      </c>
      <c r="X43" s="35">
        <v>299</v>
      </c>
      <c r="Y43" s="35">
        <v>299</v>
      </c>
      <c r="Z43" s="35">
        <v>299</v>
      </c>
      <c r="AA43" s="35" t="e">
        <f ca="1">IF($I43="B1","",SUM(O43:Z43))</f>
        <v>#NAME?</v>
      </c>
      <c r="AB43" s="36" t="e">
        <f ca="1">IF(AA43=0,"",IFERROR(AA43/AA$19,""))</f>
        <v>#NAME?</v>
      </c>
      <c r="AD43" s="35">
        <v>3588</v>
      </c>
      <c r="AE43" s="36" t="str">
        <f ca="1">IF(AD43=0,"",IFERROR(AD43/AD$19,""))</f>
        <v/>
      </c>
      <c r="AF43" s="118" t="e">
        <f ca="1">IF(AND($AA43="",AD43=""),"",$AA43-AD43)</f>
        <v>#NAME?</v>
      </c>
      <c r="AG43" s="35">
        <v>2017.41</v>
      </c>
      <c r="AH43" s="36" t="str">
        <f t="shared" ca="1" si="8"/>
        <v/>
      </c>
      <c r="AI43" s="118" t="e">
        <f t="shared" ca="1" si="9"/>
        <v>#NAME?</v>
      </c>
      <c r="AJ43" s="371">
        <f t="shared" ca="1" si="10"/>
        <v>0</v>
      </c>
      <c r="AK43" s="372">
        <f t="shared" ca="1" si="11"/>
        <v>0</v>
      </c>
      <c r="AL43" s="373">
        <f t="shared" ca="1" si="12"/>
        <v>0</v>
      </c>
      <c r="AM43" s="374">
        <f t="shared" ca="1" si="13"/>
        <v>0</v>
      </c>
      <c r="AN43" s="375">
        <f t="shared" ca="1" si="14"/>
        <v>0</v>
      </c>
    </row>
    <row r="44" spans="1:40" x14ac:dyDescent="0.2">
      <c r="C44" s="23"/>
      <c r="H44" s="10" t="s">
        <v>511</v>
      </c>
      <c r="I44" s="25" t="e">
        <f ca="1">_xll.EVPRO($B$1,$H44,"STYLE")</f>
        <v>#NAME?</v>
      </c>
      <c r="J44" s="25" t="e">
        <f ca="1">_xll.EVPRO($B$1,$H44,"CALC")</f>
        <v>#NAME?</v>
      </c>
      <c r="K44" s="64"/>
      <c r="L44" s="24" t="e">
        <f ca="1">_xll.EVPRO($B$1,H44,"JDEID")</f>
        <v>#NAME?</v>
      </c>
      <c r="M44" s="24" t="e">
        <f ca="1">IF(AND(I44="N",J44="N"),_xll.EVPRO($B$1,H44,"PSFTID"),"")</f>
        <v>#NAME?</v>
      </c>
      <c r="N44" s="23" t="e">
        <f ca="1">IF(_xll.EVDES(H44,$B$1)="#NODATA","",_xll.EVDES(H44,$B$1))</f>
        <v>#NAME?</v>
      </c>
      <c r="O44" s="30">
        <f>SUM(O39:O43)</f>
        <v>4295.01</v>
      </c>
      <c r="P44" s="30">
        <f t="shared" ref="P44:Z44" si="15">SUM(P39:P43)</f>
        <v>4161.9699999999993</v>
      </c>
      <c r="Q44" s="30">
        <f t="shared" si="15"/>
        <v>4521.21</v>
      </c>
      <c r="R44" s="30">
        <f t="shared" si="15"/>
        <v>4097.3500000000004</v>
      </c>
      <c r="S44" s="30">
        <f t="shared" si="15"/>
        <v>4202.96</v>
      </c>
      <c r="T44" s="30">
        <f t="shared" si="15"/>
        <v>3999.59</v>
      </c>
      <c r="U44" s="30">
        <f t="shared" si="15"/>
        <v>4463.5600000000004</v>
      </c>
      <c r="V44" s="30">
        <f t="shared" si="15"/>
        <v>4623.93</v>
      </c>
      <c r="W44" s="30">
        <f t="shared" si="15"/>
        <v>4407.2299999999996</v>
      </c>
      <c r="X44" s="30">
        <f t="shared" si="15"/>
        <v>4635.8100000000004</v>
      </c>
      <c r="Y44" s="30">
        <f t="shared" si="15"/>
        <v>5249.56</v>
      </c>
      <c r="Z44" s="30">
        <f t="shared" si="15"/>
        <v>4932.8600000000006</v>
      </c>
      <c r="AA44" s="30" t="e">
        <f t="shared" ref="AA44" ca="1" si="16">IF($I44="B1","",SUM(O44:Z44))</f>
        <v>#NAME?</v>
      </c>
      <c r="AB44" s="31" t="e">
        <f t="shared" ref="AB44" ca="1" si="17">IF(AA44=0,"",IFERROR(AA44/AA$19,""))</f>
        <v>#NAME?</v>
      </c>
      <c r="AD44" s="30">
        <f>SUM(AD39:AD43)</f>
        <v>55908</v>
      </c>
      <c r="AE44" s="31" t="str">
        <f t="shared" ref="AE44" ca="1" si="18">IF(AD44=0,"",IFERROR(AD44/AD$19,""))</f>
        <v/>
      </c>
      <c r="AF44" s="49" t="e">
        <f t="shared" ref="AF44" ca="1" si="19">IF(AND($AA44="",AD44=""),"",$AA44-AD44)</f>
        <v>#NAME?</v>
      </c>
      <c r="AG44" s="30">
        <f>SUM(AG39:AG43)</f>
        <v>52747.740000000005</v>
      </c>
      <c r="AH44" s="31" t="str">
        <f t="shared" ca="1" si="0"/>
        <v/>
      </c>
      <c r="AI44" s="49" t="e">
        <f t="shared" ca="1" si="1"/>
        <v>#NAME?</v>
      </c>
      <c r="AJ44" s="387">
        <f t="shared" ca="1" si="2"/>
        <v>0</v>
      </c>
      <c r="AK44" s="388">
        <f t="shared" ca="1" si="3"/>
        <v>0</v>
      </c>
      <c r="AL44" s="389">
        <f t="shared" ca="1" si="4"/>
        <v>0</v>
      </c>
      <c r="AM44" s="390">
        <f t="shared" ca="1" si="5"/>
        <v>0</v>
      </c>
      <c r="AN44" s="408">
        <f t="shared" ca="1" si="6"/>
        <v>0</v>
      </c>
    </row>
    <row r="45" spans="1:40" x14ac:dyDescent="0.2">
      <c r="A45" s="4" t="e">
        <f ca="1">_xll.EVDRE($B$1,A48:B55,A58:B64)</f>
        <v>#NAME?</v>
      </c>
      <c r="H45" s="23"/>
      <c r="I45" s="23"/>
      <c r="J45" s="23"/>
      <c r="K45" s="23"/>
      <c r="L45" s="23"/>
      <c r="M45" s="23"/>
      <c r="N45" s="23"/>
      <c r="O45" s="38"/>
      <c r="P45" s="42"/>
      <c r="Q45" s="42"/>
      <c r="R45" s="42"/>
      <c r="S45" s="42"/>
      <c r="T45" s="42"/>
      <c r="U45" s="42"/>
      <c r="V45" s="42"/>
      <c r="W45" s="42"/>
      <c r="X45" s="42"/>
      <c r="Y45" s="42"/>
      <c r="Z45" s="42"/>
      <c r="AA45" s="42"/>
      <c r="AB45" s="39"/>
      <c r="AD45" s="38"/>
      <c r="AE45" s="42"/>
      <c r="AF45" s="39"/>
      <c r="AG45" s="38"/>
      <c r="AH45" s="42"/>
      <c r="AI45" s="39"/>
    </row>
    <row r="46" spans="1:40" x14ac:dyDescent="0.2">
      <c r="H46" s="1" t="s">
        <v>501</v>
      </c>
      <c r="I46" s="11" t="e">
        <f ca="1">_xll.EVPRO($B$1,$H46,"STYLE")</f>
        <v>#NAME?</v>
      </c>
      <c r="J46" s="11" t="e">
        <f ca="1">_xll.EVPRO($B$1,$H46,"CALC")</f>
        <v>#NAME?</v>
      </c>
      <c r="L46" s="1"/>
      <c r="M46" s="1"/>
      <c r="N46" s="37" t="e">
        <f ca="1">IF(_xll.EVDES(H46,$B$1)="#NODATA","",_xll.EVDES(H46,$B$1))</f>
        <v>#NAME?</v>
      </c>
      <c r="O46" s="40"/>
      <c r="P46" s="43"/>
      <c r="Q46" s="43"/>
      <c r="R46" s="43"/>
      <c r="S46" s="43"/>
      <c r="T46" s="43"/>
      <c r="U46" s="43"/>
      <c r="V46" s="43"/>
      <c r="W46" s="43"/>
      <c r="X46" s="43"/>
      <c r="Y46" s="43"/>
      <c r="Z46" s="43"/>
      <c r="AA46" s="43"/>
      <c r="AB46" s="41"/>
      <c r="AD46" s="40"/>
      <c r="AE46" s="43"/>
      <c r="AF46" s="41"/>
      <c r="AG46" s="40"/>
      <c r="AH46" s="43"/>
      <c r="AI46" s="41"/>
    </row>
    <row r="47" spans="1:40" x14ac:dyDescent="0.2">
      <c r="A47" s="3" t="s">
        <v>0</v>
      </c>
      <c r="B47" s="5" t="s">
        <v>1</v>
      </c>
      <c r="H47" s="10" t="s">
        <v>888</v>
      </c>
      <c r="I47" s="25" t="e">
        <f ca="1">_xll.EVPRO($B$1,$H47,"STYLE")</f>
        <v>#NAME?</v>
      </c>
      <c r="J47" s="25" t="e">
        <f ca="1">_xll.EVPRO($B$1,$H47,"CALC")</f>
        <v>#NAME?</v>
      </c>
      <c r="K47" s="64" t="e">
        <f ca="1">IF(AND(I47&gt;="T3"),"&gt;","")</f>
        <v>#NAME?</v>
      </c>
      <c r="L47" s="24" t="e">
        <f ca="1">_xll.EVPRO($B$1,H47,"JDEID")</f>
        <v>#NAME?</v>
      </c>
      <c r="M47" s="24" t="e">
        <f ca="1">IF(AND(I47="N",J47="N"),_xll.EVPRO($B$1,H47,"PSFTID"),"")</f>
        <v>#NAME?</v>
      </c>
      <c r="N47" s="24" t="e">
        <f ca="1">IF(_xll.EVDES(H47,$B$1)="#NODATA","",_xll.EVDES(H47,$B$1))</f>
        <v>#NAME?</v>
      </c>
      <c r="O47" s="19">
        <v>255</v>
      </c>
      <c r="P47" s="19">
        <v>255</v>
      </c>
      <c r="Q47" s="19">
        <v>255</v>
      </c>
      <c r="R47" s="19">
        <v>255</v>
      </c>
      <c r="S47" s="19">
        <v>255</v>
      </c>
      <c r="T47" s="19">
        <v>255</v>
      </c>
      <c r="U47" s="19">
        <v>255</v>
      </c>
      <c r="V47" s="19">
        <v>847</v>
      </c>
      <c r="W47" s="19">
        <v>1926.63</v>
      </c>
      <c r="X47" s="19">
        <v>255</v>
      </c>
      <c r="Y47" s="19">
        <v>255</v>
      </c>
      <c r="Z47" s="19">
        <v>441</v>
      </c>
      <c r="AA47" s="35" t="e">
        <f t="shared" ref="AA47:AA53" ca="1" si="20">IF($I47="B1","",SUM(O47:Z47))</f>
        <v>#NAME?</v>
      </c>
      <c r="AB47" s="15" t="e">
        <f t="shared" ref="AB47:AB53" ca="1" si="21">IF(AA47=0,"",IFERROR(AA47/AA$19,""))</f>
        <v>#NAME?</v>
      </c>
      <c r="AD47" s="19">
        <v>6116</v>
      </c>
      <c r="AE47" s="15" t="str">
        <f t="shared" ref="AE47:AE53" ca="1" si="22">IF(AD47=0,"",IFERROR(AD47/AD$19,""))</f>
        <v/>
      </c>
      <c r="AF47" s="47" t="e">
        <f t="shared" ref="AF47:AF53" ca="1" si="23">IF(AND($AA47="",AD47=""),"",$AA47-AD47)</f>
        <v>#NAME?</v>
      </c>
      <c r="AG47" s="19">
        <v>5920.9</v>
      </c>
      <c r="AH47" s="15" t="str">
        <f ca="1">IF(AG47=0,"",IFERROR(AG47/AG$19,""))</f>
        <v/>
      </c>
      <c r="AI47" s="47" t="e">
        <f ca="1">IF(AND($AA47="",AG47=""),"",$AA47-AG47)</f>
        <v>#NAME?</v>
      </c>
      <c r="AJ47" s="371">
        <f ca="1">IFERROR(AA47/AA$20,0)</f>
        <v>0</v>
      </c>
      <c r="AK47" s="372">
        <f ca="1">IFERROR(AD47/AD$20,0)</f>
        <v>0</v>
      </c>
      <c r="AL47" s="373">
        <f ca="1">IFERROR(AG47/AG$20,0)</f>
        <v>0</v>
      </c>
      <c r="AM47" s="374">
        <f ca="1">+IFERROR(ROUND(($AB47-AE47)*100,2)&amp;" pts.",0)</f>
        <v>0</v>
      </c>
      <c r="AN47" s="375">
        <f ca="1">+IFERROR(ROUND(($AB47-AH47)*100,2)&amp;" pts.",0)</f>
        <v>0</v>
      </c>
    </row>
    <row r="48" spans="1:40" x14ac:dyDescent="0.2">
      <c r="A48" s="6" t="s">
        <v>2</v>
      </c>
      <c r="B48" s="7" t="e">
        <f ca="1">_xll.EVRNG($B$2:$B$10)</f>
        <v>#NAME?</v>
      </c>
      <c r="H48" s="10" t="s">
        <v>889</v>
      </c>
      <c r="I48" s="25" t="e">
        <f ca="1">_xll.EVPRO($B$1,$H48,"STYLE")</f>
        <v>#NAME?</v>
      </c>
      <c r="J48" s="25" t="e">
        <f ca="1">_xll.EVPRO($B$1,$H48,"CALC")</f>
        <v>#NAME?</v>
      </c>
      <c r="K48" s="64" t="e">
        <f t="shared" ref="K48:K52" ca="1" si="24">IF(AND(I48&gt;="T3"),"&gt;","")</f>
        <v>#NAME?</v>
      </c>
      <c r="L48" s="24" t="e">
        <f ca="1">_xll.EVPRO($B$1,H48,"JDEID")</f>
        <v>#NAME?</v>
      </c>
      <c r="M48" s="24" t="e">
        <f ca="1">IF(AND(I48="N",J48="N"),_xll.EVPRO($B$1,H48,"PSFTID"),"")</f>
        <v>#NAME?</v>
      </c>
      <c r="N48" s="24" t="e">
        <f ca="1">IF(_xll.EVDES(H48,$B$1)="#NODATA","",_xll.EVDES(H48,$B$1))</f>
        <v>#NAME?</v>
      </c>
      <c r="O48" s="19">
        <v>168.53</v>
      </c>
      <c r="P48" s="19"/>
      <c r="Q48" s="19"/>
      <c r="R48" s="19"/>
      <c r="S48" s="19"/>
      <c r="T48" s="19"/>
      <c r="U48" s="19"/>
      <c r="V48" s="19"/>
      <c r="W48" s="19"/>
      <c r="X48" s="19"/>
      <c r="Y48" s="19"/>
      <c r="Z48" s="19"/>
      <c r="AA48" s="35" t="e">
        <f t="shared" ca="1" si="20"/>
        <v>#NAME?</v>
      </c>
      <c r="AB48" s="15" t="e">
        <f t="shared" ca="1" si="21"/>
        <v>#NAME?</v>
      </c>
      <c r="AD48" s="19"/>
      <c r="AE48" s="15" t="str">
        <f t="shared" si="22"/>
        <v/>
      </c>
      <c r="AF48" s="47" t="e">
        <f t="shared" ca="1" si="23"/>
        <v>#NAME?</v>
      </c>
      <c r="AG48" s="19">
        <v>21508.54</v>
      </c>
      <c r="AH48" s="15" t="str">
        <f t="shared" ref="AH48:AH52" ca="1" si="25">IF(AG48=0,"",IFERROR(AG48/AG$19,""))</f>
        <v/>
      </c>
      <c r="AI48" s="47" t="e">
        <f t="shared" ref="AI48:AI52" ca="1" si="26">IF(AND($AA48="",AG48=""),"",$AA48-AG48)</f>
        <v>#NAME?</v>
      </c>
      <c r="AJ48" s="371">
        <f t="shared" ref="AJ48:AJ52" ca="1" si="27">IFERROR(AA48/AA$20,0)</f>
        <v>0</v>
      </c>
      <c r="AK48" s="372">
        <f t="shared" ref="AK48:AK52" ca="1" si="28">IFERROR(AD48/AD$20,0)</f>
        <v>0</v>
      </c>
      <c r="AL48" s="373">
        <f t="shared" ref="AL48:AL52" ca="1" si="29">IFERROR(AG48/AG$20,0)</f>
        <v>0</v>
      </c>
      <c r="AM48" s="374">
        <f t="shared" ref="AM48:AM52" ca="1" si="30">+IFERROR(ROUND(($AB48-AE48)*100,2)&amp;" pts.",0)</f>
        <v>0</v>
      </c>
      <c r="AN48" s="375">
        <f t="shared" ref="AN48:AN52" ca="1" si="31">+IFERROR(ROUND(($AB48-AH48)*100,2)&amp;" pts.",0)</f>
        <v>0</v>
      </c>
    </row>
    <row r="49" spans="1:40" x14ac:dyDescent="0.2">
      <c r="A49" s="6" t="s">
        <v>3</v>
      </c>
      <c r="B49" s="7" t="e">
        <f ca="1">_xll.EVRNG($O$16:$AN$18)</f>
        <v>#NAME?</v>
      </c>
      <c r="H49" s="10" t="s">
        <v>890</v>
      </c>
      <c r="I49" s="25" t="e">
        <f ca="1">_xll.EVPRO($B$1,$H49,"STYLE")</f>
        <v>#NAME?</v>
      </c>
      <c r="J49" s="25" t="e">
        <f ca="1">_xll.EVPRO($B$1,$H49,"CALC")</f>
        <v>#NAME?</v>
      </c>
      <c r="K49" s="64" t="e">
        <f t="shared" ca="1" si="24"/>
        <v>#NAME?</v>
      </c>
      <c r="L49" s="24" t="e">
        <f ca="1">_xll.EVPRO($B$1,H49,"JDEID")</f>
        <v>#NAME?</v>
      </c>
      <c r="M49" s="24" t="e">
        <f ca="1">IF(AND(I49="N",J49="N"),_xll.EVPRO($B$1,H49,"PSFTID"),"")</f>
        <v>#NAME?</v>
      </c>
      <c r="N49" s="24" t="e">
        <f ca="1">IF(_xll.EVDES(H49,$B$1)="#NODATA","",_xll.EVDES(H49,$B$1))</f>
        <v>#NAME?</v>
      </c>
      <c r="O49" s="19">
        <v>586</v>
      </c>
      <c r="P49" s="19">
        <v>828.87</v>
      </c>
      <c r="Q49" s="19">
        <v>1534.56</v>
      </c>
      <c r="R49" s="19">
        <v>3091.68</v>
      </c>
      <c r="S49" s="19">
        <v>402.64</v>
      </c>
      <c r="T49" s="19">
        <v>586</v>
      </c>
      <c r="U49" s="19">
        <v>744</v>
      </c>
      <c r="V49" s="19">
        <v>-1032.4000000000001</v>
      </c>
      <c r="W49" s="19">
        <v>-2009.28</v>
      </c>
      <c r="X49" s="19">
        <v>523.91999999999996</v>
      </c>
      <c r="Y49" s="19">
        <v>538.08000000000004</v>
      </c>
      <c r="Z49" s="19"/>
      <c r="AA49" s="35" t="e">
        <f t="shared" ca="1" si="20"/>
        <v>#NAME?</v>
      </c>
      <c r="AB49" s="15" t="e">
        <f t="shared" ca="1" si="21"/>
        <v>#NAME?</v>
      </c>
      <c r="AD49" s="19">
        <v>11602</v>
      </c>
      <c r="AE49" s="15" t="str">
        <f t="shared" ca="1" si="22"/>
        <v/>
      </c>
      <c r="AF49" s="47" t="e">
        <f t="shared" ca="1" si="23"/>
        <v>#NAME?</v>
      </c>
      <c r="AG49" s="19">
        <v>7058.65</v>
      </c>
      <c r="AH49" s="15" t="str">
        <f t="shared" ca="1" si="25"/>
        <v/>
      </c>
      <c r="AI49" s="47" t="e">
        <f t="shared" ca="1" si="26"/>
        <v>#NAME?</v>
      </c>
      <c r="AJ49" s="371">
        <f t="shared" ca="1" si="27"/>
        <v>0</v>
      </c>
      <c r="AK49" s="372">
        <f t="shared" ca="1" si="28"/>
        <v>0</v>
      </c>
      <c r="AL49" s="373">
        <f t="shared" ca="1" si="29"/>
        <v>0</v>
      </c>
      <c r="AM49" s="374">
        <f t="shared" ca="1" si="30"/>
        <v>0</v>
      </c>
      <c r="AN49" s="375">
        <f t="shared" ca="1" si="31"/>
        <v>0</v>
      </c>
    </row>
    <row r="50" spans="1:40" x14ac:dyDescent="0.2">
      <c r="A50" s="6" t="s">
        <v>4</v>
      </c>
      <c r="B50" s="7" t="e">
        <f ca="1">_xll.EVRNG(H39:H43)</f>
        <v>#NAME?</v>
      </c>
      <c r="H50" s="10" t="s">
        <v>891</v>
      </c>
      <c r="I50" s="25" t="e">
        <f ca="1">_xll.EVPRO($B$1,$H50,"STYLE")</f>
        <v>#NAME?</v>
      </c>
      <c r="J50" s="25" t="e">
        <f ca="1">_xll.EVPRO($B$1,$H50,"CALC")</f>
        <v>#NAME?</v>
      </c>
      <c r="K50" s="64" t="e">
        <f t="shared" ca="1" si="24"/>
        <v>#NAME?</v>
      </c>
      <c r="L50" s="24" t="e">
        <f ca="1">_xll.EVPRO($B$1,H50,"JDEID")</f>
        <v>#NAME?</v>
      </c>
      <c r="M50" s="24" t="e">
        <f ca="1">IF(AND(I50="N",J50="N"),_xll.EVPRO($B$1,H50,"PSFTID"),"")</f>
        <v>#NAME?</v>
      </c>
      <c r="N50" s="24" t="e">
        <f ca="1">IF(_xll.EVDES(H50,$B$1)="#NODATA","",_xll.EVDES(H50,$B$1))</f>
        <v>#NAME?</v>
      </c>
      <c r="O50" s="19"/>
      <c r="P50" s="19"/>
      <c r="Q50" s="19">
        <v>1639.2</v>
      </c>
      <c r="R50" s="19"/>
      <c r="S50" s="19">
        <v>29.95</v>
      </c>
      <c r="T50" s="19">
        <v>2943.89</v>
      </c>
      <c r="U50" s="19">
        <v>1845</v>
      </c>
      <c r="V50" s="19">
        <v>209.08</v>
      </c>
      <c r="W50" s="19">
        <v>95</v>
      </c>
      <c r="X50" s="19">
        <v>305.20999999999998</v>
      </c>
      <c r="Y50" s="19">
        <v>72.400000000000006</v>
      </c>
      <c r="Z50" s="19">
        <v>101.5</v>
      </c>
      <c r="AA50" s="35" t="e">
        <f t="shared" ca="1" si="20"/>
        <v>#NAME?</v>
      </c>
      <c r="AB50" s="15" t="e">
        <f t="shared" ca="1" si="21"/>
        <v>#NAME?</v>
      </c>
      <c r="AD50" s="19">
        <v>7733.0000000004002</v>
      </c>
      <c r="AE50" s="15" t="str">
        <f t="shared" ca="1" si="22"/>
        <v/>
      </c>
      <c r="AF50" s="47" t="e">
        <f t="shared" ca="1" si="23"/>
        <v>#NAME?</v>
      </c>
      <c r="AG50" s="19">
        <v>6942.26</v>
      </c>
      <c r="AH50" s="15" t="str">
        <f t="shared" ca="1" si="25"/>
        <v/>
      </c>
      <c r="AI50" s="47" t="e">
        <f t="shared" ca="1" si="26"/>
        <v>#NAME?</v>
      </c>
      <c r="AJ50" s="371">
        <f t="shared" ca="1" si="27"/>
        <v>0</v>
      </c>
      <c r="AK50" s="372">
        <f t="shared" ca="1" si="28"/>
        <v>0</v>
      </c>
      <c r="AL50" s="373">
        <f t="shared" ca="1" si="29"/>
        <v>0</v>
      </c>
      <c r="AM50" s="374">
        <f t="shared" ca="1" si="30"/>
        <v>0</v>
      </c>
      <c r="AN50" s="375">
        <f t="shared" ca="1" si="31"/>
        <v>0</v>
      </c>
    </row>
    <row r="51" spans="1:40" x14ac:dyDescent="0.2">
      <c r="A51" s="6" t="s">
        <v>5</v>
      </c>
      <c r="B51" s="7"/>
      <c r="H51" s="10" t="s">
        <v>892</v>
      </c>
      <c r="I51" s="25" t="e">
        <f ca="1">_xll.EVPRO($B$1,$H51,"STYLE")</f>
        <v>#NAME?</v>
      </c>
      <c r="J51" s="25" t="e">
        <f ca="1">_xll.EVPRO($B$1,$H51,"CALC")</f>
        <v>#NAME?</v>
      </c>
      <c r="K51" s="64" t="e">
        <f t="shared" ca="1" si="24"/>
        <v>#NAME?</v>
      </c>
      <c r="L51" s="24" t="e">
        <f ca="1">_xll.EVPRO($B$1,H51,"JDEID")</f>
        <v>#NAME?</v>
      </c>
      <c r="M51" s="24" t="e">
        <f ca="1">IF(AND(I51="N",J51="N"),_xll.EVPRO($B$1,H51,"PSFTID"),"")</f>
        <v>#NAME?</v>
      </c>
      <c r="N51" s="24" t="e">
        <f ca="1">IF(_xll.EVDES(H51,$B$1)="#NODATA","",_xll.EVDES(H51,$B$1))</f>
        <v>#NAME?</v>
      </c>
      <c r="O51" s="19">
        <v>4436</v>
      </c>
      <c r="P51" s="19">
        <v>261</v>
      </c>
      <c r="Q51" s="19">
        <v>605</v>
      </c>
      <c r="R51" s="19">
        <v>261</v>
      </c>
      <c r="S51" s="19">
        <v>1836</v>
      </c>
      <c r="T51" s="19"/>
      <c r="U51" s="19">
        <v>261</v>
      </c>
      <c r="V51" s="19">
        <v>522</v>
      </c>
      <c r="W51" s="19">
        <v>261</v>
      </c>
      <c r="X51" s="19">
        <v>261</v>
      </c>
      <c r="Y51" s="19">
        <v>121.8</v>
      </c>
      <c r="Z51" s="19">
        <v>2835.86</v>
      </c>
      <c r="AA51" s="35" t="e">
        <f t="shared" ca="1" si="20"/>
        <v>#NAME?</v>
      </c>
      <c r="AB51" s="15" t="e">
        <f t="shared" ca="1" si="21"/>
        <v>#NAME?</v>
      </c>
      <c r="AD51" s="19">
        <v>10259</v>
      </c>
      <c r="AE51" s="15" t="str">
        <f t="shared" ca="1" si="22"/>
        <v/>
      </c>
      <c r="AF51" s="47" t="e">
        <f t="shared" ca="1" si="23"/>
        <v>#NAME?</v>
      </c>
      <c r="AG51" s="19">
        <v>10892.2</v>
      </c>
      <c r="AH51" s="15" t="str">
        <f t="shared" ca="1" si="25"/>
        <v/>
      </c>
      <c r="AI51" s="47" t="e">
        <f t="shared" ca="1" si="26"/>
        <v>#NAME?</v>
      </c>
      <c r="AJ51" s="371">
        <f t="shared" ca="1" si="27"/>
        <v>0</v>
      </c>
      <c r="AK51" s="372">
        <f t="shared" ca="1" si="28"/>
        <v>0</v>
      </c>
      <c r="AL51" s="373">
        <f t="shared" ca="1" si="29"/>
        <v>0</v>
      </c>
      <c r="AM51" s="374">
        <f t="shared" ca="1" si="30"/>
        <v>0</v>
      </c>
      <c r="AN51" s="375">
        <f t="shared" ca="1" si="31"/>
        <v>0</v>
      </c>
    </row>
    <row r="52" spans="1:40" x14ac:dyDescent="0.2">
      <c r="A52" s="6" t="s">
        <v>6</v>
      </c>
      <c r="B52" s="7"/>
      <c r="H52" s="10" t="s">
        <v>893</v>
      </c>
      <c r="I52" s="25" t="e">
        <f ca="1">_xll.EVPRO($B$1,$H52,"STYLE")</f>
        <v>#NAME?</v>
      </c>
      <c r="J52" s="25" t="e">
        <f ca="1">_xll.EVPRO($B$1,$H52,"CALC")</f>
        <v>#NAME?</v>
      </c>
      <c r="K52" s="64" t="e">
        <f t="shared" ca="1" si="24"/>
        <v>#NAME?</v>
      </c>
      <c r="L52" s="24" t="e">
        <f ca="1">_xll.EVPRO($B$1,H52,"JDEID")</f>
        <v>#NAME?</v>
      </c>
      <c r="M52" s="24" t="e">
        <f ca="1">IF(AND(I52="N",J52="N"),_xll.EVPRO($B$1,H52,"PSFTID"),"")</f>
        <v>#NAME?</v>
      </c>
      <c r="N52" s="24" t="e">
        <f ca="1">IF(_xll.EVDES(H52,$B$1)="#NODATA","",_xll.EVDES(H52,$B$1))</f>
        <v>#NAME?</v>
      </c>
      <c r="O52" s="19">
        <v>1783.15</v>
      </c>
      <c r="P52" s="19">
        <v>7910.66</v>
      </c>
      <c r="Q52" s="19">
        <v>3597.66</v>
      </c>
      <c r="R52" s="19">
        <v>1299.6300000000001</v>
      </c>
      <c r="S52" s="19">
        <v>2226.5</v>
      </c>
      <c r="T52" s="19">
        <v>-930.84</v>
      </c>
      <c r="U52" s="19">
        <v>528.48</v>
      </c>
      <c r="V52" s="19">
        <v>-245</v>
      </c>
      <c r="W52" s="19">
        <v>200</v>
      </c>
      <c r="X52" s="19">
        <v>114</v>
      </c>
      <c r="Y52" s="19">
        <v>436.44</v>
      </c>
      <c r="Z52" s="19">
        <v>2472</v>
      </c>
      <c r="AA52" s="35" t="e">
        <f t="shared" ca="1" si="20"/>
        <v>#NAME?</v>
      </c>
      <c r="AB52" s="15" t="e">
        <f t="shared" ca="1" si="21"/>
        <v>#NAME?</v>
      </c>
      <c r="AD52" s="19">
        <v>18162</v>
      </c>
      <c r="AE52" s="15" t="str">
        <f t="shared" ca="1" si="22"/>
        <v/>
      </c>
      <c r="AF52" s="47" t="e">
        <f t="shared" ca="1" si="23"/>
        <v>#NAME?</v>
      </c>
      <c r="AG52" s="19">
        <v>20653.46</v>
      </c>
      <c r="AH52" s="15" t="str">
        <f t="shared" ca="1" si="25"/>
        <v/>
      </c>
      <c r="AI52" s="47" t="e">
        <f t="shared" ca="1" si="26"/>
        <v>#NAME?</v>
      </c>
      <c r="AJ52" s="371">
        <f t="shared" ca="1" si="27"/>
        <v>0</v>
      </c>
      <c r="AK52" s="372">
        <f t="shared" ca="1" si="28"/>
        <v>0</v>
      </c>
      <c r="AL52" s="373">
        <f t="shared" ca="1" si="29"/>
        <v>0</v>
      </c>
      <c r="AM52" s="374">
        <f t="shared" ca="1" si="30"/>
        <v>0</v>
      </c>
      <c r="AN52" s="375">
        <f t="shared" ca="1" si="31"/>
        <v>0</v>
      </c>
    </row>
    <row r="53" spans="1:40" x14ac:dyDescent="0.2">
      <c r="A53" s="6" t="s">
        <v>7</v>
      </c>
      <c r="B53" s="7"/>
      <c r="H53" s="10" t="s">
        <v>502</v>
      </c>
      <c r="I53" s="25" t="e">
        <f ca="1">_xll.EVPRO($B$1,$H53,"STYLE")</f>
        <v>#NAME?</v>
      </c>
      <c r="J53" s="25" t="e">
        <f ca="1">_xll.EVPRO($B$1,$H53,"CALC")</f>
        <v>#NAME?</v>
      </c>
      <c r="K53" s="64"/>
      <c r="L53" s="24" t="e">
        <f ca="1">_xll.EVPRO($B$1,H53,"JDEID")</f>
        <v>#NAME?</v>
      </c>
      <c r="M53" s="24" t="e">
        <f ca="1">IF(AND(I53="N",J53="N"),_xll.EVPRO($B$1,H53,"PSFTID"),"")</f>
        <v>#NAME?</v>
      </c>
      <c r="N53" s="23" t="e">
        <f ca="1">IF(_xll.EVDES(H53,$B$1)="#NODATA","",_xll.EVDES(H53,$B$1))</f>
        <v>#NAME?</v>
      </c>
      <c r="O53" s="30">
        <f t="shared" ref="O53:Z53" si="32">SUM(O47:O52)</f>
        <v>7228.68</v>
      </c>
      <c r="P53" s="30">
        <f t="shared" si="32"/>
        <v>9255.5299999999988</v>
      </c>
      <c r="Q53" s="30">
        <f t="shared" si="32"/>
        <v>7631.42</v>
      </c>
      <c r="R53" s="30">
        <f t="shared" si="32"/>
        <v>4907.3099999999995</v>
      </c>
      <c r="S53" s="30">
        <f t="shared" si="32"/>
        <v>4750.09</v>
      </c>
      <c r="T53" s="30">
        <f t="shared" si="32"/>
        <v>2854.0499999999997</v>
      </c>
      <c r="U53" s="30">
        <f t="shared" si="32"/>
        <v>3633.48</v>
      </c>
      <c r="V53" s="30">
        <f t="shared" si="32"/>
        <v>300.67999999999995</v>
      </c>
      <c r="W53" s="30">
        <f t="shared" si="32"/>
        <v>473.35000000000014</v>
      </c>
      <c r="X53" s="30">
        <f t="shared" si="32"/>
        <v>1459.1299999999999</v>
      </c>
      <c r="Y53" s="30">
        <f t="shared" si="32"/>
        <v>1423.72</v>
      </c>
      <c r="Z53" s="30">
        <f t="shared" si="32"/>
        <v>5850.3600000000006</v>
      </c>
      <c r="AA53" s="30" t="e">
        <f t="shared" ca="1" si="20"/>
        <v>#NAME?</v>
      </c>
      <c r="AB53" s="31" t="e">
        <f t="shared" ca="1" si="21"/>
        <v>#NAME?</v>
      </c>
      <c r="AD53" s="30">
        <f>SUM(AD47:AD52)</f>
        <v>53872.0000000004</v>
      </c>
      <c r="AE53" s="31" t="str">
        <f t="shared" ca="1" si="22"/>
        <v/>
      </c>
      <c r="AF53" s="49" t="e">
        <f t="shared" ca="1" si="23"/>
        <v>#NAME?</v>
      </c>
      <c r="AG53" s="30">
        <f>SUM(AG47:AG52)</f>
        <v>72976.010000000009</v>
      </c>
      <c r="AH53" s="31" t="str">
        <f ca="1">IF(AG53=0,"",IFERROR(AG53/AG$19,""))</f>
        <v/>
      </c>
      <c r="AI53" s="49" t="e">
        <f ca="1">IF(AND($AA53="",AG53=""),"",$AA53-AG53)</f>
        <v>#NAME?</v>
      </c>
      <c r="AJ53" s="387">
        <f ca="1">IFERROR(AA53/AA$20,0)</f>
        <v>0</v>
      </c>
      <c r="AK53" s="388">
        <f ca="1">IFERROR(AD53/AD$20,0)</f>
        <v>0</v>
      </c>
      <c r="AL53" s="389">
        <f ca="1">IFERROR(AG53/AG$20,0)</f>
        <v>0</v>
      </c>
      <c r="AM53" s="390">
        <f ca="1">+IFERROR(ROUND(($AB53-AE53)*100,2)&amp;" pts.",0)</f>
        <v>0</v>
      </c>
      <c r="AN53" s="408">
        <f ca="1">+IFERROR(ROUND(($AB53-AH53)*100,2)&amp;" pts.",0)</f>
        <v>0</v>
      </c>
    </row>
    <row r="54" spans="1:40" x14ac:dyDescent="0.2">
      <c r="A54" s="6" t="s">
        <v>47</v>
      </c>
      <c r="B54" s="7" t="e">
        <f ca="1">_xll.EVRNG($A$105:$B$126)</f>
        <v>#NAME?</v>
      </c>
      <c r="H54" s="64"/>
      <c r="I54" s="64"/>
      <c r="J54" s="64"/>
      <c r="K54" s="64"/>
      <c r="L54" s="24"/>
      <c r="M54" s="24"/>
      <c r="N54" s="23"/>
      <c r="O54" s="38"/>
      <c r="P54" s="42"/>
      <c r="Q54" s="42"/>
      <c r="R54" s="42"/>
      <c r="S54" s="42"/>
      <c r="T54" s="42"/>
      <c r="U54" s="42"/>
      <c r="V54" s="42"/>
      <c r="W54" s="42"/>
      <c r="X54" s="42"/>
      <c r="Y54" s="42"/>
      <c r="Z54" s="42"/>
      <c r="AA54" s="42"/>
      <c r="AB54" s="39"/>
      <c r="AD54" s="38"/>
      <c r="AE54" s="42"/>
      <c r="AF54" s="39"/>
      <c r="AG54" s="38"/>
      <c r="AH54" s="42"/>
      <c r="AI54" s="39"/>
    </row>
    <row r="55" spans="1:40" x14ac:dyDescent="0.2">
      <c r="A55" s="6" t="s">
        <v>8</v>
      </c>
      <c r="B55" s="7"/>
      <c r="H55" s="1" t="s">
        <v>82</v>
      </c>
      <c r="I55" s="11" t="e">
        <f ca="1">_xll.EVPRO($B$1,$H55,"STYLE")</f>
        <v>#NAME?</v>
      </c>
      <c r="J55" s="11" t="e">
        <f ca="1">_xll.EVPRO($B$1,$H55,"CALC")</f>
        <v>#NAME?</v>
      </c>
      <c r="L55" s="1"/>
      <c r="M55" s="1"/>
      <c r="N55" s="37" t="e">
        <f ca="1">IF(_xll.EVDES(H55,$B$1)="#NODATA","",_xll.EVDES(H55,$B$1))</f>
        <v>#NAME?</v>
      </c>
      <c r="O55" s="40"/>
      <c r="P55" s="43"/>
      <c r="Q55" s="43"/>
      <c r="R55" s="43"/>
      <c r="S55" s="43"/>
      <c r="T55" s="43"/>
      <c r="U55" s="43"/>
      <c r="V55" s="43"/>
      <c r="W55" s="43"/>
      <c r="X55" s="43"/>
      <c r="Y55" s="43"/>
      <c r="Z55" s="43"/>
      <c r="AA55" s="43"/>
      <c r="AB55" s="41"/>
      <c r="AD55" s="40"/>
      <c r="AE55" s="43"/>
      <c r="AF55" s="41"/>
      <c r="AG55" s="40"/>
      <c r="AH55" s="43"/>
      <c r="AI55" s="41"/>
    </row>
    <row r="56" spans="1:40" x14ac:dyDescent="0.2">
      <c r="H56" s="10" t="s">
        <v>829</v>
      </c>
      <c r="I56" s="25" t="e">
        <f ca="1">_xll.EVPRO($B$1,$H56,"STYLE")</f>
        <v>#NAME?</v>
      </c>
      <c r="J56" s="25" t="e">
        <f ca="1">_xll.EVPRO($B$1,$H56,"CALC")</f>
        <v>#NAME?</v>
      </c>
      <c r="K56" s="64" t="e">
        <f ca="1">IF(AND(I56&gt;="T3"),"&gt;","")</f>
        <v>#NAME?</v>
      </c>
      <c r="L56" s="24" t="e">
        <f ca="1">_xll.EVPRO($B$1,H56,"JDEID")</f>
        <v>#NAME?</v>
      </c>
      <c r="M56" s="24" t="e">
        <f ca="1">IF(AND(I56="N",J56="N"),_xll.EVPRO($B$1,H56,"PSFTID"),"")</f>
        <v>#NAME?</v>
      </c>
      <c r="N56" s="24" t="e">
        <f ca="1">IF(_xll.EVDES(H56,$B$1)="#NODATA","",_xll.EVDES(H56,$B$1))</f>
        <v>#NAME?</v>
      </c>
      <c r="O56" s="19"/>
      <c r="P56" s="19"/>
      <c r="Q56" s="19"/>
      <c r="R56" s="19"/>
      <c r="S56" s="19"/>
      <c r="T56" s="19"/>
      <c r="U56" s="19"/>
      <c r="V56" s="19"/>
      <c r="W56" s="19"/>
      <c r="X56" s="19">
        <v>4.3099999999999996</v>
      </c>
      <c r="Y56" s="19"/>
      <c r="Z56" s="19"/>
      <c r="AA56" s="35" t="e">
        <f t="shared" ref="AA56:AA62" ca="1" si="33">IF($I56="B1","",SUM(O56:Z56))</f>
        <v>#NAME?</v>
      </c>
      <c r="AB56" s="15" t="e">
        <f t="shared" ref="AB56:AB62" ca="1" si="34">IF(AA56=0,"",IFERROR(AA56/AA$19,""))</f>
        <v>#NAME?</v>
      </c>
      <c r="AD56" s="19"/>
      <c r="AE56" s="15" t="str">
        <f t="shared" ref="AE56:AE62" si="35">IF(AD56=0,"",IFERROR(AD56/AD$19,""))</f>
        <v/>
      </c>
      <c r="AF56" s="47" t="e">
        <f t="shared" ref="AF56:AF62" ca="1" si="36">IF(AND($AA56="",AD56=""),"",$AA56-AD56)</f>
        <v>#NAME?</v>
      </c>
      <c r="AG56" s="19"/>
      <c r="AH56" s="15" t="str">
        <f>IF(AG56=0,"",IFERROR(AG56/AG$19,""))</f>
        <v/>
      </c>
      <c r="AI56" s="47" t="e">
        <f ca="1">IF(AND($AA56="",AG56=""),"",$AA56-AG56)</f>
        <v>#NAME?</v>
      </c>
      <c r="AJ56" s="371">
        <f ca="1">IFERROR(AA56/AA$20,0)</f>
        <v>0</v>
      </c>
      <c r="AK56" s="372">
        <f ca="1">IFERROR(AD56/AD$20,0)</f>
        <v>0</v>
      </c>
      <c r="AL56" s="373">
        <f ca="1">IFERROR(AG56/AG$20,0)</f>
        <v>0</v>
      </c>
      <c r="AM56" s="374">
        <f ca="1">+IFERROR(ROUND(($AB56-AE56)*100,2)&amp;" pts.",0)</f>
        <v>0</v>
      </c>
      <c r="AN56" s="375">
        <f ca="1">+IFERROR(ROUND(($AB56-AH56)*100,2)&amp;" pts.",0)</f>
        <v>0</v>
      </c>
    </row>
    <row r="57" spans="1:40" x14ac:dyDescent="0.2">
      <c r="A57" s="3" t="s">
        <v>9</v>
      </c>
      <c r="B57" s="5" t="s">
        <v>10</v>
      </c>
      <c r="H57" s="10" t="s">
        <v>832</v>
      </c>
      <c r="I57" s="25" t="e">
        <f ca="1">_xll.EVPRO($B$1,$H57,"STYLE")</f>
        <v>#NAME?</v>
      </c>
      <c r="J57" s="25" t="e">
        <f ca="1">_xll.EVPRO($B$1,$H57,"CALC")</f>
        <v>#NAME?</v>
      </c>
      <c r="K57" s="64" t="e">
        <f t="shared" ref="K57:K61" ca="1" si="37">IF(AND(I57&gt;="T3"),"&gt;","")</f>
        <v>#NAME?</v>
      </c>
      <c r="L57" s="24" t="e">
        <f ca="1">_xll.EVPRO($B$1,H57,"JDEID")</f>
        <v>#NAME?</v>
      </c>
      <c r="M57" s="24" t="e">
        <f ca="1">IF(AND(I57="N",J57="N"),_xll.EVPRO($B$1,H57,"PSFTID"),"")</f>
        <v>#NAME?</v>
      </c>
      <c r="N57" s="24" t="e">
        <f ca="1">IF(_xll.EVDES(H57,$B$1)="#NODATA","",_xll.EVDES(H57,$B$1))</f>
        <v>#NAME?</v>
      </c>
      <c r="O57" s="19"/>
      <c r="P57" s="19"/>
      <c r="Q57" s="19"/>
      <c r="R57" s="19"/>
      <c r="S57" s="19"/>
      <c r="T57" s="19"/>
      <c r="U57" s="19"/>
      <c r="V57" s="19"/>
      <c r="W57" s="19"/>
      <c r="X57" s="19"/>
      <c r="Y57" s="19">
        <v>35</v>
      </c>
      <c r="Z57" s="19"/>
      <c r="AA57" s="35" t="e">
        <f t="shared" ca="1" si="33"/>
        <v>#NAME?</v>
      </c>
      <c r="AB57" s="15" t="e">
        <f t="shared" ca="1" si="34"/>
        <v>#NAME?</v>
      </c>
      <c r="AD57" s="19"/>
      <c r="AE57" s="15" t="str">
        <f t="shared" si="35"/>
        <v/>
      </c>
      <c r="AF57" s="47" t="e">
        <f t="shared" ca="1" si="36"/>
        <v>#NAME?</v>
      </c>
      <c r="AG57" s="19"/>
      <c r="AH57" s="15" t="str">
        <f t="shared" ref="AH57:AH61" si="38">IF(AG57=0,"",IFERROR(AG57/AG$19,""))</f>
        <v/>
      </c>
      <c r="AI57" s="47" t="e">
        <f t="shared" ref="AI57:AI61" ca="1" si="39">IF(AND($AA57="",AG57=""),"",$AA57-AG57)</f>
        <v>#NAME?</v>
      </c>
      <c r="AJ57" s="371">
        <f t="shared" ref="AJ57:AJ61" ca="1" si="40">IFERROR(AA57/AA$20,0)</f>
        <v>0</v>
      </c>
      <c r="AK57" s="372">
        <f t="shared" ref="AK57:AK61" ca="1" si="41">IFERROR(AD57/AD$20,0)</f>
        <v>0</v>
      </c>
      <c r="AL57" s="373">
        <f t="shared" ref="AL57:AL61" ca="1" si="42">IFERROR(AG57/AG$20,0)</f>
        <v>0</v>
      </c>
      <c r="AM57" s="374">
        <f t="shared" ref="AM57:AM61" ca="1" si="43">+IFERROR(ROUND(($AB57-AE57)*100,2)&amp;" pts.",0)</f>
        <v>0</v>
      </c>
      <c r="AN57" s="375">
        <f t="shared" ref="AN57:AN61" ca="1" si="44">+IFERROR(ROUND(($AB57-AH57)*100,2)&amp;" pts.",0)</f>
        <v>0</v>
      </c>
    </row>
    <row r="58" spans="1:40" x14ac:dyDescent="0.2">
      <c r="A58" s="6" t="s">
        <v>11</v>
      </c>
      <c r="B58" s="7" t="s">
        <v>21</v>
      </c>
      <c r="H58" s="10" t="s">
        <v>833</v>
      </c>
      <c r="I58" s="25" t="e">
        <f ca="1">_xll.EVPRO($B$1,$H58,"STYLE")</f>
        <v>#NAME?</v>
      </c>
      <c r="J58" s="25" t="e">
        <f ca="1">_xll.EVPRO($B$1,$H58,"CALC")</f>
        <v>#NAME?</v>
      </c>
      <c r="K58" s="64" t="e">
        <f t="shared" ca="1" si="37"/>
        <v>#NAME?</v>
      </c>
      <c r="L58" s="24" t="e">
        <f ca="1">_xll.EVPRO($B$1,H58,"JDEID")</f>
        <v>#NAME?</v>
      </c>
      <c r="M58" s="24" t="e">
        <f ca="1">IF(AND(I58="N",J58="N"),_xll.EVPRO($B$1,H58,"PSFTID"),"")</f>
        <v>#NAME?</v>
      </c>
      <c r="N58" s="24" t="e">
        <f ca="1">IF(_xll.EVDES(H58,$B$1)="#NODATA","",_xll.EVDES(H58,$B$1))</f>
        <v>#NAME?</v>
      </c>
      <c r="O58" s="19">
        <v>91.83</v>
      </c>
      <c r="P58" s="19">
        <v>93.34</v>
      </c>
      <c r="Q58" s="19">
        <v>91.94</v>
      </c>
      <c r="R58" s="19">
        <v>91.42</v>
      </c>
      <c r="S58" s="19">
        <v>93.36</v>
      </c>
      <c r="T58" s="19">
        <v>126.03</v>
      </c>
      <c r="U58" s="19">
        <v>121.63</v>
      </c>
      <c r="V58" s="19">
        <v>187.46</v>
      </c>
      <c r="W58" s="19">
        <v>92.21</v>
      </c>
      <c r="X58" s="19">
        <v>96.41</v>
      </c>
      <c r="Y58" s="19">
        <v>94.94</v>
      </c>
      <c r="Z58" s="19">
        <v>94.94</v>
      </c>
      <c r="AA58" s="35" t="e">
        <f t="shared" ca="1" si="33"/>
        <v>#NAME?</v>
      </c>
      <c r="AB58" s="15" t="e">
        <f t="shared" ca="1" si="34"/>
        <v>#NAME?</v>
      </c>
      <c r="AD58" s="19">
        <v>1584</v>
      </c>
      <c r="AE58" s="15" t="str">
        <f t="shared" ca="1" si="35"/>
        <v/>
      </c>
      <c r="AF58" s="47" t="e">
        <f t="shared" ca="1" si="36"/>
        <v>#NAME?</v>
      </c>
      <c r="AG58" s="19">
        <v>1930.92</v>
      </c>
      <c r="AH58" s="15" t="str">
        <f t="shared" ca="1" si="38"/>
        <v/>
      </c>
      <c r="AI58" s="47" t="e">
        <f t="shared" ca="1" si="39"/>
        <v>#NAME?</v>
      </c>
      <c r="AJ58" s="371">
        <f t="shared" ca="1" si="40"/>
        <v>0</v>
      </c>
      <c r="AK58" s="372">
        <f t="shared" ca="1" si="41"/>
        <v>0</v>
      </c>
      <c r="AL58" s="373">
        <f t="shared" ca="1" si="42"/>
        <v>0</v>
      </c>
      <c r="AM58" s="374">
        <f t="shared" ca="1" si="43"/>
        <v>0</v>
      </c>
      <c r="AN58" s="375">
        <f t="shared" ca="1" si="44"/>
        <v>0</v>
      </c>
    </row>
    <row r="59" spans="1:40" x14ac:dyDescent="0.2">
      <c r="A59" s="6" t="s">
        <v>12</v>
      </c>
      <c r="B59" s="7" t="s">
        <v>22</v>
      </c>
      <c r="H59" s="10" t="s">
        <v>834</v>
      </c>
      <c r="I59" s="25" t="e">
        <f ca="1">_xll.EVPRO($B$1,$H59,"STYLE")</f>
        <v>#NAME?</v>
      </c>
      <c r="J59" s="25" t="e">
        <f ca="1">_xll.EVPRO($B$1,$H59,"CALC")</f>
        <v>#NAME?</v>
      </c>
      <c r="K59" s="64" t="e">
        <f t="shared" ca="1" si="37"/>
        <v>#NAME?</v>
      </c>
      <c r="L59" s="24" t="e">
        <f ca="1">_xll.EVPRO($B$1,H59,"JDEID")</f>
        <v>#NAME?</v>
      </c>
      <c r="M59" s="24" t="e">
        <f ca="1">IF(AND(I59="N",J59="N"),_xll.EVPRO($B$1,H59,"PSFTID"),"")</f>
        <v>#NAME?</v>
      </c>
      <c r="N59" s="24" t="e">
        <f ca="1">IF(_xll.EVDES(H59,$B$1)="#NODATA","",_xll.EVDES(H59,$B$1))</f>
        <v>#NAME?</v>
      </c>
      <c r="O59" s="19"/>
      <c r="P59" s="19"/>
      <c r="Q59" s="19"/>
      <c r="R59" s="19">
        <v>38.43</v>
      </c>
      <c r="S59" s="19">
        <v>25.23</v>
      </c>
      <c r="T59" s="19">
        <v>3</v>
      </c>
      <c r="U59" s="19">
        <v>12.86</v>
      </c>
      <c r="V59" s="19">
        <v>129.66999999999999</v>
      </c>
      <c r="W59" s="19">
        <v>66.44</v>
      </c>
      <c r="X59" s="19"/>
      <c r="Y59" s="19">
        <v>79.349999999999994</v>
      </c>
      <c r="Z59" s="19"/>
      <c r="AA59" s="35" t="e">
        <f t="shared" ca="1" si="33"/>
        <v>#NAME?</v>
      </c>
      <c r="AB59" s="15" t="e">
        <f t="shared" ca="1" si="34"/>
        <v>#NAME?</v>
      </c>
      <c r="AD59" s="19"/>
      <c r="AE59" s="15" t="str">
        <f t="shared" si="35"/>
        <v/>
      </c>
      <c r="AF59" s="47" t="e">
        <f t="shared" ca="1" si="36"/>
        <v>#NAME?</v>
      </c>
      <c r="AG59" s="19">
        <v>391.65</v>
      </c>
      <c r="AH59" s="15" t="str">
        <f t="shared" ca="1" si="38"/>
        <v/>
      </c>
      <c r="AI59" s="47" t="e">
        <f t="shared" ca="1" si="39"/>
        <v>#NAME?</v>
      </c>
      <c r="AJ59" s="371">
        <f t="shared" ca="1" si="40"/>
        <v>0</v>
      </c>
      <c r="AK59" s="372">
        <f t="shared" ca="1" si="41"/>
        <v>0</v>
      </c>
      <c r="AL59" s="373">
        <f t="shared" ca="1" si="42"/>
        <v>0</v>
      </c>
      <c r="AM59" s="374">
        <f t="shared" ca="1" si="43"/>
        <v>0</v>
      </c>
      <c r="AN59" s="375">
        <f t="shared" ca="1" si="44"/>
        <v>0</v>
      </c>
    </row>
    <row r="60" spans="1:40" x14ac:dyDescent="0.2">
      <c r="A60" s="6" t="s">
        <v>13</v>
      </c>
      <c r="B60" s="7" t="s">
        <v>505</v>
      </c>
      <c r="H60" s="10" t="s">
        <v>835</v>
      </c>
      <c r="I60" s="25" t="e">
        <f ca="1">_xll.EVPRO($B$1,$H60,"STYLE")</f>
        <v>#NAME?</v>
      </c>
      <c r="J60" s="25" t="e">
        <f ca="1">_xll.EVPRO($B$1,$H60,"CALC")</f>
        <v>#NAME?</v>
      </c>
      <c r="K60" s="64" t="e">
        <f t="shared" ca="1" si="37"/>
        <v>#NAME?</v>
      </c>
      <c r="L60" s="24" t="e">
        <f ca="1">_xll.EVPRO($B$1,H60,"JDEID")</f>
        <v>#NAME?</v>
      </c>
      <c r="M60" s="24" t="e">
        <f ca="1">IF(AND(I60="N",J60="N"),_xll.EVPRO($B$1,H60,"PSFTID"),"")</f>
        <v>#NAME?</v>
      </c>
      <c r="N60" s="24" t="e">
        <f ca="1">IF(_xll.EVDES(H60,$B$1)="#NODATA","",_xll.EVDES(H60,$B$1))</f>
        <v>#NAME?</v>
      </c>
      <c r="O60" s="19"/>
      <c r="P60" s="19"/>
      <c r="Q60" s="19"/>
      <c r="R60" s="19"/>
      <c r="S60" s="19"/>
      <c r="T60" s="19"/>
      <c r="U60" s="19"/>
      <c r="V60" s="19">
        <v>17.29</v>
      </c>
      <c r="W60" s="19">
        <v>10.88</v>
      </c>
      <c r="X60" s="19"/>
      <c r="Y60" s="19"/>
      <c r="Z60" s="19"/>
      <c r="AA60" s="35" t="e">
        <f t="shared" ca="1" si="33"/>
        <v>#NAME?</v>
      </c>
      <c r="AB60" s="15" t="e">
        <f t="shared" ca="1" si="34"/>
        <v>#NAME?</v>
      </c>
      <c r="AD60" s="19"/>
      <c r="AE60" s="15" t="str">
        <f t="shared" si="35"/>
        <v/>
      </c>
      <c r="AF60" s="47" t="e">
        <f t="shared" ca="1" si="36"/>
        <v>#NAME?</v>
      </c>
      <c r="AG60" s="19"/>
      <c r="AH60" s="15" t="str">
        <f t="shared" si="38"/>
        <v/>
      </c>
      <c r="AI60" s="47" t="e">
        <f t="shared" ca="1" si="39"/>
        <v>#NAME?</v>
      </c>
      <c r="AJ60" s="371">
        <f t="shared" ca="1" si="40"/>
        <v>0</v>
      </c>
      <c r="AK60" s="372">
        <f t="shared" ca="1" si="41"/>
        <v>0</v>
      </c>
      <c r="AL60" s="373">
        <f t="shared" ca="1" si="42"/>
        <v>0</v>
      </c>
      <c r="AM60" s="374">
        <f t="shared" ca="1" si="43"/>
        <v>0</v>
      </c>
      <c r="AN60" s="375">
        <f t="shared" ca="1" si="44"/>
        <v>0</v>
      </c>
    </row>
    <row r="61" spans="1:40" x14ac:dyDescent="0.2">
      <c r="A61" s="6" t="s">
        <v>14</v>
      </c>
      <c r="B61" s="14"/>
      <c r="H61" s="10" t="s">
        <v>846</v>
      </c>
      <c r="I61" s="25" t="e">
        <f ca="1">_xll.EVPRO($B$1,$H61,"STYLE")</f>
        <v>#NAME?</v>
      </c>
      <c r="J61" s="25" t="e">
        <f ca="1">_xll.EVPRO($B$1,$H61,"CALC")</f>
        <v>#NAME?</v>
      </c>
      <c r="K61" s="64" t="e">
        <f t="shared" ca="1" si="37"/>
        <v>#NAME?</v>
      </c>
      <c r="L61" s="24" t="e">
        <f ca="1">_xll.EVPRO($B$1,H61,"JDEID")</f>
        <v>#NAME?</v>
      </c>
      <c r="M61" s="24" t="e">
        <f ca="1">IF(AND(I61="N",J61="N"),_xll.EVPRO($B$1,H61,"PSFTID"),"")</f>
        <v>#NAME?</v>
      </c>
      <c r="N61" s="24" t="e">
        <f ca="1">IF(_xll.EVDES(H61,$B$1)="#NODATA","",_xll.EVDES(H61,$B$1))</f>
        <v>#NAME?</v>
      </c>
      <c r="O61" s="19">
        <v>7619.92</v>
      </c>
      <c r="P61" s="19">
        <v>8625.2800000000007</v>
      </c>
      <c r="Q61" s="19">
        <v>8599.5300000000007</v>
      </c>
      <c r="R61" s="19">
        <v>6695.29</v>
      </c>
      <c r="S61" s="19">
        <v>6086.1</v>
      </c>
      <c r="T61" s="19">
        <v>4165.3900000000003</v>
      </c>
      <c r="U61" s="19">
        <v>4216.96</v>
      </c>
      <c r="V61" s="19">
        <v>3819.42</v>
      </c>
      <c r="W61" s="19">
        <v>3201.56</v>
      </c>
      <c r="X61" s="19">
        <v>4664.67</v>
      </c>
      <c r="Y61" s="19">
        <v>6162.52</v>
      </c>
      <c r="Z61" s="19">
        <v>8213.5499999999993</v>
      </c>
      <c r="AA61" s="35" t="e">
        <f t="shared" ca="1" si="33"/>
        <v>#NAME?</v>
      </c>
      <c r="AB61" s="15" t="e">
        <f t="shared" ca="1" si="34"/>
        <v>#NAME?</v>
      </c>
      <c r="AD61" s="19">
        <v>73054.684559999994</v>
      </c>
      <c r="AE61" s="15" t="str">
        <f t="shared" ca="1" si="35"/>
        <v/>
      </c>
      <c r="AF61" s="47" t="e">
        <f t="shared" ca="1" si="36"/>
        <v>#NAME?</v>
      </c>
      <c r="AG61" s="19">
        <v>82451</v>
      </c>
      <c r="AH61" s="15" t="str">
        <f t="shared" ca="1" si="38"/>
        <v/>
      </c>
      <c r="AI61" s="47" t="e">
        <f t="shared" ca="1" si="39"/>
        <v>#NAME?</v>
      </c>
      <c r="AJ61" s="371">
        <f t="shared" ca="1" si="40"/>
        <v>0</v>
      </c>
      <c r="AK61" s="372">
        <f t="shared" ca="1" si="41"/>
        <v>0</v>
      </c>
      <c r="AL61" s="373">
        <f t="shared" ca="1" si="42"/>
        <v>0</v>
      </c>
      <c r="AM61" s="374">
        <f t="shared" ca="1" si="43"/>
        <v>0</v>
      </c>
      <c r="AN61" s="375">
        <f t="shared" ca="1" si="44"/>
        <v>0</v>
      </c>
    </row>
    <row r="62" spans="1:40" x14ac:dyDescent="0.2">
      <c r="A62" s="6" t="s">
        <v>15</v>
      </c>
      <c r="B62" s="7"/>
      <c r="H62" s="10" t="s">
        <v>79</v>
      </c>
      <c r="I62" s="25" t="e">
        <f ca="1">_xll.EVPRO($B$1,$H62,"STYLE")</f>
        <v>#NAME?</v>
      </c>
      <c r="J62" s="25" t="e">
        <f ca="1">_xll.EVPRO($B$1,$H62,"CALC")</f>
        <v>#NAME?</v>
      </c>
      <c r="K62" s="24"/>
      <c r="N62" s="23" t="e">
        <f ca="1">IF(_xll.EVDES(H62,$B$1)="#NODATA","",_xll.EVDES(H62,$B$1))</f>
        <v>#NAME?</v>
      </c>
      <c r="O62" s="30">
        <f t="shared" ref="O62:Z62" si="45">SUM(O56:O61)</f>
        <v>7711.75</v>
      </c>
      <c r="P62" s="30">
        <f t="shared" si="45"/>
        <v>8718.6200000000008</v>
      </c>
      <c r="Q62" s="30">
        <f t="shared" si="45"/>
        <v>8691.4700000000012</v>
      </c>
      <c r="R62" s="30">
        <f t="shared" si="45"/>
        <v>6825.14</v>
      </c>
      <c r="S62" s="30">
        <f t="shared" si="45"/>
        <v>6204.6900000000005</v>
      </c>
      <c r="T62" s="30">
        <f t="shared" si="45"/>
        <v>4294.42</v>
      </c>
      <c r="U62" s="30">
        <f t="shared" si="45"/>
        <v>4351.45</v>
      </c>
      <c r="V62" s="30">
        <f t="shared" si="45"/>
        <v>4153.84</v>
      </c>
      <c r="W62" s="30">
        <f t="shared" si="45"/>
        <v>3371.09</v>
      </c>
      <c r="X62" s="30">
        <f t="shared" si="45"/>
        <v>4765.3900000000003</v>
      </c>
      <c r="Y62" s="30">
        <f t="shared" si="45"/>
        <v>6371.81</v>
      </c>
      <c r="Z62" s="30">
        <f t="shared" si="45"/>
        <v>8308.49</v>
      </c>
      <c r="AA62" s="30" t="e">
        <f t="shared" ca="1" si="33"/>
        <v>#NAME?</v>
      </c>
      <c r="AB62" s="31" t="e">
        <f t="shared" ca="1" si="34"/>
        <v>#NAME?</v>
      </c>
      <c r="AD62" s="30">
        <f>SUM(AD56:AD61)</f>
        <v>74638.684559999994</v>
      </c>
      <c r="AE62" s="31" t="str">
        <f t="shared" ca="1" si="35"/>
        <v/>
      </c>
      <c r="AF62" s="49" t="e">
        <f t="shared" ca="1" si="36"/>
        <v>#NAME?</v>
      </c>
      <c r="AG62" s="30">
        <f>SUM(AG56:AG61)</f>
        <v>84773.57</v>
      </c>
      <c r="AH62" s="31" t="str">
        <f ca="1">IF(AG62=0,"",IFERROR(AG62/AG$19,""))</f>
        <v/>
      </c>
      <c r="AI62" s="49" t="e">
        <f ca="1">IF(AND($AA62="",AG62=""),"",$AA62-AG62)</f>
        <v>#NAME?</v>
      </c>
      <c r="AJ62" s="387">
        <f ca="1">IFERROR(AA62/AA$20,0)</f>
        <v>0</v>
      </c>
      <c r="AK62" s="388">
        <f ca="1">IFERROR(AD62/AD$20,0)</f>
        <v>0</v>
      </c>
      <c r="AL62" s="389">
        <f ca="1">IFERROR(AG62/AG$20,0)</f>
        <v>0</v>
      </c>
      <c r="AM62" s="390">
        <f ca="1">+IFERROR(ROUND(($AB62-AE62)*100,2)&amp;" pts.",0)</f>
        <v>0</v>
      </c>
      <c r="AN62" s="408">
        <f ca="1">+IFERROR(ROUND(($AB62-AH62)*100,2)&amp;" pts.",0)</f>
        <v>0</v>
      </c>
    </row>
    <row r="63" spans="1:40" x14ac:dyDescent="0.2">
      <c r="A63" s="6" t="s">
        <v>16</v>
      </c>
      <c r="B63" s="7"/>
    </row>
    <row r="64" spans="1:40" x14ac:dyDescent="0.2">
      <c r="A64" s="6" t="s">
        <v>17</v>
      </c>
      <c r="B64" s="7"/>
      <c r="H64" s="10" t="s">
        <v>80</v>
      </c>
      <c r="I64" s="25" t="e">
        <f ca="1">_xll.EVPRO($B$1,$H64,"STYLE")</f>
        <v>#NAME?</v>
      </c>
      <c r="J64" s="25" t="e">
        <f ca="1">_xll.EVPRO($B$1,$H64,"CALC")</f>
        <v>#NAME?</v>
      </c>
      <c r="K64" s="23"/>
      <c r="N64" s="23" t="e">
        <f ca="1">IF(_xll.EVDES(H64,$B$1)="#NODATA","",_xll.EVDES(H64,$B$1))</f>
        <v>#NAME?</v>
      </c>
      <c r="O64" s="33">
        <v>19235.439999999999</v>
      </c>
      <c r="P64" s="33">
        <v>22136.12</v>
      </c>
      <c r="Q64" s="33">
        <v>20844.099999999999</v>
      </c>
      <c r="R64" s="33">
        <v>15829.8</v>
      </c>
      <c r="S64" s="33">
        <v>15157.74</v>
      </c>
      <c r="T64" s="33">
        <v>11148.06</v>
      </c>
      <c r="U64" s="33">
        <v>12448.49</v>
      </c>
      <c r="V64" s="33">
        <v>9078.4500000000007</v>
      </c>
      <c r="W64" s="33">
        <v>8251.67</v>
      </c>
      <c r="X64" s="33">
        <v>10860.33</v>
      </c>
      <c r="Y64" s="33">
        <v>13045.09</v>
      </c>
      <c r="Z64" s="33">
        <v>19091.71</v>
      </c>
      <c r="AA64" s="33" t="e">
        <f ca="1">IF($I64="B1","",SUM(O64:Z64))</f>
        <v>#NAME?</v>
      </c>
      <c r="AB64" s="34" t="e">
        <f ca="1">IF(AA64=0,"",IFERROR(AA64/AA$19,""))</f>
        <v>#NAME?</v>
      </c>
      <c r="AD64" s="33">
        <v>184418.68455999999</v>
      </c>
      <c r="AE64" s="34" t="str">
        <f ca="1">IF(AD64=0,"",IFERROR(AD64/AD$19,""))</f>
        <v/>
      </c>
      <c r="AF64" s="55" t="e">
        <f ca="1">IF(AND($AA64="",AD64=""),"",$AA64-AD64)</f>
        <v>#NAME?</v>
      </c>
      <c r="AG64" s="56">
        <v>210497.32</v>
      </c>
      <c r="AH64" s="57" t="str">
        <f ca="1">IF(AG64=0,"",IFERROR(AG64/AG$19,""))</f>
        <v/>
      </c>
      <c r="AI64" s="55" t="e">
        <f ca="1">IF(AND($AA64="",AG64=""),"",$AA64-AG64)</f>
        <v>#NAME?</v>
      </c>
      <c r="AJ64" s="364">
        <f ca="1">IFERROR(AA64/AA$20,0)</f>
        <v>0</v>
      </c>
      <c r="AK64" s="365">
        <f ca="1">IFERROR(AD64/AD$20,0)</f>
        <v>0</v>
      </c>
      <c r="AL64" s="366">
        <f ca="1">IFERROR(AG64/AG$20,0)</f>
        <v>0</v>
      </c>
      <c r="AM64" s="367">
        <f ca="1">+IFERROR(ROUND(($AB64-AE64)*100,2)&amp;" pts.",0)</f>
        <v>0</v>
      </c>
      <c r="AN64" s="409">
        <f ca="1">+IFERROR(ROUND(($AB64-AH64)*100,2)&amp;" pts.",0)</f>
        <v>0</v>
      </c>
    </row>
    <row r="65" spans="1:40" ht="16" thickBot="1" x14ac:dyDescent="0.25">
      <c r="H65" s="10" t="s">
        <v>81</v>
      </c>
      <c r="I65" s="25" t="e">
        <f ca="1">_xll.EVPRO($B$1,$H65,"STYLE")</f>
        <v>#NAME?</v>
      </c>
      <c r="J65" s="25" t="e">
        <f ca="1">_xll.EVPRO($B$1,$H65,"CALC")</f>
        <v>#NAME?</v>
      </c>
      <c r="K65" s="23"/>
      <c r="N65" s="23" t="e">
        <f ca="1">IF(_xll.EVDES(H65,$B$1)="#NODATA","",_xll.EVDES(H65,$B$1))</f>
        <v>#NAME?</v>
      </c>
      <c r="O65" s="58">
        <v>-19235.439999999999</v>
      </c>
      <c r="P65" s="58">
        <v>-22136.12</v>
      </c>
      <c r="Q65" s="58">
        <v>-20844.099999999999</v>
      </c>
      <c r="R65" s="58">
        <v>-15829.8</v>
      </c>
      <c r="S65" s="58">
        <v>-15157.74</v>
      </c>
      <c r="T65" s="58">
        <v>-11148.06</v>
      </c>
      <c r="U65" s="58">
        <v>-12448.49</v>
      </c>
      <c r="V65" s="58">
        <v>-9078.4500000000007</v>
      </c>
      <c r="W65" s="58">
        <v>-8251.67</v>
      </c>
      <c r="X65" s="58">
        <v>-10860.33</v>
      </c>
      <c r="Y65" s="58">
        <v>-13045.09</v>
      </c>
      <c r="Z65" s="58">
        <v>-19091.71</v>
      </c>
      <c r="AA65" s="58" t="e">
        <f ca="1">IF($I65="B1","",SUM(O65:Z65))</f>
        <v>#NAME?</v>
      </c>
      <c r="AB65" s="59" t="e">
        <f ca="1">IF(AA65=0,"",IFERROR(AA65/AA$19,""))</f>
        <v>#NAME?</v>
      </c>
      <c r="AD65" s="58">
        <v>-184418.68455999999</v>
      </c>
      <c r="AE65" s="59" t="str">
        <f ca="1">IF(AD65=0,"",IFERROR(AD65/AD$19,""))</f>
        <v/>
      </c>
      <c r="AF65" s="60" t="e">
        <f ca="1">IF(AND($AA65="",AD65=""),"",$AA65-AD65)</f>
        <v>#NAME?</v>
      </c>
      <c r="AG65" s="58">
        <v>-210497.32</v>
      </c>
      <c r="AH65" s="59" t="str">
        <f ca="1">IF(AG65=0,"",IFERROR(AG65/AG$19,""))</f>
        <v/>
      </c>
      <c r="AI65" s="60" t="e">
        <f ca="1">IF(AND($AA65="",AG65=""),"",$AA65-AG65)</f>
        <v>#NAME?</v>
      </c>
      <c r="AJ65" s="402">
        <f ca="1">IFERROR(AA65/AA$20,0)</f>
        <v>0</v>
      </c>
      <c r="AK65" s="403">
        <f ca="1">IFERROR(AD65/AD$20,0)</f>
        <v>0</v>
      </c>
      <c r="AL65" s="404">
        <f ca="1">IFERROR(AG65/AG$20,0)</f>
        <v>0</v>
      </c>
      <c r="AM65" s="405">
        <f ca="1">+IFERROR(ROUND(($AB65-AE65)*100,2)&amp;" pts.",0)</f>
        <v>0</v>
      </c>
      <c r="AN65" s="410">
        <f ca="1">+IFERROR(ROUND(($AB65-AH65)*100,2)&amp;" pts.",0)</f>
        <v>0</v>
      </c>
    </row>
    <row r="66" spans="1:40" ht="16" thickTop="1" x14ac:dyDescent="0.2">
      <c r="C66" s="23"/>
    </row>
    <row r="67" spans="1:40" x14ac:dyDescent="0.2">
      <c r="N67" s="24" t="e">
        <f ca="1">N64&amp;" - Check"</f>
        <v>#NAME?</v>
      </c>
      <c r="O67" s="124">
        <f t="shared" ref="O67:AA67" si="46">SUMIF($H$35:$H$65,"600000",O$35:O$65)+SUMIF($H$35:$H$65,"707900",O$35:O$65)+SUMIF($H$35:$H$65,"ITSYS_EXP",O$35:O$65)+SUMIF($H$35:$H$65,"700000",O$35:O$65)-SUMIF($H$35:$H$65,"TOTDEPTEXP",O$35:O$65)</f>
        <v>0</v>
      </c>
      <c r="P67" s="124">
        <f t="shared" si="46"/>
        <v>0</v>
      </c>
      <c r="Q67" s="124">
        <f t="shared" si="46"/>
        <v>0</v>
      </c>
      <c r="R67" s="124">
        <f t="shared" si="46"/>
        <v>0</v>
      </c>
      <c r="S67" s="124">
        <f t="shared" si="46"/>
        <v>0</v>
      </c>
      <c r="T67" s="124">
        <f t="shared" si="46"/>
        <v>0</v>
      </c>
      <c r="U67" s="124">
        <f t="shared" si="46"/>
        <v>0</v>
      </c>
      <c r="V67" s="124">
        <f t="shared" si="46"/>
        <v>0</v>
      </c>
      <c r="W67" s="124">
        <f t="shared" si="46"/>
        <v>0</v>
      </c>
      <c r="X67" s="124">
        <f t="shared" si="46"/>
        <v>0</v>
      </c>
      <c r="Y67" s="124">
        <f t="shared" si="46"/>
        <v>0</v>
      </c>
      <c r="Z67" s="124">
        <f t="shared" si="46"/>
        <v>0</v>
      </c>
      <c r="AA67" s="124" t="e">
        <f t="shared" ca="1" si="46"/>
        <v>#NAME?</v>
      </c>
      <c r="AB67" s="15"/>
      <c r="AD67" s="124">
        <f>SUMIF($H$35:$H$65,"600000",AD$35:AD$65)+SUMIF($H$35:$H$65,"707900",AD$35:AD$65)+SUMIF($H$35:$H$65,"ITSYS_EXP",AD$35:AD$65)+SUMIF($H$35:$H$65,"700000",AD$35:AD$65)-SUMIF($H$35:$H$65,"TOTDEPTEXP",AD$35:AD$65)</f>
        <v>4.0745362639427185E-10</v>
      </c>
      <c r="AE67" s="15"/>
      <c r="AF67" s="19"/>
      <c r="AG67" s="124">
        <f>SUMIF($H$35:$H$65,"600000",AG$35:AG$65)+SUMIF($H$35:$H$65,"707900",AG$35:AG$65)+SUMIF($H$35:$H$65,"ITSYS_EXP",AG$35:AG$65)+SUMIF($H$35:$H$65,"700000",AG$35:AG$65)-SUMIF($H$35:$H$65,"TOTDEPTEXP",AG$35:AG$65)</f>
        <v>0</v>
      </c>
      <c r="AH67" s="15"/>
      <c r="AI67" s="19"/>
    </row>
    <row r="68" spans="1:40" x14ac:dyDescent="0.2">
      <c r="A68" s="4" t="e">
        <f ca="1">_xll.EVDRE($B$1,A71:B78,A81:B87)</f>
        <v>#NAME?</v>
      </c>
      <c r="N68" s="24" t="e">
        <f ca="1">N65&amp;" - Check"</f>
        <v>#NAME?</v>
      </c>
      <c r="O68" s="124">
        <f t="shared" ref="O68:AA68" si="47">SUMIF($H$33:$H$65,"TOTDEPTEXP",O$33:O$65)+SUMIF($H$33:$H$65,"TOTDEPTPL",O$33:O$65)</f>
        <v>0</v>
      </c>
      <c r="P68" s="124">
        <f t="shared" si="47"/>
        <v>0</v>
      </c>
      <c r="Q68" s="124">
        <f t="shared" si="47"/>
        <v>0</v>
      </c>
      <c r="R68" s="124">
        <f t="shared" si="47"/>
        <v>0</v>
      </c>
      <c r="S68" s="124">
        <f t="shared" si="47"/>
        <v>0</v>
      </c>
      <c r="T68" s="124">
        <f t="shared" si="47"/>
        <v>0</v>
      </c>
      <c r="U68" s="124">
        <f t="shared" si="47"/>
        <v>0</v>
      </c>
      <c r="V68" s="124">
        <f t="shared" si="47"/>
        <v>0</v>
      </c>
      <c r="W68" s="124">
        <f t="shared" si="47"/>
        <v>0</v>
      </c>
      <c r="X68" s="124">
        <f t="shared" si="47"/>
        <v>0</v>
      </c>
      <c r="Y68" s="124">
        <f t="shared" si="47"/>
        <v>0</v>
      </c>
      <c r="Z68" s="124">
        <f t="shared" si="47"/>
        <v>0</v>
      </c>
      <c r="AA68" s="124" t="e">
        <f t="shared" ca="1" si="47"/>
        <v>#NAME?</v>
      </c>
      <c r="AB68" s="15"/>
      <c r="AD68" s="124">
        <f>SUMIF($H$33:$H$65,"ROOMS_TOT",AD$33:AD$65)-SUMIF($H$33:$H$65,"TOTDEPTEXP",AD$33:AD$65)-SUMIF($H$33:$H$65,"TOTDEPTPL",AD$33:AD$65)</f>
        <v>0</v>
      </c>
      <c r="AE68" s="15"/>
      <c r="AF68" s="19"/>
      <c r="AG68" s="124">
        <f>SUMIF($H$33:$H$65,"ROOMS_TOT",AG$33:AG$65)-SUMIF($H$33:$H$65,"TOTDEPTEXP",AG$33:AG$65)-SUMIF($H$33:$H$65,"TOTDEPTPL",AG$33:AG$65)</f>
        <v>0</v>
      </c>
      <c r="AH68" s="15"/>
      <c r="AI68" s="19"/>
    </row>
    <row r="70" spans="1:40" x14ac:dyDescent="0.2">
      <c r="A70" s="3" t="s">
        <v>0</v>
      </c>
      <c r="B70" s="5" t="s">
        <v>1</v>
      </c>
    </row>
    <row r="71" spans="1:40" x14ac:dyDescent="0.2">
      <c r="A71" s="6" t="s">
        <v>2</v>
      </c>
      <c r="B71" s="7" t="e">
        <f ca="1">_xll.EVRNG($B$2:$B$10)</f>
        <v>#NAME?</v>
      </c>
    </row>
    <row r="72" spans="1:40" x14ac:dyDescent="0.2">
      <c r="A72" s="6" t="s">
        <v>3</v>
      </c>
      <c r="B72" s="7" t="e">
        <f ca="1">_xll.EVRNG($O$16:$AN$18)</f>
        <v>#NAME?</v>
      </c>
    </row>
    <row r="73" spans="1:40" x14ac:dyDescent="0.2">
      <c r="A73" s="6" t="s">
        <v>4</v>
      </c>
      <c r="B73" s="7" t="e">
        <f ca="1">_xll.EVRNG(H47:H52,H56:H61)</f>
        <v>#NAME?</v>
      </c>
    </row>
    <row r="74" spans="1:40" x14ac:dyDescent="0.2">
      <c r="A74" s="6" t="s">
        <v>5</v>
      </c>
      <c r="B74" s="7"/>
    </row>
    <row r="75" spans="1:40" x14ac:dyDescent="0.2">
      <c r="A75" s="6" t="s">
        <v>6</v>
      </c>
      <c r="B75" s="7"/>
      <c r="H75" s="11"/>
      <c r="J75" s="1"/>
    </row>
    <row r="76" spans="1:40" x14ac:dyDescent="0.2">
      <c r="A76" s="6" t="s">
        <v>7</v>
      </c>
      <c r="B76" s="7"/>
      <c r="H76" s="11"/>
      <c r="J76" s="1"/>
    </row>
    <row r="77" spans="1:40" x14ac:dyDescent="0.2">
      <c r="A77" s="6" t="s">
        <v>47</v>
      </c>
      <c r="B77" s="7" t="e">
        <f ca="1">_xll.EVRNG($A$105:$B$126)</f>
        <v>#NAME?</v>
      </c>
      <c r="H77" s="11"/>
      <c r="J77" s="1"/>
    </row>
    <row r="78" spans="1:40" x14ac:dyDescent="0.2">
      <c r="A78" s="6" t="s">
        <v>8</v>
      </c>
      <c r="B78" s="7"/>
      <c r="H78" s="11"/>
      <c r="J78" s="1"/>
    </row>
    <row r="79" spans="1:40" x14ac:dyDescent="0.2">
      <c r="H79" s="11"/>
      <c r="J79" s="1"/>
    </row>
    <row r="80" spans="1:40" x14ac:dyDescent="0.2">
      <c r="A80" s="3" t="s">
        <v>9</v>
      </c>
      <c r="B80" s="5" t="s">
        <v>10</v>
      </c>
      <c r="H80" s="11"/>
      <c r="J80" s="1"/>
    </row>
    <row r="81" spans="1:10" x14ac:dyDescent="0.2">
      <c r="A81" s="6" t="s">
        <v>11</v>
      </c>
      <c r="B81" s="7" t="s">
        <v>21</v>
      </c>
      <c r="H81" s="11"/>
      <c r="J81" s="1"/>
    </row>
    <row r="82" spans="1:10" x14ac:dyDescent="0.2">
      <c r="A82" s="6" t="s">
        <v>12</v>
      </c>
      <c r="B82" s="7" t="s">
        <v>22</v>
      </c>
      <c r="H82" s="11"/>
      <c r="J82" s="1"/>
    </row>
    <row r="83" spans="1:10" x14ac:dyDescent="0.2">
      <c r="A83" s="6" t="s">
        <v>13</v>
      </c>
      <c r="B83" s="7" t="s">
        <v>503</v>
      </c>
      <c r="H83" s="11"/>
      <c r="J83" s="1"/>
    </row>
    <row r="84" spans="1:10" x14ac:dyDescent="0.2">
      <c r="A84" s="6" t="s">
        <v>14</v>
      </c>
      <c r="B84" s="14"/>
      <c r="H84" s="11"/>
      <c r="J84" s="1"/>
    </row>
    <row r="85" spans="1:10" x14ac:dyDescent="0.2">
      <c r="A85" s="6" t="s">
        <v>15</v>
      </c>
      <c r="B85" s="7"/>
      <c r="H85" s="11"/>
      <c r="J85" s="1"/>
    </row>
    <row r="86" spans="1:10" x14ac:dyDescent="0.2">
      <c r="A86" s="6" t="s">
        <v>16</v>
      </c>
      <c r="B86" s="7" t="s">
        <v>78</v>
      </c>
      <c r="H86" s="11"/>
      <c r="J86" s="1"/>
    </row>
    <row r="87" spans="1:10" x14ac:dyDescent="0.2">
      <c r="A87" s="6" t="s">
        <v>17</v>
      </c>
      <c r="B87" s="7"/>
      <c r="H87" s="11"/>
      <c r="J87" s="1"/>
    </row>
    <row r="88" spans="1:10" x14ac:dyDescent="0.2">
      <c r="H88" s="11"/>
      <c r="J88" s="1"/>
    </row>
    <row r="89" spans="1:10" x14ac:dyDescent="0.2">
      <c r="C89" s="23"/>
      <c r="H89" s="11"/>
      <c r="J89" s="1"/>
    </row>
    <row r="90" spans="1:10" x14ac:dyDescent="0.2">
      <c r="H90" s="11"/>
      <c r="J90" s="1"/>
    </row>
    <row r="91" spans="1:10" x14ac:dyDescent="0.2">
      <c r="A91" s="4" t="e">
        <f ca="1">_xll.EVDRE($B$1,A94:B101)</f>
        <v>#NAME?</v>
      </c>
      <c r="H91" s="11"/>
      <c r="J91" s="1"/>
    </row>
    <row r="92" spans="1:10" x14ac:dyDescent="0.2">
      <c r="H92" s="11"/>
      <c r="J92" s="1"/>
    </row>
    <row r="93" spans="1:10" x14ac:dyDescent="0.2">
      <c r="A93" s="3" t="s">
        <v>0</v>
      </c>
      <c r="B93" s="5" t="s">
        <v>1</v>
      </c>
      <c r="H93" s="11"/>
      <c r="J93" s="1"/>
    </row>
    <row r="94" spans="1:10" x14ac:dyDescent="0.2">
      <c r="A94" s="6" t="s">
        <v>2</v>
      </c>
      <c r="B94" s="7" t="e">
        <f ca="1">_xll.EVRNG($B$2:$B$10)</f>
        <v>#NAME?</v>
      </c>
      <c r="H94" s="11"/>
      <c r="J94" s="1"/>
    </row>
    <row r="95" spans="1:10" x14ac:dyDescent="0.2">
      <c r="A95" s="6" t="s">
        <v>3</v>
      </c>
      <c r="B95" s="7" t="e">
        <f ca="1">_xll.EVRNG($O$16:$AN$18)</f>
        <v>#NAME?</v>
      </c>
      <c r="H95" s="11"/>
      <c r="J95" s="1"/>
    </row>
    <row r="96" spans="1:10" x14ac:dyDescent="0.2">
      <c r="A96" s="6" t="s">
        <v>4</v>
      </c>
      <c r="B96" s="7" t="e">
        <f ca="1">_xll.EVRNG(H64:H65)</f>
        <v>#NAME?</v>
      </c>
      <c r="H96" s="11"/>
      <c r="J96" s="1"/>
    </row>
    <row r="97" spans="1:10" x14ac:dyDescent="0.2">
      <c r="A97" s="6" t="s">
        <v>5</v>
      </c>
      <c r="B97" s="7"/>
      <c r="H97" s="11"/>
      <c r="J97" s="1"/>
    </row>
    <row r="98" spans="1:10" x14ac:dyDescent="0.2">
      <c r="A98" s="6" t="s">
        <v>6</v>
      </c>
      <c r="B98" s="7"/>
    </row>
    <row r="99" spans="1:10" x14ac:dyDescent="0.2">
      <c r="A99" s="6" t="s">
        <v>7</v>
      </c>
      <c r="B99" s="7"/>
    </row>
    <row r="100" spans="1:10" x14ac:dyDescent="0.2">
      <c r="A100" s="6" t="s">
        <v>47</v>
      </c>
      <c r="B100" s="7" t="e">
        <f ca="1">_xll.EVRNG($A$105:$B$126)</f>
        <v>#NAME?</v>
      </c>
    </row>
    <row r="101" spans="1:10" x14ac:dyDescent="0.2">
      <c r="A101" s="6" t="s">
        <v>8</v>
      </c>
      <c r="B101" s="7"/>
    </row>
    <row r="104" spans="1:10" x14ac:dyDescent="0.2">
      <c r="A104" s="3" t="s">
        <v>23</v>
      </c>
      <c r="B104" s="5" t="s">
        <v>24</v>
      </c>
    </row>
    <row r="105" spans="1:10" x14ac:dyDescent="0.2">
      <c r="A105" s="6" t="s">
        <v>25</v>
      </c>
      <c r="B105" s="7"/>
    </row>
    <row r="106" spans="1:10" x14ac:dyDescent="0.2">
      <c r="A106" s="6" t="s">
        <v>26</v>
      </c>
      <c r="B106" s="7"/>
    </row>
    <row r="107" spans="1:10" x14ac:dyDescent="0.2">
      <c r="A107" s="6" t="s">
        <v>27</v>
      </c>
      <c r="B107" s="7"/>
    </row>
    <row r="108" spans="1:10" x14ac:dyDescent="0.2">
      <c r="A108" s="6" t="s">
        <v>28</v>
      </c>
      <c r="B108" s="7"/>
    </row>
    <row r="109" spans="1:10" x14ac:dyDescent="0.2">
      <c r="A109" s="6" t="s">
        <v>29</v>
      </c>
      <c r="B109" s="7"/>
    </row>
    <row r="110" spans="1:10" x14ac:dyDescent="0.2">
      <c r="A110" s="6" t="s">
        <v>30</v>
      </c>
      <c r="B110" s="7" t="s">
        <v>78</v>
      </c>
    </row>
    <row r="111" spans="1:10" x14ac:dyDescent="0.2">
      <c r="A111" s="6" t="s">
        <v>31</v>
      </c>
      <c r="B111" s="7" t="s">
        <v>78</v>
      </c>
    </row>
    <row r="112" spans="1:10" x14ac:dyDescent="0.2">
      <c r="A112" s="6" t="s">
        <v>32</v>
      </c>
      <c r="B112" s="7"/>
    </row>
    <row r="113" spans="1:2" x14ac:dyDescent="0.2">
      <c r="A113" s="6" t="s">
        <v>33</v>
      </c>
      <c r="B113" s="7"/>
    </row>
    <row r="114" spans="1:2" x14ac:dyDescent="0.2">
      <c r="A114" s="6" t="s">
        <v>34</v>
      </c>
      <c r="B114" s="7"/>
    </row>
    <row r="115" spans="1:2" x14ac:dyDescent="0.2">
      <c r="A115" s="6" t="s">
        <v>35</v>
      </c>
      <c r="B115" s="7"/>
    </row>
    <row r="116" spans="1:2" x14ac:dyDescent="0.2">
      <c r="A116" s="6" t="s">
        <v>36</v>
      </c>
      <c r="B116" s="7"/>
    </row>
    <row r="117" spans="1:2" x14ac:dyDescent="0.2">
      <c r="A117" s="6" t="s">
        <v>37</v>
      </c>
      <c r="B117" s="7"/>
    </row>
    <row r="118" spans="1:2" x14ac:dyDescent="0.2">
      <c r="A118" s="6" t="s">
        <v>38</v>
      </c>
      <c r="B118" s="7"/>
    </row>
    <row r="119" spans="1:2" x14ac:dyDescent="0.2">
      <c r="A119" s="6" t="s">
        <v>39</v>
      </c>
      <c r="B119" s="7"/>
    </row>
    <row r="120" spans="1:2" x14ac:dyDescent="0.2">
      <c r="A120" s="6" t="s">
        <v>40</v>
      </c>
      <c r="B120" s="7"/>
    </row>
    <row r="121" spans="1:2" x14ac:dyDescent="0.2">
      <c r="A121" s="6" t="s">
        <v>41</v>
      </c>
      <c r="B121" s="7"/>
    </row>
    <row r="122" spans="1:2" x14ac:dyDescent="0.2">
      <c r="A122" s="6" t="s">
        <v>42</v>
      </c>
      <c r="B122" s="7"/>
    </row>
    <row r="123" spans="1:2" x14ac:dyDescent="0.2">
      <c r="A123" s="6" t="s">
        <v>43</v>
      </c>
      <c r="B123" s="7"/>
    </row>
    <row r="124" spans="1:2" x14ac:dyDescent="0.2">
      <c r="A124" s="6" t="s">
        <v>44</v>
      </c>
      <c r="B124" s="7"/>
    </row>
    <row r="125" spans="1:2" x14ac:dyDescent="0.2">
      <c r="A125" s="6" t="s">
        <v>45</v>
      </c>
      <c r="B125" s="7"/>
    </row>
    <row r="126" spans="1:2" x14ac:dyDescent="0.2">
      <c r="A126" s="6" t="s">
        <v>46</v>
      </c>
      <c r="B126" s="7"/>
    </row>
  </sheetData>
  <mergeCells count="2">
    <mergeCell ref="AD31:AE31"/>
    <mergeCell ref="AG31:AH31"/>
  </mergeCells>
  <dataValidations count="2">
    <dataValidation type="list" allowBlank="1" sqref="B82 B28 B59" xr:uid="{00000000-0002-0000-5000-000000000000}">
      <formula1>"ACCOUNT,BUSINESSUNIT,CATEGORY,DATASRC,DEPARTMENT,INTCO,MEASURES,RPTCURRENCY,TIME"</formula1>
    </dataValidation>
    <dataValidation type="list" allowBlank="1" sqref="B83 B29 B60" xr:uid="{00000000-0002-0000-50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25">
    <pageSetUpPr fitToPage="1"/>
  </sheetPr>
  <dimension ref="A1:AO108"/>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1" hidden="1" customWidth="1" outlineLevel="1" collapsed="1"/>
    <col min="13" max="13" width="9.6640625" style="1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0"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c r="L1" s="69"/>
      <c r="M1" s="69"/>
      <c r="N1" s="69"/>
    </row>
    <row r="2" spans="1:35" hidden="1" outlineLevel="1" x14ac:dyDescent="0.2">
      <c r="A2" s="8" t="s">
        <v>22</v>
      </c>
      <c r="B2" s="12" t="s">
        <v>56</v>
      </c>
      <c r="C2" s="1" t="e">
        <f ca="1">_xll.EVDES(B2,$B$1)</f>
        <v>#NAME?</v>
      </c>
      <c r="I2" s="1"/>
      <c r="J2" s="1"/>
      <c r="L2" s="69"/>
      <c r="M2" s="69"/>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512</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row>
    <row r="12" spans="1:35" hidden="1" outlineLevel="1" x14ac:dyDescent="0.2">
      <c r="A12" s="1" t="s">
        <v>115</v>
      </c>
      <c r="B12" s="46" t="e">
        <f ca="1">_xll.EVPRO($B$1,$B$10,"YEAR")</f>
        <v>#NAME?</v>
      </c>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_xll.EVRNG(H35:H36,H38:H47,H50:H72)</f>
        <v>#NAME?</v>
      </c>
      <c r="G19" s="16" t="s">
        <v>499</v>
      </c>
      <c r="H19" s="16">
        <v>400000</v>
      </c>
      <c r="I19" s="17"/>
      <c r="J19" s="17"/>
      <c r="K19" s="16"/>
      <c r="L19" s="17"/>
      <c r="M19" s="17"/>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
        <v>749</v>
      </c>
      <c r="H20" s="16">
        <v>904100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row>
    <row r="22" spans="1:40" hidden="1" outlineLevel="1" x14ac:dyDescent="0.2">
      <c r="A22" s="6" t="s">
        <v>7</v>
      </c>
      <c r="B22" s="7" t="e">
        <f ca="1">_xll.EVRNG(A36:F42)</f>
        <v>#NAME?</v>
      </c>
    </row>
    <row r="23" spans="1:40" hidden="1" outlineLevel="1" x14ac:dyDescent="0.2">
      <c r="A23" s="6" t="s">
        <v>47</v>
      </c>
      <c r="B23" s="7" t="e">
        <f ca="1">_xll.EVRNG($A$59:$B$80)</f>
        <v>#NAME?</v>
      </c>
      <c r="K23" s="53"/>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IF(_xll.EVDES(B6,$B$1)="#NODATA","",_xll.EVDES(B6,$B$1)&amp;" Department")</f>
        <v>#NAME?</v>
      </c>
    </row>
    <row r="28" spans="1:40" ht="16" x14ac:dyDescent="0.2">
      <c r="A28" s="6" t="s">
        <v>12</v>
      </c>
      <c r="B28" s="7" t="s">
        <v>22</v>
      </c>
      <c r="N28" s="67" t="e">
        <f ca="1">"For the Period ended"&amp;" "&amp;IF(_xll.EVDES($B$10,$B$1)="#NODATA","",_xll.EVDES($B$10,$B$1))</f>
        <v>#NAME?</v>
      </c>
    </row>
    <row r="29" spans="1:40" ht="15" customHeight="1" x14ac:dyDescent="0.2">
      <c r="A29" s="6" t="s">
        <v>13</v>
      </c>
      <c r="B29" s="7" t="s">
        <v>735</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752</v>
      </c>
      <c r="AK30" s="209"/>
      <c r="AL30" s="210"/>
      <c r="AM30" s="209" t="s">
        <v>750</v>
      </c>
      <c r="AN30" s="209"/>
    </row>
    <row r="31" spans="1:40" ht="15" customHeight="1" x14ac:dyDescent="0.2">
      <c r="A31" s="6" t="s">
        <v>15</v>
      </c>
      <c r="B31" s="7"/>
      <c r="G31" s="13"/>
      <c r="K31" s="52"/>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t="s">
        <v>78</v>
      </c>
      <c r="H32" s="233"/>
      <c r="I32" s="234"/>
      <c r="J32" s="234"/>
      <c r="K32" s="235" t="s">
        <v>117</v>
      </c>
      <c r="L32" s="234"/>
      <c r="M32" s="234"/>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73</v>
      </c>
      <c r="I33" s="11" t="e">
        <f ca="1">_xll.EVPRO($B$1,$H33,"STYLE")</f>
        <v>#NAME?</v>
      </c>
      <c r="J33" s="11" t="e">
        <f ca="1">_xll.EVPRO($B$1,$H33,"CALC")</f>
        <v>#NAME?</v>
      </c>
      <c r="N33" s="37" t="e">
        <f ca="1">IF(_xll.EVDES(H33,$B$1)="#NODATA","",_xll.EVDES(H33,$B$1))</f>
        <v>#NAME?</v>
      </c>
      <c r="O33" s="50"/>
      <c r="AB33" s="51"/>
      <c r="AD33" s="50"/>
      <c r="AF33" s="51"/>
      <c r="AG33" s="50"/>
      <c r="AI33" s="51"/>
    </row>
    <row r="34" spans="1:40" x14ac:dyDescent="0.2">
      <c r="H34" s="1" t="s">
        <v>74</v>
      </c>
      <c r="I34" s="11" t="e">
        <f ca="1">_xll.EVPRO($B$1,$H34,"STYLE")</f>
        <v>#NAME?</v>
      </c>
      <c r="J34" s="11" t="e">
        <f ca="1">_xll.EVPRO($B$1,$H34,"CALC")</f>
        <v>#NAME?</v>
      </c>
      <c r="N34" s="8" t="e">
        <f ca="1">IF(_xll.EVDES(H34,$B$1)="#NODATA","",_xll.EVDES(H34,$B$1))</f>
        <v>#NAME?</v>
      </c>
      <c r="O34" s="40"/>
      <c r="P34" s="43"/>
      <c r="Q34" s="43"/>
      <c r="R34" s="43"/>
      <c r="S34" s="43"/>
      <c r="T34" s="43"/>
      <c r="U34" s="43"/>
      <c r="V34" s="43"/>
      <c r="W34" s="43"/>
      <c r="X34" s="43"/>
      <c r="Y34" s="43"/>
      <c r="Z34" s="43"/>
      <c r="AA34" s="43"/>
      <c r="AB34" s="41"/>
      <c r="AD34" s="40"/>
      <c r="AE34" s="43"/>
      <c r="AF34" s="41"/>
      <c r="AG34" s="40"/>
      <c r="AH34" s="43"/>
      <c r="AI34" s="41"/>
    </row>
    <row r="35" spans="1:40" x14ac:dyDescent="0.2">
      <c r="A35" s="20" t="s">
        <v>92</v>
      </c>
      <c r="B35" s="21" t="s">
        <v>93</v>
      </c>
      <c r="C35" s="21" t="s">
        <v>94</v>
      </c>
      <c r="D35" s="21" t="s">
        <v>95</v>
      </c>
      <c r="E35" s="21" t="s">
        <v>96</v>
      </c>
      <c r="F35" s="22" t="s">
        <v>97</v>
      </c>
      <c r="H35" s="10" t="s">
        <v>856</v>
      </c>
      <c r="I35" s="25" t="e">
        <f ca="1">_xll.EVPRO($B$1,$H35,"STYLE")</f>
        <v>#NAME?</v>
      </c>
      <c r="J35" s="25" t="e">
        <f ca="1">_xll.EVPRO($B$1,$H35,"CALC")</f>
        <v>#NAME?</v>
      </c>
      <c r="K35" s="64" t="e">
        <f ca="1">IF(AND(I35&gt;="T3"),"&gt;","")</f>
        <v>#NAME?</v>
      </c>
      <c r="L35" s="24" t="e">
        <f ca="1">_xll.EVPRO($B$1,H35,"JDEID")</f>
        <v>#NAME?</v>
      </c>
      <c r="M35" s="24" t="e">
        <f ca="1">IF(AND(I35="N",J35="N"),_xll.EVPRO($B$1,H35,"PSFTID"),"")</f>
        <v>#NAME?</v>
      </c>
      <c r="N35" s="24" t="e">
        <f ca="1">IF(_xll.EVDES(H35,$B$1)="#NODATA","",_xll.EVDES(H35,$B$1))</f>
        <v>#NAME?</v>
      </c>
      <c r="O35" s="35">
        <v>20204.310000000001</v>
      </c>
      <c r="P35" s="35">
        <v>23402.2</v>
      </c>
      <c r="Q35" s="35">
        <v>24038.39</v>
      </c>
      <c r="R35" s="35">
        <v>24739.37</v>
      </c>
      <c r="S35" s="35">
        <v>23901.95</v>
      </c>
      <c r="T35" s="35">
        <v>21429.22</v>
      </c>
      <c r="U35" s="35">
        <v>23858.240000000002</v>
      </c>
      <c r="V35" s="35">
        <v>19590.07</v>
      </c>
      <c r="W35" s="35">
        <v>23902.26</v>
      </c>
      <c r="X35" s="35">
        <v>22870.14</v>
      </c>
      <c r="Y35" s="35">
        <v>22242.42</v>
      </c>
      <c r="Z35" s="35">
        <v>16230.11</v>
      </c>
      <c r="AA35" s="35" t="e">
        <f t="shared" ref="AA35:AA47" ca="1" si="0">IF($I35="B1","",SUM(O35:Z35))</f>
        <v>#NAME?</v>
      </c>
      <c r="AB35" s="36" t="e">
        <f t="shared" ref="AB35:AB47" ca="1" si="1">IF(AA35=0,"",IFERROR(AA35/AA$19,""))</f>
        <v>#NAME?</v>
      </c>
      <c r="AD35" s="19">
        <v>274432.43205621099</v>
      </c>
      <c r="AE35" s="15" t="str">
        <f t="shared" ref="AE35:AE47" ca="1" si="2">IF(AD35=0,"",IFERROR(AD35/AD$19,""))</f>
        <v/>
      </c>
      <c r="AF35" s="47" t="e">
        <f t="shared" ref="AF35:AF47" ca="1" si="3">IF(AND($AA35="",AD35=""),"",$AA35-AD35)</f>
        <v>#NAME?</v>
      </c>
      <c r="AG35" s="19">
        <v>272749.07</v>
      </c>
      <c r="AH35" s="15" t="str">
        <f ca="1">IF(AG35=0,"",IFERROR(AG35/AG$19,""))</f>
        <v/>
      </c>
      <c r="AI35" s="47" t="e">
        <f ca="1">IF(AND($AA35="",AG35=""),"",$AA35-AG35)</f>
        <v>#NAME?</v>
      </c>
      <c r="AJ35" s="371">
        <f ca="1">IFERROR(AA35/AA$20,0)</f>
        <v>0</v>
      </c>
      <c r="AK35" s="372">
        <f ca="1">IFERROR(AD35/AD$20,0)</f>
        <v>0</v>
      </c>
      <c r="AL35" s="373">
        <f ca="1">IFERROR(AG35/AG$20,0)</f>
        <v>0</v>
      </c>
      <c r="AM35" s="374">
        <f ca="1">+IFERROR(ROUND(($AB35-AE35)*100,2)&amp;" pts.",0)</f>
        <v>0</v>
      </c>
      <c r="AN35" s="375">
        <f ca="1">+IFERROR(ROUND(($AB35-AH35)*100,2)&amp;" pts.",0)</f>
        <v>0</v>
      </c>
    </row>
    <row r="36" spans="1:40" hidden="1" x14ac:dyDescent="0.2">
      <c r="H36" s="10"/>
      <c r="I36" s="25" t="e">
        <f ca="1">_xll.EVPRO($B$1,$H36,"STYLE")</f>
        <v>#NAME?</v>
      </c>
      <c r="J36" s="25" t="e">
        <f ca="1">_xll.EVPRO($B$1,$H36,"CALC")</f>
        <v>#NAME?</v>
      </c>
      <c r="K36" s="64" t="e">
        <f ca="1">IF(AND(I36&gt;="T3"),"&gt;","")</f>
        <v>#NAME?</v>
      </c>
      <c r="L36" s="24" t="e">
        <f ca="1">_xll.EVPRO($B$1,H36,"JDEID")</f>
        <v>#NAME?</v>
      </c>
      <c r="M36" s="24" t="e">
        <f ca="1">IF(AND(I36="N",J36="N"),_xll.EVPRO($B$1,H36,"PSFTID"),"")</f>
        <v>#NAME?</v>
      </c>
      <c r="N36" s="24" t="e">
        <f ca="1">IF(_xll.EVDES(H36,$B$1)="#NODATA","",_xll.EVDES(H36,$B$1))</f>
        <v>#NAME?</v>
      </c>
      <c r="O36" s="35"/>
      <c r="P36" s="35"/>
      <c r="Q36" s="35"/>
      <c r="R36" s="35"/>
      <c r="S36" s="35"/>
      <c r="T36" s="35"/>
      <c r="U36" s="35"/>
      <c r="V36" s="35"/>
      <c r="W36" s="35"/>
      <c r="X36" s="35"/>
      <c r="Y36" s="35"/>
      <c r="Z36" s="35"/>
      <c r="AA36" s="35" t="e">
        <f t="shared" ca="1" si="0"/>
        <v>#NAME?</v>
      </c>
      <c r="AB36" s="36" t="e">
        <f t="shared" ca="1" si="1"/>
        <v>#NAME?</v>
      </c>
      <c r="AD36" s="19"/>
      <c r="AE36" s="15" t="str">
        <f t="shared" si="2"/>
        <v/>
      </c>
      <c r="AF36" s="47" t="e">
        <f t="shared" ca="1" si="3"/>
        <v>#NAME?</v>
      </c>
      <c r="AG36" s="19"/>
      <c r="AH36" s="15" t="str">
        <f>IF(AG36=0,"",IFERROR(AG36/AG$19,""))</f>
        <v/>
      </c>
      <c r="AI36" s="47" t="e">
        <f ca="1">IF(AND($AA36="",AG36=""),"",$AA36-AG36)</f>
        <v>#NAME?</v>
      </c>
      <c r="AJ36" s="371">
        <f ca="1">IFERROR(AA36/AA$20,0)</f>
        <v>0</v>
      </c>
      <c r="AK36" s="372">
        <f ca="1">IFERROR(AD36/AD$20,0)</f>
        <v>0</v>
      </c>
      <c r="AL36" s="373">
        <f ca="1">IFERROR(AG36/AG$20,0)</f>
        <v>0</v>
      </c>
      <c r="AM36" s="374">
        <f ca="1">+IFERROR(ROUND(($AB36-AE36)*100,2)&amp;" pts.",0)</f>
        <v>0</v>
      </c>
      <c r="AN36" s="375">
        <f ca="1">+IFERROR(ROUND(($AB36-AH36)*100,2)&amp;" pts.",0)</f>
        <v>0</v>
      </c>
    </row>
    <row r="37" spans="1:40" x14ac:dyDescent="0.2">
      <c r="A37" s="1" t="s">
        <v>108</v>
      </c>
      <c r="C37" s="24" t="s">
        <v>101</v>
      </c>
      <c r="D37" s="1" t="s">
        <v>106</v>
      </c>
      <c r="F37" s="1" t="s">
        <v>98</v>
      </c>
      <c r="H37" s="10" t="s">
        <v>75</v>
      </c>
      <c r="I37" s="26" t="e">
        <f ca="1">_xll.EVPRO($B$1,$H37,"STYLE")</f>
        <v>#NAME?</v>
      </c>
      <c r="J37" s="26" t="e">
        <f ca="1">_xll.EVPRO($B$1,$H37,"CALC")</f>
        <v>#NAME?</v>
      </c>
      <c r="K37" s="65" t="e">
        <f ca="1">IF(AND(I37&gt;="T3"),"&gt;","")</f>
        <v>#NAME?</v>
      </c>
      <c r="L37" s="23" t="e">
        <f ca="1">_xll.EVPRO($B$1,H37,"JDEID")</f>
        <v>#NAME?</v>
      </c>
      <c r="M37" s="24" t="e">
        <f ca="1">IF(AND(I37="N",J37="N"),_xll.EVPRO($B$1,H37,"PSFTID"),"")</f>
        <v>#NAME?</v>
      </c>
      <c r="N37" s="23" t="e">
        <f ca="1">IF(_xll.EVDES(H37,$B$1)="#NODATA","",_xll.EVDES(H37,$B$1))</f>
        <v>#NAME?</v>
      </c>
      <c r="O37" s="35"/>
      <c r="P37" s="35"/>
      <c r="Q37" s="35"/>
      <c r="R37" s="35"/>
      <c r="S37" s="35"/>
      <c r="T37" s="35"/>
      <c r="U37" s="35"/>
      <c r="V37" s="35"/>
      <c r="W37" s="35"/>
      <c r="X37" s="35"/>
      <c r="Y37" s="35"/>
      <c r="Z37" s="35"/>
      <c r="AA37" s="35" t="e">
        <f t="shared" ca="1" si="0"/>
        <v>#NAME?</v>
      </c>
      <c r="AB37" s="36" t="e">
        <f t="shared" ca="1" si="1"/>
        <v>#NAME?</v>
      </c>
      <c r="AD37" s="19"/>
      <c r="AE37" s="15" t="str">
        <f t="shared" si="2"/>
        <v/>
      </c>
      <c r="AF37" s="47" t="e">
        <f t="shared" ca="1" si="3"/>
        <v>#NAME?</v>
      </c>
      <c r="AG37" s="19"/>
      <c r="AH37" s="15" t="str">
        <f>IF(AG37=0,"",IFERROR(AG37/AG$19,""))</f>
        <v/>
      </c>
      <c r="AI37" s="47" t="e">
        <f ca="1">IF(AND($AA37="",AG37=""),"",$AA37-AG37)</f>
        <v>#NAME?</v>
      </c>
      <c r="AJ37" s="371">
        <f ca="1">IFERROR(AA37/AA$20,0)</f>
        <v>0</v>
      </c>
      <c r="AK37" s="372">
        <f ca="1">IFERROR(AD37/AD$20,0)</f>
        <v>0</v>
      </c>
      <c r="AL37" s="373">
        <f ca="1">IFERROR(AG37/AG$20,0)</f>
        <v>0</v>
      </c>
      <c r="AM37" s="374">
        <f ca="1">+IFERROR(ROUND(($AB37-AE37)*100,2)&amp;" pts.",0)</f>
        <v>0</v>
      </c>
      <c r="AN37" s="375">
        <f ca="1">+IFERROR(ROUND(($AB37-AH37)*100,2)&amp;" pts.",0)</f>
        <v>0</v>
      </c>
    </row>
    <row r="38" spans="1:40" x14ac:dyDescent="0.2">
      <c r="A38" s="1" t="s">
        <v>100</v>
      </c>
      <c r="C38" s="8" t="s">
        <v>101</v>
      </c>
      <c r="D38" s="1" t="s">
        <v>106</v>
      </c>
      <c r="F38" s="1" t="s">
        <v>98</v>
      </c>
      <c r="H38" s="10" t="s">
        <v>952</v>
      </c>
      <c r="I38" s="25" t="e">
        <f ca="1">_xll.EVPRO($B$1,$H38,"STYLE")</f>
        <v>#NAME?</v>
      </c>
      <c r="J38" s="25" t="e">
        <f ca="1">_xll.EVPRO($B$1,$H38,"CALC")</f>
        <v>#NAME?</v>
      </c>
      <c r="K38" s="64" t="e">
        <f ca="1">IF(AND(I38&gt;="T3"),"&gt;","")</f>
        <v>#NAME?</v>
      </c>
      <c r="L38" s="24" t="e">
        <f ca="1">_xll.EVPRO($B$1,H38,"JDEID")</f>
        <v>#NAME?</v>
      </c>
      <c r="M38" s="24" t="e">
        <f ca="1">IF(AND(I38="N",J38="N"),_xll.EVPRO($B$1,H38,"PSFTID"),"")</f>
        <v>#NAME?</v>
      </c>
      <c r="N38" s="24" t="e">
        <f ca="1">IF(_xll.EVDES(H38,$B$1)="#NODATA","",_xll.EVDES(H38,$B$1))</f>
        <v>#NAME?</v>
      </c>
      <c r="O38" s="44">
        <v>2267.7600000000002</v>
      </c>
      <c r="P38" s="44">
        <v>4377.2299999999996</v>
      </c>
      <c r="Q38" s="44">
        <v>3786.39</v>
      </c>
      <c r="R38" s="44">
        <v>3789.28</v>
      </c>
      <c r="S38" s="44">
        <v>4774.22</v>
      </c>
      <c r="T38" s="44">
        <v>3759.25</v>
      </c>
      <c r="U38" s="44">
        <v>4210.3599999999997</v>
      </c>
      <c r="V38" s="44">
        <v>4136</v>
      </c>
      <c r="W38" s="44">
        <v>3935.25</v>
      </c>
      <c r="X38" s="44">
        <v>4411</v>
      </c>
      <c r="Y38" s="44">
        <v>3937.75</v>
      </c>
      <c r="Z38" s="44">
        <v>4166.5</v>
      </c>
      <c r="AA38" s="44" t="e">
        <f t="shared" ca="1" si="0"/>
        <v>#NAME?</v>
      </c>
      <c r="AB38" s="45" t="e">
        <f t="shared" ca="1" si="1"/>
        <v>#NAME?</v>
      </c>
      <c r="AD38" s="28">
        <v>44910</v>
      </c>
      <c r="AE38" s="29" t="str">
        <f t="shared" ca="1" si="2"/>
        <v/>
      </c>
      <c r="AF38" s="48" t="e">
        <f t="shared" ca="1" si="3"/>
        <v>#NAME?</v>
      </c>
      <c r="AG38" s="28">
        <v>14291.34</v>
      </c>
      <c r="AH38" s="29" t="str">
        <f ca="1">IF(AG38=0,"",IFERROR(AG38/AG$19,""))</f>
        <v/>
      </c>
      <c r="AI38" s="48" t="e">
        <f ca="1">IF(AND($AA38="",AG38=""),"",$AA38-AG38)</f>
        <v>#NAME?</v>
      </c>
      <c r="AJ38" s="381">
        <f ca="1">IFERROR(AA38/AA$20,0)</f>
        <v>0</v>
      </c>
      <c r="AK38" s="382">
        <f ca="1">IFERROR(AD38/AD$20,0)</f>
        <v>0</v>
      </c>
      <c r="AL38" s="383">
        <f ca="1">IFERROR(AG38/AG$20,0)</f>
        <v>0</v>
      </c>
      <c r="AM38" s="384">
        <f ca="1">+IFERROR(ROUND(($AB38-AE38)*100,2)&amp;" pts.",0)</f>
        <v>0</v>
      </c>
      <c r="AN38" s="385">
        <f ca="1">+IFERROR(ROUND(($AB38-AH38)*100,2)&amp;" pts.",0)</f>
        <v>0</v>
      </c>
    </row>
    <row r="39" spans="1:40" x14ac:dyDescent="0.2">
      <c r="A39" s="1" t="s">
        <v>109</v>
      </c>
      <c r="C39" s="23" t="s">
        <v>101</v>
      </c>
      <c r="D39" s="1" t="s">
        <v>106</v>
      </c>
      <c r="F39" s="1" t="s">
        <v>98</v>
      </c>
      <c r="H39" s="10" t="s">
        <v>849</v>
      </c>
      <c r="I39" s="447" t="e">
        <f ca="1">_xll.EVPRO($B$1,$H39,"STYLE")</f>
        <v>#NAME?</v>
      </c>
      <c r="J39" s="447" t="e">
        <f ca="1">_xll.EVPRO($B$1,$H39,"CALC")</f>
        <v>#NAME?</v>
      </c>
      <c r="K39" s="448" t="e">
        <f t="shared" ref="K39:K47" ca="1" si="4">IF(AND(I39&gt;="T3"),"&gt;","")</f>
        <v>#NAME?</v>
      </c>
      <c r="L39" s="151" t="e">
        <f ca="1">_xll.EVPRO($B$1,H39,"JDEID")</f>
        <v>#NAME?</v>
      </c>
      <c r="M39" s="151" t="e">
        <f ca="1">IF(AND(I39="N",J39="N"),_xll.EVPRO($B$1,H39,"PSFTID"),"")</f>
        <v>#NAME?</v>
      </c>
      <c r="N39" s="151" t="e">
        <f ca="1">IF(_xll.EVDES(H39,$B$1)="#NODATA","",_xll.EVDES(H39,$B$1))</f>
        <v>#NAME?</v>
      </c>
      <c r="O39" s="120">
        <v>22472.07</v>
      </c>
      <c r="P39" s="120">
        <v>27779.43</v>
      </c>
      <c r="Q39" s="120">
        <v>27824.78</v>
      </c>
      <c r="R39" s="120">
        <v>28528.65</v>
      </c>
      <c r="S39" s="120">
        <v>28676.17</v>
      </c>
      <c r="T39" s="120">
        <v>25188.47</v>
      </c>
      <c r="U39" s="120">
        <v>28068.6</v>
      </c>
      <c r="V39" s="120">
        <v>23726.07</v>
      </c>
      <c r="W39" s="120">
        <v>27837.51</v>
      </c>
      <c r="X39" s="120">
        <v>27281.14</v>
      </c>
      <c r="Y39" s="120">
        <v>26180.17</v>
      </c>
      <c r="Z39" s="120">
        <v>20396.61</v>
      </c>
      <c r="AA39" s="120" t="e">
        <f t="shared" ca="1" si="0"/>
        <v>#NAME?</v>
      </c>
      <c r="AB39" s="121" t="e">
        <f t="shared" ca="1" si="1"/>
        <v>#NAME?</v>
      </c>
      <c r="AC39" s="123"/>
      <c r="AD39" s="120">
        <v>319342.43205621099</v>
      </c>
      <c r="AE39" s="121" t="str">
        <f t="shared" ca="1" si="2"/>
        <v/>
      </c>
      <c r="AF39" s="122" t="e">
        <f t="shared" ca="1" si="3"/>
        <v>#NAME?</v>
      </c>
      <c r="AG39" s="120">
        <v>287040.40999999997</v>
      </c>
      <c r="AH39" s="121" t="str">
        <f t="shared" ref="AH39:AH47" ca="1" si="5">IF(AG39=0,"",IFERROR(AG39/AG$19,""))</f>
        <v/>
      </c>
      <c r="AI39" s="122" t="e">
        <f t="shared" ref="AI39:AI47" ca="1" si="6">IF(AND($AA39="",AG39=""),"",$AA39-AG39)</f>
        <v>#NAME?</v>
      </c>
      <c r="AJ39" s="332">
        <f t="shared" ref="AJ39:AJ47" ca="1" si="7">IFERROR(AA39/AA$20,0)</f>
        <v>0</v>
      </c>
      <c r="AK39" s="333">
        <f t="shared" ref="AK39:AK47" ca="1" si="8">IFERROR(AD39/AD$20,0)</f>
        <v>0</v>
      </c>
      <c r="AL39" s="335">
        <f t="shared" ref="AL39:AL47" ca="1" si="9">IFERROR(AG39/AG$20,0)</f>
        <v>0</v>
      </c>
      <c r="AM39" s="377">
        <f t="shared" ref="AM39:AM47" ca="1" si="10">+IFERROR(ROUND(($AB39-AE39)*100,2)&amp;" pts.",0)</f>
        <v>0</v>
      </c>
      <c r="AN39" s="378">
        <f t="shared" ref="AN39:AN47" ca="1" si="11">+IFERROR(ROUND(($AB39-AH39)*100,2)&amp;" pts.",0)</f>
        <v>0</v>
      </c>
    </row>
    <row r="40" spans="1:40" x14ac:dyDescent="0.2">
      <c r="A40" s="1" t="s">
        <v>109</v>
      </c>
      <c r="C40" s="135" t="s">
        <v>101</v>
      </c>
      <c r="D40" s="1" t="s">
        <v>107</v>
      </c>
      <c r="F40" s="1" t="s">
        <v>99</v>
      </c>
      <c r="H40" s="10" t="s">
        <v>863</v>
      </c>
      <c r="I40" s="25" t="e">
        <f ca="1">_xll.EVPRO($B$1,$H40,"STYLE")</f>
        <v>#NAME?</v>
      </c>
      <c r="J40" s="25" t="e">
        <f ca="1">_xll.EVPRO($B$1,$H40,"CALC")</f>
        <v>#NAME?</v>
      </c>
      <c r="K40" s="64" t="e">
        <f t="shared" ca="1" si="4"/>
        <v>#NAME?</v>
      </c>
      <c r="L40" s="24" t="e">
        <f ca="1">_xll.EVPRO($B$1,H40,"JDEID")</f>
        <v>#NAME?</v>
      </c>
      <c r="M40" s="24" t="e">
        <f ca="1">IF(AND(I40="N",J40="N"),_xll.EVPRO($B$1,H40,"PSFTID"),"")</f>
        <v>#NAME?</v>
      </c>
      <c r="N40" s="24" t="e">
        <f ca="1">IF(_xll.EVDES(H40,$B$1)="#NODATA","",_xll.EVDES(H40,$B$1))</f>
        <v>#NAME?</v>
      </c>
      <c r="O40" s="44">
        <v>3500</v>
      </c>
      <c r="P40" s="44">
        <v>3500</v>
      </c>
      <c r="Q40" s="44">
        <v>3500</v>
      </c>
      <c r="R40" s="44">
        <v>3500</v>
      </c>
      <c r="S40" s="44">
        <v>3500</v>
      </c>
      <c r="T40" s="44">
        <v>3500</v>
      </c>
      <c r="U40" s="44">
        <v>3500</v>
      </c>
      <c r="V40" s="44">
        <v>3500</v>
      </c>
      <c r="W40" s="44">
        <v>3500</v>
      </c>
      <c r="X40" s="44">
        <v>3500</v>
      </c>
      <c r="Y40" s="44">
        <v>3500</v>
      </c>
      <c r="Z40" s="44">
        <v>3500</v>
      </c>
      <c r="AA40" s="44" t="e">
        <f t="shared" ca="1" si="0"/>
        <v>#NAME?</v>
      </c>
      <c r="AB40" s="45" t="e">
        <f t="shared" ca="1" si="1"/>
        <v>#NAME?</v>
      </c>
      <c r="AD40" s="44">
        <v>44000</v>
      </c>
      <c r="AE40" s="45" t="str">
        <f t="shared" ca="1" si="2"/>
        <v/>
      </c>
      <c r="AF40" s="134" t="e">
        <f t="shared" ca="1" si="3"/>
        <v>#NAME?</v>
      </c>
      <c r="AG40" s="44">
        <v>87373</v>
      </c>
      <c r="AH40" s="45" t="str">
        <f t="shared" ca="1" si="5"/>
        <v/>
      </c>
      <c r="AI40" s="134" t="e">
        <f t="shared" ca="1" si="6"/>
        <v>#NAME?</v>
      </c>
      <c r="AJ40" s="392">
        <f t="shared" ca="1" si="7"/>
        <v>0</v>
      </c>
      <c r="AK40" s="393">
        <f t="shared" ca="1" si="8"/>
        <v>0</v>
      </c>
      <c r="AL40" s="394">
        <f t="shared" ca="1" si="9"/>
        <v>0</v>
      </c>
      <c r="AM40" s="395">
        <f t="shared" ca="1" si="10"/>
        <v>0</v>
      </c>
      <c r="AN40" s="396">
        <f t="shared" ca="1" si="11"/>
        <v>0</v>
      </c>
    </row>
    <row r="41" spans="1:40" x14ac:dyDescent="0.2">
      <c r="A41" s="1" t="s">
        <v>110</v>
      </c>
      <c r="C41" s="23" t="s">
        <v>101</v>
      </c>
      <c r="D41" s="1" t="s">
        <v>106</v>
      </c>
      <c r="F41" s="1" t="s">
        <v>98</v>
      </c>
      <c r="H41" s="10" t="s">
        <v>850</v>
      </c>
      <c r="I41" s="25" t="e">
        <f ca="1">_xll.EVPRO($B$1,$H41,"STYLE")</f>
        <v>#NAME?</v>
      </c>
      <c r="J41" s="25" t="e">
        <f ca="1">_xll.EVPRO($B$1,$H41,"CALC")</f>
        <v>#NAME?</v>
      </c>
      <c r="K41" s="64" t="e">
        <f t="shared" ca="1" si="4"/>
        <v>#NAME?</v>
      </c>
      <c r="L41" s="24" t="e">
        <f ca="1">_xll.EVPRO($B$1,H41,"JDEID")</f>
        <v>#NAME?</v>
      </c>
      <c r="M41" s="24" t="e">
        <f ca="1">IF(AND(I41="N",J41="N"),_xll.EVPRO($B$1,H41,"PSFTID"),"")</f>
        <v>#NAME?</v>
      </c>
      <c r="N41" s="24" t="e">
        <f ca="1">IF(_xll.EVDES(H41,$B$1)="#NODATA","",_xll.EVDES(H41,$B$1))</f>
        <v>#NAME?</v>
      </c>
      <c r="O41" s="44"/>
      <c r="P41" s="44">
        <v>-251.49</v>
      </c>
      <c r="Q41" s="44">
        <v>7651.61</v>
      </c>
      <c r="R41" s="44">
        <v>3641.12</v>
      </c>
      <c r="S41" s="44">
        <v>2762.76</v>
      </c>
      <c r="T41" s="44">
        <v>5908.23</v>
      </c>
      <c r="U41" s="44">
        <v>2735.88</v>
      </c>
      <c r="V41" s="44">
        <v>7906.58</v>
      </c>
      <c r="W41" s="44">
        <v>5745.42</v>
      </c>
      <c r="X41" s="44">
        <v>1117.8</v>
      </c>
      <c r="Y41" s="44">
        <v>3833.06</v>
      </c>
      <c r="Z41" s="44">
        <v>899.42</v>
      </c>
      <c r="AA41" s="44" t="e">
        <f t="shared" ca="1" si="0"/>
        <v>#NAME?</v>
      </c>
      <c r="AB41" s="45" t="e">
        <f t="shared" ca="1" si="1"/>
        <v>#NAME?</v>
      </c>
      <c r="AD41" s="28">
        <v>45664.662697630803</v>
      </c>
      <c r="AE41" s="29" t="str">
        <f t="shared" ca="1" si="2"/>
        <v/>
      </c>
      <c r="AF41" s="48" t="e">
        <f t="shared" ca="1" si="3"/>
        <v>#NAME?</v>
      </c>
      <c r="AG41" s="28">
        <v>34344.69</v>
      </c>
      <c r="AH41" s="29" t="str">
        <f t="shared" ca="1" si="5"/>
        <v/>
      </c>
      <c r="AI41" s="48" t="e">
        <f t="shared" ca="1" si="6"/>
        <v>#NAME?</v>
      </c>
      <c r="AJ41" s="381">
        <f t="shared" ca="1" si="7"/>
        <v>0</v>
      </c>
      <c r="AK41" s="382">
        <f t="shared" ca="1" si="8"/>
        <v>0</v>
      </c>
      <c r="AL41" s="383">
        <f t="shared" ca="1" si="9"/>
        <v>0</v>
      </c>
      <c r="AM41" s="384">
        <f t="shared" ca="1" si="10"/>
        <v>0</v>
      </c>
      <c r="AN41" s="385">
        <f t="shared" ca="1" si="11"/>
        <v>0</v>
      </c>
    </row>
    <row r="42" spans="1:40" x14ac:dyDescent="0.2">
      <c r="A42" s="1" t="s">
        <v>110</v>
      </c>
      <c r="C42" s="27" t="s">
        <v>101</v>
      </c>
      <c r="D42" s="1" t="s">
        <v>107</v>
      </c>
      <c r="F42" s="1" t="s">
        <v>99</v>
      </c>
      <c r="H42" s="10" t="s">
        <v>851</v>
      </c>
      <c r="I42" s="447" t="e">
        <f ca="1">_xll.EVPRO($B$1,$H42,"STYLE")</f>
        <v>#NAME?</v>
      </c>
      <c r="J42" s="447" t="e">
        <f ca="1">_xll.EVPRO($B$1,$H42,"CALC")</f>
        <v>#NAME?</v>
      </c>
      <c r="K42" s="448" t="e">
        <f t="shared" ca="1" si="4"/>
        <v>#NAME?</v>
      </c>
      <c r="L42" s="151" t="e">
        <f ca="1">_xll.EVPRO($B$1,H42,"JDEID")</f>
        <v>#NAME?</v>
      </c>
      <c r="M42" s="151" t="e">
        <f ca="1">IF(AND(I42="N",J42="N"),_xll.EVPRO($B$1,H42,"PSFTID"),"")</f>
        <v>#NAME?</v>
      </c>
      <c r="N42" s="151" t="e">
        <f ca="1">IF(_xll.EVDES(H42,$B$1)="#NODATA","",_xll.EVDES(H42,$B$1))</f>
        <v>#NAME?</v>
      </c>
      <c r="O42" s="120">
        <v>25972.07</v>
      </c>
      <c r="P42" s="120">
        <v>31027.94</v>
      </c>
      <c r="Q42" s="120">
        <v>38976.39</v>
      </c>
      <c r="R42" s="120">
        <v>35669.769999999997</v>
      </c>
      <c r="S42" s="120">
        <v>34938.93</v>
      </c>
      <c r="T42" s="120">
        <v>34596.699999999997</v>
      </c>
      <c r="U42" s="120">
        <v>34304.480000000003</v>
      </c>
      <c r="V42" s="120">
        <v>35132.65</v>
      </c>
      <c r="W42" s="120">
        <v>37082.93</v>
      </c>
      <c r="X42" s="120">
        <v>31898.94</v>
      </c>
      <c r="Y42" s="120">
        <v>33513.230000000003</v>
      </c>
      <c r="Z42" s="120">
        <v>24796.03</v>
      </c>
      <c r="AA42" s="120" t="e">
        <f t="shared" ca="1" si="0"/>
        <v>#NAME?</v>
      </c>
      <c r="AB42" s="121" t="e">
        <f t="shared" ca="1" si="1"/>
        <v>#NAME?</v>
      </c>
      <c r="AC42" s="123"/>
      <c r="AD42" s="120">
        <v>409007.09475384199</v>
      </c>
      <c r="AE42" s="121" t="str">
        <f t="shared" ca="1" si="2"/>
        <v/>
      </c>
      <c r="AF42" s="122" t="e">
        <f t="shared" ca="1" si="3"/>
        <v>#NAME?</v>
      </c>
      <c r="AG42" s="120">
        <v>408758.1</v>
      </c>
      <c r="AH42" s="121" t="str">
        <f t="shared" ca="1" si="5"/>
        <v/>
      </c>
      <c r="AI42" s="122" t="e">
        <f t="shared" ca="1" si="6"/>
        <v>#NAME?</v>
      </c>
      <c r="AJ42" s="332">
        <f t="shared" ca="1" si="7"/>
        <v>0</v>
      </c>
      <c r="AK42" s="333">
        <f t="shared" ca="1" si="8"/>
        <v>0</v>
      </c>
      <c r="AL42" s="335">
        <f t="shared" ca="1" si="9"/>
        <v>0</v>
      </c>
      <c r="AM42" s="377">
        <f t="shared" ca="1" si="10"/>
        <v>0</v>
      </c>
      <c r="AN42" s="378">
        <f t="shared" ca="1" si="11"/>
        <v>0</v>
      </c>
    </row>
    <row r="43" spans="1:40" x14ac:dyDescent="0.2">
      <c r="C43" s="23"/>
      <c r="H43" s="10" t="s">
        <v>852</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44">
        <v>2036.56</v>
      </c>
      <c r="P43" s="44">
        <v>2300.81</v>
      </c>
      <c r="Q43" s="44">
        <v>2326.88</v>
      </c>
      <c r="R43" s="44">
        <v>2208.35</v>
      </c>
      <c r="S43" s="44">
        <v>2108.61</v>
      </c>
      <c r="T43" s="44">
        <v>2316.02</v>
      </c>
      <c r="U43" s="44">
        <v>2160.0300000000002</v>
      </c>
      <c r="V43" s="44">
        <v>2272.6799999999998</v>
      </c>
      <c r="W43" s="44">
        <v>2175.37</v>
      </c>
      <c r="X43" s="44">
        <v>1668.3</v>
      </c>
      <c r="Y43" s="44">
        <v>2291.13</v>
      </c>
      <c r="Z43" s="44">
        <v>1561.1</v>
      </c>
      <c r="AA43" s="44" t="e">
        <f t="shared" ca="1" si="0"/>
        <v>#NAME?</v>
      </c>
      <c r="AB43" s="45" t="e">
        <f t="shared" ca="1" si="1"/>
        <v>#NAME?</v>
      </c>
      <c r="AD43" s="44">
        <v>32178.272355665598</v>
      </c>
      <c r="AE43" s="45" t="str">
        <f t="shared" ca="1" si="2"/>
        <v/>
      </c>
      <c r="AF43" s="134" t="e">
        <f t="shared" ca="1" si="3"/>
        <v>#NAME?</v>
      </c>
      <c r="AG43" s="44">
        <v>24745.66</v>
      </c>
      <c r="AH43" s="45" t="str">
        <f t="shared" ca="1" si="5"/>
        <v/>
      </c>
      <c r="AI43" s="134" t="e">
        <f t="shared" ca="1" si="6"/>
        <v>#NAME?</v>
      </c>
      <c r="AJ43" s="392">
        <f t="shared" ca="1" si="7"/>
        <v>0</v>
      </c>
      <c r="AK43" s="393">
        <f t="shared" ca="1" si="8"/>
        <v>0</v>
      </c>
      <c r="AL43" s="394">
        <f t="shared" ca="1" si="9"/>
        <v>0</v>
      </c>
      <c r="AM43" s="395">
        <f t="shared" ca="1" si="10"/>
        <v>0</v>
      </c>
      <c r="AN43" s="396">
        <f t="shared" ca="1" si="11"/>
        <v>0</v>
      </c>
    </row>
    <row r="44" spans="1:40" x14ac:dyDescent="0.2">
      <c r="H44" s="10" t="s">
        <v>853</v>
      </c>
      <c r="I44" s="25" t="e">
        <f ca="1">_xll.EVPRO($B$1,$H44,"STYLE")</f>
        <v>#NAME?</v>
      </c>
      <c r="J44" s="25" t="e">
        <f ca="1">_xll.EVPRO($B$1,$H44,"CALC")</f>
        <v>#NAME?</v>
      </c>
      <c r="K44" s="64" t="e">
        <f t="shared" ca="1" si="4"/>
        <v>#NAME?</v>
      </c>
      <c r="L44" s="24" t="e">
        <f ca="1">_xll.EVPRO($B$1,H44,"JDEID")</f>
        <v>#NAME?</v>
      </c>
      <c r="M44" s="24" t="e">
        <f ca="1">IF(AND(I44="N",J44="N"),_xll.EVPRO($B$1,H44,"PSFTID"),"")</f>
        <v>#NAME?</v>
      </c>
      <c r="N44" s="24" t="e">
        <f ca="1">IF(_xll.EVDES(H44,$B$1)="#NODATA","",_xll.EVDES(H44,$B$1))</f>
        <v>#NAME?</v>
      </c>
      <c r="O44" s="44">
        <v>3633.26</v>
      </c>
      <c r="P44" s="44">
        <v>2021.4</v>
      </c>
      <c r="Q44" s="44">
        <v>1981.02</v>
      </c>
      <c r="R44" s="44">
        <v>2022.61</v>
      </c>
      <c r="S44" s="44">
        <v>3230.7</v>
      </c>
      <c r="T44" s="44">
        <v>1597.4</v>
      </c>
      <c r="U44" s="44">
        <v>3107.31</v>
      </c>
      <c r="V44" s="44">
        <v>4192.67</v>
      </c>
      <c r="W44" s="44">
        <v>3041.67</v>
      </c>
      <c r="X44" s="44">
        <v>3044.15</v>
      </c>
      <c r="Y44" s="44">
        <v>1072.83</v>
      </c>
      <c r="Z44" s="44">
        <v>526.57000000000005</v>
      </c>
      <c r="AA44" s="44" t="e">
        <f t="shared" ca="1" si="0"/>
        <v>#NAME?</v>
      </c>
      <c r="AB44" s="45" t="e">
        <f t="shared" ca="1" si="1"/>
        <v>#NAME?</v>
      </c>
      <c r="AD44" s="28">
        <v>33306.375531712998</v>
      </c>
      <c r="AE44" s="29" t="str">
        <f t="shared" ca="1" si="2"/>
        <v/>
      </c>
      <c r="AF44" s="48" t="e">
        <f t="shared" ca="1" si="3"/>
        <v>#NAME?</v>
      </c>
      <c r="AG44" s="28">
        <v>29898.05</v>
      </c>
      <c r="AH44" s="29" t="str">
        <f t="shared" ca="1" si="5"/>
        <v/>
      </c>
      <c r="AI44" s="48" t="e">
        <f t="shared" ca="1" si="6"/>
        <v>#NAME?</v>
      </c>
      <c r="AJ44" s="381">
        <f t="shared" ca="1" si="7"/>
        <v>0</v>
      </c>
      <c r="AK44" s="382">
        <f t="shared" ca="1" si="8"/>
        <v>0</v>
      </c>
      <c r="AL44" s="383">
        <f t="shared" ca="1" si="9"/>
        <v>0</v>
      </c>
      <c r="AM44" s="384">
        <f t="shared" ca="1" si="10"/>
        <v>0</v>
      </c>
      <c r="AN44" s="385">
        <f t="shared" ca="1" si="11"/>
        <v>0</v>
      </c>
    </row>
    <row r="45" spans="1:40" x14ac:dyDescent="0.2">
      <c r="A45" s="4" t="e">
        <f ca="1">_xll.EVDRE($B$1,A48:B55)</f>
        <v>#NAME?</v>
      </c>
      <c r="B45" s="1" t="s">
        <v>739</v>
      </c>
      <c r="H45" s="10" t="s">
        <v>854</v>
      </c>
      <c r="I45" s="25" t="e">
        <f ca="1">_xll.EVPRO($B$1,$H45,"STYLE")</f>
        <v>#NAME?</v>
      </c>
      <c r="J45" s="25" t="e">
        <f ca="1">_xll.EVPRO($B$1,$H45,"CALC")</f>
        <v>#NAME?</v>
      </c>
      <c r="K45" s="64" t="e">
        <f t="shared" ca="1" si="4"/>
        <v>#NAME?</v>
      </c>
      <c r="L45" s="24" t="e">
        <f ca="1">_xll.EVPRO($B$1,H45,"JDEID")</f>
        <v>#NAME?</v>
      </c>
      <c r="M45" s="24" t="e">
        <f ca="1">IF(AND(I45="N",J45="N"),_xll.EVPRO($B$1,H45,"PSFTID"),"")</f>
        <v>#NAME?</v>
      </c>
      <c r="N45" s="24" t="e">
        <f ca="1">IF(_xll.EVDES(H45,$B$1)="#NODATA","",_xll.EVDES(H45,$B$1))</f>
        <v>#NAME?</v>
      </c>
      <c r="O45" s="44">
        <v>5615.86</v>
      </c>
      <c r="P45" s="44">
        <v>5118.05</v>
      </c>
      <c r="Q45" s="44">
        <v>5289.53</v>
      </c>
      <c r="R45" s="44">
        <v>3502.44</v>
      </c>
      <c r="S45" s="44">
        <v>3504.52</v>
      </c>
      <c r="T45" s="44">
        <v>3502.45</v>
      </c>
      <c r="U45" s="44">
        <v>3502.38</v>
      </c>
      <c r="V45" s="44">
        <v>3495.77</v>
      </c>
      <c r="W45" s="44">
        <v>3495.7</v>
      </c>
      <c r="X45" s="44">
        <v>3495.69</v>
      </c>
      <c r="Y45" s="44">
        <v>3487.57</v>
      </c>
      <c r="Z45" s="44">
        <v>4747.67</v>
      </c>
      <c r="AA45" s="44" t="e">
        <f t="shared" ca="1" si="0"/>
        <v>#NAME?</v>
      </c>
      <c r="AB45" s="45" t="e">
        <f t="shared" ca="1" si="1"/>
        <v>#NAME?</v>
      </c>
      <c r="AD45" s="28">
        <v>61347.114952022501</v>
      </c>
      <c r="AE45" s="29" t="str">
        <f t="shared" ca="1" si="2"/>
        <v/>
      </c>
      <c r="AF45" s="48" t="e">
        <f t="shared" ca="1" si="3"/>
        <v>#NAME?</v>
      </c>
      <c r="AG45" s="28">
        <v>61141.66</v>
      </c>
      <c r="AH45" s="29" t="str">
        <f t="shared" ca="1" si="5"/>
        <v/>
      </c>
      <c r="AI45" s="48" t="e">
        <f t="shared" ca="1" si="6"/>
        <v>#NAME?</v>
      </c>
      <c r="AJ45" s="381">
        <f t="shared" ca="1" si="7"/>
        <v>0</v>
      </c>
      <c r="AK45" s="382">
        <f t="shared" ca="1" si="8"/>
        <v>0</v>
      </c>
      <c r="AL45" s="383">
        <f t="shared" ca="1" si="9"/>
        <v>0</v>
      </c>
      <c r="AM45" s="384">
        <f t="shared" ca="1" si="10"/>
        <v>0</v>
      </c>
      <c r="AN45" s="385">
        <f t="shared" ca="1" si="11"/>
        <v>0</v>
      </c>
    </row>
    <row r="46" spans="1:40" x14ac:dyDescent="0.2">
      <c r="H46" s="10" t="s">
        <v>855</v>
      </c>
      <c r="I46" s="447" t="e">
        <f ca="1">_xll.EVPRO($B$1,$H46,"STYLE")</f>
        <v>#NAME?</v>
      </c>
      <c r="J46" s="447" t="e">
        <f ca="1">_xll.EVPRO($B$1,$H46,"CALC")</f>
        <v>#NAME?</v>
      </c>
      <c r="K46" s="448" t="e">
        <f t="shared" ca="1" si="4"/>
        <v>#NAME?</v>
      </c>
      <c r="L46" s="151" t="e">
        <f ca="1">_xll.EVPRO($B$1,H46,"JDEID")</f>
        <v>#NAME?</v>
      </c>
      <c r="M46" s="151" t="e">
        <f ca="1">IF(AND(I46="N",J46="N"),_xll.EVPRO($B$1,H46,"PSFTID"),"")</f>
        <v>#NAME?</v>
      </c>
      <c r="N46" s="151" t="e">
        <f ca="1">IF(_xll.EVDES(H46,$B$1)="#NODATA","",_xll.EVDES(H46,$B$1))</f>
        <v>#NAME?</v>
      </c>
      <c r="O46" s="33">
        <v>11285.68</v>
      </c>
      <c r="P46" s="33">
        <v>9440.26</v>
      </c>
      <c r="Q46" s="33">
        <v>9597.43</v>
      </c>
      <c r="R46" s="33">
        <v>7733.4</v>
      </c>
      <c r="S46" s="33">
        <v>8843.83</v>
      </c>
      <c r="T46" s="33">
        <v>7415.87</v>
      </c>
      <c r="U46" s="33">
        <v>8769.7199999999993</v>
      </c>
      <c r="V46" s="33">
        <v>9961.1200000000008</v>
      </c>
      <c r="W46" s="33">
        <v>8712.74</v>
      </c>
      <c r="X46" s="33">
        <v>8208.14</v>
      </c>
      <c r="Y46" s="33">
        <v>6851.53</v>
      </c>
      <c r="Z46" s="33">
        <v>6835.34</v>
      </c>
      <c r="AA46" s="33" t="e">
        <f t="shared" ca="1" si="0"/>
        <v>#NAME?</v>
      </c>
      <c r="AB46" s="34" t="e">
        <f t="shared" ca="1" si="1"/>
        <v>#NAME?</v>
      </c>
      <c r="AC46" s="32"/>
      <c r="AD46" s="33">
        <v>126831.762839401</v>
      </c>
      <c r="AE46" s="34" t="str">
        <f t="shared" ca="1" si="2"/>
        <v/>
      </c>
      <c r="AF46" s="54" t="e">
        <f t="shared" ca="1" si="3"/>
        <v>#NAME?</v>
      </c>
      <c r="AG46" s="33">
        <v>115785.37</v>
      </c>
      <c r="AH46" s="34" t="str">
        <f t="shared" ca="1" si="5"/>
        <v/>
      </c>
      <c r="AI46" s="54" t="e">
        <f t="shared" ca="1" si="6"/>
        <v>#NAME?</v>
      </c>
      <c r="AJ46" s="344">
        <f t="shared" ca="1" si="7"/>
        <v>0</v>
      </c>
      <c r="AK46" s="345">
        <f t="shared" ca="1" si="8"/>
        <v>0</v>
      </c>
      <c r="AL46" s="347">
        <f t="shared" ca="1" si="9"/>
        <v>0</v>
      </c>
      <c r="AM46" s="379">
        <f t="shared" ca="1" si="10"/>
        <v>0</v>
      </c>
      <c r="AN46" s="380">
        <f t="shared" ca="1" si="11"/>
        <v>0</v>
      </c>
    </row>
    <row r="47" spans="1:40" x14ac:dyDescent="0.2">
      <c r="A47" s="3" t="s">
        <v>0</v>
      </c>
      <c r="B47" s="5" t="s">
        <v>1</v>
      </c>
      <c r="H47" s="10" t="s">
        <v>76</v>
      </c>
      <c r="I47" s="447" t="e">
        <f ca="1">_xll.EVPRO($B$1,$H47,"STYLE")</f>
        <v>#NAME?</v>
      </c>
      <c r="J47" s="447" t="e">
        <f ca="1">_xll.EVPRO($B$1,$H47,"CALC")</f>
        <v>#NAME?</v>
      </c>
      <c r="K47" s="448" t="e">
        <f t="shared" ca="1" si="4"/>
        <v>#NAME?</v>
      </c>
      <c r="L47" s="151" t="e">
        <f ca="1">_xll.EVPRO($B$1,H47,"JDEID")</f>
        <v>#NAME?</v>
      </c>
      <c r="M47" s="151" t="e">
        <f ca="1">IF(AND(I47="N",J47="N"),_xll.EVPRO($B$1,H47,"PSFTID"),"")</f>
        <v>#NAME?</v>
      </c>
      <c r="N47" s="151" t="e">
        <f ca="1">IF(_xll.EVDES(H47,$B$1)="#NODATA","",_xll.EVDES(H47,$B$1))</f>
        <v>#NAME?</v>
      </c>
      <c r="O47" s="33">
        <v>37257.75</v>
      </c>
      <c r="P47" s="33">
        <v>40468.199999999997</v>
      </c>
      <c r="Q47" s="33">
        <v>48573.82</v>
      </c>
      <c r="R47" s="33">
        <v>43403.17</v>
      </c>
      <c r="S47" s="33">
        <v>43782.76</v>
      </c>
      <c r="T47" s="33">
        <v>42012.57</v>
      </c>
      <c r="U47" s="33">
        <v>43074.2</v>
      </c>
      <c r="V47" s="33">
        <v>45093.77</v>
      </c>
      <c r="W47" s="33">
        <v>45795.67</v>
      </c>
      <c r="X47" s="33">
        <v>40107.08</v>
      </c>
      <c r="Y47" s="33">
        <v>40364.76</v>
      </c>
      <c r="Z47" s="33">
        <v>31631.37</v>
      </c>
      <c r="AA47" s="33" t="e">
        <f t="shared" ca="1" si="0"/>
        <v>#NAME?</v>
      </c>
      <c r="AB47" s="34" t="e">
        <f t="shared" ca="1" si="1"/>
        <v>#NAME?</v>
      </c>
      <c r="AC47" s="32"/>
      <c r="AD47" s="33">
        <v>535838.85759324301</v>
      </c>
      <c r="AE47" s="34" t="str">
        <f t="shared" ca="1" si="2"/>
        <v/>
      </c>
      <c r="AF47" s="54" t="e">
        <f t="shared" ca="1" si="3"/>
        <v>#NAME?</v>
      </c>
      <c r="AG47" s="33">
        <v>524543.47</v>
      </c>
      <c r="AH47" s="34" t="str">
        <f t="shared" ca="1" si="5"/>
        <v/>
      </c>
      <c r="AI47" s="54" t="e">
        <f t="shared" ca="1" si="6"/>
        <v>#NAME?</v>
      </c>
      <c r="AJ47" s="344">
        <f t="shared" ca="1" si="7"/>
        <v>0</v>
      </c>
      <c r="AK47" s="345">
        <f t="shared" ca="1" si="8"/>
        <v>0</v>
      </c>
      <c r="AL47" s="347">
        <f t="shared" ca="1" si="9"/>
        <v>0</v>
      </c>
      <c r="AM47" s="379">
        <f t="shared" ca="1" si="10"/>
        <v>0</v>
      </c>
      <c r="AN47" s="380">
        <f t="shared" ca="1" si="11"/>
        <v>0</v>
      </c>
    </row>
    <row r="48" spans="1:40" x14ac:dyDescent="0.2">
      <c r="A48" s="6" t="s">
        <v>2</v>
      </c>
      <c r="B48" s="7" t="e">
        <f ca="1">_xll.EVRNG($B$2:$B$10)</f>
        <v>#NAME?</v>
      </c>
      <c r="H48" s="23"/>
      <c r="I48" s="23"/>
      <c r="J48" s="23"/>
      <c r="K48" s="23"/>
      <c r="L48" s="23"/>
      <c r="M48" s="23"/>
      <c r="N48" s="23"/>
      <c r="O48" s="38"/>
      <c r="P48" s="42"/>
      <c r="Q48" s="42"/>
      <c r="R48" s="42"/>
      <c r="S48" s="42"/>
      <c r="T48" s="42"/>
      <c r="U48" s="42"/>
      <c r="V48" s="42"/>
      <c r="W48" s="42"/>
      <c r="X48" s="42"/>
      <c r="Y48" s="42"/>
      <c r="Z48" s="42"/>
      <c r="AA48" s="42"/>
      <c r="AB48" s="39"/>
      <c r="AD48" s="38"/>
      <c r="AE48" s="42"/>
      <c r="AF48" s="39"/>
      <c r="AG48" s="38"/>
      <c r="AH48" s="42"/>
      <c r="AI48" s="39"/>
    </row>
    <row r="49" spans="1:40" x14ac:dyDescent="0.2">
      <c r="A49" s="6" t="s">
        <v>3</v>
      </c>
      <c r="B49" s="7" t="e">
        <f ca="1">_xll.EVRNG($O$16:$AN$18)</f>
        <v>#NAME?</v>
      </c>
      <c r="H49" s="1" t="s">
        <v>82</v>
      </c>
      <c r="I49" s="11" t="e">
        <f ca="1">_xll.EVPRO($B$1,$H49,"STYLE")</f>
        <v>#NAME?</v>
      </c>
      <c r="J49" s="11" t="e">
        <f ca="1">_xll.EVPRO($B$1,$H49,"CALC")</f>
        <v>#NAME?</v>
      </c>
      <c r="L49" s="1"/>
      <c r="M49" s="1"/>
      <c r="N49" s="37" t="e">
        <f ca="1">IF(_xll.EVDES(H49,$B$1)="#NODATA","",_xll.EVDES(H49,$B$1))</f>
        <v>#NAME?</v>
      </c>
      <c r="O49" s="40"/>
      <c r="P49" s="43"/>
      <c r="Q49" s="43"/>
      <c r="R49" s="43"/>
      <c r="S49" s="43"/>
      <c r="T49" s="43"/>
      <c r="U49" s="43"/>
      <c r="V49" s="43"/>
      <c r="W49" s="43"/>
      <c r="X49" s="43"/>
      <c r="Y49" s="43"/>
      <c r="Z49" s="43"/>
      <c r="AA49" s="43"/>
      <c r="AB49" s="41"/>
      <c r="AD49" s="40"/>
      <c r="AE49" s="43"/>
      <c r="AF49" s="41"/>
      <c r="AG49" s="40"/>
      <c r="AH49" s="43"/>
      <c r="AI49" s="41"/>
    </row>
    <row r="50" spans="1:40" x14ac:dyDescent="0.2">
      <c r="A50" s="6" t="s">
        <v>4</v>
      </c>
      <c r="B50" s="7" t="e">
        <f ca="1">_xll.EVRNG(H73:H76)</f>
        <v>#NAME?</v>
      </c>
      <c r="H50" s="10" t="s">
        <v>829</v>
      </c>
      <c r="I50" s="25" t="e">
        <f ca="1">_xll.EVPRO($B$1,$H50,"STYLE")</f>
        <v>#NAME?</v>
      </c>
      <c r="J50" s="25" t="e">
        <f ca="1">_xll.EVPRO($B$1,$H50,"CALC")</f>
        <v>#NAME?</v>
      </c>
      <c r="K50" s="64" t="e">
        <f ca="1">IF(AND(I50&gt;="T3"),"&gt;","")</f>
        <v>#NAME?</v>
      </c>
      <c r="L50" s="24" t="e">
        <f ca="1">_xll.EVPRO($B$1,H50,"JDEID")</f>
        <v>#NAME?</v>
      </c>
      <c r="M50" s="24" t="e">
        <f ca="1">IF(AND(I50="N",J50="N"),_xll.EVPRO($B$1,H50,"PSFTID"),"")</f>
        <v>#NAME?</v>
      </c>
      <c r="N50" s="24" t="e">
        <f ca="1">IF(_xll.EVDES(H50,$B$1)="#NODATA","",_xll.EVDES(H50,$B$1))</f>
        <v>#NAME?</v>
      </c>
      <c r="O50" s="19">
        <v>3147.95</v>
      </c>
      <c r="P50" s="19">
        <v>3767.48</v>
      </c>
      <c r="Q50" s="19">
        <v>-662.74</v>
      </c>
      <c r="R50" s="19">
        <v>3429.21</v>
      </c>
      <c r="S50" s="19">
        <v>3125.25</v>
      </c>
      <c r="T50" s="19">
        <v>4011.66</v>
      </c>
      <c r="U50" s="19">
        <v>3319.22</v>
      </c>
      <c r="V50" s="19">
        <v>5087.3</v>
      </c>
      <c r="W50" s="19">
        <v>3428.69</v>
      </c>
      <c r="X50" s="19">
        <v>4398.3999999999996</v>
      </c>
      <c r="Y50" s="19">
        <v>2079.15</v>
      </c>
      <c r="Z50" s="19">
        <v>3364.13</v>
      </c>
      <c r="AA50" s="35" t="e">
        <f t="shared" ref="AA50:AA73" ca="1" si="12">IF($I50="B1","",SUM(O50:Z50))</f>
        <v>#NAME?</v>
      </c>
      <c r="AB50" s="15" t="e">
        <f t="shared" ref="AB50:AB73" ca="1" si="13">IF(AA50=0,"",IFERROR(AA50/AA$19,""))</f>
        <v>#NAME?</v>
      </c>
      <c r="AD50" s="19">
        <v>39588</v>
      </c>
      <c r="AE50" s="15" t="str">
        <f t="shared" ref="AE50:AE73" ca="1" si="14">IF(AD50=0,"",IFERROR(AD50/AD$19,""))</f>
        <v/>
      </c>
      <c r="AF50" s="47" t="e">
        <f t="shared" ref="AF50:AF73" ca="1" si="15">IF(AND($AA50="",AD50=""),"",$AA50-AD50)</f>
        <v>#NAME?</v>
      </c>
      <c r="AG50" s="19">
        <v>43113.9</v>
      </c>
      <c r="AH50" s="15" t="str">
        <f ca="1">IF(AG50=0,"",IFERROR(AG50/AG$19,""))</f>
        <v/>
      </c>
      <c r="AI50" s="47" t="e">
        <f ca="1">IF(AND($AA50="",AG50=""),"",$AA50-AG50)</f>
        <v>#NAME?</v>
      </c>
      <c r="AJ50" s="371">
        <f ca="1">IFERROR(AA50/AA$20,0)</f>
        <v>0</v>
      </c>
      <c r="AK50" s="372">
        <f ca="1">IFERROR(AD50/AD$20,0)</f>
        <v>0</v>
      </c>
      <c r="AL50" s="373">
        <f ca="1">IFERROR(AG50/AG$20,0)</f>
        <v>0</v>
      </c>
      <c r="AM50" s="374">
        <f ca="1">+IFERROR(ROUND(($AB50-AE50)*100,2)&amp;" pts.",0)</f>
        <v>0</v>
      </c>
      <c r="AN50" s="375">
        <f ca="1">+IFERROR(ROUND(($AB50-AH50)*100,2)&amp;" pts.",0)</f>
        <v>0</v>
      </c>
    </row>
    <row r="51" spans="1:40" x14ac:dyDescent="0.2">
      <c r="A51" s="6" t="s">
        <v>5</v>
      </c>
      <c r="B51" s="7"/>
      <c r="H51" s="10" t="s">
        <v>830</v>
      </c>
      <c r="I51" s="25" t="e">
        <f ca="1">_xll.EVPRO($B$1,$H51,"STYLE")</f>
        <v>#NAME?</v>
      </c>
      <c r="J51" s="25" t="e">
        <f ca="1">_xll.EVPRO($B$1,$H51,"CALC")</f>
        <v>#NAME?</v>
      </c>
      <c r="K51" s="64" t="e">
        <f t="shared" ref="K51:K72" ca="1" si="16">IF(AND(I51&gt;="T3"),"&gt;","")</f>
        <v>#NAME?</v>
      </c>
      <c r="L51" s="24" t="e">
        <f ca="1">_xll.EVPRO($B$1,H51,"JDEID")</f>
        <v>#NAME?</v>
      </c>
      <c r="M51" s="24" t="e">
        <f ca="1">IF(AND(I51="N",J51="N"),_xll.EVPRO($B$1,H51,"PSFTID"),"")</f>
        <v>#NAME?</v>
      </c>
      <c r="N51" s="24" t="e">
        <f ca="1">IF(_xll.EVDES(H51,$B$1)="#NODATA","",_xll.EVDES(H51,$B$1))</f>
        <v>#NAME?</v>
      </c>
      <c r="O51" s="19"/>
      <c r="P51" s="19"/>
      <c r="Q51" s="19"/>
      <c r="R51" s="19"/>
      <c r="S51" s="19"/>
      <c r="T51" s="19"/>
      <c r="U51" s="19"/>
      <c r="V51" s="19"/>
      <c r="W51" s="19"/>
      <c r="X51" s="19"/>
      <c r="Y51" s="19"/>
      <c r="Z51" s="19"/>
      <c r="AA51" s="35" t="e">
        <f t="shared" ca="1" si="12"/>
        <v>#NAME?</v>
      </c>
      <c r="AB51" s="15" t="e">
        <f t="shared" ca="1" si="13"/>
        <v>#NAME?</v>
      </c>
      <c r="AD51" s="19">
        <v>50</v>
      </c>
      <c r="AE51" s="15" t="str">
        <f t="shared" ca="1" si="14"/>
        <v/>
      </c>
      <c r="AF51" s="47" t="e">
        <f t="shared" ca="1" si="15"/>
        <v>#NAME?</v>
      </c>
      <c r="AG51" s="19"/>
      <c r="AH51" s="15" t="str">
        <f t="shared" ref="AH51:AH72" si="17">IF(AG51=0,"",IFERROR(AG51/AG$19,""))</f>
        <v/>
      </c>
      <c r="AI51" s="47" t="e">
        <f t="shared" ref="AI51:AI72" ca="1" si="18">IF(AND($AA51="",AG51=""),"",$AA51-AG51)</f>
        <v>#NAME?</v>
      </c>
      <c r="AJ51" s="371">
        <f t="shared" ref="AJ51:AJ72" ca="1" si="19">IFERROR(AA51/AA$20,0)</f>
        <v>0</v>
      </c>
      <c r="AK51" s="372">
        <f t="shared" ref="AK51:AK72" ca="1" si="20">IFERROR(AD51/AD$20,0)</f>
        <v>0</v>
      </c>
      <c r="AL51" s="373">
        <f t="shared" ref="AL51:AL72" ca="1" si="21">IFERROR(AG51/AG$20,0)</f>
        <v>0</v>
      </c>
      <c r="AM51" s="374">
        <f t="shared" ref="AM51:AM72" ca="1" si="22">+IFERROR(ROUND(($AB51-AE51)*100,2)&amp;" pts.",0)</f>
        <v>0</v>
      </c>
      <c r="AN51" s="375">
        <f t="shared" ref="AN51:AN72" ca="1" si="23">+IFERROR(ROUND(($AB51-AH51)*100,2)&amp;" pts.",0)</f>
        <v>0</v>
      </c>
    </row>
    <row r="52" spans="1:40" x14ac:dyDescent="0.2">
      <c r="A52" s="6" t="s">
        <v>6</v>
      </c>
      <c r="B52" s="7"/>
      <c r="H52" s="10" t="s">
        <v>868</v>
      </c>
      <c r="I52" s="25" t="e">
        <f ca="1">_xll.EVPRO($B$1,$H52,"STYLE")</f>
        <v>#NAME?</v>
      </c>
      <c r="J52" s="25" t="e">
        <f ca="1">_xll.EVPRO($B$1,$H52,"CALC")</f>
        <v>#NAME?</v>
      </c>
      <c r="K52" s="64" t="e">
        <f t="shared" ca="1" si="16"/>
        <v>#NAME?</v>
      </c>
      <c r="L52" s="24" t="e">
        <f ca="1">_xll.EVPRO($B$1,H52,"JDEID")</f>
        <v>#NAME?</v>
      </c>
      <c r="M52" s="24" t="e">
        <f ca="1">IF(AND(I52="N",J52="N"),_xll.EVPRO($B$1,H52,"PSFTID"),"")</f>
        <v>#NAME?</v>
      </c>
      <c r="N52" s="24" t="e">
        <f ca="1">IF(_xll.EVDES(H52,$B$1)="#NODATA","",_xll.EVDES(H52,$B$1))</f>
        <v>#NAME?</v>
      </c>
      <c r="O52" s="19"/>
      <c r="P52" s="19"/>
      <c r="Q52" s="19"/>
      <c r="R52" s="19"/>
      <c r="S52" s="19"/>
      <c r="T52" s="19"/>
      <c r="U52" s="19"/>
      <c r="V52" s="19"/>
      <c r="W52" s="19"/>
      <c r="X52" s="19"/>
      <c r="Y52" s="19"/>
      <c r="Z52" s="19"/>
      <c r="AA52" s="35" t="e">
        <f t="shared" ca="1" si="12"/>
        <v>#NAME?</v>
      </c>
      <c r="AB52" s="15" t="e">
        <f t="shared" ca="1" si="13"/>
        <v>#NAME?</v>
      </c>
      <c r="AD52" s="19"/>
      <c r="AE52" s="15" t="str">
        <f t="shared" si="14"/>
        <v/>
      </c>
      <c r="AF52" s="47" t="e">
        <f t="shared" ca="1" si="15"/>
        <v>#NAME?</v>
      </c>
      <c r="AG52" s="19">
        <v>29.72</v>
      </c>
      <c r="AH52" s="15" t="str">
        <f t="shared" ca="1" si="17"/>
        <v/>
      </c>
      <c r="AI52" s="47" t="e">
        <f t="shared" ca="1" si="18"/>
        <v>#NAME?</v>
      </c>
      <c r="AJ52" s="371">
        <f t="shared" ca="1" si="19"/>
        <v>0</v>
      </c>
      <c r="AK52" s="372">
        <f t="shared" ca="1" si="20"/>
        <v>0</v>
      </c>
      <c r="AL52" s="373">
        <f t="shared" ca="1" si="21"/>
        <v>0</v>
      </c>
      <c r="AM52" s="374">
        <f t="shared" ca="1" si="22"/>
        <v>0</v>
      </c>
      <c r="AN52" s="375">
        <f t="shared" ca="1" si="23"/>
        <v>0</v>
      </c>
    </row>
    <row r="53" spans="1:40" x14ac:dyDescent="0.2">
      <c r="A53" s="6" t="s">
        <v>7</v>
      </c>
      <c r="B53" s="7"/>
      <c r="H53" s="10" t="s">
        <v>832</v>
      </c>
      <c r="I53" s="25" t="e">
        <f ca="1">_xll.EVPRO($B$1,$H53,"STYLE")</f>
        <v>#NAME?</v>
      </c>
      <c r="J53" s="25" t="e">
        <f ca="1">_xll.EVPRO($B$1,$H53,"CALC")</f>
        <v>#NAME?</v>
      </c>
      <c r="K53" s="64" t="e">
        <f t="shared" ca="1" si="16"/>
        <v>#NAME?</v>
      </c>
      <c r="L53" s="24" t="e">
        <f ca="1">_xll.EVPRO($B$1,H53,"JDEID")</f>
        <v>#NAME?</v>
      </c>
      <c r="M53" s="24" t="e">
        <f ca="1">IF(AND(I53="N",J53="N"),_xll.EVPRO($B$1,H53,"PSFTID"),"")</f>
        <v>#NAME?</v>
      </c>
      <c r="N53" s="24" t="e">
        <f ca="1">IF(_xll.EVDES(H53,$B$1)="#NODATA","",_xll.EVDES(H53,$B$1))</f>
        <v>#NAME?</v>
      </c>
      <c r="O53" s="19">
        <v>82</v>
      </c>
      <c r="P53" s="19">
        <v>-115.41</v>
      </c>
      <c r="Q53" s="19"/>
      <c r="R53" s="19"/>
      <c r="S53" s="19">
        <v>0</v>
      </c>
      <c r="T53" s="19"/>
      <c r="U53" s="19"/>
      <c r="V53" s="19"/>
      <c r="W53" s="19"/>
      <c r="X53" s="19">
        <v>138.74</v>
      </c>
      <c r="Y53" s="19"/>
      <c r="Z53" s="19"/>
      <c r="AA53" s="35" t="e">
        <f t="shared" ca="1" si="12"/>
        <v>#NAME?</v>
      </c>
      <c r="AB53" s="15" t="e">
        <f t="shared" ca="1" si="13"/>
        <v>#NAME?</v>
      </c>
      <c r="AD53" s="19">
        <v>281</v>
      </c>
      <c r="AE53" s="15" t="str">
        <f t="shared" ca="1" si="14"/>
        <v/>
      </c>
      <c r="AF53" s="47" t="e">
        <f t="shared" ca="1" si="15"/>
        <v>#NAME?</v>
      </c>
      <c r="AG53" s="19">
        <v>345.57</v>
      </c>
      <c r="AH53" s="15" t="str">
        <f t="shared" ca="1" si="17"/>
        <v/>
      </c>
      <c r="AI53" s="47" t="e">
        <f t="shared" ca="1" si="18"/>
        <v>#NAME?</v>
      </c>
      <c r="AJ53" s="371">
        <f t="shared" ca="1" si="19"/>
        <v>0</v>
      </c>
      <c r="AK53" s="372">
        <f t="shared" ca="1" si="20"/>
        <v>0</v>
      </c>
      <c r="AL53" s="373">
        <f t="shared" ca="1" si="21"/>
        <v>0</v>
      </c>
      <c r="AM53" s="374">
        <f t="shared" ca="1" si="22"/>
        <v>0</v>
      </c>
      <c r="AN53" s="375">
        <f t="shared" ca="1" si="23"/>
        <v>0</v>
      </c>
    </row>
    <row r="54" spans="1:40" x14ac:dyDescent="0.2">
      <c r="A54" s="6" t="s">
        <v>47</v>
      </c>
      <c r="B54" s="7" t="e">
        <f ca="1">_xll.EVRNG($A$59:$B$80)</f>
        <v>#NAME?</v>
      </c>
      <c r="H54" s="10" t="s">
        <v>833</v>
      </c>
      <c r="I54" s="25" t="e">
        <f ca="1">_xll.EVPRO($B$1,$H54,"STYLE")</f>
        <v>#NAME?</v>
      </c>
      <c r="J54" s="25" t="e">
        <f ca="1">_xll.EVPRO($B$1,$H54,"CALC")</f>
        <v>#NAME?</v>
      </c>
      <c r="K54" s="64" t="e">
        <f t="shared" ca="1" si="16"/>
        <v>#NAME?</v>
      </c>
      <c r="L54" s="24" t="e">
        <f ca="1">_xll.EVPRO($B$1,H54,"JDEID")</f>
        <v>#NAME?</v>
      </c>
      <c r="M54" s="24" t="e">
        <f ca="1">IF(AND(I54="N",J54="N"),_xll.EVPRO($B$1,H54,"PSFTID"),"")</f>
        <v>#NAME?</v>
      </c>
      <c r="N54" s="24" t="e">
        <f ca="1">IF(_xll.EVDES(H54,$B$1)="#NODATA","",_xll.EVDES(H54,$B$1))</f>
        <v>#NAME?</v>
      </c>
      <c r="O54" s="19">
        <v>1052.94</v>
      </c>
      <c r="P54" s="19">
        <v>430.29</v>
      </c>
      <c r="Q54" s="19">
        <v>450.25</v>
      </c>
      <c r="R54" s="19">
        <v>429</v>
      </c>
      <c r="S54" s="19">
        <v>429</v>
      </c>
      <c r="T54" s="19">
        <v>429.65</v>
      </c>
      <c r="U54" s="19">
        <v>431.31</v>
      </c>
      <c r="V54" s="19">
        <v>449</v>
      </c>
      <c r="W54" s="19">
        <v>410.7</v>
      </c>
      <c r="X54" s="19">
        <v>429.7</v>
      </c>
      <c r="Y54" s="19">
        <v>429.17</v>
      </c>
      <c r="Z54" s="19">
        <v>429.15</v>
      </c>
      <c r="AA54" s="35" t="e">
        <f t="shared" ca="1" si="12"/>
        <v>#NAME?</v>
      </c>
      <c r="AB54" s="15" t="e">
        <f t="shared" ca="1" si="13"/>
        <v>#NAME?</v>
      </c>
      <c r="AD54" s="19">
        <v>6828</v>
      </c>
      <c r="AE54" s="15" t="str">
        <f t="shared" ca="1" si="14"/>
        <v/>
      </c>
      <c r="AF54" s="47" t="e">
        <f t="shared" ca="1" si="15"/>
        <v>#NAME?</v>
      </c>
      <c r="AG54" s="19">
        <v>7234.93</v>
      </c>
      <c r="AH54" s="15" t="str">
        <f t="shared" ca="1" si="17"/>
        <v/>
      </c>
      <c r="AI54" s="47" t="e">
        <f t="shared" ca="1" si="18"/>
        <v>#NAME?</v>
      </c>
      <c r="AJ54" s="371">
        <f t="shared" ca="1" si="19"/>
        <v>0</v>
      </c>
      <c r="AK54" s="372">
        <f t="shared" ca="1" si="20"/>
        <v>0</v>
      </c>
      <c r="AL54" s="373">
        <f t="shared" ca="1" si="21"/>
        <v>0</v>
      </c>
      <c r="AM54" s="374">
        <f t="shared" ca="1" si="22"/>
        <v>0</v>
      </c>
      <c r="AN54" s="375">
        <f t="shared" ca="1" si="23"/>
        <v>0</v>
      </c>
    </row>
    <row r="55" spans="1:40" x14ac:dyDescent="0.2">
      <c r="A55" s="6" t="s">
        <v>8</v>
      </c>
      <c r="B55" s="7"/>
      <c r="H55" s="10" t="s">
        <v>834</v>
      </c>
      <c r="I55" s="25" t="e">
        <f ca="1">_xll.EVPRO($B$1,$H55,"STYLE")</f>
        <v>#NAME?</v>
      </c>
      <c r="J55" s="25" t="e">
        <f ca="1">_xll.EVPRO($B$1,$H55,"CALC")</f>
        <v>#NAME?</v>
      </c>
      <c r="K55" s="64" t="e">
        <f t="shared" ca="1" si="16"/>
        <v>#NAME?</v>
      </c>
      <c r="L55" s="24" t="e">
        <f ca="1">_xll.EVPRO($B$1,H55,"JDEID")</f>
        <v>#NAME?</v>
      </c>
      <c r="M55" s="24" t="e">
        <f ca="1">IF(AND(I55="N",J55="N"),_xll.EVPRO($B$1,H55,"PSFTID"),"")</f>
        <v>#NAME?</v>
      </c>
      <c r="N55" s="24" t="e">
        <f ca="1">IF(_xll.EVDES(H55,$B$1)="#NODATA","",_xll.EVDES(H55,$B$1))</f>
        <v>#NAME?</v>
      </c>
      <c r="O55" s="19">
        <v>-37.29</v>
      </c>
      <c r="P55" s="19"/>
      <c r="Q55" s="19">
        <v>191.1</v>
      </c>
      <c r="R55" s="19">
        <v>211.94</v>
      </c>
      <c r="S55" s="19">
        <v>4139.57</v>
      </c>
      <c r="T55" s="19">
        <v>-441.36</v>
      </c>
      <c r="U55" s="19">
        <v>-1.72</v>
      </c>
      <c r="V55" s="19">
        <v>274.76</v>
      </c>
      <c r="W55" s="19">
        <v>40.24</v>
      </c>
      <c r="X55" s="19">
        <v>40.85</v>
      </c>
      <c r="Y55" s="19">
        <v>1406.6</v>
      </c>
      <c r="Z55" s="19">
        <v>-1253.77</v>
      </c>
      <c r="AA55" s="35" t="e">
        <f t="shared" ca="1" si="12"/>
        <v>#NAME?</v>
      </c>
      <c r="AB55" s="15" t="e">
        <f t="shared" ca="1" si="13"/>
        <v>#NAME?</v>
      </c>
      <c r="AD55" s="19">
        <v>5650</v>
      </c>
      <c r="AE55" s="15" t="str">
        <f t="shared" ca="1" si="14"/>
        <v/>
      </c>
      <c r="AF55" s="47" t="e">
        <f t="shared" ca="1" si="15"/>
        <v>#NAME?</v>
      </c>
      <c r="AG55" s="19">
        <v>5880.84</v>
      </c>
      <c r="AH55" s="15" t="str">
        <f t="shared" ca="1" si="17"/>
        <v/>
      </c>
      <c r="AI55" s="47" t="e">
        <f t="shared" ca="1" si="18"/>
        <v>#NAME?</v>
      </c>
      <c r="AJ55" s="371">
        <f t="shared" ca="1" si="19"/>
        <v>0</v>
      </c>
      <c r="AK55" s="372">
        <f t="shared" ca="1" si="20"/>
        <v>0</v>
      </c>
      <c r="AL55" s="373">
        <f t="shared" ca="1" si="21"/>
        <v>0</v>
      </c>
      <c r="AM55" s="374">
        <f t="shared" ca="1" si="22"/>
        <v>0</v>
      </c>
      <c r="AN55" s="375">
        <f t="shared" ca="1" si="23"/>
        <v>0</v>
      </c>
    </row>
    <row r="56" spans="1:40" x14ac:dyDescent="0.2">
      <c r="H56" s="10" t="s">
        <v>835</v>
      </c>
      <c r="I56" s="25" t="e">
        <f ca="1">_xll.EVPRO($B$1,$H56,"STYLE")</f>
        <v>#NAME?</v>
      </c>
      <c r="J56" s="25" t="e">
        <f ca="1">_xll.EVPRO($B$1,$H56,"CALC")</f>
        <v>#NAME?</v>
      </c>
      <c r="K56" s="64" t="e">
        <f t="shared" ca="1" si="16"/>
        <v>#NAME?</v>
      </c>
      <c r="L56" s="24" t="e">
        <f ca="1">_xll.EVPRO($B$1,H56,"JDEID")</f>
        <v>#NAME?</v>
      </c>
      <c r="M56" s="24" t="e">
        <f ca="1">IF(AND(I56="N",J56="N"),_xll.EVPRO($B$1,H56,"PSFTID"),"")</f>
        <v>#NAME?</v>
      </c>
      <c r="N56" s="24" t="e">
        <f ca="1">IF(_xll.EVDES(H56,$B$1)="#NODATA","",_xll.EVDES(H56,$B$1))</f>
        <v>#NAME?</v>
      </c>
      <c r="O56" s="19">
        <v>184.9</v>
      </c>
      <c r="P56" s="19">
        <v>-100</v>
      </c>
      <c r="Q56" s="19">
        <v>101.22</v>
      </c>
      <c r="R56" s="19">
        <v>242.5</v>
      </c>
      <c r="S56" s="19">
        <v>821.24</v>
      </c>
      <c r="T56" s="19">
        <v>311.77</v>
      </c>
      <c r="U56" s="19">
        <v>131.44999999999999</v>
      </c>
      <c r="V56" s="19">
        <v>322.47000000000003</v>
      </c>
      <c r="W56" s="19"/>
      <c r="X56" s="19">
        <v>705.4</v>
      </c>
      <c r="Y56" s="19">
        <v>400.36</v>
      </c>
      <c r="Z56" s="19">
        <v>143.05000000000001</v>
      </c>
      <c r="AA56" s="35" t="e">
        <f t="shared" ca="1" si="12"/>
        <v>#NAME?</v>
      </c>
      <c r="AB56" s="15" t="e">
        <f t="shared" ca="1" si="13"/>
        <v>#NAME?</v>
      </c>
      <c r="AD56" s="19">
        <v>2550</v>
      </c>
      <c r="AE56" s="15" t="str">
        <f t="shared" ca="1" si="14"/>
        <v/>
      </c>
      <c r="AF56" s="47" t="e">
        <f t="shared" ca="1" si="15"/>
        <v>#NAME?</v>
      </c>
      <c r="AG56" s="19">
        <v>2788.39</v>
      </c>
      <c r="AH56" s="15" t="str">
        <f t="shared" ca="1" si="17"/>
        <v/>
      </c>
      <c r="AI56" s="47" t="e">
        <f t="shared" ca="1" si="18"/>
        <v>#NAME?</v>
      </c>
      <c r="AJ56" s="371">
        <f t="shared" ca="1" si="19"/>
        <v>0</v>
      </c>
      <c r="AK56" s="372">
        <f t="shared" ca="1" si="20"/>
        <v>0</v>
      </c>
      <c r="AL56" s="373">
        <f t="shared" ca="1" si="21"/>
        <v>0</v>
      </c>
      <c r="AM56" s="374">
        <f t="shared" ca="1" si="22"/>
        <v>0</v>
      </c>
      <c r="AN56" s="375">
        <f t="shared" ca="1" si="23"/>
        <v>0</v>
      </c>
    </row>
    <row r="57" spans="1:40" x14ac:dyDescent="0.2">
      <c r="H57" s="10" t="s">
        <v>873</v>
      </c>
      <c r="I57" s="25" t="e">
        <f ca="1">_xll.EVPRO($B$1,$H57,"STYLE")</f>
        <v>#NAME?</v>
      </c>
      <c r="J57" s="25" t="e">
        <f ca="1">_xll.EVPRO($B$1,$H57,"CALC")</f>
        <v>#NAME?</v>
      </c>
      <c r="K57" s="64" t="e">
        <f t="shared" ca="1" si="16"/>
        <v>#NAME?</v>
      </c>
      <c r="L57" s="24" t="e">
        <f ca="1">_xll.EVPRO($B$1,H57,"JDEID")</f>
        <v>#NAME?</v>
      </c>
      <c r="M57" s="24" t="e">
        <f ca="1">IF(AND(I57="N",J57="N"),_xll.EVPRO($B$1,H57,"PSFTID"),"")</f>
        <v>#NAME?</v>
      </c>
      <c r="N57" s="24" t="e">
        <f ca="1">IF(_xll.EVDES(H57,$B$1)="#NODATA","",_xll.EVDES(H57,$B$1))</f>
        <v>#NAME?</v>
      </c>
      <c r="O57" s="19">
        <v>775.53</v>
      </c>
      <c r="P57" s="19">
        <v>1107.17</v>
      </c>
      <c r="Q57" s="19">
        <v>917.72</v>
      </c>
      <c r="R57" s="19">
        <v>897.29</v>
      </c>
      <c r="S57" s="19">
        <v>-1685.02</v>
      </c>
      <c r="T57" s="19">
        <v>2848.81</v>
      </c>
      <c r="U57" s="19">
        <v>112.34</v>
      </c>
      <c r="V57" s="19">
        <v>69.11</v>
      </c>
      <c r="W57" s="19"/>
      <c r="X57" s="19">
        <v>259.01</v>
      </c>
      <c r="Y57" s="19"/>
      <c r="Z57" s="19">
        <v>1235.76</v>
      </c>
      <c r="AA57" s="35" t="e">
        <f t="shared" ca="1" si="12"/>
        <v>#NAME?</v>
      </c>
      <c r="AB57" s="15" t="e">
        <f t="shared" ca="1" si="13"/>
        <v>#NAME?</v>
      </c>
      <c r="AD57" s="19">
        <v>6224</v>
      </c>
      <c r="AE57" s="15" t="str">
        <f t="shared" ca="1" si="14"/>
        <v/>
      </c>
      <c r="AF57" s="47" t="e">
        <f t="shared" ca="1" si="15"/>
        <v>#NAME?</v>
      </c>
      <c r="AG57" s="19">
        <v>7260.45</v>
      </c>
      <c r="AH57" s="15" t="str">
        <f t="shared" ca="1" si="17"/>
        <v/>
      </c>
      <c r="AI57" s="47" t="e">
        <f t="shared" ca="1" si="18"/>
        <v>#NAME?</v>
      </c>
      <c r="AJ57" s="371">
        <f t="shared" ca="1" si="19"/>
        <v>0</v>
      </c>
      <c r="AK57" s="372">
        <f t="shared" ca="1" si="20"/>
        <v>0</v>
      </c>
      <c r="AL57" s="373">
        <f t="shared" ca="1" si="21"/>
        <v>0</v>
      </c>
      <c r="AM57" s="374">
        <f t="shared" ca="1" si="22"/>
        <v>0</v>
      </c>
      <c r="AN57" s="375">
        <f t="shared" ca="1" si="23"/>
        <v>0</v>
      </c>
    </row>
    <row r="58" spans="1:40" x14ac:dyDescent="0.2">
      <c r="A58" s="3" t="s">
        <v>23</v>
      </c>
      <c r="B58" s="5" t="s">
        <v>24</v>
      </c>
      <c r="H58" s="10" t="s">
        <v>874</v>
      </c>
      <c r="I58" s="25" t="e">
        <f ca="1">_xll.EVPRO($B$1,$H58,"STYLE")</f>
        <v>#NAME?</v>
      </c>
      <c r="J58" s="25" t="e">
        <f ca="1">_xll.EVPRO($B$1,$H58,"CALC")</f>
        <v>#NAME?</v>
      </c>
      <c r="K58" s="64" t="e">
        <f t="shared" ca="1" si="16"/>
        <v>#NAME?</v>
      </c>
      <c r="L58" s="24" t="e">
        <f ca="1">_xll.EVPRO($B$1,H58,"JDEID")</f>
        <v>#NAME?</v>
      </c>
      <c r="M58" s="24" t="e">
        <f ca="1">IF(AND(I58="N",J58="N"),_xll.EVPRO($B$1,H58,"PSFTID"),"")</f>
        <v>#NAME?</v>
      </c>
      <c r="N58" s="24" t="e">
        <f ca="1">IF(_xll.EVDES(H58,$B$1)="#NODATA","",_xll.EVDES(H58,$B$1))</f>
        <v>#NAME?</v>
      </c>
      <c r="O58" s="19"/>
      <c r="P58" s="19"/>
      <c r="Q58" s="19"/>
      <c r="R58" s="19"/>
      <c r="S58" s="19"/>
      <c r="T58" s="19"/>
      <c r="U58" s="19"/>
      <c r="V58" s="19"/>
      <c r="W58" s="19"/>
      <c r="X58" s="19"/>
      <c r="Y58" s="19"/>
      <c r="Z58" s="19"/>
      <c r="AA58" s="35" t="e">
        <f t="shared" ca="1" si="12"/>
        <v>#NAME?</v>
      </c>
      <c r="AB58" s="15" t="e">
        <f t="shared" ca="1" si="13"/>
        <v>#NAME?</v>
      </c>
      <c r="AD58" s="19"/>
      <c r="AE58" s="15" t="str">
        <f t="shared" si="14"/>
        <v/>
      </c>
      <c r="AF58" s="47" t="e">
        <f t="shared" ca="1" si="15"/>
        <v>#NAME?</v>
      </c>
      <c r="AG58" s="19">
        <v>12.09</v>
      </c>
      <c r="AH58" s="15" t="str">
        <f t="shared" ca="1" si="17"/>
        <v/>
      </c>
      <c r="AI58" s="47" t="e">
        <f t="shared" ca="1" si="18"/>
        <v>#NAME?</v>
      </c>
      <c r="AJ58" s="371">
        <f t="shared" ca="1" si="19"/>
        <v>0</v>
      </c>
      <c r="AK58" s="372">
        <f t="shared" ca="1" si="20"/>
        <v>0</v>
      </c>
      <c r="AL58" s="373">
        <f t="shared" ca="1" si="21"/>
        <v>0</v>
      </c>
      <c r="AM58" s="374">
        <f t="shared" ca="1" si="22"/>
        <v>0</v>
      </c>
      <c r="AN58" s="375">
        <f t="shared" ca="1" si="23"/>
        <v>0</v>
      </c>
    </row>
    <row r="59" spans="1:40" x14ac:dyDescent="0.2">
      <c r="A59" s="6" t="s">
        <v>25</v>
      </c>
      <c r="B59" s="7"/>
      <c r="H59" s="10" t="s">
        <v>836</v>
      </c>
      <c r="I59" s="25" t="e">
        <f ca="1">_xll.EVPRO($B$1,$H59,"STYLE")</f>
        <v>#NAME?</v>
      </c>
      <c r="J59" s="25" t="e">
        <f ca="1">_xll.EVPRO($B$1,$H59,"CALC")</f>
        <v>#NAME?</v>
      </c>
      <c r="K59" s="64" t="e">
        <f t="shared" ca="1" si="16"/>
        <v>#NAME?</v>
      </c>
      <c r="L59" s="24" t="e">
        <f ca="1">_xll.EVPRO($B$1,H59,"JDEID")</f>
        <v>#NAME?</v>
      </c>
      <c r="M59" s="24" t="e">
        <f ca="1">IF(AND(I59="N",J59="N"),_xll.EVPRO($B$1,H59,"PSFTID"),"")</f>
        <v>#NAME?</v>
      </c>
      <c r="N59" s="24" t="e">
        <f ca="1">IF(_xll.EVDES(H59,$B$1)="#NODATA","",_xll.EVDES(H59,$B$1))</f>
        <v>#NAME?</v>
      </c>
      <c r="O59" s="19">
        <v>159.77000000000001</v>
      </c>
      <c r="P59" s="19">
        <v>152.44999999999999</v>
      </c>
      <c r="Q59" s="19">
        <v>152.44999999999999</v>
      </c>
      <c r="R59" s="19">
        <v>78.41</v>
      </c>
      <c r="S59" s="19">
        <v>90.37</v>
      </c>
      <c r="T59" s="19">
        <v>114.71</v>
      </c>
      <c r="U59" s="19">
        <v>112.92</v>
      </c>
      <c r="V59" s="19">
        <v>85.14</v>
      </c>
      <c r="W59" s="19">
        <v>122.7</v>
      </c>
      <c r="X59" s="19">
        <v>122.89</v>
      </c>
      <c r="Y59" s="19">
        <v>109.96</v>
      </c>
      <c r="Z59" s="19">
        <v>80.62</v>
      </c>
      <c r="AA59" s="35" t="e">
        <f t="shared" ca="1" si="12"/>
        <v>#NAME?</v>
      </c>
      <c r="AB59" s="15" t="e">
        <f t="shared" ca="1" si="13"/>
        <v>#NAME?</v>
      </c>
      <c r="AD59" s="19">
        <v>735.96</v>
      </c>
      <c r="AE59" s="15" t="str">
        <f t="shared" ca="1" si="14"/>
        <v/>
      </c>
      <c r="AF59" s="47" t="e">
        <f t="shared" ca="1" si="15"/>
        <v>#NAME?</v>
      </c>
      <c r="AG59" s="19">
        <v>855.75</v>
      </c>
      <c r="AH59" s="15" t="str">
        <f t="shared" ca="1" si="17"/>
        <v/>
      </c>
      <c r="AI59" s="47" t="e">
        <f t="shared" ca="1" si="18"/>
        <v>#NAME?</v>
      </c>
      <c r="AJ59" s="371">
        <f t="shared" ca="1" si="19"/>
        <v>0</v>
      </c>
      <c r="AK59" s="372">
        <f t="shared" ca="1" si="20"/>
        <v>0</v>
      </c>
      <c r="AL59" s="373">
        <f t="shared" ca="1" si="21"/>
        <v>0</v>
      </c>
      <c r="AM59" s="374">
        <f t="shared" ca="1" si="22"/>
        <v>0</v>
      </c>
      <c r="AN59" s="375">
        <f t="shared" ca="1" si="23"/>
        <v>0</v>
      </c>
    </row>
    <row r="60" spans="1:40" x14ac:dyDescent="0.2">
      <c r="A60" s="6" t="s">
        <v>26</v>
      </c>
      <c r="B60" s="7"/>
      <c r="H60" s="10" t="s">
        <v>860</v>
      </c>
      <c r="I60" s="25" t="e">
        <f ca="1">_xll.EVPRO($B$1,$H60,"STYLE")</f>
        <v>#NAME?</v>
      </c>
      <c r="J60" s="25" t="e">
        <f ca="1">_xll.EVPRO($B$1,$H60,"CALC")</f>
        <v>#NAME?</v>
      </c>
      <c r="K60" s="64" t="e">
        <f t="shared" ca="1" si="16"/>
        <v>#NAME?</v>
      </c>
      <c r="L60" s="24" t="e">
        <f ca="1">_xll.EVPRO($B$1,H60,"JDEID")</f>
        <v>#NAME?</v>
      </c>
      <c r="M60" s="24" t="e">
        <f ca="1">IF(AND(I60="N",J60="N"),_xll.EVPRO($B$1,H60,"PSFTID"),"")</f>
        <v>#NAME?</v>
      </c>
      <c r="N60" s="24" t="e">
        <f ca="1">IF(_xll.EVDES(H60,$B$1)="#NODATA","",_xll.EVDES(H60,$B$1))</f>
        <v>#NAME?</v>
      </c>
      <c r="O60" s="19"/>
      <c r="P60" s="19"/>
      <c r="Q60" s="19"/>
      <c r="R60" s="19"/>
      <c r="S60" s="19">
        <v>3360.2</v>
      </c>
      <c r="T60" s="19"/>
      <c r="U60" s="19"/>
      <c r="V60" s="19"/>
      <c r="W60" s="19">
        <v>1434</v>
      </c>
      <c r="X60" s="19">
        <v>-100</v>
      </c>
      <c r="Y60" s="19"/>
      <c r="Z60" s="19"/>
      <c r="AA60" s="35" t="e">
        <f t="shared" ca="1" si="12"/>
        <v>#NAME?</v>
      </c>
      <c r="AB60" s="15" t="e">
        <f t="shared" ca="1" si="13"/>
        <v>#NAME?</v>
      </c>
      <c r="AD60" s="19"/>
      <c r="AE60" s="15" t="str">
        <f t="shared" si="14"/>
        <v/>
      </c>
      <c r="AF60" s="47" t="e">
        <f t="shared" ca="1" si="15"/>
        <v>#NAME?</v>
      </c>
      <c r="AG60" s="19">
        <v>0</v>
      </c>
      <c r="AH60" s="15" t="str">
        <f t="shared" si="17"/>
        <v/>
      </c>
      <c r="AI60" s="47" t="e">
        <f t="shared" ca="1" si="18"/>
        <v>#NAME?</v>
      </c>
      <c r="AJ60" s="371">
        <f t="shared" ca="1" si="19"/>
        <v>0</v>
      </c>
      <c r="AK60" s="372">
        <f t="shared" ca="1" si="20"/>
        <v>0</v>
      </c>
      <c r="AL60" s="373">
        <f t="shared" ca="1" si="21"/>
        <v>0</v>
      </c>
      <c r="AM60" s="374">
        <f t="shared" ca="1" si="22"/>
        <v>0</v>
      </c>
      <c r="AN60" s="375">
        <f t="shared" ca="1" si="23"/>
        <v>0</v>
      </c>
    </row>
    <row r="61" spans="1:40" x14ac:dyDescent="0.2">
      <c r="A61" s="6" t="s">
        <v>27</v>
      </c>
      <c r="B61" s="7"/>
      <c r="H61" s="10" t="s">
        <v>846</v>
      </c>
      <c r="I61" s="25" t="e">
        <f ca="1">_xll.EVPRO($B$1,$H61,"STYLE")</f>
        <v>#NAME?</v>
      </c>
      <c r="J61" s="25" t="e">
        <f ca="1">_xll.EVPRO($B$1,$H61,"CALC")</f>
        <v>#NAME?</v>
      </c>
      <c r="K61" s="64" t="e">
        <f t="shared" ca="1" si="16"/>
        <v>#NAME?</v>
      </c>
      <c r="L61" s="24" t="e">
        <f ca="1">_xll.EVPRO($B$1,H61,"JDEID")</f>
        <v>#NAME?</v>
      </c>
      <c r="M61" s="24" t="e">
        <f ca="1">IF(AND(I61="N",J61="N"),_xll.EVPRO($B$1,H61,"PSFTID"),"")</f>
        <v>#NAME?</v>
      </c>
      <c r="N61" s="24" t="e">
        <f ca="1">IF(_xll.EVDES(H61,$B$1)="#NODATA","",_xll.EVDES(H61,$B$1))</f>
        <v>#NAME?</v>
      </c>
      <c r="O61" s="19">
        <v>21015.18</v>
      </c>
      <c r="P61" s="19">
        <v>24548.45</v>
      </c>
      <c r="Q61" s="19">
        <v>24112.26</v>
      </c>
      <c r="R61" s="19">
        <v>18317.97</v>
      </c>
      <c r="S61" s="19">
        <v>16306.24</v>
      </c>
      <c r="T61" s="19">
        <v>10620.61</v>
      </c>
      <c r="U61" s="19">
        <v>10824.75</v>
      </c>
      <c r="V61" s="19">
        <v>9614.19</v>
      </c>
      <c r="W61" s="19">
        <v>8421.1200000000008</v>
      </c>
      <c r="X61" s="19">
        <v>12204.44</v>
      </c>
      <c r="Y61" s="19">
        <v>13905.18</v>
      </c>
      <c r="Z61" s="19">
        <v>20940.36</v>
      </c>
      <c r="AA61" s="35" t="e">
        <f t="shared" ca="1" si="12"/>
        <v>#NAME?</v>
      </c>
      <c r="AB61" s="15" t="e">
        <f t="shared" ca="1" si="13"/>
        <v>#NAME?</v>
      </c>
      <c r="AD61" s="19">
        <v>199711.43640000001</v>
      </c>
      <c r="AE61" s="15" t="str">
        <f t="shared" ca="1" si="14"/>
        <v/>
      </c>
      <c r="AF61" s="47" t="e">
        <f t="shared" ca="1" si="15"/>
        <v>#NAME?</v>
      </c>
      <c r="AG61" s="19">
        <v>200332.83</v>
      </c>
      <c r="AH61" s="15" t="str">
        <f t="shared" ca="1" si="17"/>
        <v/>
      </c>
      <c r="AI61" s="47" t="e">
        <f t="shared" ca="1" si="18"/>
        <v>#NAME?</v>
      </c>
      <c r="AJ61" s="371">
        <f t="shared" ca="1" si="19"/>
        <v>0</v>
      </c>
      <c r="AK61" s="372">
        <f t="shared" ca="1" si="20"/>
        <v>0</v>
      </c>
      <c r="AL61" s="373">
        <f t="shared" ca="1" si="21"/>
        <v>0</v>
      </c>
      <c r="AM61" s="374">
        <f t="shared" ca="1" si="22"/>
        <v>0</v>
      </c>
      <c r="AN61" s="375">
        <f t="shared" ca="1" si="23"/>
        <v>0</v>
      </c>
    </row>
    <row r="62" spans="1:40" x14ac:dyDescent="0.2">
      <c r="A62" s="6" t="s">
        <v>28</v>
      </c>
      <c r="B62" s="7"/>
      <c r="H62" s="10" t="s">
        <v>941</v>
      </c>
      <c r="I62" s="25" t="e">
        <f ca="1">_xll.EVPRO($B$1,$H62,"STYLE")</f>
        <v>#NAME?</v>
      </c>
      <c r="J62" s="25" t="e">
        <f ca="1">_xll.EVPRO($B$1,$H62,"CALC")</f>
        <v>#NAME?</v>
      </c>
      <c r="K62" s="64" t="e">
        <f t="shared" ca="1" si="16"/>
        <v>#NAME?</v>
      </c>
      <c r="L62" s="24" t="e">
        <f ca="1">_xll.EVPRO($B$1,H62,"JDEID")</f>
        <v>#NAME?</v>
      </c>
      <c r="M62" s="24" t="e">
        <f ca="1">IF(AND(I62="N",J62="N"),_xll.EVPRO($B$1,H62,"PSFTID"),"")</f>
        <v>#NAME?</v>
      </c>
      <c r="N62" s="24" t="e">
        <f ca="1">IF(_xll.EVDES(H62,$B$1)="#NODATA","",_xll.EVDES(H62,$B$1))</f>
        <v>#NAME?</v>
      </c>
      <c r="O62" s="19">
        <v>1350.5</v>
      </c>
      <c r="P62" s="19">
        <v>2424.1</v>
      </c>
      <c r="Q62" s="19">
        <v>862.11</v>
      </c>
      <c r="R62" s="19"/>
      <c r="S62" s="19"/>
      <c r="T62" s="19">
        <v>9149.65</v>
      </c>
      <c r="U62" s="19">
        <v>2587.6</v>
      </c>
      <c r="V62" s="19">
        <v>350</v>
      </c>
      <c r="W62" s="19">
        <v>500.02</v>
      </c>
      <c r="X62" s="19">
        <v>529.6</v>
      </c>
      <c r="Y62" s="19">
        <v>100</v>
      </c>
      <c r="Z62" s="19">
        <v>852.45</v>
      </c>
      <c r="AA62" s="35" t="e">
        <f t="shared" ca="1" si="12"/>
        <v>#NAME?</v>
      </c>
      <c r="AB62" s="15" t="e">
        <f t="shared" ca="1" si="13"/>
        <v>#NAME?</v>
      </c>
      <c r="AD62" s="19">
        <v>16339</v>
      </c>
      <c r="AE62" s="15" t="str">
        <f t="shared" ca="1" si="14"/>
        <v/>
      </c>
      <c r="AF62" s="47" t="e">
        <f t="shared" ca="1" si="15"/>
        <v>#NAME?</v>
      </c>
      <c r="AG62" s="19">
        <v>31639.21</v>
      </c>
      <c r="AH62" s="15" t="str">
        <f t="shared" ca="1" si="17"/>
        <v/>
      </c>
      <c r="AI62" s="47" t="e">
        <f t="shared" ca="1" si="18"/>
        <v>#NAME?</v>
      </c>
      <c r="AJ62" s="371">
        <f t="shared" ca="1" si="19"/>
        <v>0</v>
      </c>
      <c r="AK62" s="372">
        <f t="shared" ca="1" si="20"/>
        <v>0</v>
      </c>
      <c r="AL62" s="373">
        <f t="shared" ca="1" si="21"/>
        <v>0</v>
      </c>
      <c r="AM62" s="374">
        <f t="shared" ca="1" si="22"/>
        <v>0</v>
      </c>
      <c r="AN62" s="375">
        <f t="shared" ca="1" si="23"/>
        <v>0</v>
      </c>
    </row>
    <row r="63" spans="1:40" x14ac:dyDescent="0.2">
      <c r="A63" s="6" t="s">
        <v>29</v>
      </c>
      <c r="B63" s="7"/>
      <c r="H63" s="10" t="s">
        <v>942</v>
      </c>
      <c r="I63" s="25" t="e">
        <f ca="1">_xll.EVPRO($B$1,$H63,"STYLE")</f>
        <v>#NAME?</v>
      </c>
      <c r="J63" s="25" t="e">
        <f ca="1">_xll.EVPRO($B$1,$H63,"CALC")</f>
        <v>#NAME?</v>
      </c>
      <c r="K63" s="64" t="e">
        <f t="shared" ca="1" si="16"/>
        <v>#NAME?</v>
      </c>
      <c r="L63" s="24" t="e">
        <f ca="1">_xll.EVPRO($B$1,H63,"JDEID")</f>
        <v>#NAME?</v>
      </c>
      <c r="M63" s="24" t="e">
        <f ca="1">IF(AND(I63="N",J63="N"),_xll.EVPRO($B$1,H63,"PSFTID"),"")</f>
        <v>#NAME?</v>
      </c>
      <c r="N63" s="24" t="e">
        <f ca="1">IF(_xll.EVDES(H63,$B$1)="#NODATA","",_xll.EVDES(H63,$B$1))</f>
        <v>#NAME?</v>
      </c>
      <c r="O63" s="19"/>
      <c r="P63" s="19"/>
      <c r="Q63" s="19"/>
      <c r="R63" s="19"/>
      <c r="S63" s="19"/>
      <c r="T63" s="19"/>
      <c r="U63" s="19"/>
      <c r="V63" s="19"/>
      <c r="W63" s="19"/>
      <c r="X63" s="19"/>
      <c r="Y63" s="19"/>
      <c r="Z63" s="19"/>
      <c r="AA63" s="35" t="e">
        <f t="shared" ca="1" si="12"/>
        <v>#NAME?</v>
      </c>
      <c r="AB63" s="15" t="e">
        <f t="shared" ca="1" si="13"/>
        <v>#NAME?</v>
      </c>
      <c r="AD63" s="19"/>
      <c r="AE63" s="15" t="str">
        <f t="shared" si="14"/>
        <v/>
      </c>
      <c r="AF63" s="47" t="e">
        <f t="shared" ca="1" si="15"/>
        <v>#NAME?</v>
      </c>
      <c r="AG63" s="19">
        <v>3011.6</v>
      </c>
      <c r="AH63" s="15" t="str">
        <f t="shared" ca="1" si="17"/>
        <v/>
      </c>
      <c r="AI63" s="47" t="e">
        <f t="shared" ca="1" si="18"/>
        <v>#NAME?</v>
      </c>
      <c r="AJ63" s="371">
        <f t="shared" ca="1" si="19"/>
        <v>0</v>
      </c>
      <c r="AK63" s="372">
        <f t="shared" ca="1" si="20"/>
        <v>0</v>
      </c>
      <c r="AL63" s="373">
        <f t="shared" ca="1" si="21"/>
        <v>0</v>
      </c>
      <c r="AM63" s="374">
        <f t="shared" ca="1" si="22"/>
        <v>0</v>
      </c>
      <c r="AN63" s="375">
        <f t="shared" ca="1" si="23"/>
        <v>0</v>
      </c>
    </row>
    <row r="64" spans="1:40" x14ac:dyDescent="0.2">
      <c r="A64" s="6" t="s">
        <v>30</v>
      </c>
      <c r="B64" s="7" t="s">
        <v>78</v>
      </c>
      <c r="H64" s="10" t="s">
        <v>943</v>
      </c>
      <c r="I64" s="25" t="e">
        <f ca="1">_xll.EVPRO($B$1,$H64,"STYLE")</f>
        <v>#NAME?</v>
      </c>
      <c r="J64" s="25" t="e">
        <f ca="1">_xll.EVPRO($B$1,$H64,"CALC")</f>
        <v>#NAME?</v>
      </c>
      <c r="K64" s="64" t="e">
        <f t="shared" ca="1" si="16"/>
        <v>#NAME?</v>
      </c>
      <c r="L64" s="24" t="e">
        <f ca="1">_xll.EVPRO($B$1,H64,"JDEID")</f>
        <v>#NAME?</v>
      </c>
      <c r="M64" s="24" t="e">
        <f ca="1">IF(AND(I64="N",J64="N"),_xll.EVPRO($B$1,H64,"PSFTID"),"")</f>
        <v>#NAME?</v>
      </c>
      <c r="N64" s="24" t="e">
        <f ca="1">IF(_xll.EVDES(H64,$B$1)="#NODATA","",_xll.EVDES(H64,$B$1))</f>
        <v>#NAME?</v>
      </c>
      <c r="O64" s="19">
        <v>21.49</v>
      </c>
      <c r="P64" s="19">
        <v>46.46</v>
      </c>
      <c r="Q64" s="19">
        <v>38.909999999999997</v>
      </c>
      <c r="R64" s="19">
        <v>1656.49</v>
      </c>
      <c r="S64" s="19">
        <v>990.54</v>
      </c>
      <c r="T64" s="19">
        <v>34.5</v>
      </c>
      <c r="U64" s="19">
        <v>25.78</v>
      </c>
      <c r="V64" s="19">
        <v>17.46</v>
      </c>
      <c r="W64" s="19"/>
      <c r="X64" s="19"/>
      <c r="Y64" s="19">
        <v>2500</v>
      </c>
      <c r="Z64" s="19">
        <v>528.85</v>
      </c>
      <c r="AA64" s="35" t="e">
        <f t="shared" ca="1" si="12"/>
        <v>#NAME?</v>
      </c>
      <c r="AB64" s="15" t="e">
        <f t="shared" ca="1" si="13"/>
        <v>#NAME?</v>
      </c>
      <c r="AD64" s="19">
        <v>4800</v>
      </c>
      <c r="AE64" s="15" t="str">
        <f t="shared" ca="1" si="14"/>
        <v/>
      </c>
      <c r="AF64" s="47" t="e">
        <f t="shared" ca="1" si="15"/>
        <v>#NAME?</v>
      </c>
      <c r="AG64" s="19">
        <v>3070.3</v>
      </c>
      <c r="AH64" s="15" t="str">
        <f t="shared" ca="1" si="17"/>
        <v/>
      </c>
      <c r="AI64" s="47" t="e">
        <f t="shared" ca="1" si="18"/>
        <v>#NAME?</v>
      </c>
      <c r="AJ64" s="371">
        <f t="shared" ca="1" si="19"/>
        <v>0</v>
      </c>
      <c r="AK64" s="372">
        <f t="shared" ca="1" si="20"/>
        <v>0</v>
      </c>
      <c r="AL64" s="373">
        <f t="shared" ca="1" si="21"/>
        <v>0</v>
      </c>
      <c r="AM64" s="374">
        <f t="shared" ca="1" si="22"/>
        <v>0</v>
      </c>
      <c r="AN64" s="375">
        <f t="shared" ca="1" si="23"/>
        <v>0</v>
      </c>
    </row>
    <row r="65" spans="1:40" x14ac:dyDescent="0.2">
      <c r="A65" s="6" t="s">
        <v>31</v>
      </c>
      <c r="B65" s="7" t="s">
        <v>78</v>
      </c>
      <c r="H65" s="10" t="s">
        <v>944</v>
      </c>
      <c r="I65" s="25" t="e">
        <f ca="1">_xll.EVPRO($B$1,$H65,"STYLE")</f>
        <v>#NAME?</v>
      </c>
      <c r="J65" s="25" t="e">
        <f ca="1">_xll.EVPRO($B$1,$H65,"CALC")</f>
        <v>#NAME?</v>
      </c>
      <c r="K65" s="64" t="e">
        <f t="shared" ca="1" si="16"/>
        <v>#NAME?</v>
      </c>
      <c r="L65" s="24" t="e">
        <f ca="1">_xll.EVPRO($B$1,H65,"JDEID")</f>
        <v>#NAME?</v>
      </c>
      <c r="M65" s="24" t="e">
        <f ca="1">IF(AND(I65="N",J65="N"),_xll.EVPRO($B$1,H65,"PSFTID"),"")</f>
        <v>#NAME?</v>
      </c>
      <c r="N65" s="24" t="e">
        <f ca="1">IF(_xll.EVDES(H65,$B$1)="#NODATA","",_xll.EVDES(H65,$B$1))</f>
        <v>#NAME?</v>
      </c>
      <c r="O65" s="19"/>
      <c r="P65" s="19"/>
      <c r="Q65" s="19"/>
      <c r="R65" s="19"/>
      <c r="S65" s="19"/>
      <c r="T65" s="19"/>
      <c r="U65" s="19"/>
      <c r="V65" s="19"/>
      <c r="W65" s="19"/>
      <c r="X65" s="19"/>
      <c r="Y65" s="19"/>
      <c r="Z65" s="19">
        <v>100</v>
      </c>
      <c r="AA65" s="35" t="e">
        <f t="shared" ca="1" si="12"/>
        <v>#NAME?</v>
      </c>
      <c r="AB65" s="15" t="e">
        <f t="shared" ca="1" si="13"/>
        <v>#NAME?</v>
      </c>
      <c r="AD65" s="19">
        <v>300</v>
      </c>
      <c r="AE65" s="15" t="str">
        <f t="shared" ca="1" si="14"/>
        <v/>
      </c>
      <c r="AF65" s="47" t="e">
        <f t="shared" ca="1" si="15"/>
        <v>#NAME?</v>
      </c>
      <c r="AG65" s="19"/>
      <c r="AH65" s="15" t="str">
        <f t="shared" si="17"/>
        <v/>
      </c>
      <c r="AI65" s="47" t="e">
        <f t="shared" ca="1" si="18"/>
        <v>#NAME?</v>
      </c>
      <c r="AJ65" s="371">
        <f t="shared" ca="1" si="19"/>
        <v>0</v>
      </c>
      <c r="AK65" s="372">
        <f t="shared" ca="1" si="20"/>
        <v>0</v>
      </c>
      <c r="AL65" s="373">
        <f t="shared" ca="1" si="21"/>
        <v>0</v>
      </c>
      <c r="AM65" s="374">
        <f t="shared" ca="1" si="22"/>
        <v>0</v>
      </c>
      <c r="AN65" s="375">
        <f t="shared" ca="1" si="23"/>
        <v>0</v>
      </c>
    </row>
    <row r="66" spans="1:40" x14ac:dyDescent="0.2">
      <c r="A66" s="6" t="s">
        <v>32</v>
      </c>
      <c r="B66" s="7"/>
      <c r="H66" s="10" t="s">
        <v>945</v>
      </c>
      <c r="I66" s="25" t="e">
        <f ca="1">_xll.EVPRO($B$1,$H66,"STYLE")</f>
        <v>#NAME?</v>
      </c>
      <c r="J66" s="25" t="e">
        <f ca="1">_xll.EVPRO($B$1,$H66,"CALC")</f>
        <v>#NAME?</v>
      </c>
      <c r="K66" s="64" t="e">
        <f t="shared" ca="1" si="16"/>
        <v>#NAME?</v>
      </c>
      <c r="L66" s="24" t="e">
        <f ca="1">_xll.EVPRO($B$1,H66,"JDEID")</f>
        <v>#NAME?</v>
      </c>
      <c r="M66" s="24" t="e">
        <f ca="1">IF(AND(I66="N",J66="N"),_xll.EVPRO($B$1,H66,"PSFTID"),"")</f>
        <v>#NAME?</v>
      </c>
      <c r="N66" s="24" t="e">
        <f ca="1">IF(_xll.EVDES(H66,$B$1)="#NODATA","",_xll.EVDES(H66,$B$1))</f>
        <v>#NAME?</v>
      </c>
      <c r="O66" s="19"/>
      <c r="P66" s="19"/>
      <c r="Q66" s="19"/>
      <c r="R66" s="19"/>
      <c r="S66" s="19"/>
      <c r="T66" s="19"/>
      <c r="U66" s="19"/>
      <c r="V66" s="19"/>
      <c r="W66" s="19"/>
      <c r="X66" s="19"/>
      <c r="Y66" s="19"/>
      <c r="Z66" s="19"/>
      <c r="AA66" s="35" t="e">
        <f t="shared" ca="1" si="12"/>
        <v>#NAME?</v>
      </c>
      <c r="AB66" s="15" t="e">
        <f t="shared" ca="1" si="13"/>
        <v>#NAME?</v>
      </c>
      <c r="AD66" s="19"/>
      <c r="AE66" s="15" t="str">
        <f t="shared" si="14"/>
        <v/>
      </c>
      <c r="AF66" s="47" t="e">
        <f t="shared" ca="1" si="15"/>
        <v>#NAME?</v>
      </c>
      <c r="AG66" s="19">
        <v>176.57</v>
      </c>
      <c r="AH66" s="15" t="str">
        <f t="shared" ca="1" si="17"/>
        <v/>
      </c>
      <c r="AI66" s="47" t="e">
        <f t="shared" ca="1" si="18"/>
        <v>#NAME?</v>
      </c>
      <c r="AJ66" s="371">
        <f t="shared" ca="1" si="19"/>
        <v>0</v>
      </c>
      <c r="AK66" s="372">
        <f t="shared" ca="1" si="20"/>
        <v>0</v>
      </c>
      <c r="AL66" s="373">
        <f t="shared" ca="1" si="21"/>
        <v>0</v>
      </c>
      <c r="AM66" s="374">
        <f t="shared" ca="1" si="22"/>
        <v>0</v>
      </c>
      <c r="AN66" s="375">
        <f t="shared" ca="1" si="23"/>
        <v>0</v>
      </c>
    </row>
    <row r="67" spans="1:40" x14ac:dyDescent="0.2">
      <c r="A67" s="6" t="s">
        <v>33</v>
      </c>
      <c r="B67" s="7"/>
      <c r="H67" s="10" t="s">
        <v>946</v>
      </c>
      <c r="I67" s="25" t="e">
        <f ca="1">_xll.EVPRO($B$1,$H67,"STYLE")</f>
        <v>#NAME?</v>
      </c>
      <c r="J67" s="25" t="e">
        <f ca="1">_xll.EVPRO($B$1,$H67,"CALC")</f>
        <v>#NAME?</v>
      </c>
      <c r="K67" s="64" t="e">
        <f t="shared" ca="1" si="16"/>
        <v>#NAME?</v>
      </c>
      <c r="L67" s="24" t="e">
        <f ca="1">_xll.EVPRO($B$1,H67,"JDEID")</f>
        <v>#NAME?</v>
      </c>
      <c r="M67" s="24" t="e">
        <f ca="1">IF(AND(I67="N",J67="N"),_xll.EVPRO($B$1,H67,"PSFTID"),"")</f>
        <v>#NAME?</v>
      </c>
      <c r="N67" s="24" t="e">
        <f ca="1">IF(_xll.EVDES(H67,$B$1)="#NODATA","",_xll.EVDES(H67,$B$1))</f>
        <v>#NAME?</v>
      </c>
      <c r="O67" s="19">
        <v>3125</v>
      </c>
      <c r="P67" s="19">
        <v>2025</v>
      </c>
      <c r="Q67" s="19">
        <v>3044.8</v>
      </c>
      <c r="R67" s="19">
        <v>4265.6400000000003</v>
      </c>
      <c r="S67" s="19">
        <v>2477.59</v>
      </c>
      <c r="T67" s="19">
        <v>2525.9699999999998</v>
      </c>
      <c r="U67" s="19">
        <v>2627.59</v>
      </c>
      <c r="V67" s="19">
        <v>2627.59</v>
      </c>
      <c r="W67" s="19">
        <v>2127.59</v>
      </c>
      <c r="X67" s="19">
        <v>2477.59</v>
      </c>
      <c r="Y67" s="19">
        <v>2477.59</v>
      </c>
      <c r="Z67" s="19">
        <v>4044.59</v>
      </c>
      <c r="AA67" s="35" t="e">
        <f t="shared" ca="1" si="12"/>
        <v>#NAME?</v>
      </c>
      <c r="AB67" s="15" t="e">
        <f t="shared" ca="1" si="13"/>
        <v>#NAME?</v>
      </c>
      <c r="AD67" s="19">
        <v>33000</v>
      </c>
      <c r="AE67" s="15" t="str">
        <f t="shared" ca="1" si="14"/>
        <v/>
      </c>
      <c r="AF67" s="47" t="e">
        <f t="shared" ca="1" si="15"/>
        <v>#NAME?</v>
      </c>
      <c r="AG67" s="19">
        <v>33266.67</v>
      </c>
      <c r="AH67" s="15" t="str">
        <f t="shared" ca="1" si="17"/>
        <v/>
      </c>
      <c r="AI67" s="47" t="e">
        <f t="shared" ca="1" si="18"/>
        <v>#NAME?</v>
      </c>
      <c r="AJ67" s="371">
        <f t="shared" ca="1" si="19"/>
        <v>0</v>
      </c>
      <c r="AK67" s="372">
        <f t="shared" ca="1" si="20"/>
        <v>0</v>
      </c>
      <c r="AL67" s="373">
        <f t="shared" ca="1" si="21"/>
        <v>0</v>
      </c>
      <c r="AM67" s="374">
        <f t="shared" ca="1" si="22"/>
        <v>0</v>
      </c>
      <c r="AN67" s="375">
        <f t="shared" ca="1" si="23"/>
        <v>0</v>
      </c>
    </row>
    <row r="68" spans="1:40" x14ac:dyDescent="0.2">
      <c r="A68" s="6" t="s">
        <v>34</v>
      </c>
      <c r="B68" s="7"/>
      <c r="H68" s="10" t="s">
        <v>947</v>
      </c>
      <c r="I68" s="25" t="e">
        <f ca="1">_xll.EVPRO($B$1,$H68,"STYLE")</f>
        <v>#NAME?</v>
      </c>
      <c r="J68" s="25" t="e">
        <f ca="1">_xll.EVPRO($B$1,$H68,"CALC")</f>
        <v>#NAME?</v>
      </c>
      <c r="K68" s="64" t="e">
        <f t="shared" ca="1" si="16"/>
        <v>#NAME?</v>
      </c>
      <c r="L68" s="24" t="e">
        <f ca="1">_xll.EVPRO($B$1,H68,"JDEID")</f>
        <v>#NAME?</v>
      </c>
      <c r="M68" s="24" t="e">
        <f ca="1">IF(AND(I68="N",J68="N"),_xll.EVPRO($B$1,H68,"PSFTID"),"")</f>
        <v>#NAME?</v>
      </c>
      <c r="N68" s="24" t="e">
        <f ca="1">IF(_xll.EVDES(H68,$B$1)="#NODATA","",_xll.EVDES(H68,$B$1))</f>
        <v>#NAME?</v>
      </c>
      <c r="O68" s="19">
        <v>15898.49</v>
      </c>
      <c r="P68" s="19">
        <v>8656.2099999999991</v>
      </c>
      <c r="Q68" s="19">
        <v>9928.84</v>
      </c>
      <c r="R68" s="19">
        <v>17752.650000000001</v>
      </c>
      <c r="S68" s="19">
        <v>10346.790000000001</v>
      </c>
      <c r="T68" s="19">
        <v>8346.81</v>
      </c>
      <c r="U68" s="19">
        <v>15542</v>
      </c>
      <c r="V68" s="19">
        <v>9253.7999999999993</v>
      </c>
      <c r="W68" s="19">
        <v>9718.52</v>
      </c>
      <c r="X68" s="19">
        <v>11057.35</v>
      </c>
      <c r="Y68" s="19">
        <v>14381.69</v>
      </c>
      <c r="Z68" s="19">
        <v>8411.93</v>
      </c>
      <c r="AA68" s="35" t="e">
        <f t="shared" ca="1" si="12"/>
        <v>#NAME?</v>
      </c>
      <c r="AB68" s="15" t="e">
        <f t="shared" ca="1" si="13"/>
        <v>#NAME?</v>
      </c>
      <c r="AD68" s="19">
        <v>125400</v>
      </c>
      <c r="AE68" s="15" t="str">
        <f t="shared" ca="1" si="14"/>
        <v/>
      </c>
      <c r="AF68" s="47" t="e">
        <f t="shared" ca="1" si="15"/>
        <v>#NAME?</v>
      </c>
      <c r="AG68" s="19">
        <v>116282.61</v>
      </c>
      <c r="AH68" s="15" t="str">
        <f t="shared" ca="1" si="17"/>
        <v/>
      </c>
      <c r="AI68" s="47" t="e">
        <f t="shared" ca="1" si="18"/>
        <v>#NAME?</v>
      </c>
      <c r="AJ68" s="371">
        <f t="shared" ca="1" si="19"/>
        <v>0</v>
      </c>
      <c r="AK68" s="372">
        <f t="shared" ca="1" si="20"/>
        <v>0</v>
      </c>
      <c r="AL68" s="373">
        <f t="shared" ca="1" si="21"/>
        <v>0</v>
      </c>
      <c r="AM68" s="374">
        <f t="shared" ca="1" si="22"/>
        <v>0</v>
      </c>
      <c r="AN68" s="375">
        <f t="shared" ca="1" si="23"/>
        <v>0</v>
      </c>
    </row>
    <row r="69" spans="1:40" x14ac:dyDescent="0.2">
      <c r="A69" s="6" t="s">
        <v>35</v>
      </c>
      <c r="B69" s="7"/>
      <c r="H69" s="10" t="s">
        <v>948</v>
      </c>
      <c r="I69" s="25" t="e">
        <f ca="1">_xll.EVPRO($B$1,$H69,"STYLE")</f>
        <v>#NAME?</v>
      </c>
      <c r="J69" s="25" t="e">
        <f ca="1">_xll.EVPRO($B$1,$H69,"CALC")</f>
        <v>#NAME?</v>
      </c>
      <c r="K69" s="64" t="e">
        <f t="shared" ca="1" si="16"/>
        <v>#NAME?</v>
      </c>
      <c r="L69" s="24" t="e">
        <f ca="1">_xll.EVPRO($B$1,H69,"JDEID")</f>
        <v>#NAME?</v>
      </c>
      <c r="M69" s="24" t="e">
        <f ca="1">IF(AND(I69="N",J69="N"),_xll.EVPRO($B$1,H69,"PSFTID"),"")</f>
        <v>#NAME?</v>
      </c>
      <c r="N69" s="24" t="e">
        <f ca="1">IF(_xll.EVDES(H69,$B$1)="#NODATA","",_xll.EVDES(H69,$B$1))</f>
        <v>#NAME?</v>
      </c>
      <c r="O69" s="19">
        <v>1339.92</v>
      </c>
      <c r="P69" s="19">
        <v>839.92</v>
      </c>
      <c r="Q69" s="19">
        <v>675.64</v>
      </c>
      <c r="R69" s="19">
        <v>926.34</v>
      </c>
      <c r="S69" s="19">
        <v>800.97</v>
      </c>
      <c r="T69" s="19">
        <v>800.97</v>
      </c>
      <c r="U69" s="19">
        <v>853.96</v>
      </c>
      <c r="V69" s="19">
        <v>1269.1300000000001</v>
      </c>
      <c r="W69" s="19">
        <v>1268.79</v>
      </c>
      <c r="X69" s="19">
        <v>1268.96</v>
      </c>
      <c r="Y69" s="19">
        <v>-391.04</v>
      </c>
      <c r="Z69" s="19">
        <v>1573.96</v>
      </c>
      <c r="AA69" s="35" t="e">
        <f t="shared" ca="1" si="12"/>
        <v>#NAME?</v>
      </c>
      <c r="AB69" s="15" t="e">
        <f t="shared" ca="1" si="13"/>
        <v>#NAME?</v>
      </c>
      <c r="AD69" s="19">
        <v>12419.0800000004</v>
      </c>
      <c r="AE69" s="15" t="str">
        <f t="shared" ca="1" si="14"/>
        <v/>
      </c>
      <c r="AF69" s="47" t="e">
        <f t="shared" ca="1" si="15"/>
        <v>#NAME?</v>
      </c>
      <c r="AG69" s="19">
        <v>11978.89</v>
      </c>
      <c r="AH69" s="15" t="str">
        <f t="shared" ca="1" si="17"/>
        <v/>
      </c>
      <c r="AI69" s="47" t="e">
        <f t="shared" ca="1" si="18"/>
        <v>#NAME?</v>
      </c>
      <c r="AJ69" s="371">
        <f t="shared" ca="1" si="19"/>
        <v>0</v>
      </c>
      <c r="AK69" s="372">
        <f t="shared" ca="1" si="20"/>
        <v>0</v>
      </c>
      <c r="AL69" s="373">
        <f t="shared" ca="1" si="21"/>
        <v>0</v>
      </c>
      <c r="AM69" s="374">
        <f t="shared" ca="1" si="22"/>
        <v>0</v>
      </c>
      <c r="AN69" s="375">
        <f t="shared" ca="1" si="23"/>
        <v>0</v>
      </c>
    </row>
    <row r="70" spans="1:40" x14ac:dyDescent="0.2">
      <c r="A70" s="6" t="s">
        <v>36</v>
      </c>
      <c r="B70" s="7"/>
      <c r="H70" s="10" t="s">
        <v>949</v>
      </c>
      <c r="I70" s="25" t="e">
        <f ca="1">_xll.EVPRO($B$1,$H70,"STYLE")</f>
        <v>#NAME?</v>
      </c>
      <c r="J70" s="25" t="e">
        <f ca="1">_xll.EVPRO($B$1,$H70,"CALC")</f>
        <v>#NAME?</v>
      </c>
      <c r="K70" s="64" t="e">
        <f t="shared" ca="1" si="16"/>
        <v>#NAME?</v>
      </c>
      <c r="L70" s="24" t="e">
        <f ca="1">_xll.EVPRO($B$1,H70,"JDEID")</f>
        <v>#NAME?</v>
      </c>
      <c r="M70" s="24" t="e">
        <f ca="1">IF(AND(I70="N",J70="N"),_xll.EVPRO($B$1,H70,"PSFTID"),"")</f>
        <v>#NAME?</v>
      </c>
      <c r="N70" s="24" t="e">
        <f ca="1">IF(_xll.EVDES(H70,$B$1)="#NODATA","",_xll.EVDES(H70,$B$1))</f>
        <v>#NAME?</v>
      </c>
      <c r="O70" s="19"/>
      <c r="P70" s="19"/>
      <c r="Q70" s="19"/>
      <c r="R70" s="19"/>
      <c r="S70" s="19"/>
      <c r="T70" s="19"/>
      <c r="U70" s="19"/>
      <c r="V70" s="19"/>
      <c r="W70" s="19"/>
      <c r="X70" s="19"/>
      <c r="Y70" s="19"/>
      <c r="Z70" s="19"/>
      <c r="AA70" s="35" t="e">
        <f t="shared" ca="1" si="12"/>
        <v>#NAME?</v>
      </c>
      <c r="AB70" s="15" t="e">
        <f t="shared" ca="1" si="13"/>
        <v>#NAME?</v>
      </c>
      <c r="AD70" s="19"/>
      <c r="AE70" s="15" t="str">
        <f t="shared" si="14"/>
        <v/>
      </c>
      <c r="AF70" s="47" t="e">
        <f t="shared" ca="1" si="15"/>
        <v>#NAME?</v>
      </c>
      <c r="AG70" s="19">
        <v>19195.43</v>
      </c>
      <c r="AH70" s="15" t="str">
        <f t="shared" ca="1" si="17"/>
        <v/>
      </c>
      <c r="AI70" s="47" t="e">
        <f t="shared" ca="1" si="18"/>
        <v>#NAME?</v>
      </c>
      <c r="AJ70" s="371">
        <f t="shared" ca="1" si="19"/>
        <v>0</v>
      </c>
      <c r="AK70" s="372">
        <f t="shared" ca="1" si="20"/>
        <v>0</v>
      </c>
      <c r="AL70" s="373">
        <f t="shared" ca="1" si="21"/>
        <v>0</v>
      </c>
      <c r="AM70" s="374">
        <f t="shared" ca="1" si="22"/>
        <v>0</v>
      </c>
      <c r="AN70" s="375">
        <f t="shared" ca="1" si="23"/>
        <v>0</v>
      </c>
    </row>
    <row r="71" spans="1:40" x14ac:dyDescent="0.2">
      <c r="A71" s="6" t="s">
        <v>37</v>
      </c>
      <c r="B71" s="7"/>
      <c r="H71" s="10" t="s">
        <v>950</v>
      </c>
      <c r="I71" s="25" t="e">
        <f ca="1">_xll.EVPRO($B$1,$H71,"STYLE")</f>
        <v>#NAME?</v>
      </c>
      <c r="J71" s="25" t="e">
        <f ca="1">_xll.EVPRO($B$1,$H71,"CALC")</f>
        <v>#NAME?</v>
      </c>
      <c r="K71" s="64" t="e">
        <f t="shared" ca="1" si="16"/>
        <v>#NAME?</v>
      </c>
      <c r="L71" s="24" t="e">
        <f ca="1">_xll.EVPRO($B$1,H71,"JDEID")</f>
        <v>#NAME?</v>
      </c>
      <c r="M71" s="24" t="e">
        <f ca="1">IF(AND(I71="N",J71="N"),_xll.EVPRO($B$1,H71,"PSFTID"),"")</f>
        <v>#NAME?</v>
      </c>
      <c r="N71" s="24" t="e">
        <f ca="1">IF(_xll.EVDES(H71,$B$1)="#NODATA","",_xll.EVDES(H71,$B$1))</f>
        <v>#NAME?</v>
      </c>
      <c r="O71" s="19">
        <v>7668.2</v>
      </c>
      <c r="P71" s="19">
        <v>12562.27</v>
      </c>
      <c r="Q71" s="19">
        <v>12894.28</v>
      </c>
      <c r="R71" s="19">
        <v>10589.59</v>
      </c>
      <c r="S71" s="19">
        <v>11768.46</v>
      </c>
      <c r="T71" s="19">
        <v>8241.68</v>
      </c>
      <c r="U71" s="19">
        <v>8509.27</v>
      </c>
      <c r="V71" s="19">
        <v>4113.1000000000004</v>
      </c>
      <c r="W71" s="19">
        <v>5914.46</v>
      </c>
      <c r="X71" s="19">
        <v>5886.44</v>
      </c>
      <c r="Y71" s="19">
        <v>7209.49</v>
      </c>
      <c r="Z71" s="19">
        <v>5438.79</v>
      </c>
      <c r="AA71" s="35" t="e">
        <f t="shared" ca="1" si="12"/>
        <v>#NAME?</v>
      </c>
      <c r="AB71" s="15" t="e">
        <f t="shared" ca="1" si="13"/>
        <v>#NAME?</v>
      </c>
      <c r="AD71" s="19">
        <v>120700</v>
      </c>
      <c r="AE71" s="15" t="str">
        <f t="shared" ca="1" si="14"/>
        <v/>
      </c>
      <c r="AF71" s="47" t="e">
        <f t="shared" ca="1" si="15"/>
        <v>#NAME?</v>
      </c>
      <c r="AG71" s="19">
        <v>118882.07</v>
      </c>
      <c r="AH71" s="15" t="str">
        <f t="shared" ca="1" si="17"/>
        <v/>
      </c>
      <c r="AI71" s="47" t="e">
        <f t="shared" ca="1" si="18"/>
        <v>#NAME?</v>
      </c>
      <c r="AJ71" s="371">
        <f t="shared" ca="1" si="19"/>
        <v>0</v>
      </c>
      <c r="AK71" s="372">
        <f t="shared" ca="1" si="20"/>
        <v>0</v>
      </c>
      <c r="AL71" s="373">
        <f t="shared" ca="1" si="21"/>
        <v>0</v>
      </c>
      <c r="AM71" s="374">
        <f t="shared" ca="1" si="22"/>
        <v>0</v>
      </c>
      <c r="AN71" s="375">
        <f t="shared" ca="1" si="23"/>
        <v>0</v>
      </c>
    </row>
    <row r="72" spans="1:40" x14ac:dyDescent="0.2">
      <c r="A72" s="6" t="s">
        <v>38</v>
      </c>
      <c r="B72" s="7"/>
      <c r="H72" s="10" t="s">
        <v>951</v>
      </c>
      <c r="I72" s="25" t="e">
        <f ca="1">_xll.EVPRO($B$1,$H72,"STYLE")</f>
        <v>#NAME?</v>
      </c>
      <c r="J72" s="25" t="e">
        <f ca="1">_xll.EVPRO($B$1,$H72,"CALC")</f>
        <v>#NAME?</v>
      </c>
      <c r="K72" s="64" t="e">
        <f t="shared" ca="1" si="16"/>
        <v>#NAME?</v>
      </c>
      <c r="L72" s="24" t="e">
        <f ca="1">_xll.EVPRO($B$1,H72,"JDEID")</f>
        <v>#NAME?</v>
      </c>
      <c r="M72" s="24" t="e">
        <f ca="1">IF(AND(I72="N",J72="N"),_xll.EVPRO($B$1,H72,"PSFTID"),"")</f>
        <v>#NAME?</v>
      </c>
      <c r="N72" s="24" t="e">
        <f ca="1">IF(_xll.EVDES(H72,$B$1)="#NODATA","",_xll.EVDES(H72,$B$1))</f>
        <v>#NAME?</v>
      </c>
      <c r="O72" s="19">
        <v>3662.5</v>
      </c>
      <c r="P72" s="19">
        <v>3432.48</v>
      </c>
      <c r="Q72" s="19">
        <v>3432.48</v>
      </c>
      <c r="R72" s="19">
        <v>3098.48</v>
      </c>
      <c r="S72" s="19">
        <v>3348.48</v>
      </c>
      <c r="T72" s="19">
        <v>2100</v>
      </c>
      <c r="U72" s="19">
        <v>4764.4799999999996</v>
      </c>
      <c r="V72" s="19">
        <v>3432</v>
      </c>
      <c r="W72" s="19">
        <v>3432.96</v>
      </c>
      <c r="X72" s="19">
        <v>3432.96</v>
      </c>
      <c r="Y72" s="19">
        <v>3432</v>
      </c>
      <c r="Z72" s="19">
        <v>3432.96</v>
      </c>
      <c r="AA72" s="35" t="e">
        <f t="shared" ca="1" si="12"/>
        <v>#NAME?</v>
      </c>
      <c r="AB72" s="15" t="e">
        <f t="shared" ca="1" si="13"/>
        <v>#NAME?</v>
      </c>
      <c r="AD72" s="19">
        <v>41200</v>
      </c>
      <c r="AE72" s="15" t="str">
        <f t="shared" ca="1" si="14"/>
        <v/>
      </c>
      <c r="AF72" s="47" t="e">
        <f t="shared" ca="1" si="15"/>
        <v>#NAME?</v>
      </c>
      <c r="AG72" s="19">
        <v>52445.11</v>
      </c>
      <c r="AH72" s="15" t="str">
        <f t="shared" ca="1" si="17"/>
        <v/>
      </c>
      <c r="AI72" s="47" t="e">
        <f t="shared" ca="1" si="18"/>
        <v>#NAME?</v>
      </c>
      <c r="AJ72" s="371">
        <f t="shared" ca="1" si="19"/>
        <v>0</v>
      </c>
      <c r="AK72" s="372">
        <f t="shared" ca="1" si="20"/>
        <v>0</v>
      </c>
      <c r="AL72" s="373">
        <f t="shared" ca="1" si="21"/>
        <v>0</v>
      </c>
      <c r="AM72" s="374">
        <f t="shared" ca="1" si="22"/>
        <v>0</v>
      </c>
      <c r="AN72" s="375">
        <f t="shared" ca="1" si="23"/>
        <v>0</v>
      </c>
    </row>
    <row r="73" spans="1:40" x14ac:dyDescent="0.2">
      <c r="A73" s="6" t="s">
        <v>39</v>
      </c>
      <c r="B73" s="7"/>
      <c r="H73" s="10" t="s">
        <v>79</v>
      </c>
      <c r="I73" s="25" t="e">
        <f ca="1">_xll.EVPRO($B$1,$H73,"STYLE")</f>
        <v>#NAME?</v>
      </c>
      <c r="J73" s="25" t="e">
        <f ca="1">_xll.EVPRO($B$1,$H73,"CALC")</f>
        <v>#NAME?</v>
      </c>
      <c r="K73" s="24"/>
      <c r="N73" s="23" t="e">
        <f ca="1">IF(_xll.EVDES(H73,$B$1)="#NODATA","",_xll.EVDES(H73,$B$1))</f>
        <v>#NAME?</v>
      </c>
      <c r="O73" s="30">
        <v>59447.08</v>
      </c>
      <c r="P73" s="30">
        <v>59776.87</v>
      </c>
      <c r="Q73" s="30">
        <v>56139.32</v>
      </c>
      <c r="R73" s="30">
        <v>61895.51</v>
      </c>
      <c r="S73" s="30">
        <v>56319.68</v>
      </c>
      <c r="T73" s="30">
        <v>49095.43</v>
      </c>
      <c r="U73" s="30">
        <v>49840.95</v>
      </c>
      <c r="V73" s="30">
        <v>36965.050000000003</v>
      </c>
      <c r="W73" s="30">
        <v>36819.79</v>
      </c>
      <c r="X73" s="30">
        <v>42852.33</v>
      </c>
      <c r="Y73" s="30">
        <v>48040.15</v>
      </c>
      <c r="Z73" s="30">
        <v>49322.83</v>
      </c>
      <c r="AA73" s="30" t="e">
        <f t="shared" ca="1" si="12"/>
        <v>#NAME?</v>
      </c>
      <c r="AB73" s="31" t="e">
        <f t="shared" ca="1" si="13"/>
        <v>#NAME?</v>
      </c>
      <c r="AD73" s="30">
        <v>615776.47640000097</v>
      </c>
      <c r="AE73" s="31" t="str">
        <f t="shared" ca="1" si="14"/>
        <v/>
      </c>
      <c r="AF73" s="49" t="e">
        <f t="shared" ca="1" si="15"/>
        <v>#NAME?</v>
      </c>
      <c r="AG73" s="30">
        <v>657802.93000000005</v>
      </c>
      <c r="AH73" s="31" t="str">
        <f ca="1">IF(AG73=0,"",IFERROR(AG73/AG$19,""))</f>
        <v/>
      </c>
      <c r="AI73" s="49" t="e">
        <f ca="1">IF(AND($AA73="",AG73=""),"",$AA73-AG73)</f>
        <v>#NAME?</v>
      </c>
      <c r="AJ73" s="387">
        <f ca="1">IFERROR(AA73/AA$20,0)</f>
        <v>0</v>
      </c>
      <c r="AK73" s="388">
        <f ca="1">IFERROR(AD73/AD$20,0)</f>
        <v>0</v>
      </c>
      <c r="AL73" s="389">
        <f ca="1">IFERROR(AG73/AG$20,0)</f>
        <v>0</v>
      </c>
      <c r="AM73" s="390">
        <f ca="1">+IFERROR(ROUND(($AB73-AE73)*100,2)&amp;" pts.",0)</f>
        <v>0</v>
      </c>
      <c r="AN73" s="408">
        <f ca="1">+IFERROR(ROUND(($AB73-AH73)*100,2)&amp;" pts.",0)</f>
        <v>0</v>
      </c>
    </row>
    <row r="74" spans="1:40" x14ac:dyDescent="0.2">
      <c r="A74" s="6" t="s">
        <v>40</v>
      </c>
      <c r="B74" s="7"/>
    </row>
    <row r="75" spans="1:40" x14ac:dyDescent="0.2">
      <c r="A75" s="6" t="s">
        <v>41</v>
      </c>
      <c r="B75" s="7"/>
      <c r="H75" s="10" t="s">
        <v>80</v>
      </c>
      <c r="I75" s="25" t="e">
        <f ca="1">_xll.EVPRO($B$1,$H75,"STYLE")</f>
        <v>#NAME?</v>
      </c>
      <c r="J75" s="25" t="e">
        <f ca="1">_xll.EVPRO($B$1,$H75,"CALC")</f>
        <v>#NAME?</v>
      </c>
      <c r="K75" s="23"/>
      <c r="N75" s="23" t="e">
        <f ca="1">IF(_xll.EVDES(H75,$B$1)="#NODATA","",_xll.EVDES(H75,$B$1))</f>
        <v>#NAME?</v>
      </c>
      <c r="O75" s="33">
        <v>96704.83</v>
      </c>
      <c r="P75" s="33">
        <v>100245.07</v>
      </c>
      <c r="Q75" s="33">
        <v>104713.14</v>
      </c>
      <c r="R75" s="33">
        <v>105298.68</v>
      </c>
      <c r="S75" s="33">
        <v>100102.44</v>
      </c>
      <c r="T75" s="33">
        <v>91108</v>
      </c>
      <c r="U75" s="33">
        <v>92915.15</v>
      </c>
      <c r="V75" s="33">
        <v>82058.820000000007</v>
      </c>
      <c r="W75" s="33">
        <v>82615.460000000006</v>
      </c>
      <c r="X75" s="33">
        <v>82959.41</v>
      </c>
      <c r="Y75" s="33">
        <v>88404.91</v>
      </c>
      <c r="Z75" s="33">
        <v>80954.2</v>
      </c>
      <c r="AA75" s="33" t="e">
        <f ca="1">IF($I75="B1","",SUM(O75:Z75))</f>
        <v>#NAME?</v>
      </c>
      <c r="AB75" s="34" t="e">
        <f ca="1">IF(AA75=0,"",IFERROR(AA75/AA$19,""))</f>
        <v>#NAME?</v>
      </c>
      <c r="AD75" s="33">
        <v>1151615.33399324</v>
      </c>
      <c r="AE75" s="34" t="str">
        <f ca="1">IF(AD75=0,"",IFERROR(AD75/AD$19,""))</f>
        <v/>
      </c>
      <c r="AF75" s="55" t="e">
        <f ca="1">IF(AND($AA75="",AD75=""),"",$AA75-AD75)</f>
        <v>#NAME?</v>
      </c>
      <c r="AG75" s="56">
        <v>1182346.3999999999</v>
      </c>
      <c r="AH75" s="57" t="str">
        <f ca="1">IF(AG75=0,"",IFERROR(AG75/AG$19,""))</f>
        <v/>
      </c>
      <c r="AI75" s="55" t="e">
        <f ca="1">IF(AND($AA75="",AG75=""),"",$AA75-AG75)</f>
        <v>#NAME?</v>
      </c>
      <c r="AJ75" s="364">
        <f ca="1">IFERROR(AA75/AA$20,0)</f>
        <v>0</v>
      </c>
      <c r="AK75" s="365">
        <f ca="1">IFERROR(AD75/AD$20,0)</f>
        <v>0</v>
      </c>
      <c r="AL75" s="366">
        <f ca="1">IFERROR(AG75/AG$20,0)</f>
        <v>0</v>
      </c>
      <c r="AM75" s="367">
        <f ca="1">+IFERROR(ROUND(($AB75-AE75)*100,2)&amp;" pts.",0)</f>
        <v>0</v>
      </c>
      <c r="AN75" s="409">
        <f ca="1">+IFERROR(ROUND(($AB75-AH75)*100,2)&amp;" pts.",0)</f>
        <v>0</v>
      </c>
    </row>
    <row r="76" spans="1:40" ht="16" thickBot="1" x14ac:dyDescent="0.25">
      <c r="A76" s="6" t="s">
        <v>42</v>
      </c>
      <c r="B76" s="7"/>
      <c r="H76" s="10" t="s">
        <v>81</v>
      </c>
      <c r="I76" s="25" t="e">
        <f ca="1">_xll.EVPRO($B$1,$H76,"STYLE")</f>
        <v>#NAME?</v>
      </c>
      <c r="J76" s="25" t="e">
        <f ca="1">_xll.EVPRO($B$1,$H76,"CALC")</f>
        <v>#NAME?</v>
      </c>
      <c r="K76" s="23"/>
      <c r="N76" s="23" t="e">
        <f ca="1">IF(_xll.EVDES(H76,$B$1)="#NODATA","",_xll.EVDES(H76,$B$1))</f>
        <v>#NAME?</v>
      </c>
      <c r="O76" s="58">
        <v>-96704.83</v>
      </c>
      <c r="P76" s="58">
        <v>-100245.07</v>
      </c>
      <c r="Q76" s="58">
        <v>-104713.14</v>
      </c>
      <c r="R76" s="58">
        <v>-105298.68</v>
      </c>
      <c r="S76" s="58">
        <v>-100102.44</v>
      </c>
      <c r="T76" s="58">
        <v>-91108</v>
      </c>
      <c r="U76" s="58">
        <v>-92915.15</v>
      </c>
      <c r="V76" s="58">
        <v>-82058.820000000007</v>
      </c>
      <c r="W76" s="58">
        <v>-82615.460000000006</v>
      </c>
      <c r="X76" s="58">
        <v>-82959.41</v>
      </c>
      <c r="Y76" s="58">
        <v>-88404.91</v>
      </c>
      <c r="Z76" s="58">
        <v>-80954.2</v>
      </c>
      <c r="AA76" s="58" t="e">
        <f ca="1">IF($I76="B1","",SUM(O76:Z76))</f>
        <v>#NAME?</v>
      </c>
      <c r="AB76" s="59" t="e">
        <f ca="1">IF(AA76=0,"",IFERROR(AA76/AA$19,""))</f>
        <v>#NAME?</v>
      </c>
      <c r="AD76" s="58">
        <v>-1151615.33399324</v>
      </c>
      <c r="AE76" s="59" t="str">
        <f ca="1">IF(AD76=0,"",IFERROR(AD76/AD$19,""))</f>
        <v/>
      </c>
      <c r="AF76" s="60" t="e">
        <f ca="1">IF(AND($AA76="",AD76=""),"",$AA76-AD76)</f>
        <v>#NAME?</v>
      </c>
      <c r="AG76" s="58">
        <v>-1182346.3999999999</v>
      </c>
      <c r="AH76" s="59" t="str">
        <f ca="1">IF(AG76=0,"",IFERROR(AG76/AG$19,""))</f>
        <v/>
      </c>
      <c r="AI76" s="60" t="e">
        <f ca="1">IF(AND($AA76="",AG76=""),"",$AA76-AG76)</f>
        <v>#NAME?</v>
      </c>
      <c r="AJ76" s="402">
        <f ca="1">IFERROR(AA76/AA$20,0)</f>
        <v>0</v>
      </c>
      <c r="AK76" s="403">
        <f ca="1">IFERROR(AD76/AD$20,0)</f>
        <v>0</v>
      </c>
      <c r="AL76" s="404">
        <f ca="1">IFERROR(AG76/AG$20,0)</f>
        <v>0</v>
      </c>
      <c r="AM76" s="405">
        <f ca="1">+IFERROR(ROUND(($AB76-AE76)*100,2)&amp;" pts.",0)</f>
        <v>0</v>
      </c>
      <c r="AN76" s="410">
        <f ca="1">+IFERROR(ROUND(($AB76-AH76)*100,2)&amp;" pts.",0)</f>
        <v>0</v>
      </c>
    </row>
    <row r="77" spans="1:40" ht="16" thickTop="1" x14ac:dyDescent="0.2">
      <c r="A77" s="6" t="s">
        <v>43</v>
      </c>
      <c r="B77" s="7"/>
    </row>
    <row r="78" spans="1:40" x14ac:dyDescent="0.2">
      <c r="A78" s="6" t="s">
        <v>44</v>
      </c>
      <c r="B78" s="7"/>
      <c r="N78" s="24" t="e">
        <f ca="1">N75&amp;" - Check"</f>
        <v>#NAME?</v>
      </c>
      <c r="O78" s="124">
        <f t="shared" ref="O78:AA78" si="24">SUMIF($H$33:$H$76,"600000",O$33:O$76)+SUMIF($H$33:$H$76,"700000",O$33:O$76)-SUMIF($H$33:$H$76,"TOTDEPTEXP",O$33:O$76)</f>
        <v>0</v>
      </c>
      <c r="P78" s="124">
        <f t="shared" si="24"/>
        <v>0</v>
      </c>
      <c r="Q78" s="124">
        <f t="shared" si="24"/>
        <v>0</v>
      </c>
      <c r="R78" s="124">
        <f t="shared" si="24"/>
        <v>0</v>
      </c>
      <c r="S78" s="124">
        <f t="shared" si="24"/>
        <v>0</v>
      </c>
      <c r="T78" s="124">
        <f t="shared" si="24"/>
        <v>0</v>
      </c>
      <c r="U78" s="124">
        <f t="shared" si="24"/>
        <v>0</v>
      </c>
      <c r="V78" s="124">
        <f t="shared" si="24"/>
        <v>0</v>
      </c>
      <c r="W78" s="124">
        <f t="shared" si="24"/>
        <v>0</v>
      </c>
      <c r="X78" s="124">
        <f t="shared" si="24"/>
        <v>0</v>
      </c>
      <c r="Y78" s="124">
        <f t="shared" si="24"/>
        <v>0</v>
      </c>
      <c r="Z78" s="124">
        <f t="shared" si="24"/>
        <v>0</v>
      </c>
      <c r="AA78" s="124" t="e">
        <f t="shared" ca="1" si="24"/>
        <v>#NAME?</v>
      </c>
      <c r="AB78" s="15"/>
      <c r="AD78" s="124">
        <f>SUMIF($H$33:$H$76,"600000",AD$33:AD$76)+SUMIF($H$33:$H$76,"700000",AD$33:AD$76)-SUMIF($H$33:$H$76,"TOTDEPTEXP",AD$33:AD$76)</f>
        <v>3.9581209421157837E-9</v>
      </c>
      <c r="AE78" s="15"/>
      <c r="AF78" s="19"/>
      <c r="AG78" s="124">
        <f>SUMIF($H$33:$H$76,"600000",AG$33:AG$76)+SUMIF($H$33:$H$76,"700000",AG$33:AG$76)-SUMIF($H$33:$H$76,"TOTDEPTEXP",AG$33:AG$76)</f>
        <v>0</v>
      </c>
      <c r="AH78" s="15"/>
      <c r="AI78" s="19"/>
    </row>
    <row r="79" spans="1:40" x14ac:dyDescent="0.2">
      <c r="A79" s="6" t="s">
        <v>45</v>
      </c>
      <c r="B79" s="7"/>
      <c r="N79" s="24" t="e">
        <f ca="1">N76&amp;" - Check"</f>
        <v>#NAME?</v>
      </c>
      <c r="O79" s="124">
        <f t="shared" ref="O79:AA79" si="25">SUMIF($H$33:$H$76,"TOTDEPTEXP",O$33:O$76)+SUMIF($H$33:$H$76,"TOTDEPTPL",O$33:O$76)</f>
        <v>0</v>
      </c>
      <c r="P79" s="124">
        <f t="shared" si="25"/>
        <v>0</v>
      </c>
      <c r="Q79" s="124">
        <f t="shared" si="25"/>
        <v>0</v>
      </c>
      <c r="R79" s="124">
        <f t="shared" si="25"/>
        <v>0</v>
      </c>
      <c r="S79" s="124">
        <f t="shared" si="25"/>
        <v>0</v>
      </c>
      <c r="T79" s="124">
        <f t="shared" si="25"/>
        <v>0</v>
      </c>
      <c r="U79" s="124">
        <f t="shared" si="25"/>
        <v>0</v>
      </c>
      <c r="V79" s="124">
        <f t="shared" si="25"/>
        <v>0</v>
      </c>
      <c r="W79" s="124">
        <f t="shared" si="25"/>
        <v>0</v>
      </c>
      <c r="X79" s="124">
        <f t="shared" si="25"/>
        <v>0</v>
      </c>
      <c r="Y79" s="124">
        <f t="shared" si="25"/>
        <v>0</v>
      </c>
      <c r="Z79" s="124">
        <f t="shared" si="25"/>
        <v>0</v>
      </c>
      <c r="AA79" s="124" t="e">
        <f t="shared" ca="1" si="25"/>
        <v>#NAME?</v>
      </c>
      <c r="AB79" s="15"/>
      <c r="AD79" s="124">
        <f>SUMIF($H$33:$H$76,"TOTDEPTEXP",AD$33:AD$76)+SUMIF($H$33:$H$76,"TOTDEPTPL",AD$33:AD$76)</f>
        <v>0</v>
      </c>
      <c r="AE79" s="15"/>
      <c r="AF79" s="19"/>
      <c r="AG79" s="124">
        <f>SUMIF($H$33:$H$76,"TOTDEPTEXP",AG$33:AG$76)+SUMIF($H$33:$H$76,"TOTDEPTPL",AG$33:AG$76)</f>
        <v>0</v>
      </c>
      <c r="AH79" s="15"/>
      <c r="AI79" s="19"/>
    </row>
    <row r="80" spans="1:40" x14ac:dyDescent="0.2">
      <c r="A80" s="6" t="s">
        <v>46</v>
      </c>
      <c r="B80" s="7"/>
    </row>
    <row r="86" spans="8:10" x14ac:dyDescent="0.2">
      <c r="H86" s="11"/>
      <c r="J86" s="1"/>
    </row>
    <row r="87" spans="8:10" x14ac:dyDescent="0.2">
      <c r="H87" s="11"/>
      <c r="J87" s="1"/>
    </row>
    <row r="88" spans="8:10" x14ac:dyDescent="0.2">
      <c r="H88" s="11"/>
      <c r="J88" s="1"/>
    </row>
    <row r="89" spans="8:10" x14ac:dyDescent="0.2">
      <c r="H89" s="11"/>
      <c r="J89" s="1"/>
    </row>
    <row r="90" spans="8:10" x14ac:dyDescent="0.2">
      <c r="H90" s="11"/>
      <c r="J90" s="1"/>
    </row>
    <row r="91" spans="8:10" x14ac:dyDescent="0.2">
      <c r="H91" s="11"/>
      <c r="J91" s="1"/>
    </row>
    <row r="92" spans="8:10" x14ac:dyDescent="0.2">
      <c r="H92" s="11"/>
      <c r="J92" s="1"/>
    </row>
    <row r="93" spans="8:10" x14ac:dyDescent="0.2">
      <c r="H93" s="11"/>
      <c r="J93" s="1"/>
    </row>
    <row r="94" spans="8:10" x14ac:dyDescent="0.2">
      <c r="H94" s="11"/>
      <c r="J94" s="1"/>
    </row>
    <row r="95" spans="8:10" x14ac:dyDescent="0.2">
      <c r="H95" s="11"/>
      <c r="J95" s="1"/>
    </row>
    <row r="96" spans="8:10" x14ac:dyDescent="0.2">
      <c r="H96" s="11"/>
      <c r="J96" s="1"/>
    </row>
    <row r="97" spans="8:10" x14ac:dyDescent="0.2">
      <c r="H97" s="11"/>
      <c r="J97" s="1"/>
    </row>
    <row r="98" spans="8:10" x14ac:dyDescent="0.2">
      <c r="H98" s="11"/>
      <c r="J98" s="1"/>
    </row>
    <row r="99" spans="8:10" x14ac:dyDescent="0.2">
      <c r="H99" s="11"/>
      <c r="J99" s="1"/>
    </row>
    <row r="100" spans="8:10" x14ac:dyDescent="0.2">
      <c r="H100" s="11"/>
      <c r="J100" s="1"/>
    </row>
    <row r="101" spans="8:10" x14ac:dyDescent="0.2">
      <c r="H101" s="11"/>
      <c r="J101" s="1"/>
    </row>
    <row r="102" spans="8:10" x14ac:dyDescent="0.2">
      <c r="H102" s="11"/>
      <c r="J102" s="1"/>
    </row>
    <row r="103" spans="8:10" x14ac:dyDescent="0.2">
      <c r="H103" s="11"/>
      <c r="J103" s="1"/>
    </row>
    <row r="104" spans="8:10" x14ac:dyDescent="0.2">
      <c r="H104" s="11"/>
      <c r="J104" s="1"/>
    </row>
    <row r="105" spans="8:10" x14ac:dyDescent="0.2">
      <c r="H105" s="11"/>
      <c r="J105" s="1"/>
    </row>
    <row r="106" spans="8:10" x14ac:dyDescent="0.2">
      <c r="H106" s="11"/>
      <c r="J106" s="1"/>
    </row>
    <row r="107" spans="8:10" x14ac:dyDescent="0.2">
      <c r="H107" s="11"/>
      <c r="J107" s="1"/>
    </row>
    <row r="108" spans="8:10" x14ac:dyDescent="0.2">
      <c r="H108" s="11"/>
      <c r="J108" s="1"/>
    </row>
  </sheetData>
  <mergeCells count="2">
    <mergeCell ref="AD31:AE31"/>
    <mergeCell ref="AG31:AH31"/>
  </mergeCells>
  <dataValidations disablePrompts="1" count="2">
    <dataValidation type="list" allowBlank="1" sqref="B29" xr:uid="{00000000-0002-0000-5200-000000000000}">
      <formula1>"SELF,ALL,BAS,DEP,BASMEMBERS,MEMBERS,NOEXPAND,GDEP"</formula1>
    </dataValidation>
    <dataValidation type="list" allowBlank="1" sqref="B28" xr:uid="{00000000-0002-0000-52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26">
    <pageSetUpPr fitToPage="1"/>
  </sheetPr>
  <dimension ref="A1:AO106"/>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1" hidden="1" customWidth="1" outlineLevel="1" collapsed="1"/>
    <col min="13" max="13" width="9.6640625" style="1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0"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c r="L1" s="69"/>
      <c r="M1" s="69"/>
      <c r="N1" s="69"/>
    </row>
    <row r="2" spans="1:35" hidden="1" outlineLevel="1" x14ac:dyDescent="0.2">
      <c r="A2" s="8" t="s">
        <v>22</v>
      </c>
      <c r="B2" s="12" t="s">
        <v>56</v>
      </c>
      <c r="C2" s="1" t="e">
        <f ca="1">_xll.EVDES(B2,$B$1)</f>
        <v>#NAME?</v>
      </c>
      <c r="I2" s="1"/>
      <c r="J2" s="1"/>
      <c r="L2" s="69"/>
      <c r="M2" s="69"/>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513</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row>
    <row r="12" spans="1:35" hidden="1" outlineLevel="1" x14ac:dyDescent="0.2">
      <c r="A12" s="1" t="s">
        <v>115</v>
      </c>
      <c r="B12" s="46" t="e">
        <f ca="1">_xll.EVPRO($B$1,$B$10,"YEAR")</f>
        <v>#NAME?</v>
      </c>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_xll.EVRNG(H35:H36,H38:H47,H50:H70)</f>
        <v>#NAME?</v>
      </c>
      <c r="G19" s="16" t="s">
        <v>499</v>
      </c>
      <c r="H19" s="16">
        <v>400000</v>
      </c>
      <c r="I19" s="17"/>
      <c r="J19" s="17"/>
      <c r="K19" s="16"/>
      <c r="L19" s="17"/>
      <c r="M19" s="17"/>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
        <v>749</v>
      </c>
      <c r="H20" s="16">
        <v>904100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row>
    <row r="22" spans="1:40" hidden="1" outlineLevel="1" x14ac:dyDescent="0.2">
      <c r="A22" s="6" t="s">
        <v>7</v>
      </c>
      <c r="B22" s="7" t="e">
        <f ca="1">_xll.EVRNG(A36:F42)</f>
        <v>#NAME?</v>
      </c>
    </row>
    <row r="23" spans="1:40" hidden="1" outlineLevel="1" x14ac:dyDescent="0.2">
      <c r="A23" s="6" t="s">
        <v>47</v>
      </c>
      <c r="B23" s="7" t="e">
        <f ca="1">_xll.EVRNG($A$59:$B$80)</f>
        <v>#NAME?</v>
      </c>
      <c r="K23" s="53"/>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IF(_xll.EVDES(B6,$B$1)="#NODATA","",_xll.EVDES(B6,$B$1)&amp;" Department")</f>
        <v>#NAME?</v>
      </c>
    </row>
    <row r="28" spans="1:40" ht="16" x14ac:dyDescent="0.2">
      <c r="A28" s="6" t="s">
        <v>12</v>
      </c>
      <c r="B28" s="7" t="s">
        <v>22</v>
      </c>
      <c r="N28" s="67" t="e">
        <f ca="1">"For the Period ended"&amp;" "&amp;IF(_xll.EVDES($B$10,$B$1)="#NODATA","",_xll.EVDES($B$10,$B$1))</f>
        <v>#NAME?</v>
      </c>
    </row>
    <row r="29" spans="1:40" ht="15" customHeight="1" x14ac:dyDescent="0.2">
      <c r="A29" s="6" t="s">
        <v>13</v>
      </c>
      <c r="B29" s="7" t="s">
        <v>735</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752</v>
      </c>
      <c r="AK30" s="209"/>
      <c r="AL30" s="210"/>
      <c r="AM30" s="209" t="s">
        <v>750</v>
      </c>
      <c r="AN30" s="209"/>
    </row>
    <row r="31" spans="1:40" x14ac:dyDescent="0.2">
      <c r="A31" s="6" t="s">
        <v>15</v>
      </c>
      <c r="B31" s="7"/>
      <c r="G31" s="13"/>
      <c r="K31" s="52"/>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t="s">
        <v>78</v>
      </c>
      <c r="H32" s="233"/>
      <c r="I32" s="234"/>
      <c r="J32" s="234"/>
      <c r="K32" s="235" t="s">
        <v>117</v>
      </c>
      <c r="L32" s="234"/>
      <c r="M32" s="234"/>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73</v>
      </c>
      <c r="I33" s="11" t="e">
        <f ca="1">_xll.EVPRO($B$1,$H33,"STYLE")</f>
        <v>#NAME?</v>
      </c>
      <c r="J33" s="11" t="e">
        <f ca="1">_xll.EVPRO($B$1,$H33,"CALC")</f>
        <v>#NAME?</v>
      </c>
      <c r="N33" s="37" t="e">
        <f ca="1">IF(_xll.EVDES(H33,$B$1)="#NODATA","",_xll.EVDES(H33,$B$1))</f>
        <v>#NAME?</v>
      </c>
      <c r="O33" s="50"/>
      <c r="AB33" s="51"/>
      <c r="AD33" s="50"/>
      <c r="AF33" s="51"/>
      <c r="AG33" s="50"/>
      <c r="AI33" s="51"/>
    </row>
    <row r="34" spans="1:40" x14ac:dyDescent="0.2">
      <c r="H34" s="1" t="s">
        <v>74</v>
      </c>
      <c r="I34" s="11" t="e">
        <f ca="1">_xll.EVPRO($B$1,$H34,"STYLE")</f>
        <v>#NAME?</v>
      </c>
      <c r="J34" s="11" t="e">
        <f ca="1">_xll.EVPRO($B$1,$H34,"CALC")</f>
        <v>#NAME?</v>
      </c>
      <c r="N34" s="8" t="e">
        <f ca="1">IF(_xll.EVDES(H34,$B$1)="#NODATA","",_xll.EVDES(H34,$B$1))</f>
        <v>#NAME?</v>
      </c>
      <c r="O34" s="40"/>
      <c r="P34" s="43"/>
      <c r="Q34" s="43"/>
      <c r="R34" s="43"/>
      <c r="S34" s="43"/>
      <c r="T34" s="43"/>
      <c r="U34" s="43"/>
      <c r="V34" s="43"/>
      <c r="W34" s="43"/>
      <c r="X34" s="43"/>
      <c r="Y34" s="43"/>
      <c r="Z34" s="43"/>
      <c r="AA34" s="43"/>
      <c r="AB34" s="41"/>
      <c r="AD34" s="40"/>
      <c r="AE34" s="43"/>
      <c r="AF34" s="41"/>
      <c r="AG34" s="40"/>
      <c r="AH34" s="43"/>
      <c r="AI34" s="41"/>
    </row>
    <row r="35" spans="1:40" x14ac:dyDescent="0.2">
      <c r="A35" s="20" t="s">
        <v>92</v>
      </c>
      <c r="B35" s="21" t="s">
        <v>93</v>
      </c>
      <c r="C35" s="21" t="s">
        <v>94</v>
      </c>
      <c r="D35" s="21" t="s">
        <v>95</v>
      </c>
      <c r="E35" s="21" t="s">
        <v>96</v>
      </c>
      <c r="F35" s="22" t="s">
        <v>97</v>
      </c>
      <c r="H35" s="10" t="s">
        <v>856</v>
      </c>
      <c r="I35" s="25" t="e">
        <f ca="1">_xll.EVPRO($B$1,$H35,"STYLE")</f>
        <v>#NAME?</v>
      </c>
      <c r="J35" s="25" t="e">
        <f ca="1">_xll.EVPRO($B$1,$H35,"CALC")</f>
        <v>#NAME?</v>
      </c>
      <c r="K35" s="64" t="e">
        <f ca="1">IF(AND(I35&gt;="T3"),"&gt;","")</f>
        <v>#NAME?</v>
      </c>
      <c r="L35" s="24" t="e">
        <f ca="1">_xll.EVPRO($B$1,H35,"JDEID")</f>
        <v>#NAME?</v>
      </c>
      <c r="M35" s="24" t="e">
        <f ca="1">IF(AND(I35="N",J35="N"),_xll.EVPRO($B$1,H35,"PSFTID"),"")</f>
        <v>#NAME?</v>
      </c>
      <c r="N35" s="24" t="e">
        <f ca="1">IF(_xll.EVDES(H35,$B$1)="#NODATA","",_xll.EVDES(H35,$B$1))</f>
        <v>#NAME?</v>
      </c>
      <c r="O35" s="35">
        <v>7942.48</v>
      </c>
      <c r="P35" s="35">
        <v>7942.48</v>
      </c>
      <c r="Q35" s="35">
        <v>8750</v>
      </c>
      <c r="R35" s="35">
        <v>7367.73</v>
      </c>
      <c r="S35" s="35">
        <v>2604.17</v>
      </c>
      <c r="T35" s="35">
        <v>6250</v>
      </c>
      <c r="U35" s="35">
        <v>5961.66</v>
      </c>
      <c r="V35" s="35">
        <v>6250</v>
      </c>
      <c r="W35" s="35">
        <v>5961.66</v>
      </c>
      <c r="X35" s="35">
        <v>5673.2</v>
      </c>
      <c r="Y35" s="35">
        <v>5096.3999999999996</v>
      </c>
      <c r="Z35" s="35">
        <v>5961.78</v>
      </c>
      <c r="AA35" s="35" t="e">
        <f t="shared" ref="AA35:AA47" ca="1" si="0">IF($I35="B1","",SUM(O35:Z35))</f>
        <v>#NAME?</v>
      </c>
      <c r="AB35" s="36" t="e">
        <f t="shared" ref="AB35:AB47" ca="1" si="1">IF(AA35=0,"",IFERROR(AA35/AA$19,""))</f>
        <v>#NAME?</v>
      </c>
      <c r="AD35" s="19">
        <v>97630.582370252203</v>
      </c>
      <c r="AE35" s="15" t="str">
        <f t="shared" ref="AE35:AE47" ca="1" si="2">IF(AD35=0,"",IFERROR(AD35/AD$19,""))</f>
        <v/>
      </c>
      <c r="AF35" s="47" t="e">
        <f t="shared" ref="AF35:AF47" ca="1" si="3">IF(AND($AA35="",AD35=""),"",$AA35-AD35)</f>
        <v>#NAME?</v>
      </c>
      <c r="AG35" s="19">
        <v>88270.92</v>
      </c>
      <c r="AH35" s="15" t="str">
        <f ca="1">IF(AG35=0,"",IFERROR(AG35/AG$19,""))</f>
        <v/>
      </c>
      <c r="AI35" s="47" t="e">
        <f ca="1">IF(AND($AA35="",AG35=""),"",$AA35-AG35)</f>
        <v>#NAME?</v>
      </c>
      <c r="AJ35" s="371">
        <f ca="1">IFERROR(AA35/AA$20,0)</f>
        <v>0</v>
      </c>
      <c r="AK35" s="372">
        <f ca="1">IFERROR(AD35/AD$20,0)</f>
        <v>0</v>
      </c>
      <c r="AL35" s="373">
        <f ca="1">IFERROR(AG35/AG$20,0)</f>
        <v>0</v>
      </c>
      <c r="AM35" s="374">
        <f ca="1">+IFERROR(ROUND(($AB35-AE35)*100,2)&amp;" pts.",0)</f>
        <v>0</v>
      </c>
      <c r="AN35" s="375">
        <f ca="1">+IFERROR(ROUND(($AB35-AH35)*100,2)&amp;" pts.",0)</f>
        <v>0</v>
      </c>
    </row>
    <row r="36" spans="1:40" hidden="1" x14ac:dyDescent="0.2">
      <c r="H36" s="10"/>
      <c r="I36" s="25" t="e">
        <f ca="1">_xll.EVPRO($B$1,$H36,"STYLE")</f>
        <v>#NAME?</v>
      </c>
      <c r="J36" s="25" t="e">
        <f ca="1">_xll.EVPRO($B$1,$H36,"CALC")</f>
        <v>#NAME?</v>
      </c>
      <c r="K36" s="64" t="e">
        <f ca="1">IF(AND(I36&gt;="T3"),"&gt;","")</f>
        <v>#NAME?</v>
      </c>
      <c r="L36" s="24" t="e">
        <f ca="1">_xll.EVPRO($B$1,H36,"JDEID")</f>
        <v>#NAME?</v>
      </c>
      <c r="M36" s="24" t="e">
        <f ca="1">IF(AND(I36="N",J36="N"),_xll.EVPRO($B$1,H36,"PSFTID"),"")</f>
        <v>#NAME?</v>
      </c>
      <c r="N36" s="24" t="e">
        <f ca="1">IF(_xll.EVDES(H36,$B$1)="#NODATA","",_xll.EVDES(H36,$B$1))</f>
        <v>#NAME?</v>
      </c>
      <c r="O36" s="35"/>
      <c r="P36" s="35"/>
      <c r="Q36" s="35"/>
      <c r="R36" s="35"/>
      <c r="S36" s="35"/>
      <c r="T36" s="35"/>
      <c r="U36" s="35"/>
      <c r="V36" s="35"/>
      <c r="W36" s="35"/>
      <c r="X36" s="35"/>
      <c r="Y36" s="35"/>
      <c r="Z36" s="35"/>
      <c r="AA36" s="35" t="e">
        <f t="shared" ca="1" si="0"/>
        <v>#NAME?</v>
      </c>
      <c r="AB36" s="36" t="e">
        <f t="shared" ca="1" si="1"/>
        <v>#NAME?</v>
      </c>
      <c r="AD36" s="19"/>
      <c r="AE36" s="15" t="str">
        <f t="shared" si="2"/>
        <v/>
      </c>
      <c r="AF36" s="47" t="e">
        <f t="shared" ca="1" si="3"/>
        <v>#NAME?</v>
      </c>
      <c r="AG36" s="19"/>
      <c r="AH36" s="15" t="str">
        <f>IF(AG36=0,"",IFERROR(AG36/AG$19,""))</f>
        <v/>
      </c>
      <c r="AI36" s="47" t="e">
        <f ca="1">IF(AND($AA36="",AG36=""),"",$AA36-AG36)</f>
        <v>#NAME?</v>
      </c>
      <c r="AJ36" s="371">
        <f ca="1">IFERROR(AA36/AA$20,0)</f>
        <v>0</v>
      </c>
      <c r="AK36" s="372">
        <f ca="1">IFERROR(AD36/AD$20,0)</f>
        <v>0</v>
      </c>
      <c r="AL36" s="373">
        <f ca="1">IFERROR(AG36/AG$20,0)</f>
        <v>0</v>
      </c>
      <c r="AM36" s="374">
        <f ca="1">+IFERROR(ROUND(($AB36-AE36)*100,2)&amp;" pts.",0)</f>
        <v>0</v>
      </c>
      <c r="AN36" s="375">
        <f ca="1">+IFERROR(ROUND(($AB36-AH36)*100,2)&amp;" pts.",0)</f>
        <v>0</v>
      </c>
    </row>
    <row r="37" spans="1:40" x14ac:dyDescent="0.2">
      <c r="A37" s="1" t="s">
        <v>108</v>
      </c>
      <c r="C37" s="24" t="s">
        <v>101</v>
      </c>
      <c r="D37" s="1" t="s">
        <v>106</v>
      </c>
      <c r="F37" s="1" t="s">
        <v>98</v>
      </c>
      <c r="H37" s="10" t="s">
        <v>75</v>
      </c>
      <c r="I37" s="26" t="e">
        <f ca="1">_xll.EVPRO($B$1,$H37,"STYLE")</f>
        <v>#NAME?</v>
      </c>
      <c r="J37" s="26" t="e">
        <f ca="1">_xll.EVPRO($B$1,$H37,"CALC")</f>
        <v>#NAME?</v>
      </c>
      <c r="K37" s="65" t="e">
        <f ca="1">IF(AND(I37&gt;="T3"),"&gt;","")</f>
        <v>#NAME?</v>
      </c>
      <c r="L37" s="23" t="e">
        <f ca="1">_xll.EVPRO($B$1,H37,"JDEID")</f>
        <v>#NAME?</v>
      </c>
      <c r="M37" s="24" t="e">
        <f ca="1">IF(AND(I37="N",J37="N"),_xll.EVPRO($B$1,H37,"PSFTID"),"")</f>
        <v>#NAME?</v>
      </c>
      <c r="N37" s="23" t="e">
        <f ca="1">IF(_xll.EVDES(H37,$B$1)="#NODATA","",_xll.EVDES(H37,$B$1))</f>
        <v>#NAME?</v>
      </c>
      <c r="O37" s="35"/>
      <c r="P37" s="35"/>
      <c r="Q37" s="35"/>
      <c r="R37" s="35"/>
      <c r="S37" s="35"/>
      <c r="T37" s="35"/>
      <c r="U37" s="35"/>
      <c r="V37" s="35"/>
      <c r="W37" s="35"/>
      <c r="X37" s="35"/>
      <c r="Y37" s="35"/>
      <c r="Z37" s="35"/>
      <c r="AA37" s="35" t="e">
        <f t="shared" ca="1" si="0"/>
        <v>#NAME?</v>
      </c>
      <c r="AB37" s="36" t="e">
        <f t="shared" ca="1" si="1"/>
        <v>#NAME?</v>
      </c>
      <c r="AD37" s="19"/>
      <c r="AE37" s="15" t="str">
        <f t="shared" si="2"/>
        <v/>
      </c>
      <c r="AF37" s="47" t="e">
        <f t="shared" ca="1" si="3"/>
        <v>#NAME?</v>
      </c>
      <c r="AG37" s="19"/>
      <c r="AH37" s="15" t="str">
        <f>IF(AG37=0,"",IFERROR(AG37/AG$19,""))</f>
        <v/>
      </c>
      <c r="AI37" s="47" t="e">
        <f ca="1">IF(AND($AA37="",AG37=""),"",$AA37-AG37)</f>
        <v>#NAME?</v>
      </c>
      <c r="AJ37" s="371">
        <f ca="1">IFERROR(AA37/AA$20,0)</f>
        <v>0</v>
      </c>
      <c r="AK37" s="372">
        <f ca="1">IFERROR(AD37/AD$20,0)</f>
        <v>0</v>
      </c>
      <c r="AL37" s="373">
        <f ca="1">IFERROR(AG37/AG$20,0)</f>
        <v>0</v>
      </c>
      <c r="AM37" s="374">
        <f ca="1">+IFERROR(ROUND(($AB37-AE37)*100,2)&amp;" pts.",0)</f>
        <v>0</v>
      </c>
      <c r="AN37" s="375">
        <f ca="1">+IFERROR(ROUND(($AB37-AH37)*100,2)&amp;" pts.",0)</f>
        <v>0</v>
      </c>
    </row>
    <row r="38" spans="1:40" x14ac:dyDescent="0.2">
      <c r="A38" s="1" t="s">
        <v>100</v>
      </c>
      <c r="C38" s="8" t="s">
        <v>101</v>
      </c>
      <c r="D38" s="1" t="s">
        <v>106</v>
      </c>
      <c r="F38" s="1" t="s">
        <v>98</v>
      </c>
      <c r="H38" s="10" t="s">
        <v>910</v>
      </c>
      <c r="I38" s="25" t="e">
        <f ca="1">_xll.EVPRO($B$1,$H38,"STYLE")</f>
        <v>#NAME?</v>
      </c>
      <c r="J38" s="25" t="e">
        <f ca="1">_xll.EVPRO($B$1,$H38,"CALC")</f>
        <v>#NAME?</v>
      </c>
      <c r="K38" s="64" t="e">
        <f ca="1">IF(AND(I38&gt;="T3"),"&gt;","")</f>
        <v>#NAME?</v>
      </c>
      <c r="L38" s="24" t="e">
        <f ca="1">_xll.EVPRO($B$1,H38,"JDEID")</f>
        <v>#NAME?</v>
      </c>
      <c r="M38" s="24" t="e">
        <f ca="1">IF(AND(I38="N",J38="N"),_xll.EVPRO($B$1,H38,"PSFTID"),"")</f>
        <v>#NAME?</v>
      </c>
      <c r="N38" s="24" t="e">
        <f ca="1">IF(_xll.EVDES(H38,$B$1)="#NODATA","",_xll.EVDES(H38,$B$1))</f>
        <v>#NAME?</v>
      </c>
      <c r="O38" s="44">
        <v>18663.68</v>
      </c>
      <c r="P38" s="44">
        <v>18742.810000000001</v>
      </c>
      <c r="Q38" s="44">
        <v>18567.53</v>
      </c>
      <c r="R38" s="44">
        <v>18995.93</v>
      </c>
      <c r="S38" s="44">
        <v>15746.02</v>
      </c>
      <c r="T38" s="44">
        <v>13842.12</v>
      </c>
      <c r="U38" s="44">
        <v>15858.86</v>
      </c>
      <c r="V38" s="44">
        <v>15214.24</v>
      </c>
      <c r="W38" s="44">
        <v>16264.26</v>
      </c>
      <c r="X38" s="44">
        <v>18181.23</v>
      </c>
      <c r="Y38" s="44">
        <v>16335.8</v>
      </c>
      <c r="Z38" s="44">
        <v>15054.19</v>
      </c>
      <c r="AA38" s="44" t="e">
        <f t="shared" ca="1" si="0"/>
        <v>#NAME?</v>
      </c>
      <c r="AB38" s="45" t="e">
        <f t="shared" ca="1" si="1"/>
        <v>#NAME?</v>
      </c>
      <c r="AD38" s="28">
        <v>217065</v>
      </c>
      <c r="AE38" s="29" t="str">
        <f t="shared" ca="1" si="2"/>
        <v/>
      </c>
      <c r="AF38" s="48" t="e">
        <f t="shared" ca="1" si="3"/>
        <v>#NAME?</v>
      </c>
      <c r="AG38" s="28">
        <v>153392.39000000001</v>
      </c>
      <c r="AH38" s="29" t="str">
        <f ca="1">IF(AG38=0,"",IFERROR(AG38/AG$19,""))</f>
        <v/>
      </c>
      <c r="AI38" s="48" t="e">
        <f ca="1">IF(AND($AA38="",AG38=""),"",$AA38-AG38)</f>
        <v>#NAME?</v>
      </c>
      <c r="AJ38" s="381">
        <f ca="1">IFERROR(AA38/AA$20,0)</f>
        <v>0</v>
      </c>
      <c r="AK38" s="382">
        <f ca="1">IFERROR(AD38/AD$20,0)</f>
        <v>0</v>
      </c>
      <c r="AL38" s="383">
        <f ca="1">IFERROR(AG38/AG$20,0)</f>
        <v>0</v>
      </c>
      <c r="AM38" s="384">
        <f ca="1">+IFERROR(ROUND(($AB38-AE38)*100,2)&amp;" pts.",0)</f>
        <v>0</v>
      </c>
      <c r="AN38" s="385">
        <f ca="1">+IFERROR(ROUND(($AB38-AH38)*100,2)&amp;" pts.",0)</f>
        <v>0</v>
      </c>
    </row>
    <row r="39" spans="1:40" x14ac:dyDescent="0.2">
      <c r="A39" s="1" t="s">
        <v>109</v>
      </c>
      <c r="C39" s="23" t="s">
        <v>101</v>
      </c>
      <c r="D39" s="1" t="s">
        <v>106</v>
      </c>
      <c r="F39" s="1" t="s">
        <v>98</v>
      </c>
      <c r="H39" s="10" t="s">
        <v>849</v>
      </c>
      <c r="I39" s="447" t="e">
        <f ca="1">_xll.EVPRO($B$1,$H39,"STYLE")</f>
        <v>#NAME?</v>
      </c>
      <c r="J39" s="447" t="e">
        <f ca="1">_xll.EVPRO($B$1,$H39,"CALC")</f>
        <v>#NAME?</v>
      </c>
      <c r="K39" s="448" t="e">
        <f t="shared" ref="K39:K47" ca="1" si="4">IF(AND(I39&gt;="T3"),"&gt;","")</f>
        <v>#NAME?</v>
      </c>
      <c r="L39" s="151" t="e">
        <f ca="1">_xll.EVPRO($B$1,H39,"JDEID")</f>
        <v>#NAME?</v>
      </c>
      <c r="M39" s="151" t="e">
        <f ca="1">IF(AND(I39="N",J39="N"),_xll.EVPRO($B$1,H39,"PSFTID"),"")</f>
        <v>#NAME?</v>
      </c>
      <c r="N39" s="151" t="e">
        <f ca="1">IF(_xll.EVDES(H39,$B$1)="#NODATA","",_xll.EVDES(H39,$B$1))</f>
        <v>#NAME?</v>
      </c>
      <c r="O39" s="120">
        <v>26606.16</v>
      </c>
      <c r="P39" s="120">
        <v>26685.29</v>
      </c>
      <c r="Q39" s="120">
        <v>27317.53</v>
      </c>
      <c r="R39" s="120">
        <v>26363.66</v>
      </c>
      <c r="S39" s="120">
        <v>18350.189999999999</v>
      </c>
      <c r="T39" s="120">
        <v>20092.12</v>
      </c>
      <c r="U39" s="120">
        <v>21820.52</v>
      </c>
      <c r="V39" s="120">
        <v>21464.240000000002</v>
      </c>
      <c r="W39" s="120">
        <v>22225.919999999998</v>
      </c>
      <c r="X39" s="120">
        <v>23854.43</v>
      </c>
      <c r="Y39" s="120">
        <v>21432.2</v>
      </c>
      <c r="Z39" s="120">
        <v>21015.97</v>
      </c>
      <c r="AA39" s="120" t="e">
        <f t="shared" ca="1" si="0"/>
        <v>#NAME?</v>
      </c>
      <c r="AB39" s="121" t="e">
        <f t="shared" ca="1" si="1"/>
        <v>#NAME?</v>
      </c>
      <c r="AC39" s="123"/>
      <c r="AD39" s="120">
        <v>314695.582370252</v>
      </c>
      <c r="AE39" s="121" t="str">
        <f t="shared" ca="1" si="2"/>
        <v/>
      </c>
      <c r="AF39" s="122" t="e">
        <f t="shared" ca="1" si="3"/>
        <v>#NAME?</v>
      </c>
      <c r="AG39" s="120">
        <v>241663.31</v>
      </c>
      <c r="AH39" s="121" t="str">
        <f t="shared" ref="AH39:AH47" ca="1" si="5">IF(AG39=0,"",IFERROR(AG39/AG$19,""))</f>
        <v/>
      </c>
      <c r="AI39" s="122" t="e">
        <f t="shared" ref="AI39:AI47" ca="1" si="6">IF(AND($AA39="",AG39=""),"",$AA39-AG39)</f>
        <v>#NAME?</v>
      </c>
      <c r="AJ39" s="332">
        <f t="shared" ref="AJ39:AJ47" ca="1" si="7">IFERROR(AA39/AA$20,0)</f>
        <v>0</v>
      </c>
      <c r="AK39" s="333">
        <f t="shared" ref="AK39:AK47" ca="1" si="8">IFERROR(AD39/AD$20,0)</f>
        <v>0</v>
      </c>
      <c r="AL39" s="335">
        <f t="shared" ref="AL39:AL47" ca="1" si="9">IFERROR(AG39/AG$20,0)</f>
        <v>0</v>
      </c>
      <c r="AM39" s="377">
        <f t="shared" ref="AM39:AM47" ca="1" si="10">+IFERROR(ROUND(($AB39-AE39)*100,2)&amp;" pts.",0)</f>
        <v>0</v>
      </c>
      <c r="AN39" s="378">
        <f t="shared" ref="AN39:AN47" ca="1" si="11">+IFERROR(ROUND(($AB39-AH39)*100,2)&amp;" pts.",0)</f>
        <v>0</v>
      </c>
    </row>
    <row r="40" spans="1:40" x14ac:dyDescent="0.2">
      <c r="A40" s="1" t="s">
        <v>109</v>
      </c>
      <c r="C40" s="135" t="s">
        <v>101</v>
      </c>
      <c r="D40" s="1" t="s">
        <v>107</v>
      </c>
      <c r="F40" s="1" t="s">
        <v>99</v>
      </c>
      <c r="H40" s="10" t="s">
        <v>863</v>
      </c>
      <c r="I40" s="25" t="e">
        <f ca="1">_xll.EVPRO($B$1,$H40,"STYLE")</f>
        <v>#NAME?</v>
      </c>
      <c r="J40" s="25" t="e">
        <f ca="1">_xll.EVPRO($B$1,$H40,"CALC")</f>
        <v>#NAME?</v>
      </c>
      <c r="K40" s="64" t="e">
        <f t="shared" ca="1" si="4"/>
        <v>#NAME?</v>
      </c>
      <c r="L40" s="24" t="e">
        <f ca="1">_xll.EVPRO($B$1,H40,"JDEID")</f>
        <v>#NAME?</v>
      </c>
      <c r="M40" s="24" t="e">
        <f ca="1">IF(AND(I40="N",J40="N"),_xll.EVPRO($B$1,H40,"PSFTID"),"")</f>
        <v>#NAME?</v>
      </c>
      <c r="N40" s="24" t="e">
        <f ca="1">IF(_xll.EVDES(H40,$B$1)="#NODATA","",_xll.EVDES(H40,$B$1))</f>
        <v>#NAME?</v>
      </c>
      <c r="O40" s="44"/>
      <c r="P40" s="44"/>
      <c r="Q40" s="44"/>
      <c r="R40" s="44"/>
      <c r="S40" s="44"/>
      <c r="T40" s="44"/>
      <c r="U40" s="44"/>
      <c r="V40" s="44"/>
      <c r="W40" s="44"/>
      <c r="X40" s="44"/>
      <c r="Y40" s="44"/>
      <c r="Z40" s="44">
        <v>2112</v>
      </c>
      <c r="AA40" s="44" t="e">
        <f t="shared" ca="1" si="0"/>
        <v>#NAME?</v>
      </c>
      <c r="AB40" s="45" t="e">
        <f t="shared" ca="1" si="1"/>
        <v>#NAME?</v>
      </c>
      <c r="AD40" s="44"/>
      <c r="AE40" s="45" t="str">
        <f t="shared" si="2"/>
        <v/>
      </c>
      <c r="AF40" s="134" t="e">
        <f t="shared" ca="1" si="3"/>
        <v>#NAME?</v>
      </c>
      <c r="AG40" s="44">
        <v>55174.25</v>
      </c>
      <c r="AH40" s="45" t="str">
        <f t="shared" ca="1" si="5"/>
        <v/>
      </c>
      <c r="AI40" s="134" t="e">
        <f t="shared" ca="1" si="6"/>
        <v>#NAME?</v>
      </c>
      <c r="AJ40" s="392">
        <f t="shared" ca="1" si="7"/>
        <v>0</v>
      </c>
      <c r="AK40" s="393">
        <f t="shared" ca="1" si="8"/>
        <v>0</v>
      </c>
      <c r="AL40" s="394">
        <f t="shared" ca="1" si="9"/>
        <v>0</v>
      </c>
      <c r="AM40" s="395">
        <f t="shared" ca="1" si="10"/>
        <v>0</v>
      </c>
      <c r="AN40" s="396">
        <f t="shared" ca="1" si="11"/>
        <v>0</v>
      </c>
    </row>
    <row r="41" spans="1:40" x14ac:dyDescent="0.2">
      <c r="A41" s="1" t="s">
        <v>110</v>
      </c>
      <c r="C41" s="23" t="s">
        <v>101</v>
      </c>
      <c r="D41" s="1" t="s">
        <v>106</v>
      </c>
      <c r="F41" s="1" t="s">
        <v>98</v>
      </c>
      <c r="H41" s="10" t="s">
        <v>850</v>
      </c>
      <c r="I41" s="25" t="e">
        <f ca="1">_xll.EVPRO($B$1,$H41,"STYLE")</f>
        <v>#NAME?</v>
      </c>
      <c r="J41" s="25" t="e">
        <f ca="1">_xll.EVPRO($B$1,$H41,"CALC")</f>
        <v>#NAME?</v>
      </c>
      <c r="K41" s="64" t="e">
        <f t="shared" ca="1" si="4"/>
        <v>#NAME?</v>
      </c>
      <c r="L41" s="24" t="e">
        <f ca="1">_xll.EVPRO($B$1,H41,"JDEID")</f>
        <v>#NAME?</v>
      </c>
      <c r="M41" s="24" t="e">
        <f ca="1">IF(AND(I41="N",J41="N"),_xll.EVPRO($B$1,H41,"PSFTID"),"")</f>
        <v>#NAME?</v>
      </c>
      <c r="N41" s="24" t="e">
        <f ca="1">IF(_xll.EVDES(H41,$B$1)="#NODATA","",_xll.EVDES(H41,$B$1))</f>
        <v>#NAME?</v>
      </c>
      <c r="O41" s="44"/>
      <c r="P41" s="44">
        <v>-600</v>
      </c>
      <c r="Q41" s="44">
        <v>962.5</v>
      </c>
      <c r="R41" s="44">
        <v>-2362.5</v>
      </c>
      <c r="S41" s="44"/>
      <c r="T41" s="44">
        <v>375.02</v>
      </c>
      <c r="U41" s="44">
        <v>-0.02</v>
      </c>
      <c r="V41" s="44">
        <v>187.5</v>
      </c>
      <c r="W41" s="44">
        <v>1012.5</v>
      </c>
      <c r="X41" s="44">
        <v>925</v>
      </c>
      <c r="Y41" s="44">
        <v>743</v>
      </c>
      <c r="Z41" s="44">
        <v>257</v>
      </c>
      <c r="AA41" s="44" t="e">
        <f t="shared" ca="1" si="0"/>
        <v>#NAME?</v>
      </c>
      <c r="AB41" s="45" t="e">
        <f t="shared" ca="1" si="1"/>
        <v>#NAME?</v>
      </c>
      <c r="AD41" s="28">
        <v>8852.3785880103005</v>
      </c>
      <c r="AE41" s="29" t="str">
        <f t="shared" ca="1" si="2"/>
        <v/>
      </c>
      <c r="AF41" s="48" t="e">
        <f t="shared" ca="1" si="3"/>
        <v>#NAME?</v>
      </c>
      <c r="AG41" s="28">
        <v>4462.5</v>
      </c>
      <c r="AH41" s="29" t="str">
        <f t="shared" ca="1" si="5"/>
        <v/>
      </c>
      <c r="AI41" s="48" t="e">
        <f t="shared" ca="1" si="6"/>
        <v>#NAME?</v>
      </c>
      <c r="AJ41" s="381">
        <f t="shared" ca="1" si="7"/>
        <v>0</v>
      </c>
      <c r="AK41" s="382">
        <f t="shared" ca="1" si="8"/>
        <v>0</v>
      </c>
      <c r="AL41" s="383">
        <f t="shared" ca="1" si="9"/>
        <v>0</v>
      </c>
      <c r="AM41" s="384">
        <f t="shared" ca="1" si="10"/>
        <v>0</v>
      </c>
      <c r="AN41" s="385">
        <f t="shared" ca="1" si="11"/>
        <v>0</v>
      </c>
    </row>
    <row r="42" spans="1:40" x14ac:dyDescent="0.2">
      <c r="A42" s="1" t="s">
        <v>110</v>
      </c>
      <c r="C42" s="27" t="s">
        <v>101</v>
      </c>
      <c r="D42" s="1" t="s">
        <v>107</v>
      </c>
      <c r="F42" s="1" t="s">
        <v>99</v>
      </c>
      <c r="H42" s="10" t="s">
        <v>851</v>
      </c>
      <c r="I42" s="447" t="e">
        <f ca="1">_xll.EVPRO($B$1,$H42,"STYLE")</f>
        <v>#NAME?</v>
      </c>
      <c r="J42" s="447" t="e">
        <f ca="1">_xll.EVPRO($B$1,$H42,"CALC")</f>
        <v>#NAME?</v>
      </c>
      <c r="K42" s="448" t="e">
        <f t="shared" ca="1" si="4"/>
        <v>#NAME?</v>
      </c>
      <c r="L42" s="151" t="e">
        <f ca="1">_xll.EVPRO($B$1,H42,"JDEID")</f>
        <v>#NAME?</v>
      </c>
      <c r="M42" s="151" t="e">
        <f ca="1">IF(AND(I42="N",J42="N"),_xll.EVPRO($B$1,H42,"PSFTID"),"")</f>
        <v>#NAME?</v>
      </c>
      <c r="N42" s="151" t="e">
        <f ca="1">IF(_xll.EVDES(H42,$B$1)="#NODATA","",_xll.EVDES(H42,$B$1))</f>
        <v>#NAME?</v>
      </c>
      <c r="O42" s="120">
        <v>26606.16</v>
      </c>
      <c r="P42" s="120">
        <v>26085.29</v>
      </c>
      <c r="Q42" s="120">
        <v>28280.03</v>
      </c>
      <c r="R42" s="120">
        <v>24001.16</v>
      </c>
      <c r="S42" s="120">
        <v>18350.189999999999</v>
      </c>
      <c r="T42" s="120">
        <v>20467.14</v>
      </c>
      <c r="U42" s="120">
        <v>21820.5</v>
      </c>
      <c r="V42" s="120">
        <v>21651.74</v>
      </c>
      <c r="W42" s="120">
        <v>23238.42</v>
      </c>
      <c r="X42" s="120">
        <v>24779.43</v>
      </c>
      <c r="Y42" s="120">
        <v>22175.200000000001</v>
      </c>
      <c r="Z42" s="120">
        <v>23384.97</v>
      </c>
      <c r="AA42" s="120" t="e">
        <f t="shared" ca="1" si="0"/>
        <v>#NAME?</v>
      </c>
      <c r="AB42" s="121" t="e">
        <f t="shared" ca="1" si="1"/>
        <v>#NAME?</v>
      </c>
      <c r="AC42" s="123"/>
      <c r="AD42" s="120">
        <v>323547.96095826302</v>
      </c>
      <c r="AE42" s="121" t="str">
        <f t="shared" ca="1" si="2"/>
        <v/>
      </c>
      <c r="AF42" s="122" t="e">
        <f t="shared" ca="1" si="3"/>
        <v>#NAME?</v>
      </c>
      <c r="AG42" s="120">
        <v>301300.06</v>
      </c>
      <c r="AH42" s="121" t="str">
        <f t="shared" ca="1" si="5"/>
        <v/>
      </c>
      <c r="AI42" s="122" t="e">
        <f t="shared" ca="1" si="6"/>
        <v>#NAME?</v>
      </c>
      <c r="AJ42" s="332">
        <f t="shared" ca="1" si="7"/>
        <v>0</v>
      </c>
      <c r="AK42" s="333">
        <f t="shared" ca="1" si="8"/>
        <v>0</v>
      </c>
      <c r="AL42" s="335">
        <f t="shared" ca="1" si="9"/>
        <v>0</v>
      </c>
      <c r="AM42" s="377">
        <f t="shared" ca="1" si="10"/>
        <v>0</v>
      </c>
      <c r="AN42" s="378">
        <f t="shared" ca="1" si="11"/>
        <v>0</v>
      </c>
    </row>
    <row r="43" spans="1:40" x14ac:dyDescent="0.2">
      <c r="C43" s="23"/>
      <c r="H43" s="10" t="s">
        <v>852</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44">
        <v>2374.1</v>
      </c>
      <c r="P43" s="44">
        <v>2185.8200000000002</v>
      </c>
      <c r="Q43" s="44">
        <v>2137.23</v>
      </c>
      <c r="R43" s="44">
        <v>2404.15</v>
      </c>
      <c r="S43" s="44">
        <v>1356.01</v>
      </c>
      <c r="T43" s="44">
        <v>1583.09</v>
      </c>
      <c r="U43" s="44">
        <v>1710.65</v>
      </c>
      <c r="V43" s="44">
        <v>1834.46</v>
      </c>
      <c r="W43" s="44">
        <v>1952.53</v>
      </c>
      <c r="X43" s="44">
        <v>1957.41</v>
      </c>
      <c r="Y43" s="44">
        <v>1951.24</v>
      </c>
      <c r="Z43" s="44">
        <v>1951.83</v>
      </c>
      <c r="AA43" s="44" t="e">
        <f t="shared" ca="1" si="0"/>
        <v>#NAME?</v>
      </c>
      <c r="AB43" s="45" t="e">
        <f t="shared" ca="1" si="1"/>
        <v>#NAME?</v>
      </c>
      <c r="AD43" s="44">
        <v>26379.567565819001</v>
      </c>
      <c r="AE43" s="45" t="str">
        <f t="shared" ca="1" si="2"/>
        <v/>
      </c>
      <c r="AF43" s="134" t="e">
        <f t="shared" ca="1" si="3"/>
        <v>#NAME?</v>
      </c>
      <c r="AG43" s="44">
        <v>20351.96</v>
      </c>
      <c r="AH43" s="45" t="str">
        <f t="shared" ca="1" si="5"/>
        <v/>
      </c>
      <c r="AI43" s="134" t="e">
        <f t="shared" ca="1" si="6"/>
        <v>#NAME?</v>
      </c>
      <c r="AJ43" s="392">
        <f t="shared" ca="1" si="7"/>
        <v>0</v>
      </c>
      <c r="AK43" s="393">
        <f t="shared" ca="1" si="8"/>
        <v>0</v>
      </c>
      <c r="AL43" s="394">
        <f t="shared" ca="1" si="9"/>
        <v>0</v>
      </c>
      <c r="AM43" s="395">
        <f t="shared" ca="1" si="10"/>
        <v>0</v>
      </c>
      <c r="AN43" s="396">
        <f t="shared" ca="1" si="11"/>
        <v>0</v>
      </c>
    </row>
    <row r="44" spans="1:40" x14ac:dyDescent="0.2">
      <c r="H44" s="10" t="s">
        <v>853</v>
      </c>
      <c r="I44" s="25" t="e">
        <f ca="1">_xll.EVPRO($B$1,$H44,"STYLE")</f>
        <v>#NAME?</v>
      </c>
      <c r="J44" s="25" t="e">
        <f ca="1">_xll.EVPRO($B$1,$H44,"CALC")</f>
        <v>#NAME?</v>
      </c>
      <c r="K44" s="64" t="e">
        <f t="shared" ca="1" si="4"/>
        <v>#NAME?</v>
      </c>
      <c r="L44" s="24" t="e">
        <f ca="1">_xll.EVPRO($B$1,H44,"JDEID")</f>
        <v>#NAME?</v>
      </c>
      <c r="M44" s="24" t="e">
        <f ca="1">IF(AND(I44="N",J44="N"),_xll.EVPRO($B$1,H44,"PSFTID"),"")</f>
        <v>#NAME?</v>
      </c>
      <c r="N44" s="24" t="e">
        <f ca="1">IF(_xll.EVDES(H44,$B$1)="#NODATA","",_xll.EVDES(H44,$B$1))</f>
        <v>#NAME?</v>
      </c>
      <c r="O44" s="44">
        <v>3690.14</v>
      </c>
      <c r="P44" s="44">
        <v>1544.21</v>
      </c>
      <c r="Q44" s="44">
        <v>1588.2</v>
      </c>
      <c r="R44" s="44">
        <v>1009.18</v>
      </c>
      <c r="S44" s="44">
        <v>3816.83</v>
      </c>
      <c r="T44" s="44">
        <v>1672.57</v>
      </c>
      <c r="U44" s="44">
        <v>2858.83</v>
      </c>
      <c r="V44" s="44">
        <v>2919.32</v>
      </c>
      <c r="W44" s="44">
        <v>3190.11</v>
      </c>
      <c r="X44" s="44">
        <v>995.36</v>
      </c>
      <c r="Y44" s="44">
        <v>1118.54</v>
      </c>
      <c r="Z44" s="44">
        <v>-2462.83</v>
      </c>
      <c r="AA44" s="44" t="e">
        <f t="shared" ca="1" si="0"/>
        <v>#NAME?</v>
      </c>
      <c r="AB44" s="45" t="e">
        <f t="shared" ca="1" si="1"/>
        <v>#NAME?</v>
      </c>
      <c r="AD44" s="28">
        <v>35022.164281929203</v>
      </c>
      <c r="AE44" s="29" t="str">
        <f t="shared" ca="1" si="2"/>
        <v/>
      </c>
      <c r="AF44" s="48" t="e">
        <f t="shared" ca="1" si="3"/>
        <v>#NAME?</v>
      </c>
      <c r="AG44" s="28">
        <v>28730.28</v>
      </c>
      <c r="AH44" s="29" t="str">
        <f t="shared" ca="1" si="5"/>
        <v/>
      </c>
      <c r="AI44" s="48" t="e">
        <f t="shared" ca="1" si="6"/>
        <v>#NAME?</v>
      </c>
      <c r="AJ44" s="381">
        <f t="shared" ca="1" si="7"/>
        <v>0</v>
      </c>
      <c r="AK44" s="382">
        <f t="shared" ca="1" si="8"/>
        <v>0</v>
      </c>
      <c r="AL44" s="383">
        <f t="shared" ca="1" si="9"/>
        <v>0</v>
      </c>
      <c r="AM44" s="384">
        <f t="shared" ca="1" si="10"/>
        <v>0</v>
      </c>
      <c r="AN44" s="385">
        <f t="shared" ca="1" si="11"/>
        <v>0</v>
      </c>
    </row>
    <row r="45" spans="1:40" x14ac:dyDescent="0.2">
      <c r="A45" s="4" t="e">
        <f ca="1">_xll.EVDRE($B$1,A48:B55)</f>
        <v>#NAME?</v>
      </c>
      <c r="B45" s="1" t="s">
        <v>736</v>
      </c>
      <c r="H45" s="10" t="s">
        <v>854</v>
      </c>
      <c r="I45" s="25" t="e">
        <f ca="1">_xll.EVPRO($B$1,$H45,"STYLE")</f>
        <v>#NAME?</v>
      </c>
      <c r="J45" s="25" t="e">
        <f ca="1">_xll.EVPRO($B$1,$H45,"CALC")</f>
        <v>#NAME?</v>
      </c>
      <c r="K45" s="64" t="e">
        <f t="shared" ca="1" si="4"/>
        <v>#NAME?</v>
      </c>
      <c r="L45" s="24" t="e">
        <f ca="1">_xll.EVPRO($B$1,H45,"JDEID")</f>
        <v>#NAME?</v>
      </c>
      <c r="M45" s="24" t="e">
        <f ca="1">IF(AND(I45="N",J45="N"),_xll.EVPRO($B$1,H45,"PSFTID"),"")</f>
        <v>#NAME?</v>
      </c>
      <c r="N45" s="24" t="e">
        <f ca="1">IF(_xll.EVDES(H45,$B$1)="#NODATA","",_xll.EVDES(H45,$B$1))</f>
        <v>#NAME?</v>
      </c>
      <c r="O45" s="44">
        <v>5352.98</v>
      </c>
      <c r="P45" s="44">
        <v>6542.97</v>
      </c>
      <c r="Q45" s="44">
        <v>7116.46</v>
      </c>
      <c r="R45" s="44">
        <v>7273.01</v>
      </c>
      <c r="S45" s="44">
        <v>7245.5</v>
      </c>
      <c r="T45" s="44">
        <v>1674.16</v>
      </c>
      <c r="U45" s="44">
        <v>4566.84</v>
      </c>
      <c r="V45" s="44">
        <v>4518.3</v>
      </c>
      <c r="W45" s="44">
        <v>4361.84</v>
      </c>
      <c r="X45" s="44">
        <v>4061.29</v>
      </c>
      <c r="Y45" s="44">
        <v>4109.5200000000004</v>
      </c>
      <c r="Z45" s="44">
        <v>4093.57</v>
      </c>
      <c r="AA45" s="44" t="e">
        <f t="shared" ca="1" si="0"/>
        <v>#NAME?</v>
      </c>
      <c r="AB45" s="45" t="e">
        <f t="shared" ca="1" si="1"/>
        <v>#NAME?</v>
      </c>
      <c r="AD45" s="28">
        <v>59080.8142030901</v>
      </c>
      <c r="AE45" s="29" t="str">
        <f t="shared" ca="1" si="2"/>
        <v/>
      </c>
      <c r="AF45" s="48" t="e">
        <f t="shared" ca="1" si="3"/>
        <v>#NAME?</v>
      </c>
      <c r="AG45" s="28">
        <v>54043.35</v>
      </c>
      <c r="AH45" s="29" t="str">
        <f t="shared" ca="1" si="5"/>
        <v/>
      </c>
      <c r="AI45" s="48" t="e">
        <f t="shared" ca="1" si="6"/>
        <v>#NAME?</v>
      </c>
      <c r="AJ45" s="381">
        <f t="shared" ca="1" si="7"/>
        <v>0</v>
      </c>
      <c r="AK45" s="382">
        <f t="shared" ca="1" si="8"/>
        <v>0</v>
      </c>
      <c r="AL45" s="383">
        <f t="shared" ca="1" si="9"/>
        <v>0</v>
      </c>
      <c r="AM45" s="384">
        <f t="shared" ca="1" si="10"/>
        <v>0</v>
      </c>
      <c r="AN45" s="385">
        <f t="shared" ca="1" si="11"/>
        <v>0</v>
      </c>
    </row>
    <row r="46" spans="1:40" x14ac:dyDescent="0.2">
      <c r="H46" s="10" t="s">
        <v>855</v>
      </c>
      <c r="I46" s="447" t="e">
        <f ca="1">_xll.EVPRO($B$1,$H46,"STYLE")</f>
        <v>#NAME?</v>
      </c>
      <c r="J46" s="447" t="e">
        <f ca="1">_xll.EVPRO($B$1,$H46,"CALC")</f>
        <v>#NAME?</v>
      </c>
      <c r="K46" s="448" t="e">
        <f t="shared" ca="1" si="4"/>
        <v>#NAME?</v>
      </c>
      <c r="L46" s="151" t="e">
        <f ca="1">_xll.EVPRO($B$1,H46,"JDEID")</f>
        <v>#NAME?</v>
      </c>
      <c r="M46" s="151" t="e">
        <f ca="1">IF(AND(I46="N",J46="N"),_xll.EVPRO($B$1,H46,"PSFTID"),"")</f>
        <v>#NAME?</v>
      </c>
      <c r="N46" s="151" t="e">
        <f ca="1">IF(_xll.EVDES(H46,$B$1)="#NODATA","",_xll.EVDES(H46,$B$1))</f>
        <v>#NAME?</v>
      </c>
      <c r="O46" s="33">
        <v>11417.22</v>
      </c>
      <c r="P46" s="33">
        <v>10273</v>
      </c>
      <c r="Q46" s="33">
        <v>10841.89</v>
      </c>
      <c r="R46" s="33">
        <v>10686.34</v>
      </c>
      <c r="S46" s="33">
        <v>12418.34</v>
      </c>
      <c r="T46" s="33">
        <v>4929.82</v>
      </c>
      <c r="U46" s="33">
        <v>9136.32</v>
      </c>
      <c r="V46" s="33">
        <v>9272.08</v>
      </c>
      <c r="W46" s="33">
        <v>9504.48</v>
      </c>
      <c r="X46" s="33">
        <v>7014.06</v>
      </c>
      <c r="Y46" s="33">
        <v>7179.3</v>
      </c>
      <c r="Z46" s="33">
        <v>3582.57</v>
      </c>
      <c r="AA46" s="33" t="e">
        <f t="shared" ca="1" si="0"/>
        <v>#NAME?</v>
      </c>
      <c r="AB46" s="34" t="e">
        <f t="shared" ca="1" si="1"/>
        <v>#NAME?</v>
      </c>
      <c r="AC46" s="32"/>
      <c r="AD46" s="33">
        <v>120482.54605083801</v>
      </c>
      <c r="AE46" s="34" t="str">
        <f t="shared" ca="1" si="2"/>
        <v/>
      </c>
      <c r="AF46" s="54" t="e">
        <f t="shared" ca="1" si="3"/>
        <v>#NAME?</v>
      </c>
      <c r="AG46" s="33">
        <v>103125.59</v>
      </c>
      <c r="AH46" s="34" t="str">
        <f t="shared" ca="1" si="5"/>
        <v/>
      </c>
      <c r="AI46" s="54" t="e">
        <f t="shared" ca="1" si="6"/>
        <v>#NAME?</v>
      </c>
      <c r="AJ46" s="344">
        <f t="shared" ca="1" si="7"/>
        <v>0</v>
      </c>
      <c r="AK46" s="345">
        <f t="shared" ca="1" si="8"/>
        <v>0</v>
      </c>
      <c r="AL46" s="347">
        <f t="shared" ca="1" si="9"/>
        <v>0</v>
      </c>
      <c r="AM46" s="379">
        <f t="shared" ca="1" si="10"/>
        <v>0</v>
      </c>
      <c r="AN46" s="380">
        <f t="shared" ca="1" si="11"/>
        <v>0</v>
      </c>
    </row>
    <row r="47" spans="1:40" x14ac:dyDescent="0.2">
      <c r="A47" s="3" t="s">
        <v>0</v>
      </c>
      <c r="B47" s="5" t="s">
        <v>1</v>
      </c>
      <c r="H47" s="10" t="s">
        <v>76</v>
      </c>
      <c r="I47" s="447" t="e">
        <f ca="1">_xll.EVPRO($B$1,$H47,"STYLE")</f>
        <v>#NAME?</v>
      </c>
      <c r="J47" s="447" t="e">
        <f ca="1">_xll.EVPRO($B$1,$H47,"CALC")</f>
        <v>#NAME?</v>
      </c>
      <c r="K47" s="448" t="e">
        <f t="shared" ca="1" si="4"/>
        <v>#NAME?</v>
      </c>
      <c r="L47" s="151" t="e">
        <f ca="1">_xll.EVPRO($B$1,H47,"JDEID")</f>
        <v>#NAME?</v>
      </c>
      <c r="M47" s="151" t="e">
        <f ca="1">IF(AND(I47="N",J47="N"),_xll.EVPRO($B$1,H47,"PSFTID"),"")</f>
        <v>#NAME?</v>
      </c>
      <c r="N47" s="151" t="e">
        <f ca="1">IF(_xll.EVDES(H47,$B$1)="#NODATA","",_xll.EVDES(H47,$B$1))</f>
        <v>#NAME?</v>
      </c>
      <c r="O47" s="33">
        <v>38023.379999999997</v>
      </c>
      <c r="P47" s="33">
        <v>36358.29</v>
      </c>
      <c r="Q47" s="33">
        <v>39121.919999999998</v>
      </c>
      <c r="R47" s="33">
        <v>34687.5</v>
      </c>
      <c r="S47" s="33">
        <v>30768.53</v>
      </c>
      <c r="T47" s="33">
        <v>25396.959999999999</v>
      </c>
      <c r="U47" s="33">
        <v>30956.82</v>
      </c>
      <c r="V47" s="33">
        <v>30923.82</v>
      </c>
      <c r="W47" s="33">
        <v>32742.9</v>
      </c>
      <c r="X47" s="33">
        <v>31793.49</v>
      </c>
      <c r="Y47" s="33">
        <v>29354.5</v>
      </c>
      <c r="Z47" s="33">
        <v>26967.54</v>
      </c>
      <c r="AA47" s="33" t="e">
        <f t="shared" ca="1" si="0"/>
        <v>#NAME?</v>
      </c>
      <c r="AB47" s="34" t="e">
        <f t="shared" ca="1" si="1"/>
        <v>#NAME?</v>
      </c>
      <c r="AC47" s="32"/>
      <c r="AD47" s="33">
        <v>444030.50700910098</v>
      </c>
      <c r="AE47" s="34" t="str">
        <f t="shared" ca="1" si="2"/>
        <v/>
      </c>
      <c r="AF47" s="54" t="e">
        <f t="shared" ca="1" si="3"/>
        <v>#NAME?</v>
      </c>
      <c r="AG47" s="33">
        <v>404425.65</v>
      </c>
      <c r="AH47" s="34" t="str">
        <f t="shared" ca="1" si="5"/>
        <v/>
      </c>
      <c r="AI47" s="54" t="e">
        <f t="shared" ca="1" si="6"/>
        <v>#NAME?</v>
      </c>
      <c r="AJ47" s="344">
        <f t="shared" ca="1" si="7"/>
        <v>0</v>
      </c>
      <c r="AK47" s="345">
        <f t="shared" ca="1" si="8"/>
        <v>0</v>
      </c>
      <c r="AL47" s="347">
        <f t="shared" ca="1" si="9"/>
        <v>0</v>
      </c>
      <c r="AM47" s="379">
        <f t="shared" ca="1" si="10"/>
        <v>0</v>
      </c>
      <c r="AN47" s="380">
        <f t="shared" ca="1" si="11"/>
        <v>0</v>
      </c>
    </row>
    <row r="48" spans="1:40" x14ac:dyDescent="0.2">
      <c r="A48" s="6" t="s">
        <v>2</v>
      </c>
      <c r="B48" s="7" t="e">
        <f ca="1">_xll.EVRNG($B$2:$B$10)</f>
        <v>#NAME?</v>
      </c>
      <c r="H48" s="23"/>
      <c r="I48" s="23"/>
      <c r="J48" s="23"/>
      <c r="K48" s="23"/>
      <c r="L48" s="23"/>
      <c r="M48" s="23"/>
      <c r="N48" s="23"/>
      <c r="O48" s="38"/>
      <c r="P48" s="42"/>
      <c r="Q48" s="42"/>
      <c r="R48" s="42"/>
      <c r="S48" s="42"/>
      <c r="T48" s="42"/>
      <c r="U48" s="42"/>
      <c r="V48" s="42"/>
      <c r="W48" s="42"/>
      <c r="X48" s="42"/>
      <c r="Y48" s="42"/>
      <c r="Z48" s="42"/>
      <c r="AA48" s="42"/>
      <c r="AB48" s="39"/>
      <c r="AD48" s="38"/>
      <c r="AE48" s="42"/>
      <c r="AF48" s="39"/>
      <c r="AG48" s="38"/>
      <c r="AH48" s="42"/>
      <c r="AI48" s="39"/>
    </row>
    <row r="49" spans="1:40" x14ac:dyDescent="0.2">
      <c r="A49" s="6" t="s">
        <v>3</v>
      </c>
      <c r="B49" s="7" t="e">
        <f ca="1">_xll.EVRNG($O$16:$AN$18)</f>
        <v>#NAME?</v>
      </c>
      <c r="H49" s="1" t="s">
        <v>82</v>
      </c>
      <c r="I49" s="11" t="e">
        <f ca="1">_xll.EVPRO($B$1,$H49,"STYLE")</f>
        <v>#NAME?</v>
      </c>
      <c r="J49" s="11" t="e">
        <f ca="1">_xll.EVPRO($B$1,$H49,"CALC")</f>
        <v>#NAME?</v>
      </c>
      <c r="L49" s="1"/>
      <c r="M49" s="1"/>
      <c r="N49" s="37" t="e">
        <f ca="1">IF(_xll.EVDES(H49,$B$1)="#NODATA","",_xll.EVDES(H49,$B$1))</f>
        <v>#NAME?</v>
      </c>
      <c r="O49" s="40"/>
      <c r="P49" s="43"/>
      <c r="Q49" s="43"/>
      <c r="R49" s="43"/>
      <c r="S49" s="43"/>
      <c r="T49" s="43"/>
      <c r="U49" s="43"/>
      <c r="V49" s="43"/>
      <c r="W49" s="43"/>
      <c r="X49" s="43"/>
      <c r="Y49" s="43"/>
      <c r="Z49" s="43"/>
      <c r="AA49" s="43"/>
      <c r="AB49" s="41"/>
      <c r="AD49" s="40"/>
      <c r="AE49" s="43"/>
      <c r="AF49" s="41"/>
      <c r="AG49" s="40"/>
      <c r="AH49" s="43"/>
      <c r="AI49" s="41"/>
    </row>
    <row r="50" spans="1:40" x14ac:dyDescent="0.2">
      <c r="A50" s="6" t="s">
        <v>4</v>
      </c>
      <c r="B50" s="7" t="e">
        <f ca="1">_xll.EVRNG(H71:H74)</f>
        <v>#NAME?</v>
      </c>
      <c r="H50" s="10" t="s">
        <v>832</v>
      </c>
      <c r="I50" s="25" t="e">
        <f ca="1">_xll.EVPRO($B$1,$H50,"STYLE")</f>
        <v>#NAME?</v>
      </c>
      <c r="J50" s="25" t="e">
        <f ca="1">_xll.EVPRO($B$1,$H50,"CALC")</f>
        <v>#NAME?</v>
      </c>
      <c r="K50" s="64" t="e">
        <f ca="1">IF(AND(I50&gt;="T3"),"&gt;","")</f>
        <v>#NAME?</v>
      </c>
      <c r="L50" s="24" t="e">
        <f ca="1">_xll.EVPRO($B$1,H50,"JDEID")</f>
        <v>#NAME?</v>
      </c>
      <c r="M50" s="24" t="e">
        <f ca="1">IF(AND(I50="N",J50="N"),_xll.EVPRO($B$1,H50,"PSFTID"),"")</f>
        <v>#NAME?</v>
      </c>
      <c r="N50" s="24" t="e">
        <f ca="1">IF(_xll.EVDES(H50,$B$1)="#NODATA","",_xll.EVDES(H50,$B$1))</f>
        <v>#NAME?</v>
      </c>
      <c r="O50" s="19"/>
      <c r="P50" s="19">
        <v>965.1</v>
      </c>
      <c r="Q50" s="19">
        <v>202.9</v>
      </c>
      <c r="R50" s="19">
        <v>239.02</v>
      </c>
      <c r="S50" s="19">
        <v>472.81</v>
      </c>
      <c r="T50" s="19">
        <v>169.68</v>
      </c>
      <c r="U50" s="19">
        <v>164.2</v>
      </c>
      <c r="V50" s="19">
        <v>100</v>
      </c>
      <c r="W50" s="19">
        <v>567.71</v>
      </c>
      <c r="X50" s="19">
        <v>183.23</v>
      </c>
      <c r="Y50" s="19">
        <v>231.88</v>
      </c>
      <c r="Z50" s="19">
        <v>588.4</v>
      </c>
      <c r="AA50" s="35" t="e">
        <f t="shared" ref="AA50:AA71" ca="1" si="12">IF($I50="B1","",SUM(O50:Z50))</f>
        <v>#NAME?</v>
      </c>
      <c r="AB50" s="15" t="e">
        <f t="shared" ref="AB50:AB71" ca="1" si="13">IF(AA50=0,"",IFERROR(AA50/AA$19,""))</f>
        <v>#NAME?</v>
      </c>
      <c r="AD50" s="19">
        <v>3117</v>
      </c>
      <c r="AE50" s="15" t="str">
        <f t="shared" ref="AE50:AE71" ca="1" si="14">IF(AD50=0,"",IFERROR(AD50/AD$19,""))</f>
        <v/>
      </c>
      <c r="AF50" s="47" t="e">
        <f t="shared" ref="AF50:AF71" ca="1" si="15">IF(AND($AA50="",AD50=""),"",$AA50-AD50)</f>
        <v>#NAME?</v>
      </c>
      <c r="AG50" s="19">
        <v>3499.27</v>
      </c>
      <c r="AH50" s="15" t="str">
        <f ca="1">IF(AG50=0,"",IFERROR(AG50/AG$19,""))</f>
        <v/>
      </c>
      <c r="AI50" s="47" t="e">
        <f ca="1">IF(AND($AA50="",AG50=""),"",$AA50-AG50)</f>
        <v>#NAME?</v>
      </c>
      <c r="AJ50" s="371">
        <f ca="1">IFERROR(AA50/AA$20,0)</f>
        <v>0</v>
      </c>
      <c r="AK50" s="372">
        <f ca="1">IFERROR(AD50/AD$20,0)</f>
        <v>0</v>
      </c>
      <c r="AL50" s="373">
        <f ca="1">IFERROR(AG50/AG$20,0)</f>
        <v>0</v>
      </c>
      <c r="AM50" s="374">
        <f ca="1">+IFERROR(ROUND(($AB50-AE50)*100,2)&amp;" pts.",0)</f>
        <v>0</v>
      </c>
      <c r="AN50" s="375">
        <f ca="1">+IFERROR(ROUND(($AB50-AH50)*100,2)&amp;" pts.",0)</f>
        <v>0</v>
      </c>
    </row>
    <row r="51" spans="1:40" x14ac:dyDescent="0.2">
      <c r="A51" s="6" t="s">
        <v>5</v>
      </c>
      <c r="B51" s="7"/>
      <c r="H51" s="10" t="s">
        <v>833</v>
      </c>
      <c r="I51" s="25" t="e">
        <f ca="1">_xll.EVPRO($B$1,$H51,"STYLE")</f>
        <v>#NAME?</v>
      </c>
      <c r="J51" s="25" t="e">
        <f ca="1">_xll.EVPRO($B$1,$H51,"CALC")</f>
        <v>#NAME?</v>
      </c>
      <c r="K51" s="64" t="e">
        <f t="shared" ref="K51:K70" ca="1" si="16">IF(AND(I51&gt;="T3"),"&gt;","")</f>
        <v>#NAME?</v>
      </c>
      <c r="L51" s="24" t="e">
        <f ca="1">_xll.EVPRO($B$1,H51,"JDEID")</f>
        <v>#NAME?</v>
      </c>
      <c r="M51" s="24" t="e">
        <f ca="1">IF(AND(I51="N",J51="N"),_xll.EVPRO($B$1,H51,"PSFTID"),"")</f>
        <v>#NAME?</v>
      </c>
      <c r="N51" s="24" t="e">
        <f ca="1">IF(_xll.EVDES(H51,$B$1)="#NODATA","",_xll.EVDES(H51,$B$1))</f>
        <v>#NAME?</v>
      </c>
      <c r="O51" s="19">
        <v>1398.47</v>
      </c>
      <c r="P51" s="19">
        <v>2095.0700000000002</v>
      </c>
      <c r="Q51" s="19">
        <v>1442.67</v>
      </c>
      <c r="R51" s="19">
        <v>1681.04</v>
      </c>
      <c r="S51" s="19">
        <v>2130.56</v>
      </c>
      <c r="T51" s="19">
        <v>1435.29</v>
      </c>
      <c r="U51" s="19">
        <v>1450.76</v>
      </c>
      <c r="V51" s="19">
        <v>1450.76</v>
      </c>
      <c r="W51" s="19">
        <v>1450.76</v>
      </c>
      <c r="X51" s="19">
        <v>1497.78</v>
      </c>
      <c r="Y51" s="19">
        <v>1450.76</v>
      </c>
      <c r="Z51" s="19">
        <v>1447.83</v>
      </c>
      <c r="AA51" s="35" t="e">
        <f t="shared" ca="1" si="12"/>
        <v>#NAME?</v>
      </c>
      <c r="AB51" s="15" t="e">
        <f t="shared" ca="1" si="13"/>
        <v>#NAME?</v>
      </c>
      <c r="AD51" s="19">
        <v>17040</v>
      </c>
      <c r="AE51" s="15" t="str">
        <f t="shared" ca="1" si="14"/>
        <v/>
      </c>
      <c r="AF51" s="47" t="e">
        <f t="shared" ca="1" si="15"/>
        <v>#NAME?</v>
      </c>
      <c r="AG51" s="19">
        <v>20041.12</v>
      </c>
      <c r="AH51" s="15" t="str">
        <f t="shared" ref="AH51:AH70" ca="1" si="17">IF(AG51=0,"",IFERROR(AG51/AG$19,""))</f>
        <v/>
      </c>
      <c r="AI51" s="47" t="e">
        <f t="shared" ref="AI51:AI70" ca="1" si="18">IF(AND($AA51="",AG51=""),"",$AA51-AG51)</f>
        <v>#NAME?</v>
      </c>
      <c r="AJ51" s="371">
        <f t="shared" ref="AJ51:AJ70" ca="1" si="19">IFERROR(AA51/AA$20,0)</f>
        <v>0</v>
      </c>
      <c r="AK51" s="372">
        <f t="shared" ref="AK51:AK70" ca="1" si="20">IFERROR(AD51/AD$20,0)</f>
        <v>0</v>
      </c>
      <c r="AL51" s="373">
        <f t="shared" ref="AL51:AL70" ca="1" si="21">IFERROR(AG51/AG$20,0)</f>
        <v>0</v>
      </c>
      <c r="AM51" s="374">
        <f t="shared" ref="AM51:AM70" ca="1" si="22">+IFERROR(ROUND(($AB51-AE51)*100,2)&amp;" pts.",0)</f>
        <v>0</v>
      </c>
      <c r="AN51" s="375">
        <f t="shared" ref="AN51:AN70" ca="1" si="23">+IFERROR(ROUND(($AB51-AH51)*100,2)&amp;" pts.",0)</f>
        <v>0</v>
      </c>
    </row>
    <row r="52" spans="1:40" x14ac:dyDescent="0.2">
      <c r="A52" s="6" t="s">
        <v>6</v>
      </c>
      <c r="B52" s="7"/>
      <c r="H52" s="10" t="s">
        <v>834</v>
      </c>
      <c r="I52" s="25" t="e">
        <f ca="1">_xll.EVPRO($B$1,$H52,"STYLE")</f>
        <v>#NAME?</v>
      </c>
      <c r="J52" s="25" t="e">
        <f ca="1">_xll.EVPRO($B$1,$H52,"CALC")</f>
        <v>#NAME?</v>
      </c>
      <c r="K52" s="64" t="e">
        <f t="shared" ca="1" si="16"/>
        <v>#NAME?</v>
      </c>
      <c r="L52" s="24" t="e">
        <f ca="1">_xll.EVPRO($B$1,H52,"JDEID")</f>
        <v>#NAME?</v>
      </c>
      <c r="M52" s="24" t="e">
        <f ca="1">IF(AND(I52="N",J52="N"),_xll.EVPRO($B$1,H52,"PSFTID"),"")</f>
        <v>#NAME?</v>
      </c>
      <c r="N52" s="24" t="e">
        <f ca="1">IF(_xll.EVDES(H52,$B$1)="#NODATA","",_xll.EVDES(H52,$B$1))</f>
        <v>#NAME?</v>
      </c>
      <c r="O52" s="19">
        <v>52</v>
      </c>
      <c r="P52" s="19">
        <v>94.06</v>
      </c>
      <c r="Q52" s="19">
        <v>75.040000000000006</v>
      </c>
      <c r="R52" s="19"/>
      <c r="S52" s="19">
        <v>67.900000000000006</v>
      </c>
      <c r="T52" s="19">
        <v>-33.950000000000003</v>
      </c>
      <c r="U52" s="19">
        <v>76.930000000000007</v>
      </c>
      <c r="V52" s="19"/>
      <c r="W52" s="19">
        <v>16.93</v>
      </c>
      <c r="X52" s="19"/>
      <c r="Y52" s="19">
        <v>36.85</v>
      </c>
      <c r="Z52" s="19">
        <v>13.4</v>
      </c>
      <c r="AA52" s="35" t="e">
        <f t="shared" ca="1" si="12"/>
        <v>#NAME?</v>
      </c>
      <c r="AB52" s="15" t="e">
        <f t="shared" ca="1" si="13"/>
        <v>#NAME?</v>
      </c>
      <c r="AD52" s="19">
        <v>2186</v>
      </c>
      <c r="AE52" s="15" t="str">
        <f t="shared" ca="1" si="14"/>
        <v/>
      </c>
      <c r="AF52" s="47" t="e">
        <f t="shared" ca="1" si="15"/>
        <v>#NAME?</v>
      </c>
      <c r="AG52" s="19">
        <v>2227.64</v>
      </c>
      <c r="AH52" s="15" t="str">
        <f t="shared" ca="1" si="17"/>
        <v/>
      </c>
      <c r="AI52" s="47" t="e">
        <f t="shared" ca="1" si="18"/>
        <v>#NAME?</v>
      </c>
      <c r="AJ52" s="371">
        <f t="shared" ca="1" si="19"/>
        <v>0</v>
      </c>
      <c r="AK52" s="372">
        <f t="shared" ca="1" si="20"/>
        <v>0</v>
      </c>
      <c r="AL52" s="373">
        <f t="shared" ca="1" si="21"/>
        <v>0</v>
      </c>
      <c r="AM52" s="374">
        <f t="shared" ca="1" si="22"/>
        <v>0</v>
      </c>
      <c r="AN52" s="375">
        <f t="shared" ca="1" si="23"/>
        <v>0</v>
      </c>
    </row>
    <row r="53" spans="1:40" x14ac:dyDescent="0.2">
      <c r="A53" s="6" t="s">
        <v>7</v>
      </c>
      <c r="B53" s="7"/>
      <c r="H53" s="10" t="s">
        <v>835</v>
      </c>
      <c r="I53" s="25" t="e">
        <f ca="1">_xll.EVPRO($B$1,$H53,"STYLE")</f>
        <v>#NAME?</v>
      </c>
      <c r="J53" s="25" t="e">
        <f ca="1">_xll.EVPRO($B$1,$H53,"CALC")</f>
        <v>#NAME?</v>
      </c>
      <c r="K53" s="64" t="e">
        <f t="shared" ca="1" si="16"/>
        <v>#NAME?</v>
      </c>
      <c r="L53" s="24" t="e">
        <f ca="1">_xll.EVPRO($B$1,H53,"JDEID")</f>
        <v>#NAME?</v>
      </c>
      <c r="M53" s="24" t="e">
        <f ca="1">IF(AND(I53="N",J53="N"),_xll.EVPRO($B$1,H53,"PSFTID"),"")</f>
        <v>#NAME?</v>
      </c>
      <c r="N53" s="24" t="e">
        <f ca="1">IF(_xll.EVDES(H53,$B$1)="#NODATA","",_xll.EVDES(H53,$B$1))</f>
        <v>#NAME?</v>
      </c>
      <c r="O53" s="19"/>
      <c r="P53" s="19"/>
      <c r="Q53" s="19"/>
      <c r="R53" s="19"/>
      <c r="S53" s="19"/>
      <c r="T53" s="19"/>
      <c r="U53" s="19"/>
      <c r="V53" s="19"/>
      <c r="W53" s="19"/>
      <c r="X53" s="19"/>
      <c r="Y53" s="19"/>
      <c r="Z53" s="19"/>
      <c r="AA53" s="35" t="e">
        <f t="shared" ca="1" si="12"/>
        <v>#NAME?</v>
      </c>
      <c r="AB53" s="15" t="e">
        <f t="shared" ca="1" si="13"/>
        <v>#NAME?</v>
      </c>
      <c r="AD53" s="19">
        <v>303</v>
      </c>
      <c r="AE53" s="15" t="str">
        <f t="shared" ca="1" si="14"/>
        <v/>
      </c>
      <c r="AF53" s="47" t="e">
        <f t="shared" ca="1" si="15"/>
        <v>#NAME?</v>
      </c>
      <c r="AG53" s="19">
        <v>303.22000000000003</v>
      </c>
      <c r="AH53" s="15" t="str">
        <f t="shared" ca="1" si="17"/>
        <v/>
      </c>
      <c r="AI53" s="47" t="e">
        <f t="shared" ca="1" si="18"/>
        <v>#NAME?</v>
      </c>
      <c r="AJ53" s="371">
        <f t="shared" ca="1" si="19"/>
        <v>0</v>
      </c>
      <c r="AK53" s="372">
        <f t="shared" ca="1" si="20"/>
        <v>0</v>
      </c>
      <c r="AL53" s="373">
        <f t="shared" ca="1" si="21"/>
        <v>0</v>
      </c>
      <c r="AM53" s="374">
        <f t="shared" ca="1" si="22"/>
        <v>0</v>
      </c>
      <c r="AN53" s="375">
        <f t="shared" ca="1" si="23"/>
        <v>0</v>
      </c>
    </row>
    <row r="54" spans="1:40" x14ac:dyDescent="0.2">
      <c r="A54" s="6" t="s">
        <v>47</v>
      </c>
      <c r="B54" s="7" t="e">
        <f ca="1">_xll.EVRNG($A$59:$B$80)</f>
        <v>#NAME?</v>
      </c>
      <c r="H54" s="10" t="s">
        <v>875</v>
      </c>
      <c r="I54" s="25" t="e">
        <f ca="1">_xll.EVPRO($B$1,$H54,"STYLE")</f>
        <v>#NAME?</v>
      </c>
      <c r="J54" s="25" t="e">
        <f ca="1">_xll.EVPRO($B$1,$H54,"CALC")</f>
        <v>#NAME?</v>
      </c>
      <c r="K54" s="64" t="e">
        <f t="shared" ca="1" si="16"/>
        <v>#NAME?</v>
      </c>
      <c r="L54" s="24" t="e">
        <f ca="1">_xll.EVPRO($B$1,H54,"JDEID")</f>
        <v>#NAME?</v>
      </c>
      <c r="M54" s="24" t="e">
        <f ca="1">IF(AND(I54="N",J54="N"),_xll.EVPRO($B$1,H54,"PSFTID"),"")</f>
        <v>#NAME?</v>
      </c>
      <c r="N54" s="24" t="e">
        <f ca="1">IF(_xll.EVDES(H54,$B$1)="#NODATA","",_xll.EVDES(H54,$B$1))</f>
        <v>#NAME?</v>
      </c>
      <c r="O54" s="19">
        <v>225.94</v>
      </c>
      <c r="P54" s="19"/>
      <c r="Q54" s="19"/>
      <c r="R54" s="19">
        <v>304.33999999999997</v>
      </c>
      <c r="S54" s="19"/>
      <c r="T54" s="19"/>
      <c r="U54" s="19">
        <v>328.55</v>
      </c>
      <c r="V54" s="19"/>
      <c r="W54" s="19"/>
      <c r="X54" s="19">
        <v>400</v>
      </c>
      <c r="Y54" s="19">
        <v>400</v>
      </c>
      <c r="Z54" s="19">
        <v>519</v>
      </c>
      <c r="AA54" s="35" t="e">
        <f t="shared" ca="1" si="12"/>
        <v>#NAME?</v>
      </c>
      <c r="AB54" s="15" t="e">
        <f t="shared" ca="1" si="13"/>
        <v>#NAME?</v>
      </c>
      <c r="AD54" s="19">
        <v>1844</v>
      </c>
      <c r="AE54" s="15" t="str">
        <f t="shared" ca="1" si="14"/>
        <v/>
      </c>
      <c r="AF54" s="47" t="e">
        <f t="shared" ca="1" si="15"/>
        <v>#NAME?</v>
      </c>
      <c r="AG54" s="19">
        <v>1918.39</v>
      </c>
      <c r="AH54" s="15" t="str">
        <f t="shared" ca="1" si="17"/>
        <v/>
      </c>
      <c r="AI54" s="47" t="e">
        <f t="shared" ca="1" si="18"/>
        <v>#NAME?</v>
      </c>
      <c r="AJ54" s="371">
        <f t="shared" ca="1" si="19"/>
        <v>0</v>
      </c>
      <c r="AK54" s="372">
        <f t="shared" ca="1" si="20"/>
        <v>0</v>
      </c>
      <c r="AL54" s="373">
        <f t="shared" ca="1" si="21"/>
        <v>0</v>
      </c>
      <c r="AM54" s="374">
        <f t="shared" ca="1" si="22"/>
        <v>0</v>
      </c>
      <c r="AN54" s="375">
        <f t="shared" ca="1" si="23"/>
        <v>0</v>
      </c>
    </row>
    <row r="55" spans="1:40" x14ac:dyDescent="0.2">
      <c r="A55" s="6" t="s">
        <v>8</v>
      </c>
      <c r="B55" s="7"/>
      <c r="H55" s="10" t="s">
        <v>836</v>
      </c>
      <c r="I55" s="25" t="e">
        <f ca="1">_xll.EVPRO($B$1,$H55,"STYLE")</f>
        <v>#NAME?</v>
      </c>
      <c r="J55" s="25" t="e">
        <f ca="1">_xll.EVPRO($B$1,$H55,"CALC")</f>
        <v>#NAME?</v>
      </c>
      <c r="K55" s="64" t="e">
        <f t="shared" ca="1" si="16"/>
        <v>#NAME?</v>
      </c>
      <c r="L55" s="24" t="e">
        <f ca="1">_xll.EVPRO($B$1,H55,"JDEID")</f>
        <v>#NAME?</v>
      </c>
      <c r="M55" s="24" t="e">
        <f ca="1">IF(AND(I55="N",J55="N"),_xll.EVPRO($B$1,H55,"PSFTID"),"")</f>
        <v>#NAME?</v>
      </c>
      <c r="N55" s="24" t="e">
        <f ca="1">IF(_xll.EVDES(H55,$B$1)="#NODATA","",_xll.EVDES(H55,$B$1))</f>
        <v>#NAME?</v>
      </c>
      <c r="O55" s="19">
        <v>258.77</v>
      </c>
      <c r="P55" s="19">
        <v>298.54000000000002</v>
      </c>
      <c r="Q55" s="19">
        <v>298.52999999999997</v>
      </c>
      <c r="R55" s="19">
        <v>472.73</v>
      </c>
      <c r="S55" s="19">
        <v>402.05</v>
      </c>
      <c r="T55" s="19">
        <v>132.4</v>
      </c>
      <c r="U55" s="19">
        <v>166.36</v>
      </c>
      <c r="V55" s="19">
        <v>243.52</v>
      </c>
      <c r="W55" s="19">
        <v>165.51</v>
      </c>
      <c r="X55" s="19">
        <v>253.18</v>
      </c>
      <c r="Y55" s="19">
        <v>201.19</v>
      </c>
      <c r="Z55" s="19">
        <v>256.64999999999998</v>
      </c>
      <c r="AA55" s="35" t="e">
        <f t="shared" ca="1" si="12"/>
        <v>#NAME?</v>
      </c>
      <c r="AB55" s="15" t="e">
        <f t="shared" ca="1" si="13"/>
        <v>#NAME?</v>
      </c>
      <c r="AD55" s="19">
        <v>4728</v>
      </c>
      <c r="AE55" s="15" t="str">
        <f t="shared" ca="1" si="14"/>
        <v/>
      </c>
      <c r="AF55" s="47" t="e">
        <f t="shared" ca="1" si="15"/>
        <v>#NAME?</v>
      </c>
      <c r="AG55" s="19">
        <v>3393.87</v>
      </c>
      <c r="AH55" s="15" t="str">
        <f t="shared" ca="1" si="17"/>
        <v/>
      </c>
      <c r="AI55" s="47" t="e">
        <f t="shared" ca="1" si="18"/>
        <v>#NAME?</v>
      </c>
      <c r="AJ55" s="371">
        <f t="shared" ca="1" si="19"/>
        <v>0</v>
      </c>
      <c r="AK55" s="372">
        <f t="shared" ca="1" si="20"/>
        <v>0</v>
      </c>
      <c r="AL55" s="373">
        <f t="shared" ca="1" si="21"/>
        <v>0</v>
      </c>
      <c r="AM55" s="374">
        <f t="shared" ca="1" si="22"/>
        <v>0</v>
      </c>
      <c r="AN55" s="375">
        <f t="shared" ca="1" si="23"/>
        <v>0</v>
      </c>
    </row>
    <row r="56" spans="1:40" x14ac:dyDescent="0.2">
      <c r="H56" s="10" t="s">
        <v>842</v>
      </c>
      <c r="I56" s="25" t="e">
        <f ca="1">_xll.EVPRO($B$1,$H56,"STYLE")</f>
        <v>#NAME?</v>
      </c>
      <c r="J56" s="25" t="e">
        <f ca="1">_xll.EVPRO($B$1,$H56,"CALC")</f>
        <v>#NAME?</v>
      </c>
      <c r="K56" s="64" t="e">
        <f t="shared" ca="1" si="16"/>
        <v>#NAME?</v>
      </c>
      <c r="L56" s="24" t="e">
        <f ca="1">_xll.EVPRO($B$1,H56,"JDEID")</f>
        <v>#NAME?</v>
      </c>
      <c r="M56" s="24" t="e">
        <f ca="1">IF(AND(I56="N",J56="N"),_xll.EVPRO($B$1,H56,"PSFTID"),"")</f>
        <v>#NAME?</v>
      </c>
      <c r="N56" s="24" t="e">
        <f ca="1">IF(_xll.EVDES(H56,$B$1)="#NODATA","",_xll.EVDES(H56,$B$1))</f>
        <v>#NAME?</v>
      </c>
      <c r="O56" s="19"/>
      <c r="P56" s="19"/>
      <c r="Q56" s="19"/>
      <c r="R56" s="19">
        <v>-5300</v>
      </c>
      <c r="S56" s="19"/>
      <c r="T56" s="19"/>
      <c r="U56" s="19">
        <v>250.35</v>
      </c>
      <c r="V56" s="19">
        <v>1000</v>
      </c>
      <c r="W56" s="19"/>
      <c r="X56" s="19">
        <v>150</v>
      </c>
      <c r="Y56" s="19">
        <v>5300</v>
      </c>
      <c r="Z56" s="19">
        <v>2085</v>
      </c>
      <c r="AA56" s="35" t="e">
        <f t="shared" ca="1" si="12"/>
        <v>#NAME?</v>
      </c>
      <c r="AB56" s="15" t="e">
        <f t="shared" ca="1" si="13"/>
        <v>#NAME?</v>
      </c>
      <c r="AD56" s="19">
        <v>7440</v>
      </c>
      <c r="AE56" s="15" t="str">
        <f t="shared" ca="1" si="14"/>
        <v/>
      </c>
      <c r="AF56" s="47" t="e">
        <f t="shared" ca="1" si="15"/>
        <v>#NAME?</v>
      </c>
      <c r="AG56" s="19">
        <v>7440.35</v>
      </c>
      <c r="AH56" s="15" t="str">
        <f t="shared" ca="1" si="17"/>
        <v/>
      </c>
      <c r="AI56" s="47" t="e">
        <f t="shared" ca="1" si="18"/>
        <v>#NAME?</v>
      </c>
      <c r="AJ56" s="371">
        <f t="shared" ca="1" si="19"/>
        <v>0</v>
      </c>
      <c r="AK56" s="372">
        <f t="shared" ca="1" si="20"/>
        <v>0</v>
      </c>
      <c r="AL56" s="373">
        <f t="shared" ca="1" si="21"/>
        <v>0</v>
      </c>
      <c r="AM56" s="374">
        <f t="shared" ca="1" si="22"/>
        <v>0</v>
      </c>
      <c r="AN56" s="375">
        <f t="shared" ca="1" si="23"/>
        <v>0</v>
      </c>
    </row>
    <row r="57" spans="1:40" x14ac:dyDescent="0.2">
      <c r="H57" s="10" t="s">
        <v>896</v>
      </c>
      <c r="I57" s="25" t="e">
        <f ca="1">_xll.EVPRO($B$1,$H57,"STYLE")</f>
        <v>#NAME?</v>
      </c>
      <c r="J57" s="25" t="e">
        <f ca="1">_xll.EVPRO($B$1,$H57,"CALC")</f>
        <v>#NAME?</v>
      </c>
      <c r="K57" s="64" t="e">
        <f t="shared" ca="1" si="16"/>
        <v>#NAME?</v>
      </c>
      <c r="L57" s="24" t="e">
        <f ca="1">_xll.EVPRO($B$1,H57,"JDEID")</f>
        <v>#NAME?</v>
      </c>
      <c r="M57" s="24" t="e">
        <f ca="1">IF(AND(I57="N",J57="N"),_xll.EVPRO($B$1,H57,"PSFTID"),"")</f>
        <v>#NAME?</v>
      </c>
      <c r="N57" s="24" t="e">
        <f ca="1">IF(_xll.EVDES(H57,$B$1)="#NODATA","",_xll.EVDES(H57,$B$1))</f>
        <v>#NAME?</v>
      </c>
      <c r="O57" s="19">
        <v>728.34</v>
      </c>
      <c r="P57" s="19">
        <v>353.46</v>
      </c>
      <c r="Q57" s="19">
        <v>1485.47</v>
      </c>
      <c r="R57" s="19">
        <v>68.260000000000005</v>
      </c>
      <c r="S57" s="19">
        <v>1752.63</v>
      </c>
      <c r="T57" s="19">
        <v>1380.99</v>
      </c>
      <c r="U57" s="19">
        <v>210</v>
      </c>
      <c r="V57" s="19">
        <v>422.65</v>
      </c>
      <c r="W57" s="19">
        <v>625.25</v>
      </c>
      <c r="X57" s="19">
        <v>1280.25</v>
      </c>
      <c r="Y57" s="19">
        <v>290.25</v>
      </c>
      <c r="Z57" s="19">
        <v>906.25</v>
      </c>
      <c r="AA57" s="35" t="e">
        <f t="shared" ca="1" si="12"/>
        <v>#NAME?</v>
      </c>
      <c r="AB57" s="15" t="e">
        <f t="shared" ca="1" si="13"/>
        <v>#NAME?</v>
      </c>
      <c r="AD57" s="19">
        <v>7614</v>
      </c>
      <c r="AE57" s="15" t="str">
        <f t="shared" ca="1" si="14"/>
        <v/>
      </c>
      <c r="AF57" s="47" t="e">
        <f t="shared" ca="1" si="15"/>
        <v>#NAME?</v>
      </c>
      <c r="AG57" s="19">
        <v>8508.01</v>
      </c>
      <c r="AH57" s="15" t="str">
        <f t="shared" ca="1" si="17"/>
        <v/>
      </c>
      <c r="AI57" s="47" t="e">
        <f t="shared" ca="1" si="18"/>
        <v>#NAME?</v>
      </c>
      <c r="AJ57" s="371">
        <f t="shared" ca="1" si="19"/>
        <v>0</v>
      </c>
      <c r="AK57" s="372">
        <f t="shared" ca="1" si="20"/>
        <v>0</v>
      </c>
      <c r="AL57" s="373">
        <f t="shared" ca="1" si="21"/>
        <v>0</v>
      </c>
      <c r="AM57" s="374">
        <f t="shared" ca="1" si="22"/>
        <v>0</v>
      </c>
      <c r="AN57" s="375">
        <f t="shared" ca="1" si="23"/>
        <v>0</v>
      </c>
    </row>
    <row r="58" spans="1:40" x14ac:dyDescent="0.2">
      <c r="A58" s="3" t="s">
        <v>23</v>
      </c>
      <c r="B58" s="5" t="s">
        <v>24</v>
      </c>
      <c r="H58" s="10" t="s">
        <v>897</v>
      </c>
      <c r="I58" s="25" t="e">
        <f ca="1">_xll.EVPRO($B$1,$H58,"STYLE")</f>
        <v>#NAME?</v>
      </c>
      <c r="J58" s="25" t="e">
        <f ca="1">_xll.EVPRO($B$1,$H58,"CALC")</f>
        <v>#NAME?</v>
      </c>
      <c r="K58" s="64" t="e">
        <f t="shared" ca="1" si="16"/>
        <v>#NAME?</v>
      </c>
      <c r="L58" s="24" t="e">
        <f ca="1">_xll.EVPRO($B$1,H58,"JDEID")</f>
        <v>#NAME?</v>
      </c>
      <c r="M58" s="24" t="e">
        <f ca="1">IF(AND(I58="N",J58="N"),_xll.EVPRO($B$1,H58,"PSFTID"),"")</f>
        <v>#NAME?</v>
      </c>
      <c r="N58" s="24" t="e">
        <f ca="1">IF(_xll.EVDES(H58,$B$1)="#NODATA","",_xll.EVDES(H58,$B$1))</f>
        <v>#NAME?</v>
      </c>
      <c r="O58" s="19">
        <v>1319.87</v>
      </c>
      <c r="P58" s="19">
        <v>538.53</v>
      </c>
      <c r="Q58" s="19">
        <v>72.3</v>
      </c>
      <c r="R58" s="19">
        <v>-194.85</v>
      </c>
      <c r="S58" s="19">
        <v>165.61</v>
      </c>
      <c r="T58" s="19">
        <v>915.3</v>
      </c>
      <c r="U58" s="19">
        <v>759.19</v>
      </c>
      <c r="V58" s="19">
        <v>1816.24</v>
      </c>
      <c r="W58" s="19">
        <v>250</v>
      </c>
      <c r="X58" s="19">
        <v>1644.05</v>
      </c>
      <c r="Y58" s="19">
        <v>313.97000000000003</v>
      </c>
      <c r="Z58" s="19">
        <v>284.66000000000003</v>
      </c>
      <c r="AA58" s="35" t="e">
        <f t="shared" ca="1" si="12"/>
        <v>#NAME?</v>
      </c>
      <c r="AB58" s="15" t="e">
        <f t="shared" ca="1" si="13"/>
        <v>#NAME?</v>
      </c>
      <c r="AD58" s="19">
        <v>7456</v>
      </c>
      <c r="AE58" s="15" t="str">
        <f t="shared" ca="1" si="14"/>
        <v/>
      </c>
      <c r="AF58" s="47" t="e">
        <f t="shared" ca="1" si="15"/>
        <v>#NAME?</v>
      </c>
      <c r="AG58" s="19">
        <v>18447.740000000002</v>
      </c>
      <c r="AH58" s="15" t="str">
        <f t="shared" ca="1" si="17"/>
        <v/>
      </c>
      <c r="AI58" s="47" t="e">
        <f t="shared" ca="1" si="18"/>
        <v>#NAME?</v>
      </c>
      <c r="AJ58" s="371">
        <f t="shared" ca="1" si="19"/>
        <v>0</v>
      </c>
      <c r="AK58" s="372">
        <f t="shared" ca="1" si="20"/>
        <v>0</v>
      </c>
      <c r="AL58" s="373">
        <f t="shared" ca="1" si="21"/>
        <v>0</v>
      </c>
      <c r="AM58" s="374">
        <f t="shared" ca="1" si="22"/>
        <v>0</v>
      </c>
      <c r="AN58" s="375">
        <f t="shared" ca="1" si="23"/>
        <v>0</v>
      </c>
    </row>
    <row r="59" spans="1:40" x14ac:dyDescent="0.2">
      <c r="A59" s="6" t="s">
        <v>25</v>
      </c>
      <c r="B59" s="7"/>
      <c r="H59" s="10" t="s">
        <v>898</v>
      </c>
      <c r="I59" s="25" t="e">
        <f ca="1">_xll.EVPRO($B$1,$H59,"STYLE")</f>
        <v>#NAME?</v>
      </c>
      <c r="J59" s="25" t="e">
        <f ca="1">_xll.EVPRO($B$1,$H59,"CALC")</f>
        <v>#NAME?</v>
      </c>
      <c r="K59" s="64" t="e">
        <f t="shared" ca="1" si="16"/>
        <v>#NAME?</v>
      </c>
      <c r="L59" s="24" t="e">
        <f ca="1">_xll.EVPRO($B$1,H59,"JDEID")</f>
        <v>#NAME?</v>
      </c>
      <c r="M59" s="24" t="e">
        <f ca="1">IF(AND(I59="N",J59="N"),_xll.EVPRO($B$1,H59,"PSFTID"),"")</f>
        <v>#NAME?</v>
      </c>
      <c r="N59" s="24" t="e">
        <f ca="1">IF(_xll.EVDES(H59,$B$1)="#NODATA","",_xll.EVDES(H59,$B$1))</f>
        <v>#NAME?</v>
      </c>
      <c r="O59" s="19">
        <v>1691.97</v>
      </c>
      <c r="P59" s="19">
        <v>1615.91</v>
      </c>
      <c r="Q59" s="19">
        <v>4714.55</v>
      </c>
      <c r="R59" s="19">
        <v>-5583.42</v>
      </c>
      <c r="S59" s="19">
        <v>1003.19</v>
      </c>
      <c r="T59" s="19">
        <v>3025</v>
      </c>
      <c r="U59" s="19">
        <v>1326.3</v>
      </c>
      <c r="V59" s="19">
        <v>1268.71</v>
      </c>
      <c r="W59" s="19">
        <v>1271.45</v>
      </c>
      <c r="X59" s="19">
        <v>557.74</v>
      </c>
      <c r="Y59" s="19">
        <v>1317.66</v>
      </c>
      <c r="Z59" s="19">
        <v>3500</v>
      </c>
      <c r="AA59" s="35" t="e">
        <f t="shared" ca="1" si="12"/>
        <v>#NAME?</v>
      </c>
      <c r="AB59" s="15" t="e">
        <f t="shared" ca="1" si="13"/>
        <v>#NAME?</v>
      </c>
      <c r="AD59" s="19">
        <v>25716</v>
      </c>
      <c r="AE59" s="15" t="str">
        <f t="shared" ca="1" si="14"/>
        <v/>
      </c>
      <c r="AF59" s="47" t="e">
        <f t="shared" ca="1" si="15"/>
        <v>#NAME?</v>
      </c>
      <c r="AG59" s="19">
        <v>32709.33</v>
      </c>
      <c r="AH59" s="15" t="str">
        <f t="shared" ca="1" si="17"/>
        <v/>
      </c>
      <c r="AI59" s="47" t="e">
        <f t="shared" ca="1" si="18"/>
        <v>#NAME?</v>
      </c>
      <c r="AJ59" s="371">
        <f t="shared" ca="1" si="19"/>
        <v>0</v>
      </c>
      <c r="AK59" s="372">
        <f t="shared" ca="1" si="20"/>
        <v>0</v>
      </c>
      <c r="AL59" s="373">
        <f t="shared" ca="1" si="21"/>
        <v>0</v>
      </c>
      <c r="AM59" s="374">
        <f t="shared" ca="1" si="22"/>
        <v>0</v>
      </c>
      <c r="AN59" s="375">
        <f t="shared" ca="1" si="23"/>
        <v>0</v>
      </c>
    </row>
    <row r="60" spans="1:40" x14ac:dyDescent="0.2">
      <c r="A60" s="6" t="s">
        <v>26</v>
      </c>
      <c r="B60" s="7"/>
      <c r="H60" s="10" t="s">
        <v>899</v>
      </c>
      <c r="I60" s="25" t="e">
        <f ca="1">_xll.EVPRO($B$1,$H60,"STYLE")</f>
        <v>#NAME?</v>
      </c>
      <c r="J60" s="25" t="e">
        <f ca="1">_xll.EVPRO($B$1,$H60,"CALC")</f>
        <v>#NAME?</v>
      </c>
      <c r="K60" s="64" t="e">
        <f t="shared" ca="1" si="16"/>
        <v>#NAME?</v>
      </c>
      <c r="L60" s="24" t="e">
        <f ca="1">_xll.EVPRO($B$1,H60,"JDEID")</f>
        <v>#NAME?</v>
      </c>
      <c r="M60" s="24" t="e">
        <f ca="1">IF(AND(I60="N",J60="N"),_xll.EVPRO($B$1,H60,"PSFTID"),"")</f>
        <v>#NAME?</v>
      </c>
      <c r="N60" s="24" t="e">
        <f ca="1">IF(_xll.EVDES(H60,$B$1)="#NODATA","",_xll.EVDES(H60,$B$1))</f>
        <v>#NAME?</v>
      </c>
      <c r="O60" s="19">
        <v>-775</v>
      </c>
      <c r="P60" s="19">
        <v>135.82</v>
      </c>
      <c r="Q60" s="19">
        <v>100</v>
      </c>
      <c r="R60" s="19">
        <v>-100</v>
      </c>
      <c r="S60" s="19"/>
      <c r="T60" s="19">
        <v>100</v>
      </c>
      <c r="U60" s="19">
        <v>100</v>
      </c>
      <c r="V60" s="19">
        <v>60.25</v>
      </c>
      <c r="W60" s="19">
        <v>100</v>
      </c>
      <c r="X60" s="19">
        <v>199.32</v>
      </c>
      <c r="Y60" s="19">
        <v>1160</v>
      </c>
      <c r="Z60" s="19">
        <v>339.75</v>
      </c>
      <c r="AA60" s="35" t="e">
        <f t="shared" ca="1" si="12"/>
        <v>#NAME?</v>
      </c>
      <c r="AB60" s="15" t="e">
        <f t="shared" ca="1" si="13"/>
        <v>#NAME?</v>
      </c>
      <c r="AD60" s="19">
        <v>4550</v>
      </c>
      <c r="AE60" s="15" t="str">
        <f t="shared" ca="1" si="14"/>
        <v/>
      </c>
      <c r="AF60" s="47" t="e">
        <f t="shared" ca="1" si="15"/>
        <v>#NAME?</v>
      </c>
      <c r="AG60" s="19">
        <v>7537.96</v>
      </c>
      <c r="AH60" s="15" t="str">
        <f t="shared" ca="1" si="17"/>
        <v/>
      </c>
      <c r="AI60" s="47" t="e">
        <f t="shared" ca="1" si="18"/>
        <v>#NAME?</v>
      </c>
      <c r="AJ60" s="371">
        <f t="shared" ca="1" si="19"/>
        <v>0</v>
      </c>
      <c r="AK60" s="372">
        <f t="shared" ca="1" si="20"/>
        <v>0</v>
      </c>
      <c r="AL60" s="373">
        <f t="shared" ca="1" si="21"/>
        <v>0</v>
      </c>
      <c r="AM60" s="374">
        <f t="shared" ca="1" si="22"/>
        <v>0</v>
      </c>
      <c r="AN60" s="375">
        <f t="shared" ca="1" si="23"/>
        <v>0</v>
      </c>
    </row>
    <row r="61" spans="1:40" x14ac:dyDescent="0.2">
      <c r="A61" s="6" t="s">
        <v>27</v>
      </c>
      <c r="B61" s="7"/>
      <c r="H61" s="10" t="s">
        <v>900</v>
      </c>
      <c r="I61" s="25" t="e">
        <f ca="1">_xll.EVPRO($B$1,$H61,"STYLE")</f>
        <v>#NAME?</v>
      </c>
      <c r="J61" s="25" t="e">
        <f ca="1">_xll.EVPRO($B$1,$H61,"CALC")</f>
        <v>#NAME?</v>
      </c>
      <c r="K61" s="64" t="e">
        <f t="shared" ca="1" si="16"/>
        <v>#NAME?</v>
      </c>
      <c r="L61" s="24" t="e">
        <f ca="1">_xll.EVPRO($B$1,H61,"JDEID")</f>
        <v>#NAME?</v>
      </c>
      <c r="M61" s="24" t="e">
        <f ca="1">IF(AND(I61="N",J61="N"),_xll.EVPRO($B$1,H61,"PSFTID"),"")</f>
        <v>#NAME?</v>
      </c>
      <c r="N61" s="24" t="e">
        <f ca="1">IF(_xll.EVDES(H61,$B$1)="#NODATA","",_xll.EVDES(H61,$B$1))</f>
        <v>#NAME?</v>
      </c>
      <c r="O61" s="19">
        <v>1604.62</v>
      </c>
      <c r="P61" s="19">
        <v>1593.07</v>
      </c>
      <c r="Q61" s="19">
        <v>1614.39</v>
      </c>
      <c r="R61" s="19">
        <v>594.46</v>
      </c>
      <c r="S61" s="19">
        <v>1739.99</v>
      </c>
      <c r="T61" s="19">
        <v>578.23</v>
      </c>
      <c r="U61" s="19">
        <v>927.03</v>
      </c>
      <c r="V61" s="19">
        <v>746.4</v>
      </c>
      <c r="W61" s="19">
        <v>1506</v>
      </c>
      <c r="X61" s="19">
        <v>905</v>
      </c>
      <c r="Y61" s="19">
        <v>1405.99</v>
      </c>
      <c r="Z61" s="19">
        <v>806.5</v>
      </c>
      <c r="AA61" s="35" t="e">
        <f t="shared" ca="1" si="12"/>
        <v>#NAME?</v>
      </c>
      <c r="AB61" s="15" t="e">
        <f t="shared" ca="1" si="13"/>
        <v>#NAME?</v>
      </c>
      <c r="AD61" s="19">
        <v>16580</v>
      </c>
      <c r="AE61" s="15" t="str">
        <f t="shared" ca="1" si="14"/>
        <v/>
      </c>
      <c r="AF61" s="47" t="e">
        <f t="shared" ca="1" si="15"/>
        <v>#NAME?</v>
      </c>
      <c r="AG61" s="19">
        <v>27429.96</v>
      </c>
      <c r="AH61" s="15" t="str">
        <f t="shared" ca="1" si="17"/>
        <v/>
      </c>
      <c r="AI61" s="47" t="e">
        <f t="shared" ca="1" si="18"/>
        <v>#NAME?</v>
      </c>
      <c r="AJ61" s="371">
        <f t="shared" ca="1" si="19"/>
        <v>0</v>
      </c>
      <c r="AK61" s="372">
        <f t="shared" ca="1" si="20"/>
        <v>0</v>
      </c>
      <c r="AL61" s="373">
        <f t="shared" ca="1" si="21"/>
        <v>0</v>
      </c>
      <c r="AM61" s="374">
        <f t="shared" ca="1" si="22"/>
        <v>0</v>
      </c>
      <c r="AN61" s="375">
        <f t="shared" ca="1" si="23"/>
        <v>0</v>
      </c>
    </row>
    <row r="62" spans="1:40" x14ac:dyDescent="0.2">
      <c r="A62" s="6" t="s">
        <v>28</v>
      </c>
      <c r="B62" s="7"/>
      <c r="H62" s="10" t="s">
        <v>901</v>
      </c>
      <c r="I62" s="25" t="e">
        <f ca="1">_xll.EVPRO($B$1,$H62,"STYLE")</f>
        <v>#NAME?</v>
      </c>
      <c r="J62" s="25" t="e">
        <f ca="1">_xll.EVPRO($B$1,$H62,"CALC")</f>
        <v>#NAME?</v>
      </c>
      <c r="K62" s="64" t="e">
        <f t="shared" ca="1" si="16"/>
        <v>#NAME?</v>
      </c>
      <c r="L62" s="24" t="e">
        <f ca="1">_xll.EVPRO($B$1,H62,"JDEID")</f>
        <v>#NAME?</v>
      </c>
      <c r="M62" s="24" t="e">
        <f ca="1">IF(AND(I62="N",J62="N"),_xll.EVPRO($B$1,H62,"PSFTID"),"")</f>
        <v>#NAME?</v>
      </c>
      <c r="N62" s="24" t="e">
        <f ca="1">IF(_xll.EVDES(H62,$B$1)="#NODATA","",_xll.EVDES(H62,$B$1))</f>
        <v>#NAME?</v>
      </c>
      <c r="O62" s="19">
        <v>200</v>
      </c>
      <c r="P62" s="19">
        <v>242.68</v>
      </c>
      <c r="Q62" s="19">
        <v>531.11</v>
      </c>
      <c r="R62" s="19">
        <v>156.09</v>
      </c>
      <c r="S62" s="19">
        <v>232.66</v>
      </c>
      <c r="T62" s="19">
        <v>236.93</v>
      </c>
      <c r="U62" s="19">
        <v>270</v>
      </c>
      <c r="V62" s="19">
        <v>858.12</v>
      </c>
      <c r="W62" s="19">
        <v>304.31</v>
      </c>
      <c r="X62" s="19">
        <v>462.38</v>
      </c>
      <c r="Y62" s="19">
        <v>504.84</v>
      </c>
      <c r="Z62" s="19">
        <v>195.78</v>
      </c>
      <c r="AA62" s="35" t="e">
        <f t="shared" ca="1" si="12"/>
        <v>#NAME?</v>
      </c>
      <c r="AB62" s="15" t="e">
        <f t="shared" ca="1" si="13"/>
        <v>#NAME?</v>
      </c>
      <c r="AD62" s="19">
        <v>4281</v>
      </c>
      <c r="AE62" s="15" t="str">
        <f t="shared" ca="1" si="14"/>
        <v/>
      </c>
      <c r="AF62" s="47" t="e">
        <f t="shared" ca="1" si="15"/>
        <v>#NAME?</v>
      </c>
      <c r="AG62" s="19">
        <v>7957.62</v>
      </c>
      <c r="AH62" s="15" t="str">
        <f t="shared" ca="1" si="17"/>
        <v/>
      </c>
      <c r="AI62" s="47" t="e">
        <f t="shared" ca="1" si="18"/>
        <v>#NAME?</v>
      </c>
      <c r="AJ62" s="371">
        <f t="shared" ca="1" si="19"/>
        <v>0</v>
      </c>
      <c r="AK62" s="372">
        <f t="shared" ca="1" si="20"/>
        <v>0</v>
      </c>
      <c r="AL62" s="373">
        <f t="shared" ca="1" si="21"/>
        <v>0</v>
      </c>
      <c r="AM62" s="374">
        <f t="shared" ca="1" si="22"/>
        <v>0</v>
      </c>
      <c r="AN62" s="375">
        <f t="shared" ca="1" si="23"/>
        <v>0</v>
      </c>
    </row>
    <row r="63" spans="1:40" x14ac:dyDescent="0.2">
      <c r="A63" s="6" t="s">
        <v>29</v>
      </c>
      <c r="B63" s="7"/>
      <c r="H63" s="10" t="s">
        <v>902</v>
      </c>
      <c r="I63" s="25" t="e">
        <f ca="1">_xll.EVPRO($B$1,$H63,"STYLE")</f>
        <v>#NAME?</v>
      </c>
      <c r="J63" s="25" t="e">
        <f ca="1">_xll.EVPRO($B$1,$H63,"CALC")</f>
        <v>#NAME?</v>
      </c>
      <c r="K63" s="64" t="e">
        <f t="shared" ca="1" si="16"/>
        <v>#NAME?</v>
      </c>
      <c r="L63" s="24" t="e">
        <f ca="1">_xll.EVPRO($B$1,H63,"JDEID")</f>
        <v>#NAME?</v>
      </c>
      <c r="M63" s="24" t="e">
        <f ca="1">IF(AND(I63="N",J63="N"),_xll.EVPRO($B$1,H63,"PSFTID"),"")</f>
        <v>#NAME?</v>
      </c>
      <c r="N63" s="24" t="e">
        <f ca="1">IF(_xll.EVDES(H63,$B$1)="#NODATA","",_xll.EVDES(H63,$B$1))</f>
        <v>#NAME?</v>
      </c>
      <c r="O63" s="19"/>
      <c r="P63" s="19"/>
      <c r="Q63" s="19"/>
      <c r="R63" s="19"/>
      <c r="S63" s="19"/>
      <c r="T63" s="19"/>
      <c r="U63" s="19"/>
      <c r="V63" s="19"/>
      <c r="W63" s="19"/>
      <c r="X63" s="19"/>
      <c r="Y63" s="19"/>
      <c r="Z63" s="19"/>
      <c r="AA63" s="35" t="e">
        <f t="shared" ca="1" si="12"/>
        <v>#NAME?</v>
      </c>
      <c r="AB63" s="15" t="e">
        <f t="shared" ca="1" si="13"/>
        <v>#NAME?</v>
      </c>
      <c r="AD63" s="19">
        <v>255</v>
      </c>
      <c r="AE63" s="15" t="str">
        <f t="shared" ca="1" si="14"/>
        <v/>
      </c>
      <c r="AF63" s="47" t="e">
        <f t="shared" ca="1" si="15"/>
        <v>#NAME?</v>
      </c>
      <c r="AG63" s="19">
        <v>55.16</v>
      </c>
      <c r="AH63" s="15" t="str">
        <f t="shared" ca="1" si="17"/>
        <v/>
      </c>
      <c r="AI63" s="47" t="e">
        <f t="shared" ca="1" si="18"/>
        <v>#NAME?</v>
      </c>
      <c r="AJ63" s="371">
        <f t="shared" ca="1" si="19"/>
        <v>0</v>
      </c>
      <c r="AK63" s="372">
        <f t="shared" ca="1" si="20"/>
        <v>0</v>
      </c>
      <c r="AL63" s="373">
        <f t="shared" ca="1" si="21"/>
        <v>0</v>
      </c>
      <c r="AM63" s="374">
        <f t="shared" ca="1" si="22"/>
        <v>0</v>
      </c>
      <c r="AN63" s="375">
        <f t="shared" ca="1" si="23"/>
        <v>0</v>
      </c>
    </row>
    <row r="64" spans="1:40" x14ac:dyDescent="0.2">
      <c r="A64" s="6" t="s">
        <v>30</v>
      </c>
      <c r="B64" s="7" t="s">
        <v>78</v>
      </c>
      <c r="H64" s="10" t="s">
        <v>903</v>
      </c>
      <c r="I64" s="25" t="e">
        <f ca="1">_xll.EVPRO($B$1,$H64,"STYLE")</f>
        <v>#NAME?</v>
      </c>
      <c r="J64" s="25" t="e">
        <f ca="1">_xll.EVPRO($B$1,$H64,"CALC")</f>
        <v>#NAME?</v>
      </c>
      <c r="K64" s="64" t="e">
        <f t="shared" ca="1" si="16"/>
        <v>#NAME?</v>
      </c>
      <c r="L64" s="24" t="e">
        <f ca="1">_xll.EVPRO($B$1,H64,"JDEID")</f>
        <v>#NAME?</v>
      </c>
      <c r="M64" s="24" t="e">
        <f ca="1">IF(AND(I64="N",J64="N"),_xll.EVPRO($B$1,H64,"PSFTID"),"")</f>
        <v>#NAME?</v>
      </c>
      <c r="N64" s="24" t="e">
        <f ca="1">IF(_xll.EVDES(H64,$B$1)="#NODATA","",_xll.EVDES(H64,$B$1))</f>
        <v>#NAME?</v>
      </c>
      <c r="O64" s="19">
        <v>1092.5999999999999</v>
      </c>
      <c r="P64" s="19">
        <v>1085.19</v>
      </c>
      <c r="Q64" s="19">
        <v>1031.49</v>
      </c>
      <c r="R64" s="19">
        <v>846.83</v>
      </c>
      <c r="S64" s="19">
        <v>1140.04</v>
      </c>
      <c r="T64" s="19">
        <v>394.7</v>
      </c>
      <c r="U64" s="19">
        <v>700</v>
      </c>
      <c r="V64" s="19">
        <v>462.95</v>
      </c>
      <c r="W64" s="19">
        <v>1250.1500000000001</v>
      </c>
      <c r="X64" s="19">
        <v>1086.53</v>
      </c>
      <c r="Y64" s="19">
        <v>667.4</v>
      </c>
      <c r="Z64" s="19">
        <v>920.29</v>
      </c>
      <c r="AA64" s="35" t="e">
        <f t="shared" ca="1" si="12"/>
        <v>#NAME?</v>
      </c>
      <c r="AB64" s="15" t="e">
        <f t="shared" ca="1" si="13"/>
        <v>#NAME?</v>
      </c>
      <c r="AD64" s="19">
        <v>13040</v>
      </c>
      <c r="AE64" s="15" t="str">
        <f t="shared" ca="1" si="14"/>
        <v/>
      </c>
      <c r="AF64" s="47" t="e">
        <f t="shared" ca="1" si="15"/>
        <v>#NAME?</v>
      </c>
      <c r="AG64" s="19">
        <v>14207.22</v>
      </c>
      <c r="AH64" s="15" t="str">
        <f t="shared" ca="1" si="17"/>
        <v/>
      </c>
      <c r="AI64" s="47" t="e">
        <f t="shared" ca="1" si="18"/>
        <v>#NAME?</v>
      </c>
      <c r="AJ64" s="371">
        <f t="shared" ca="1" si="19"/>
        <v>0</v>
      </c>
      <c r="AK64" s="372">
        <f t="shared" ca="1" si="20"/>
        <v>0</v>
      </c>
      <c r="AL64" s="373">
        <f t="shared" ca="1" si="21"/>
        <v>0</v>
      </c>
      <c r="AM64" s="374">
        <f t="shared" ca="1" si="22"/>
        <v>0</v>
      </c>
      <c r="AN64" s="375">
        <f t="shared" ca="1" si="23"/>
        <v>0</v>
      </c>
    </row>
    <row r="65" spans="1:40" x14ac:dyDescent="0.2">
      <c r="A65" s="6" t="s">
        <v>31</v>
      </c>
      <c r="B65" s="7" t="s">
        <v>78</v>
      </c>
      <c r="H65" s="10" t="s">
        <v>904</v>
      </c>
      <c r="I65" s="25" t="e">
        <f ca="1">_xll.EVPRO($B$1,$H65,"STYLE")</f>
        <v>#NAME?</v>
      </c>
      <c r="J65" s="25" t="e">
        <f ca="1">_xll.EVPRO($B$1,$H65,"CALC")</f>
        <v>#NAME?</v>
      </c>
      <c r="K65" s="64" t="e">
        <f t="shared" ca="1" si="16"/>
        <v>#NAME?</v>
      </c>
      <c r="L65" s="24" t="e">
        <f ca="1">_xll.EVPRO($B$1,H65,"JDEID")</f>
        <v>#NAME?</v>
      </c>
      <c r="M65" s="24" t="e">
        <f ca="1">IF(AND(I65="N",J65="N"),_xll.EVPRO($B$1,H65,"PSFTID"),"")</f>
        <v>#NAME?</v>
      </c>
      <c r="N65" s="24" t="e">
        <f ca="1">IF(_xll.EVDES(H65,$B$1)="#NODATA","",_xll.EVDES(H65,$B$1))</f>
        <v>#NAME?</v>
      </c>
      <c r="O65" s="19">
        <v>2620.4899999999998</v>
      </c>
      <c r="P65" s="19">
        <v>2735.07</v>
      </c>
      <c r="Q65" s="19">
        <v>5247.38</v>
      </c>
      <c r="R65" s="19">
        <v>1735.07</v>
      </c>
      <c r="S65" s="19">
        <v>2705.11</v>
      </c>
      <c r="T65" s="19">
        <v>2339.11</v>
      </c>
      <c r="U65" s="19">
        <v>1977.11</v>
      </c>
      <c r="V65" s="19">
        <v>1772.11</v>
      </c>
      <c r="W65" s="19">
        <v>2677.11</v>
      </c>
      <c r="X65" s="19">
        <v>4129.6099999999997</v>
      </c>
      <c r="Y65" s="19">
        <v>2705.11</v>
      </c>
      <c r="Z65" s="19">
        <v>2204.5500000000002</v>
      </c>
      <c r="AA65" s="35" t="e">
        <f t="shared" ca="1" si="12"/>
        <v>#NAME?</v>
      </c>
      <c r="AB65" s="15" t="e">
        <f t="shared" ca="1" si="13"/>
        <v>#NAME?</v>
      </c>
      <c r="AD65" s="19">
        <v>32456.0000000004</v>
      </c>
      <c r="AE65" s="15" t="str">
        <f t="shared" ca="1" si="14"/>
        <v/>
      </c>
      <c r="AF65" s="47" t="e">
        <f t="shared" ca="1" si="15"/>
        <v>#NAME?</v>
      </c>
      <c r="AG65" s="19">
        <v>31296.36</v>
      </c>
      <c r="AH65" s="15" t="str">
        <f t="shared" ca="1" si="17"/>
        <v/>
      </c>
      <c r="AI65" s="47" t="e">
        <f t="shared" ca="1" si="18"/>
        <v>#NAME?</v>
      </c>
      <c r="AJ65" s="371">
        <f t="shared" ca="1" si="19"/>
        <v>0</v>
      </c>
      <c r="AK65" s="372">
        <f t="shared" ca="1" si="20"/>
        <v>0</v>
      </c>
      <c r="AL65" s="373">
        <f t="shared" ca="1" si="21"/>
        <v>0</v>
      </c>
      <c r="AM65" s="374">
        <f t="shared" ca="1" si="22"/>
        <v>0</v>
      </c>
      <c r="AN65" s="375">
        <f t="shared" ca="1" si="23"/>
        <v>0</v>
      </c>
    </row>
    <row r="66" spans="1:40" x14ac:dyDescent="0.2">
      <c r="A66" s="6" t="s">
        <v>32</v>
      </c>
      <c r="B66" s="7"/>
      <c r="H66" s="10" t="s">
        <v>905</v>
      </c>
      <c r="I66" s="25" t="e">
        <f ca="1">_xll.EVPRO($B$1,$H66,"STYLE")</f>
        <v>#NAME?</v>
      </c>
      <c r="J66" s="25" t="e">
        <f ca="1">_xll.EVPRO($B$1,$H66,"CALC")</f>
        <v>#NAME?</v>
      </c>
      <c r="K66" s="64" t="e">
        <f t="shared" ca="1" si="16"/>
        <v>#NAME?</v>
      </c>
      <c r="L66" s="24" t="e">
        <f ca="1">_xll.EVPRO($B$1,H66,"JDEID")</f>
        <v>#NAME?</v>
      </c>
      <c r="M66" s="24" t="e">
        <f ca="1">IF(AND(I66="N",J66="N"),_xll.EVPRO($B$1,H66,"PSFTID"),"")</f>
        <v>#NAME?</v>
      </c>
      <c r="N66" s="24" t="e">
        <f ca="1">IF(_xll.EVDES(H66,$B$1)="#NODATA","",_xll.EVDES(H66,$B$1))</f>
        <v>#NAME?</v>
      </c>
      <c r="O66" s="19">
        <v>2620.39</v>
      </c>
      <c r="P66" s="19">
        <v>1919.73</v>
      </c>
      <c r="Q66" s="19">
        <v>2557.7399999999998</v>
      </c>
      <c r="R66" s="19">
        <v>1437.23</v>
      </c>
      <c r="S66" s="19">
        <v>1191.81</v>
      </c>
      <c r="T66" s="19">
        <v>2830.23</v>
      </c>
      <c r="U66" s="19">
        <v>1727</v>
      </c>
      <c r="V66" s="19">
        <v>2615.7199999999998</v>
      </c>
      <c r="W66" s="19">
        <v>2717.12</v>
      </c>
      <c r="X66" s="19">
        <v>2011.67</v>
      </c>
      <c r="Y66" s="19">
        <v>1937.25</v>
      </c>
      <c r="Z66" s="19">
        <v>3383.54</v>
      </c>
      <c r="AA66" s="35" t="e">
        <f t="shared" ca="1" si="12"/>
        <v>#NAME?</v>
      </c>
      <c r="AB66" s="15" t="e">
        <f t="shared" ca="1" si="13"/>
        <v>#NAME?</v>
      </c>
      <c r="AD66" s="19">
        <v>25640</v>
      </c>
      <c r="AE66" s="15" t="str">
        <f t="shared" ca="1" si="14"/>
        <v/>
      </c>
      <c r="AF66" s="47" t="e">
        <f t="shared" ca="1" si="15"/>
        <v>#NAME?</v>
      </c>
      <c r="AG66" s="19">
        <v>38071.599999999999</v>
      </c>
      <c r="AH66" s="15" t="str">
        <f t="shared" ca="1" si="17"/>
        <v/>
      </c>
      <c r="AI66" s="47" t="e">
        <f t="shared" ca="1" si="18"/>
        <v>#NAME?</v>
      </c>
      <c r="AJ66" s="371">
        <f t="shared" ca="1" si="19"/>
        <v>0</v>
      </c>
      <c r="AK66" s="372">
        <f t="shared" ca="1" si="20"/>
        <v>0</v>
      </c>
      <c r="AL66" s="373">
        <f t="shared" ca="1" si="21"/>
        <v>0</v>
      </c>
      <c r="AM66" s="374">
        <f t="shared" ca="1" si="22"/>
        <v>0</v>
      </c>
      <c r="AN66" s="375">
        <f t="shared" ca="1" si="23"/>
        <v>0</v>
      </c>
    </row>
    <row r="67" spans="1:40" x14ac:dyDescent="0.2">
      <c r="A67" s="6" t="s">
        <v>33</v>
      </c>
      <c r="B67" s="7"/>
      <c r="H67" s="10" t="s">
        <v>906</v>
      </c>
      <c r="I67" s="25" t="e">
        <f ca="1">_xll.EVPRO($B$1,$H67,"STYLE")</f>
        <v>#NAME?</v>
      </c>
      <c r="J67" s="25" t="e">
        <f ca="1">_xll.EVPRO($B$1,$H67,"CALC")</f>
        <v>#NAME?</v>
      </c>
      <c r="K67" s="64" t="e">
        <f t="shared" ca="1" si="16"/>
        <v>#NAME?</v>
      </c>
      <c r="L67" s="24" t="e">
        <f ca="1">_xll.EVPRO($B$1,H67,"JDEID")</f>
        <v>#NAME?</v>
      </c>
      <c r="M67" s="24" t="e">
        <f ca="1">IF(AND(I67="N",J67="N"),_xll.EVPRO($B$1,H67,"PSFTID"),"")</f>
        <v>#NAME?</v>
      </c>
      <c r="N67" s="24" t="e">
        <f ca="1">IF(_xll.EVDES(H67,$B$1)="#NODATA","",_xll.EVDES(H67,$B$1))</f>
        <v>#NAME?</v>
      </c>
      <c r="O67" s="19">
        <v>3415.5</v>
      </c>
      <c r="P67" s="19">
        <v>2850</v>
      </c>
      <c r="Q67" s="19">
        <v>2850.49</v>
      </c>
      <c r="R67" s="19">
        <v>2532</v>
      </c>
      <c r="S67" s="19">
        <v>2500</v>
      </c>
      <c r="T67" s="19">
        <v>2500</v>
      </c>
      <c r="U67" s="19">
        <v>2950</v>
      </c>
      <c r="V67" s="19">
        <v>2500</v>
      </c>
      <c r="W67" s="19">
        <v>2878.23</v>
      </c>
      <c r="X67" s="19">
        <v>2500</v>
      </c>
      <c r="Y67" s="19">
        <v>2850</v>
      </c>
      <c r="Z67" s="19">
        <v>2645</v>
      </c>
      <c r="AA67" s="35" t="e">
        <f t="shared" ca="1" si="12"/>
        <v>#NAME?</v>
      </c>
      <c r="AB67" s="15" t="e">
        <f t="shared" ca="1" si="13"/>
        <v>#NAME?</v>
      </c>
      <c r="AD67" s="19">
        <v>34200</v>
      </c>
      <c r="AE67" s="15" t="str">
        <f t="shared" ca="1" si="14"/>
        <v/>
      </c>
      <c r="AF67" s="47" t="e">
        <f t="shared" ca="1" si="15"/>
        <v>#NAME?</v>
      </c>
      <c r="AG67" s="19">
        <v>43125.22</v>
      </c>
      <c r="AH67" s="15" t="str">
        <f t="shared" ca="1" si="17"/>
        <v/>
      </c>
      <c r="AI67" s="47" t="e">
        <f t="shared" ca="1" si="18"/>
        <v>#NAME?</v>
      </c>
      <c r="AJ67" s="371">
        <f t="shared" ca="1" si="19"/>
        <v>0</v>
      </c>
      <c r="AK67" s="372">
        <f t="shared" ca="1" si="20"/>
        <v>0</v>
      </c>
      <c r="AL67" s="373">
        <f t="shared" ca="1" si="21"/>
        <v>0</v>
      </c>
      <c r="AM67" s="374">
        <f t="shared" ca="1" si="22"/>
        <v>0</v>
      </c>
      <c r="AN67" s="375">
        <f t="shared" ca="1" si="23"/>
        <v>0</v>
      </c>
    </row>
    <row r="68" spans="1:40" x14ac:dyDescent="0.2">
      <c r="A68" s="6" t="s">
        <v>34</v>
      </c>
      <c r="B68" s="7"/>
      <c r="H68" s="10" t="s">
        <v>907</v>
      </c>
      <c r="I68" s="25" t="e">
        <f ca="1">_xll.EVPRO($B$1,$H68,"STYLE")</f>
        <v>#NAME?</v>
      </c>
      <c r="J68" s="25" t="e">
        <f ca="1">_xll.EVPRO($B$1,$H68,"CALC")</f>
        <v>#NAME?</v>
      </c>
      <c r="K68" s="64" t="e">
        <f t="shared" ca="1" si="16"/>
        <v>#NAME?</v>
      </c>
      <c r="L68" s="24" t="e">
        <f ca="1">_xll.EVPRO($B$1,H68,"JDEID")</f>
        <v>#NAME?</v>
      </c>
      <c r="M68" s="24" t="e">
        <f ca="1">IF(AND(I68="N",J68="N"),_xll.EVPRO($B$1,H68,"PSFTID"),"")</f>
        <v>#NAME?</v>
      </c>
      <c r="N68" s="24" t="e">
        <f ca="1">IF(_xll.EVDES(H68,$B$1)="#NODATA","",_xll.EVDES(H68,$B$1))</f>
        <v>#NAME?</v>
      </c>
      <c r="O68" s="19">
        <v>302.08999999999997</v>
      </c>
      <c r="P68" s="19">
        <v>236.87</v>
      </c>
      <c r="Q68" s="19">
        <v>553.33000000000004</v>
      </c>
      <c r="R68" s="19">
        <v>-432.21</v>
      </c>
      <c r="S68" s="19"/>
      <c r="T68" s="19">
        <v>154.22999999999999</v>
      </c>
      <c r="U68" s="19">
        <v>199.73</v>
      </c>
      <c r="V68" s="19">
        <v>55.02</v>
      </c>
      <c r="W68" s="19">
        <v>437.54</v>
      </c>
      <c r="X68" s="19">
        <v>105</v>
      </c>
      <c r="Y68" s="19">
        <v>475.8</v>
      </c>
      <c r="Z68" s="19">
        <v>192.36</v>
      </c>
      <c r="AA68" s="35" t="e">
        <f t="shared" ca="1" si="12"/>
        <v>#NAME?</v>
      </c>
      <c r="AB68" s="15" t="e">
        <f t="shared" ca="1" si="13"/>
        <v>#NAME?</v>
      </c>
      <c r="AD68" s="19">
        <v>3354</v>
      </c>
      <c r="AE68" s="15" t="str">
        <f t="shared" ca="1" si="14"/>
        <v/>
      </c>
      <c r="AF68" s="47" t="e">
        <f t="shared" ca="1" si="15"/>
        <v>#NAME?</v>
      </c>
      <c r="AG68" s="19">
        <v>3851.71</v>
      </c>
      <c r="AH68" s="15" t="str">
        <f t="shared" ca="1" si="17"/>
        <v/>
      </c>
      <c r="AI68" s="47" t="e">
        <f t="shared" ca="1" si="18"/>
        <v>#NAME?</v>
      </c>
      <c r="AJ68" s="371">
        <f t="shared" ca="1" si="19"/>
        <v>0</v>
      </c>
      <c r="AK68" s="372">
        <f t="shared" ca="1" si="20"/>
        <v>0</v>
      </c>
      <c r="AL68" s="373">
        <f t="shared" ca="1" si="21"/>
        <v>0</v>
      </c>
      <c r="AM68" s="374">
        <f t="shared" ca="1" si="22"/>
        <v>0</v>
      </c>
      <c r="AN68" s="375">
        <f t="shared" ca="1" si="23"/>
        <v>0</v>
      </c>
    </row>
    <row r="69" spans="1:40" x14ac:dyDescent="0.2">
      <c r="A69" s="6" t="s">
        <v>35</v>
      </c>
      <c r="B69" s="7"/>
      <c r="H69" s="10" t="s">
        <v>908</v>
      </c>
      <c r="I69" s="25" t="e">
        <f ca="1">_xll.EVPRO($B$1,$H69,"STYLE")</f>
        <v>#NAME?</v>
      </c>
      <c r="J69" s="25" t="e">
        <f ca="1">_xll.EVPRO($B$1,$H69,"CALC")</f>
        <v>#NAME?</v>
      </c>
      <c r="K69" s="64" t="e">
        <f t="shared" ca="1" si="16"/>
        <v>#NAME?</v>
      </c>
      <c r="L69" s="24" t="e">
        <f ca="1">_xll.EVPRO($B$1,H69,"JDEID")</f>
        <v>#NAME?</v>
      </c>
      <c r="M69" s="24" t="e">
        <f ca="1">IF(AND(I69="N",J69="N"),_xll.EVPRO($B$1,H69,"PSFTID"),"")</f>
        <v>#NAME?</v>
      </c>
      <c r="N69" s="24" t="e">
        <f ca="1">IF(_xll.EVDES(H69,$B$1)="#NODATA","",_xll.EVDES(H69,$B$1))</f>
        <v>#NAME?</v>
      </c>
      <c r="O69" s="19">
        <v>709.77</v>
      </c>
      <c r="P69" s="19">
        <v>790.28</v>
      </c>
      <c r="Q69" s="19">
        <v>763.85</v>
      </c>
      <c r="R69" s="19">
        <v>-842.9</v>
      </c>
      <c r="S69" s="19">
        <v>257.08999999999997</v>
      </c>
      <c r="T69" s="19">
        <v>141.91999999999999</v>
      </c>
      <c r="U69" s="19">
        <v>30.29</v>
      </c>
      <c r="V69" s="19">
        <v>482.89</v>
      </c>
      <c r="W69" s="19">
        <v>256.70999999999998</v>
      </c>
      <c r="X69" s="19">
        <v>127.42</v>
      </c>
      <c r="Y69" s="19">
        <v>517.04999999999995</v>
      </c>
      <c r="Z69" s="19">
        <v>-137.79</v>
      </c>
      <c r="AA69" s="35" t="e">
        <f t="shared" ca="1" si="12"/>
        <v>#NAME?</v>
      </c>
      <c r="AB69" s="15" t="e">
        <f t="shared" ca="1" si="13"/>
        <v>#NAME?</v>
      </c>
      <c r="AD69" s="19">
        <v>6730.3268760000001</v>
      </c>
      <c r="AE69" s="15" t="str">
        <f t="shared" ca="1" si="14"/>
        <v/>
      </c>
      <c r="AF69" s="47" t="e">
        <f t="shared" ca="1" si="15"/>
        <v>#NAME?</v>
      </c>
      <c r="AG69" s="19">
        <v>8760.48</v>
      </c>
      <c r="AH69" s="15" t="str">
        <f t="shared" ca="1" si="17"/>
        <v/>
      </c>
      <c r="AI69" s="47" t="e">
        <f t="shared" ca="1" si="18"/>
        <v>#NAME?</v>
      </c>
      <c r="AJ69" s="371">
        <f t="shared" ca="1" si="19"/>
        <v>0</v>
      </c>
      <c r="AK69" s="372">
        <f t="shared" ca="1" si="20"/>
        <v>0</v>
      </c>
      <c r="AL69" s="373">
        <f t="shared" ca="1" si="21"/>
        <v>0</v>
      </c>
      <c r="AM69" s="374">
        <f t="shared" ca="1" si="22"/>
        <v>0</v>
      </c>
      <c r="AN69" s="375">
        <f t="shared" ca="1" si="23"/>
        <v>0</v>
      </c>
    </row>
    <row r="70" spans="1:40" x14ac:dyDescent="0.2">
      <c r="A70" s="6" t="s">
        <v>36</v>
      </c>
      <c r="B70" s="7"/>
      <c r="H70" s="10" t="s">
        <v>909</v>
      </c>
      <c r="I70" s="25" t="e">
        <f ca="1">_xll.EVPRO($B$1,$H70,"STYLE")</f>
        <v>#NAME?</v>
      </c>
      <c r="J70" s="25" t="e">
        <f ca="1">_xll.EVPRO($B$1,$H70,"CALC")</f>
        <v>#NAME?</v>
      </c>
      <c r="K70" s="64" t="e">
        <f t="shared" ca="1" si="16"/>
        <v>#NAME?</v>
      </c>
      <c r="L70" s="24" t="e">
        <f ca="1">_xll.EVPRO($B$1,H70,"JDEID")</f>
        <v>#NAME?</v>
      </c>
      <c r="M70" s="24" t="e">
        <f ca="1">IF(AND(I70="N",J70="N"),_xll.EVPRO($B$1,H70,"PSFTID"),"")</f>
        <v>#NAME?</v>
      </c>
      <c r="N70" s="24" t="e">
        <f ca="1">IF(_xll.EVDES(H70,$B$1)="#NODATA","",_xll.EVDES(H70,$B$1))</f>
        <v>#NAME?</v>
      </c>
      <c r="O70" s="19">
        <v>2605.44</v>
      </c>
      <c r="P70" s="19">
        <v>2459.9499999999998</v>
      </c>
      <c r="Q70" s="19">
        <v>2586.44</v>
      </c>
      <c r="R70" s="19">
        <v>2549.54</v>
      </c>
      <c r="S70" s="19">
        <v>2549.54</v>
      </c>
      <c r="T70" s="19">
        <v>2549.54</v>
      </c>
      <c r="U70" s="19">
        <v>2549.54</v>
      </c>
      <c r="V70" s="19">
        <v>2549.54</v>
      </c>
      <c r="W70" s="19">
        <v>2549.54</v>
      </c>
      <c r="X70" s="19">
        <v>2587.7800000000002</v>
      </c>
      <c r="Y70" s="19">
        <v>2549.54</v>
      </c>
      <c r="Z70" s="19">
        <v>2588.36</v>
      </c>
      <c r="AA70" s="35" t="e">
        <f t="shared" ca="1" si="12"/>
        <v>#NAME?</v>
      </c>
      <c r="AB70" s="15" t="e">
        <f t="shared" ca="1" si="13"/>
        <v>#NAME?</v>
      </c>
      <c r="AD70" s="19">
        <v>28800</v>
      </c>
      <c r="AE70" s="15" t="str">
        <f t="shared" ca="1" si="14"/>
        <v/>
      </c>
      <c r="AF70" s="47" t="e">
        <f t="shared" ca="1" si="15"/>
        <v>#NAME?</v>
      </c>
      <c r="AG70" s="19">
        <v>43835.73</v>
      </c>
      <c r="AH70" s="15" t="str">
        <f t="shared" ca="1" si="17"/>
        <v/>
      </c>
      <c r="AI70" s="47" t="e">
        <f t="shared" ca="1" si="18"/>
        <v>#NAME?</v>
      </c>
      <c r="AJ70" s="371">
        <f t="shared" ca="1" si="19"/>
        <v>0</v>
      </c>
      <c r="AK70" s="372">
        <f t="shared" ca="1" si="20"/>
        <v>0</v>
      </c>
      <c r="AL70" s="373">
        <f t="shared" ca="1" si="21"/>
        <v>0</v>
      </c>
      <c r="AM70" s="374">
        <f t="shared" ca="1" si="22"/>
        <v>0</v>
      </c>
      <c r="AN70" s="375">
        <f t="shared" ca="1" si="23"/>
        <v>0</v>
      </c>
    </row>
    <row r="71" spans="1:40" x14ac:dyDescent="0.2">
      <c r="A71" s="6" t="s">
        <v>37</v>
      </c>
      <c r="B71" s="7"/>
      <c r="H71" s="10" t="s">
        <v>79</v>
      </c>
      <c r="I71" s="25" t="e">
        <f ca="1">_xll.EVPRO($B$1,$H71,"STYLE")</f>
        <v>#NAME?</v>
      </c>
      <c r="J71" s="25" t="e">
        <f ca="1">_xll.EVPRO($B$1,$H71,"CALC")</f>
        <v>#NAME?</v>
      </c>
      <c r="K71" s="24"/>
      <c r="N71" s="23" t="e">
        <f ca="1">IF(_xll.EVDES(H71,$B$1)="#NODATA","",_xll.EVDES(H71,$B$1))</f>
        <v>#NAME?</v>
      </c>
      <c r="O71" s="30">
        <v>20071.259999999998</v>
      </c>
      <c r="P71" s="30">
        <v>20009.330000000002</v>
      </c>
      <c r="Q71" s="30">
        <v>26127.68</v>
      </c>
      <c r="R71" s="30">
        <v>163.22999999999999</v>
      </c>
      <c r="S71" s="30">
        <v>18310.990000000002</v>
      </c>
      <c r="T71" s="30">
        <v>18849.599999999999</v>
      </c>
      <c r="U71" s="30">
        <v>16163.34</v>
      </c>
      <c r="V71" s="30">
        <v>18404.88</v>
      </c>
      <c r="W71" s="30">
        <v>19024.32</v>
      </c>
      <c r="X71" s="30">
        <v>20080.939999999999</v>
      </c>
      <c r="Y71" s="30">
        <v>24315.54</v>
      </c>
      <c r="Z71" s="30">
        <v>22739.53</v>
      </c>
      <c r="AA71" s="30" t="e">
        <f t="shared" ca="1" si="12"/>
        <v>#NAME?</v>
      </c>
      <c r="AB71" s="31" t="e">
        <f t="shared" ca="1" si="13"/>
        <v>#NAME?</v>
      </c>
      <c r="AD71" s="30">
        <v>247330.32687600001</v>
      </c>
      <c r="AE71" s="31" t="str">
        <f t="shared" ca="1" si="14"/>
        <v/>
      </c>
      <c r="AF71" s="49" t="e">
        <f t="shared" ca="1" si="15"/>
        <v>#NAME?</v>
      </c>
      <c r="AG71" s="30">
        <v>324617.96000000002</v>
      </c>
      <c r="AH71" s="31" t="str">
        <f ca="1">IF(AG71=0,"",IFERROR(AG71/AG$19,""))</f>
        <v/>
      </c>
      <c r="AI71" s="49" t="e">
        <f ca="1">IF(AND($AA71="",AG71=""),"",$AA71-AG71)</f>
        <v>#NAME?</v>
      </c>
      <c r="AJ71" s="387">
        <f ca="1">IFERROR(AA71/AA$20,0)</f>
        <v>0</v>
      </c>
      <c r="AK71" s="388">
        <f ca="1">IFERROR(AD71/AD$20,0)</f>
        <v>0</v>
      </c>
      <c r="AL71" s="389">
        <f ca="1">IFERROR(AG71/AG$20,0)</f>
        <v>0</v>
      </c>
      <c r="AM71" s="390">
        <f ca="1">+IFERROR(ROUND(($AB71-AE71)*100,2)&amp;" pts.",0)</f>
        <v>0</v>
      </c>
      <c r="AN71" s="408">
        <f ca="1">+IFERROR(ROUND(($AB71-AH71)*100,2)&amp;" pts.",0)</f>
        <v>0</v>
      </c>
    </row>
    <row r="72" spans="1:40" x14ac:dyDescent="0.2">
      <c r="A72" s="6" t="s">
        <v>38</v>
      </c>
      <c r="B72" s="7"/>
    </row>
    <row r="73" spans="1:40" x14ac:dyDescent="0.2">
      <c r="A73" s="6" t="s">
        <v>39</v>
      </c>
      <c r="B73" s="7"/>
      <c r="H73" s="10" t="s">
        <v>80</v>
      </c>
      <c r="I73" s="25" t="e">
        <f ca="1">_xll.EVPRO($B$1,$H73,"STYLE")</f>
        <v>#NAME?</v>
      </c>
      <c r="J73" s="25" t="e">
        <f ca="1">_xll.EVPRO($B$1,$H73,"CALC")</f>
        <v>#NAME?</v>
      </c>
      <c r="K73" s="23"/>
      <c r="N73" s="23" t="e">
        <f ca="1">IF(_xll.EVDES(H73,$B$1)="#NODATA","",_xll.EVDES(H73,$B$1))</f>
        <v>#NAME?</v>
      </c>
      <c r="O73" s="33">
        <v>58094.64</v>
      </c>
      <c r="P73" s="33">
        <v>56367.62</v>
      </c>
      <c r="Q73" s="33">
        <v>65249.599999999999</v>
      </c>
      <c r="R73" s="33">
        <v>34850.730000000003</v>
      </c>
      <c r="S73" s="33">
        <v>49079.519999999997</v>
      </c>
      <c r="T73" s="33">
        <v>44246.559999999998</v>
      </c>
      <c r="U73" s="33">
        <v>47120.160000000003</v>
      </c>
      <c r="V73" s="33">
        <v>49328.7</v>
      </c>
      <c r="W73" s="33">
        <v>51767.22</v>
      </c>
      <c r="X73" s="33">
        <v>51874.43</v>
      </c>
      <c r="Y73" s="33">
        <v>53670.04</v>
      </c>
      <c r="Z73" s="33">
        <v>49707.07</v>
      </c>
      <c r="AA73" s="33" t="e">
        <f ca="1">IF($I73="B1","",SUM(O73:Z73))</f>
        <v>#NAME?</v>
      </c>
      <c r="AB73" s="34" t="e">
        <f ca="1">IF(AA73=0,"",IFERROR(AA73/AA$19,""))</f>
        <v>#NAME?</v>
      </c>
      <c r="AD73" s="33">
        <v>691360.83388510102</v>
      </c>
      <c r="AE73" s="34" t="str">
        <f ca="1">IF(AD73=0,"",IFERROR(AD73/AD$19,""))</f>
        <v/>
      </c>
      <c r="AF73" s="55" t="e">
        <f ca="1">IF(AND($AA73="",AD73=""),"",$AA73-AD73)</f>
        <v>#NAME?</v>
      </c>
      <c r="AG73" s="56">
        <v>729043.61</v>
      </c>
      <c r="AH73" s="57" t="str">
        <f ca="1">IF(AG73=0,"",IFERROR(AG73/AG$19,""))</f>
        <v/>
      </c>
      <c r="AI73" s="55" t="e">
        <f ca="1">IF(AND($AA73="",AG73=""),"",$AA73-AG73)</f>
        <v>#NAME?</v>
      </c>
      <c r="AJ73" s="364">
        <f ca="1">IFERROR(AA73/AA$20,0)</f>
        <v>0</v>
      </c>
      <c r="AK73" s="365">
        <f ca="1">IFERROR(AD73/AD$20,0)</f>
        <v>0</v>
      </c>
      <c r="AL73" s="366">
        <f ca="1">IFERROR(AG73/AG$20,0)</f>
        <v>0</v>
      </c>
      <c r="AM73" s="367">
        <f ca="1">+IFERROR(ROUND(($AB73-AE73)*100,2)&amp;" pts.",0)</f>
        <v>0</v>
      </c>
      <c r="AN73" s="409">
        <f ca="1">+IFERROR(ROUND(($AB73-AH73)*100,2)&amp;" pts.",0)</f>
        <v>0</v>
      </c>
    </row>
    <row r="74" spans="1:40" ht="16" thickBot="1" x14ac:dyDescent="0.25">
      <c r="A74" s="6" t="s">
        <v>40</v>
      </c>
      <c r="B74" s="7"/>
      <c r="H74" s="10" t="s">
        <v>81</v>
      </c>
      <c r="I74" s="25" t="e">
        <f ca="1">_xll.EVPRO($B$1,$H74,"STYLE")</f>
        <v>#NAME?</v>
      </c>
      <c r="J74" s="25" t="e">
        <f ca="1">_xll.EVPRO($B$1,$H74,"CALC")</f>
        <v>#NAME?</v>
      </c>
      <c r="K74" s="23"/>
      <c r="N74" s="23" t="e">
        <f ca="1">IF(_xll.EVDES(H74,$B$1)="#NODATA","",_xll.EVDES(H74,$B$1))</f>
        <v>#NAME?</v>
      </c>
      <c r="O74" s="58">
        <v>-58094.64</v>
      </c>
      <c r="P74" s="58">
        <v>-56367.62</v>
      </c>
      <c r="Q74" s="58">
        <v>-65249.599999999999</v>
      </c>
      <c r="R74" s="58">
        <v>-34850.730000000003</v>
      </c>
      <c r="S74" s="58">
        <v>-49079.519999999997</v>
      </c>
      <c r="T74" s="58">
        <v>-44246.559999999998</v>
      </c>
      <c r="U74" s="58">
        <v>-47120.160000000003</v>
      </c>
      <c r="V74" s="58">
        <v>-49328.7</v>
      </c>
      <c r="W74" s="58">
        <v>-51767.22</v>
      </c>
      <c r="X74" s="58">
        <v>-51874.43</v>
      </c>
      <c r="Y74" s="58">
        <v>-53670.04</v>
      </c>
      <c r="Z74" s="58">
        <v>-49707.07</v>
      </c>
      <c r="AA74" s="58" t="e">
        <f ca="1">IF($I74="B1","",SUM(O74:Z74))</f>
        <v>#NAME?</v>
      </c>
      <c r="AB74" s="59" t="e">
        <f ca="1">IF(AA74=0,"",IFERROR(AA74/AA$19,""))</f>
        <v>#NAME?</v>
      </c>
      <c r="AD74" s="58">
        <v>-691360.83388510195</v>
      </c>
      <c r="AE74" s="59" t="str">
        <f ca="1">IF(AD74=0,"",IFERROR(AD74/AD$19,""))</f>
        <v/>
      </c>
      <c r="AF74" s="60" t="e">
        <f ca="1">IF(AND($AA74="",AD74=""),"",$AA74-AD74)</f>
        <v>#NAME?</v>
      </c>
      <c r="AG74" s="58">
        <v>-729043.61</v>
      </c>
      <c r="AH74" s="59" t="str">
        <f ca="1">IF(AG74=0,"",IFERROR(AG74/AG$19,""))</f>
        <v/>
      </c>
      <c r="AI74" s="60" t="e">
        <f ca="1">IF(AND($AA74="",AG74=""),"",$AA74-AG74)</f>
        <v>#NAME?</v>
      </c>
      <c r="AJ74" s="402">
        <f ca="1">IFERROR(AA74/AA$20,0)</f>
        <v>0</v>
      </c>
      <c r="AK74" s="403">
        <f ca="1">IFERROR(AD74/AD$20,0)</f>
        <v>0</v>
      </c>
      <c r="AL74" s="404">
        <f ca="1">IFERROR(AG74/AG$20,0)</f>
        <v>0</v>
      </c>
      <c r="AM74" s="405">
        <f ca="1">+IFERROR(ROUND(($AB74-AE74)*100,2)&amp;" pts.",0)</f>
        <v>0</v>
      </c>
      <c r="AN74" s="410">
        <f ca="1">+IFERROR(ROUND(($AB74-AH74)*100,2)&amp;" pts.",0)</f>
        <v>0</v>
      </c>
    </row>
    <row r="75" spans="1:40" ht="16" thickTop="1" x14ac:dyDescent="0.2">
      <c r="A75" s="6" t="s">
        <v>41</v>
      </c>
      <c r="B75" s="7"/>
    </row>
    <row r="76" spans="1:40" x14ac:dyDescent="0.2">
      <c r="A76" s="6" t="s">
        <v>42</v>
      </c>
      <c r="B76" s="7"/>
      <c r="N76" s="24" t="e">
        <f ca="1">N73&amp;" - Check"</f>
        <v>#NAME?</v>
      </c>
      <c r="O76" s="124">
        <f t="shared" ref="O76:AA76" si="24">SUMIF($H$33:$H$74,"600000",O$33:O$74)+SUMIF($H$33:$H$74,"700000",O$33:O$74)-SUMIF($H$33:$H$74,"TOTDEPTEXP",O$33:O$74)</f>
        <v>0</v>
      </c>
      <c r="P76" s="124">
        <f t="shared" si="24"/>
        <v>0</v>
      </c>
      <c r="Q76" s="124">
        <f t="shared" si="24"/>
        <v>0</v>
      </c>
      <c r="R76" s="124">
        <f t="shared" si="24"/>
        <v>0</v>
      </c>
      <c r="S76" s="124">
        <f t="shared" si="24"/>
        <v>0</v>
      </c>
      <c r="T76" s="124">
        <f t="shared" si="24"/>
        <v>0</v>
      </c>
      <c r="U76" s="124">
        <f t="shared" si="24"/>
        <v>0</v>
      </c>
      <c r="V76" s="124">
        <f t="shared" si="24"/>
        <v>0</v>
      </c>
      <c r="W76" s="124">
        <f t="shared" si="24"/>
        <v>0</v>
      </c>
      <c r="X76" s="124">
        <f t="shared" si="24"/>
        <v>0</v>
      </c>
      <c r="Y76" s="124">
        <f t="shared" si="24"/>
        <v>0</v>
      </c>
      <c r="Z76" s="124">
        <f t="shared" si="24"/>
        <v>0</v>
      </c>
      <c r="AA76" s="124" t="e">
        <f t="shared" ca="1" si="24"/>
        <v>#NAME?</v>
      </c>
      <c r="AB76" s="15"/>
      <c r="AD76" s="124">
        <f>SUMIF($H$33:$H$74,"600000",AD$33:AD$74)+SUMIF($H$33:$H$74,"700000",AD$33:AD$74)-SUMIF($H$33:$H$74,"TOTDEPTEXP",AD$33:AD$74)</f>
        <v>0</v>
      </c>
      <c r="AE76" s="15"/>
      <c r="AF76" s="19"/>
      <c r="AG76" s="124">
        <f>SUMIF($H$33:$H$74,"600000",AG$33:AG$74)+SUMIF($H$33:$H$74,"700000",AG$33:AG$74)-SUMIF($H$33:$H$74,"TOTDEPTEXP",AG$33:AG$74)</f>
        <v>0</v>
      </c>
      <c r="AH76" s="15"/>
      <c r="AI76" s="19"/>
    </row>
    <row r="77" spans="1:40" x14ac:dyDescent="0.2">
      <c r="A77" s="6" t="s">
        <v>43</v>
      </c>
      <c r="B77" s="7"/>
      <c r="N77" s="24" t="e">
        <f ca="1">N74&amp;" - Check"</f>
        <v>#NAME?</v>
      </c>
      <c r="O77" s="124">
        <f t="shared" ref="O77:AA77" si="25">SUMIF($H$33:$H$74,"TOTDEPTEXP",O$33:O$74)+SUMIF($H$33:$H$74,"TOTDEPTPL",O$33:O$74)</f>
        <v>0</v>
      </c>
      <c r="P77" s="124">
        <f t="shared" si="25"/>
        <v>0</v>
      </c>
      <c r="Q77" s="124">
        <f t="shared" si="25"/>
        <v>0</v>
      </c>
      <c r="R77" s="124">
        <f t="shared" si="25"/>
        <v>0</v>
      </c>
      <c r="S77" s="124">
        <f t="shared" si="25"/>
        <v>0</v>
      </c>
      <c r="T77" s="124">
        <f t="shared" si="25"/>
        <v>0</v>
      </c>
      <c r="U77" s="124">
        <f t="shared" si="25"/>
        <v>0</v>
      </c>
      <c r="V77" s="124">
        <f t="shared" si="25"/>
        <v>0</v>
      </c>
      <c r="W77" s="124">
        <f t="shared" si="25"/>
        <v>0</v>
      </c>
      <c r="X77" s="124">
        <f t="shared" si="25"/>
        <v>0</v>
      </c>
      <c r="Y77" s="124">
        <f t="shared" si="25"/>
        <v>0</v>
      </c>
      <c r="Z77" s="124">
        <f t="shared" si="25"/>
        <v>0</v>
      </c>
      <c r="AA77" s="124" t="e">
        <f t="shared" ca="1" si="25"/>
        <v>#NAME?</v>
      </c>
      <c r="AB77" s="15"/>
      <c r="AD77" s="124">
        <f>SUMIF($H$33:$H$74,"TOTDEPTEXP",AD$33:AD$74)+SUMIF($H$33:$H$74,"TOTDEPTPL",AD$33:AD$74)</f>
        <v>-9.3132257461547852E-10</v>
      </c>
      <c r="AE77" s="15"/>
      <c r="AF77" s="19"/>
      <c r="AG77" s="124">
        <f>SUMIF($H$33:$H$74,"TOTDEPTEXP",AG$33:AG$74)+SUMIF($H$33:$H$74,"TOTDEPTPL",AG$33:AG$74)</f>
        <v>0</v>
      </c>
      <c r="AH77" s="15"/>
      <c r="AI77" s="19"/>
    </row>
    <row r="78" spans="1:40" x14ac:dyDescent="0.2">
      <c r="A78" s="6" t="s">
        <v>44</v>
      </c>
      <c r="B78" s="7"/>
    </row>
    <row r="79" spans="1:40" x14ac:dyDescent="0.2">
      <c r="A79" s="6" t="s">
        <v>45</v>
      </c>
      <c r="B79" s="7"/>
    </row>
    <row r="80" spans="1:40" x14ac:dyDescent="0.2">
      <c r="A80" s="6" t="s">
        <v>46</v>
      </c>
      <c r="B80" s="7"/>
    </row>
    <row r="84" spans="8:10" x14ac:dyDescent="0.2">
      <c r="H84" s="11"/>
      <c r="J84" s="1"/>
    </row>
    <row r="85" spans="8:10" x14ac:dyDescent="0.2">
      <c r="H85" s="11"/>
      <c r="J85" s="1"/>
    </row>
    <row r="86" spans="8:10" x14ac:dyDescent="0.2">
      <c r="H86" s="11"/>
      <c r="J86" s="1"/>
    </row>
    <row r="87" spans="8:10" x14ac:dyDescent="0.2">
      <c r="H87" s="11"/>
      <c r="J87" s="1"/>
    </row>
    <row r="88" spans="8:10" x14ac:dyDescent="0.2">
      <c r="H88" s="11"/>
      <c r="J88" s="1"/>
    </row>
    <row r="89" spans="8:10" x14ac:dyDescent="0.2">
      <c r="H89" s="11"/>
      <c r="J89" s="1"/>
    </row>
    <row r="90" spans="8:10" x14ac:dyDescent="0.2">
      <c r="H90" s="11"/>
      <c r="J90" s="1"/>
    </row>
    <row r="91" spans="8:10" x14ac:dyDescent="0.2">
      <c r="H91" s="11"/>
      <c r="J91" s="1"/>
    </row>
    <row r="92" spans="8:10" x14ac:dyDescent="0.2">
      <c r="H92" s="11"/>
      <c r="J92" s="1"/>
    </row>
    <row r="93" spans="8:10" x14ac:dyDescent="0.2">
      <c r="H93" s="11"/>
      <c r="J93" s="1"/>
    </row>
    <row r="94" spans="8:10" x14ac:dyDescent="0.2">
      <c r="H94" s="11"/>
      <c r="J94" s="1"/>
    </row>
    <row r="95" spans="8:10" x14ac:dyDescent="0.2">
      <c r="H95" s="11"/>
      <c r="J95" s="1"/>
    </row>
    <row r="96" spans="8:10" x14ac:dyDescent="0.2">
      <c r="H96" s="11"/>
      <c r="J96" s="1"/>
    </row>
    <row r="97" spans="8:10" x14ac:dyDescent="0.2">
      <c r="H97" s="11"/>
      <c r="J97" s="1"/>
    </row>
    <row r="98" spans="8:10" x14ac:dyDescent="0.2">
      <c r="H98" s="11"/>
      <c r="J98" s="1"/>
    </row>
    <row r="99" spans="8:10" x14ac:dyDescent="0.2">
      <c r="H99" s="11"/>
      <c r="J99" s="1"/>
    </row>
    <row r="100" spans="8:10" x14ac:dyDescent="0.2">
      <c r="H100" s="11"/>
      <c r="J100" s="1"/>
    </row>
    <row r="101" spans="8:10" x14ac:dyDescent="0.2">
      <c r="H101" s="11"/>
      <c r="J101" s="1"/>
    </row>
    <row r="102" spans="8:10" x14ac:dyDescent="0.2">
      <c r="H102" s="11"/>
      <c r="J102" s="1"/>
    </row>
    <row r="103" spans="8:10" x14ac:dyDescent="0.2">
      <c r="H103" s="11"/>
      <c r="J103" s="1"/>
    </row>
    <row r="104" spans="8:10" x14ac:dyDescent="0.2">
      <c r="H104" s="11"/>
      <c r="J104" s="1"/>
    </row>
    <row r="105" spans="8:10" x14ac:dyDescent="0.2">
      <c r="H105" s="11"/>
      <c r="J105" s="1"/>
    </row>
    <row r="106" spans="8:10" x14ac:dyDescent="0.2">
      <c r="H106" s="11"/>
      <c r="J106" s="1"/>
    </row>
  </sheetData>
  <mergeCells count="2">
    <mergeCell ref="AD31:AE31"/>
    <mergeCell ref="AG31:AH31"/>
  </mergeCells>
  <dataValidations disablePrompts="1" count="2">
    <dataValidation type="list" allowBlank="1" sqref="B28" xr:uid="{00000000-0002-0000-5400-000000000000}">
      <formula1>"ACCOUNT,BUSINESSUNIT,CATEGORY,DATASRC,DEPARTMENT,INTCO,MEASURES,RPTCURRENCY,TIME"</formula1>
    </dataValidation>
    <dataValidation type="list" allowBlank="1" sqref="B29" xr:uid="{00000000-0002-0000-54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27">
    <pageSetUpPr fitToPage="1"/>
  </sheetPr>
  <dimension ref="A1:AO70"/>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1" hidden="1" customWidth="1" outlineLevel="1" collapsed="1"/>
    <col min="13" max="13" width="9.6640625" style="1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0"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c r="L1" s="69"/>
      <c r="M1" s="69"/>
      <c r="N1" s="69"/>
    </row>
    <row r="2" spans="1:35" hidden="1" outlineLevel="1" x14ac:dyDescent="0.2">
      <c r="A2" s="8" t="s">
        <v>22</v>
      </c>
      <c r="B2" s="12" t="s">
        <v>56</v>
      </c>
      <c r="C2" s="1" t="e">
        <f ca="1">_xll.EVDES(B2,$B$1)</f>
        <v>#NAME?</v>
      </c>
      <c r="I2" s="1"/>
      <c r="J2" s="1"/>
      <c r="L2" s="69"/>
      <c r="M2" s="69"/>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514</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row>
    <row r="12" spans="1:35" hidden="1" outlineLevel="1" x14ac:dyDescent="0.2">
      <c r="A12" s="1" t="s">
        <v>115</v>
      </c>
      <c r="B12" s="46" t="e">
        <f ca="1">_xll.EVPRO($B$1,$B$10,"YEAR")</f>
        <v>#NAME?</v>
      </c>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_xll.EVRNG(H34:H37)</f>
        <v>#NAME?</v>
      </c>
      <c r="G19" s="16" t="s">
        <v>499</v>
      </c>
      <c r="H19" s="16">
        <v>400000</v>
      </c>
      <c r="I19" s="17"/>
      <c r="J19" s="17"/>
      <c r="K19" s="16"/>
      <c r="L19" s="17"/>
      <c r="M19" s="17"/>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
        <v>749</v>
      </c>
      <c r="H20" s="16">
        <v>904100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row>
    <row r="22" spans="1:40" hidden="1" outlineLevel="1" x14ac:dyDescent="0.2">
      <c r="A22" s="6" t="s">
        <v>7</v>
      </c>
      <c r="B22" s="7"/>
    </row>
    <row r="23" spans="1:40" hidden="1" outlineLevel="1" x14ac:dyDescent="0.2">
      <c r="A23" s="6" t="s">
        <v>47</v>
      </c>
      <c r="B23" s="7" t="e">
        <f ca="1">_xll.EVRNG($A$37:$B$58)</f>
        <v>#NAME?</v>
      </c>
      <c r="K23" s="53"/>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IF(_xll.EVDES(B6,$B$1)="#NODATA","",_xll.EVDES(B6,$B$1)&amp;" Department")</f>
        <v>#NAME?</v>
      </c>
    </row>
    <row r="28" spans="1:40" ht="16" x14ac:dyDescent="0.2">
      <c r="A28" s="6" t="s">
        <v>12</v>
      </c>
      <c r="B28" s="7" t="s">
        <v>22</v>
      </c>
      <c r="N28" s="67" t="e">
        <f ca="1">"For the Period ended"&amp;" "&amp;IF(_xll.EVDES($B$10,$B$1)="#NODATA","",_xll.EVDES($B$10,$B$1))</f>
        <v>#NAME?</v>
      </c>
    </row>
    <row r="29" spans="1:40" ht="15" customHeight="1" x14ac:dyDescent="0.2">
      <c r="A29" s="6" t="s">
        <v>13</v>
      </c>
      <c r="B29" s="7" t="s">
        <v>515</v>
      </c>
      <c r="N29" s="67" t="e">
        <f ca="1">_xll.EVDES(B9,B1)</f>
        <v>#NAME?</v>
      </c>
    </row>
    <row r="30" spans="1:40" x14ac:dyDescent="0.2">
      <c r="A30" s="6" t="s">
        <v>14</v>
      </c>
      <c r="B30" s="14"/>
      <c r="O30" s="208"/>
      <c r="P30" s="209"/>
      <c r="Q30" s="209"/>
      <c r="R30" s="209"/>
      <c r="S30" s="209"/>
      <c r="T30" s="209"/>
      <c r="U30" s="209"/>
      <c r="V30" s="209"/>
      <c r="W30" s="209"/>
      <c r="X30" s="209"/>
      <c r="Y30" s="209"/>
      <c r="Z30" s="209"/>
      <c r="AA30" s="209"/>
      <c r="AB30" s="210"/>
      <c r="AD30" s="209"/>
      <c r="AE30" s="209"/>
      <c r="AF30" s="209"/>
      <c r="AG30" s="209"/>
      <c r="AH30" s="209"/>
      <c r="AI30" s="209"/>
      <c r="AJ30" s="208" t="s">
        <v>752</v>
      </c>
      <c r="AK30" s="209"/>
      <c r="AL30" s="210"/>
      <c r="AM30" s="209" t="s">
        <v>750</v>
      </c>
      <c r="AN30" s="209"/>
    </row>
    <row r="31" spans="1:40" x14ac:dyDescent="0.2">
      <c r="A31" s="6" t="s">
        <v>15</v>
      </c>
      <c r="B31" s="7"/>
      <c r="G31" s="13"/>
      <c r="K31" s="52"/>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t="s">
        <v>78</v>
      </c>
      <c r="H32" s="233"/>
      <c r="I32" s="234"/>
      <c r="J32" s="234"/>
      <c r="K32" s="235" t="s">
        <v>117</v>
      </c>
      <c r="L32" s="234"/>
      <c r="M32" s="234"/>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548</v>
      </c>
      <c r="I33" s="11" t="e">
        <f ca="1">_xll.EVPRO($B$1,$H33,"STYLE")</f>
        <v>#NAME?</v>
      </c>
      <c r="J33" s="11" t="e">
        <f ca="1">_xll.EVPRO($B$1,$H33,"CALC")</f>
        <v>#NAME?</v>
      </c>
      <c r="L33" s="1"/>
      <c r="M33" s="1"/>
      <c r="N33" s="37" t="e">
        <f ca="1">IF(_xll.EVDES(H33,$B$1)="#NODATA","",_xll.EVDES(H33,$B$1))</f>
        <v>#NAME?</v>
      </c>
      <c r="O33" s="40"/>
      <c r="P33" s="43"/>
      <c r="Q33" s="43"/>
      <c r="R33" s="43"/>
      <c r="S33" s="43"/>
      <c r="T33" s="43"/>
      <c r="U33" s="43"/>
      <c r="V33" s="43"/>
      <c r="W33" s="43"/>
      <c r="X33" s="43"/>
      <c r="Y33" s="43"/>
      <c r="Z33" s="43"/>
      <c r="AA33" s="43"/>
      <c r="AB33" s="41"/>
      <c r="AD33" s="40"/>
      <c r="AE33" s="43"/>
      <c r="AF33" s="41"/>
      <c r="AG33" s="40"/>
      <c r="AH33" s="43"/>
      <c r="AI33" s="41"/>
    </row>
    <row r="34" spans="1:40" x14ac:dyDescent="0.2">
      <c r="H34" s="10" t="s">
        <v>864</v>
      </c>
      <c r="I34" s="25" t="e">
        <f ca="1">_xll.EVPRO($B$1,$H34,"STYLE")</f>
        <v>#NAME?</v>
      </c>
      <c r="J34" s="25" t="e">
        <f ca="1">_xll.EVPRO($B$1,$H34,"CALC")</f>
        <v>#NAME?</v>
      </c>
      <c r="K34" s="64" t="e">
        <f ca="1">IF(AND(I34&gt;="T3"),"&gt;","")</f>
        <v>#NAME?</v>
      </c>
      <c r="L34" s="24" t="e">
        <f ca="1">_xll.EVPRO($B$1,H34,"JDEID")</f>
        <v>#NAME?</v>
      </c>
      <c r="M34" s="24" t="e">
        <f ca="1">IF(AND(I34="N",J34="N"),_xll.EVPRO($B$1,H34,"PSFTID"),"")</f>
        <v>#NAME?</v>
      </c>
      <c r="N34" s="24" t="e">
        <f ca="1">IF(_xll.EVDES(H34,$B$1)="#NODATA","",_xll.EVDES(H34,$B$1))</f>
        <v>#NAME?</v>
      </c>
      <c r="O34" s="19">
        <v>12295.8</v>
      </c>
      <c r="P34" s="19">
        <v>13879.24</v>
      </c>
      <c r="Q34" s="19">
        <v>13658.31</v>
      </c>
      <c r="R34" s="19">
        <v>14346.01</v>
      </c>
      <c r="S34" s="19">
        <v>14193.26</v>
      </c>
      <c r="T34" s="19">
        <v>18822.099999999999</v>
      </c>
      <c r="U34" s="19">
        <v>16828.580000000002</v>
      </c>
      <c r="V34" s="19">
        <v>15215.12</v>
      </c>
      <c r="W34" s="19">
        <v>15015.77</v>
      </c>
      <c r="X34" s="19">
        <v>15935.72</v>
      </c>
      <c r="Y34" s="19">
        <v>15716.17</v>
      </c>
      <c r="Z34" s="19">
        <v>9617.7900000000009</v>
      </c>
      <c r="AA34" s="35" t="e">
        <f ca="1">IF($I34="B1","",SUM(O34:Z34))</f>
        <v>#NAME?</v>
      </c>
      <c r="AB34" s="15" t="e">
        <f ca="1">IF(AA34=0,"",IFERROR(AA34/AA$19,""))</f>
        <v>#NAME?</v>
      </c>
      <c r="AD34" s="19">
        <v>177445</v>
      </c>
      <c r="AE34" s="15" t="str">
        <f ca="1">IF(AD34=0,"",IFERROR(AD34/AD$19,""))</f>
        <v/>
      </c>
      <c r="AF34" s="47" t="e">
        <f ca="1">IF(AND($AA34="",AD34=""),"",$AA34-AD34)</f>
        <v>#NAME?</v>
      </c>
      <c r="AG34" s="19">
        <v>191053.08</v>
      </c>
      <c r="AH34" s="15" t="str">
        <f ca="1">IF(AG34=0,"",IFERROR(AG34/AG$19,""))</f>
        <v/>
      </c>
      <c r="AI34" s="47" t="e">
        <f ca="1">IF(AND($AA34="",AG34=""),"",$AA34-AG34)</f>
        <v>#NAME?</v>
      </c>
      <c r="AJ34" s="371">
        <f ca="1">IFERROR(AA34/AA$20,0)</f>
        <v>0</v>
      </c>
      <c r="AK34" s="372">
        <f ca="1">IFERROR(AD34/AD$20,0)</f>
        <v>0</v>
      </c>
      <c r="AL34" s="373">
        <f ca="1">IFERROR(AG34/AG$20,0)</f>
        <v>0</v>
      </c>
      <c r="AM34" s="374">
        <f ca="1">+IFERROR(ROUND(($AB34-AE34)*100,2)&amp;" pts.",0)</f>
        <v>0</v>
      </c>
      <c r="AN34" s="375">
        <f ca="1">+IFERROR(ROUND(($AB34-AH34)*100,2)&amp;" pts.",0)</f>
        <v>0</v>
      </c>
    </row>
    <row r="35" spans="1:40" x14ac:dyDescent="0.2">
      <c r="C35" s="23"/>
      <c r="H35" s="10" t="s">
        <v>865</v>
      </c>
      <c r="I35" s="25" t="e">
        <f ca="1">_xll.EVPRO($B$1,$H35,"STYLE")</f>
        <v>#NAME?</v>
      </c>
      <c r="J35" s="25" t="e">
        <f ca="1">_xll.EVPRO($B$1,$H35,"CALC")</f>
        <v>#NAME?</v>
      </c>
      <c r="K35" s="64" t="e">
        <f t="shared" ref="K35:K37" ca="1" si="0">IF(AND(I35&gt;="T3"),"&gt;","")</f>
        <v>#NAME?</v>
      </c>
      <c r="L35" s="24" t="e">
        <f ca="1">_xll.EVPRO($B$1,H35,"JDEID")</f>
        <v>#NAME?</v>
      </c>
      <c r="M35" s="24" t="e">
        <f ca="1">IF(AND(I35="N",J35="N"),_xll.EVPRO($B$1,H35,"PSFTID"),"")</f>
        <v>#NAME?</v>
      </c>
      <c r="N35" s="24" t="e">
        <f ca="1">IF(_xll.EVDES(H35,$B$1)="#NODATA","",_xll.EVDES(H35,$B$1))</f>
        <v>#NAME?</v>
      </c>
      <c r="O35" s="19">
        <v>3020.99</v>
      </c>
      <c r="P35" s="19">
        <v>2830.39</v>
      </c>
      <c r="Q35" s="19">
        <v>1199.58</v>
      </c>
      <c r="R35" s="19">
        <v>3143.23</v>
      </c>
      <c r="S35" s="19">
        <v>2304.52</v>
      </c>
      <c r="T35" s="19">
        <v>3696.34</v>
      </c>
      <c r="U35" s="19">
        <v>1884.9</v>
      </c>
      <c r="V35" s="19">
        <v>2079.9299999999998</v>
      </c>
      <c r="W35" s="19">
        <v>1759.68</v>
      </c>
      <c r="X35" s="19">
        <v>1964.89</v>
      </c>
      <c r="Y35" s="19">
        <v>1701.6</v>
      </c>
      <c r="Z35" s="19">
        <v>2559.2399999999998</v>
      </c>
      <c r="AA35" s="35" t="e">
        <f ca="1">IF($I35="B1","",SUM(O35:Z35))</f>
        <v>#NAME?</v>
      </c>
      <c r="AB35" s="15" t="e">
        <f ca="1">IF(AA35=0,"",IFERROR(AA35/AA$19,""))</f>
        <v>#NAME?</v>
      </c>
      <c r="AD35" s="19">
        <v>24033</v>
      </c>
      <c r="AE35" s="15" t="str">
        <f ca="1">IF(AD35=0,"",IFERROR(AD35/AD$19,""))</f>
        <v/>
      </c>
      <c r="AF35" s="47" t="e">
        <f ca="1">IF(AND($AA35="",AD35=""),"",$AA35-AD35)</f>
        <v>#NAME?</v>
      </c>
      <c r="AG35" s="19">
        <v>11319.22</v>
      </c>
      <c r="AH35" s="15" t="str">
        <f t="shared" ref="AH35:AH37" ca="1" si="1">IF(AG35=0,"",IFERROR(AG35/AG$19,""))</f>
        <v/>
      </c>
      <c r="AI35" s="47" t="e">
        <f t="shared" ref="AI35:AI37" ca="1" si="2">IF(AND($AA35="",AG35=""),"",$AA35-AG35)</f>
        <v>#NAME?</v>
      </c>
      <c r="AJ35" s="371">
        <f t="shared" ref="AJ35:AJ37" ca="1" si="3">IFERROR(AA35/AA$20,0)</f>
        <v>0</v>
      </c>
      <c r="AK35" s="372">
        <f t="shared" ref="AK35:AK37" ca="1" si="4">IFERROR(AD35/AD$20,0)</f>
        <v>0</v>
      </c>
      <c r="AL35" s="373">
        <f t="shared" ref="AL35:AL37" ca="1" si="5">IFERROR(AG35/AG$20,0)</f>
        <v>0</v>
      </c>
      <c r="AM35" s="374">
        <f t="shared" ref="AM35:AM37" ca="1" si="6">+IFERROR(ROUND(($AB35-AE35)*100,2)&amp;" pts.",0)</f>
        <v>0</v>
      </c>
      <c r="AN35" s="375">
        <f t="shared" ref="AN35:AN37" ca="1" si="7">+IFERROR(ROUND(($AB35-AH35)*100,2)&amp;" pts.",0)</f>
        <v>0</v>
      </c>
    </row>
    <row r="36" spans="1:40" x14ac:dyDescent="0.2">
      <c r="A36" s="3" t="s">
        <v>23</v>
      </c>
      <c r="B36" s="5" t="s">
        <v>24</v>
      </c>
      <c r="H36" s="10" t="s">
        <v>866</v>
      </c>
      <c r="I36" s="25" t="e">
        <f ca="1">_xll.EVPRO($B$1,$H36,"STYLE")</f>
        <v>#NAME?</v>
      </c>
      <c r="J36" s="25" t="e">
        <f ca="1">_xll.EVPRO($B$1,$H36,"CALC")</f>
        <v>#NAME?</v>
      </c>
      <c r="K36" s="64" t="e">
        <f t="shared" ca="1" si="0"/>
        <v>#NAME?</v>
      </c>
      <c r="L36" s="24" t="e">
        <f ca="1">_xll.EVPRO($B$1,H36,"JDEID")</f>
        <v>#NAME?</v>
      </c>
      <c r="M36" s="24" t="e">
        <f ca="1">IF(AND(I36="N",J36="N"),_xll.EVPRO($B$1,H36,"PSFTID"),"")</f>
        <v>#NAME?</v>
      </c>
      <c r="N36" s="24" t="e">
        <f ca="1">IF(_xll.EVDES(H36,$B$1)="#NODATA","",_xll.EVDES(H36,$B$1))</f>
        <v>#NAME?</v>
      </c>
      <c r="O36" s="19">
        <v>7206.03</v>
      </c>
      <c r="P36" s="19">
        <v>5237.6099999999997</v>
      </c>
      <c r="Q36" s="19">
        <v>7016.67</v>
      </c>
      <c r="R36" s="19">
        <v>5657.22</v>
      </c>
      <c r="S36" s="19">
        <v>6283.23</v>
      </c>
      <c r="T36" s="19">
        <v>5538.07</v>
      </c>
      <c r="U36" s="19">
        <v>5635.14</v>
      </c>
      <c r="V36" s="19">
        <v>5386.11</v>
      </c>
      <c r="W36" s="19">
        <v>6978.8</v>
      </c>
      <c r="X36" s="19">
        <v>6175.35</v>
      </c>
      <c r="Y36" s="19">
        <v>5786.63</v>
      </c>
      <c r="Z36" s="19">
        <v>6921.94</v>
      </c>
      <c r="AA36" s="35" t="e">
        <f ca="1">IF($I36="B1","",SUM(O36:Z36))</f>
        <v>#NAME?</v>
      </c>
      <c r="AB36" s="15" t="e">
        <f ca="1">IF(AA36=0,"",IFERROR(AA36/AA$19,""))</f>
        <v>#NAME?</v>
      </c>
      <c r="AD36" s="19">
        <v>52186</v>
      </c>
      <c r="AE36" s="15" t="str">
        <f ca="1">IF(AD36=0,"",IFERROR(AD36/AD$19,""))</f>
        <v/>
      </c>
      <c r="AF36" s="47" t="e">
        <f ca="1">IF(AND($AA36="",AD36=""),"",$AA36-AD36)</f>
        <v>#NAME?</v>
      </c>
      <c r="AG36" s="19">
        <v>33983.339999999997</v>
      </c>
      <c r="AH36" s="15" t="str">
        <f t="shared" ca="1" si="1"/>
        <v/>
      </c>
      <c r="AI36" s="47" t="e">
        <f t="shared" ca="1" si="2"/>
        <v>#NAME?</v>
      </c>
      <c r="AJ36" s="371">
        <f t="shared" ca="1" si="3"/>
        <v>0</v>
      </c>
      <c r="AK36" s="372">
        <f t="shared" ca="1" si="4"/>
        <v>0</v>
      </c>
      <c r="AL36" s="373">
        <f t="shared" ca="1" si="5"/>
        <v>0</v>
      </c>
      <c r="AM36" s="374">
        <f t="shared" ca="1" si="6"/>
        <v>0</v>
      </c>
      <c r="AN36" s="375">
        <f t="shared" ca="1" si="7"/>
        <v>0</v>
      </c>
    </row>
    <row r="37" spans="1:40" x14ac:dyDescent="0.2">
      <c r="A37" s="6" t="s">
        <v>25</v>
      </c>
      <c r="B37" s="7"/>
      <c r="H37" s="10" t="s">
        <v>867</v>
      </c>
      <c r="I37" s="25" t="e">
        <f ca="1">_xll.EVPRO($B$1,$H37,"STYLE")</f>
        <v>#NAME?</v>
      </c>
      <c r="J37" s="25" t="e">
        <f ca="1">_xll.EVPRO($B$1,$H37,"CALC")</f>
        <v>#NAME?</v>
      </c>
      <c r="K37" s="64" t="e">
        <f t="shared" ca="1" si="0"/>
        <v>#NAME?</v>
      </c>
      <c r="L37" s="24" t="e">
        <f ca="1">_xll.EVPRO($B$1,H37,"JDEID")</f>
        <v>#NAME?</v>
      </c>
      <c r="M37" s="24" t="e">
        <f ca="1">IF(AND(I37="N",J37="N"),_xll.EVPRO($B$1,H37,"PSFTID"),"")</f>
        <v>#NAME?</v>
      </c>
      <c r="N37" s="24" t="e">
        <f ca="1">IF(_xll.EVDES(H37,$B$1)="#NODATA","",_xll.EVDES(H37,$B$1))</f>
        <v>#NAME?</v>
      </c>
      <c r="O37" s="19">
        <v>-3494.9</v>
      </c>
      <c r="P37" s="19">
        <v>-4166.67</v>
      </c>
      <c r="Q37" s="19">
        <v>-4166.67</v>
      </c>
      <c r="R37" s="19">
        <v>-4166.67</v>
      </c>
      <c r="S37" s="19">
        <v>-4166.67</v>
      </c>
      <c r="T37" s="19">
        <v>-4166.67</v>
      </c>
      <c r="U37" s="19">
        <v>-4166.67</v>
      </c>
      <c r="V37" s="19">
        <v>-4166.67</v>
      </c>
      <c r="W37" s="19">
        <v>-4166.67</v>
      </c>
      <c r="X37" s="19">
        <v>-4166.67</v>
      </c>
      <c r="Y37" s="19">
        <v>-4166.67</v>
      </c>
      <c r="Z37" s="19">
        <v>-4166.67</v>
      </c>
      <c r="AA37" s="35" t="e">
        <f ca="1">IF($I37="B1","",SUM(O37:Z37))</f>
        <v>#NAME?</v>
      </c>
      <c r="AB37" s="15" t="e">
        <f ca="1">IF(AA37=0,"",IFERROR(AA37/AA$19,""))</f>
        <v>#NAME?</v>
      </c>
      <c r="AD37" s="19">
        <v>-50000.0000000004</v>
      </c>
      <c r="AE37" s="15" t="str">
        <f ca="1">IF(AD37=0,"",IFERROR(AD37/AD$19,""))</f>
        <v/>
      </c>
      <c r="AF37" s="47" t="e">
        <f ca="1">IF(AND($AA37="",AD37=""),"",$AA37-AD37)</f>
        <v>#NAME?</v>
      </c>
      <c r="AG37" s="19"/>
      <c r="AH37" s="15" t="str">
        <f t="shared" si="1"/>
        <v/>
      </c>
      <c r="AI37" s="47" t="e">
        <f t="shared" ca="1" si="2"/>
        <v>#NAME?</v>
      </c>
      <c r="AJ37" s="371">
        <f t="shared" ca="1" si="3"/>
        <v>0</v>
      </c>
      <c r="AK37" s="372">
        <f t="shared" ca="1" si="4"/>
        <v>0</v>
      </c>
      <c r="AL37" s="373">
        <f t="shared" ca="1" si="5"/>
        <v>0</v>
      </c>
      <c r="AM37" s="374">
        <f t="shared" ca="1" si="6"/>
        <v>0</v>
      </c>
      <c r="AN37" s="375">
        <f t="shared" ca="1" si="7"/>
        <v>0</v>
      </c>
    </row>
    <row r="38" spans="1:40" x14ac:dyDescent="0.2">
      <c r="A38" s="6" t="s">
        <v>26</v>
      </c>
      <c r="B38" s="7"/>
      <c r="H38" s="10" t="s">
        <v>79</v>
      </c>
      <c r="I38" s="25" t="e">
        <f ca="1">_xll.EVPRO($B$1,$H38,"STYLE")</f>
        <v>#NAME?</v>
      </c>
      <c r="J38" s="25" t="e">
        <f ca="1">_xll.EVPRO($B$1,$H38,"CALC")</f>
        <v>#NAME?</v>
      </c>
      <c r="K38" s="24"/>
      <c r="N38" s="23" t="e">
        <f ca="1">IF(_xll.EVDES(H38,$B$1)="#NODATA","",_xll.EVDES(H38,$B$1))</f>
        <v>#NAME?</v>
      </c>
      <c r="O38" s="30">
        <f t="shared" ref="O38:Z38" si="8">SUM(O34:O37)</f>
        <v>19027.919999999998</v>
      </c>
      <c r="P38" s="30">
        <f t="shared" si="8"/>
        <v>17780.57</v>
      </c>
      <c r="Q38" s="30">
        <f t="shared" si="8"/>
        <v>17707.89</v>
      </c>
      <c r="R38" s="30">
        <f t="shared" si="8"/>
        <v>18979.79</v>
      </c>
      <c r="S38" s="30">
        <f t="shared" si="8"/>
        <v>18614.339999999997</v>
      </c>
      <c r="T38" s="30">
        <f t="shared" si="8"/>
        <v>23889.839999999997</v>
      </c>
      <c r="U38" s="30">
        <f t="shared" si="8"/>
        <v>20181.950000000004</v>
      </c>
      <c r="V38" s="30">
        <f t="shared" si="8"/>
        <v>18514.489999999998</v>
      </c>
      <c r="W38" s="30">
        <f t="shared" si="8"/>
        <v>19587.580000000002</v>
      </c>
      <c r="X38" s="30">
        <f t="shared" si="8"/>
        <v>19909.29</v>
      </c>
      <c r="Y38" s="30">
        <f t="shared" si="8"/>
        <v>19037.730000000003</v>
      </c>
      <c r="Z38" s="30">
        <f t="shared" si="8"/>
        <v>14932.300000000001</v>
      </c>
      <c r="AA38" s="30" t="e">
        <f ca="1">IF($I38="B1","",SUM(O38:Z38))</f>
        <v>#NAME?</v>
      </c>
      <c r="AB38" s="31" t="e">
        <f ca="1">IF(AA38=0,"",IFERROR(AA38/AA$19,""))</f>
        <v>#NAME?</v>
      </c>
      <c r="AD38" s="30">
        <f>SUM(AD34:AD37)</f>
        <v>203663.99999999959</v>
      </c>
      <c r="AE38" s="31" t="str">
        <f ca="1">IF(AD38=0,"",IFERROR(AD38/AD$19,""))</f>
        <v/>
      </c>
      <c r="AF38" s="49" t="e">
        <f ca="1">IF(AND($AA38="",AD38=""),"",$AA38-AD38)</f>
        <v>#NAME?</v>
      </c>
      <c r="AG38" s="30">
        <f>SUM(AG34:AG37)</f>
        <v>236355.63999999998</v>
      </c>
      <c r="AH38" s="31" t="str">
        <f ca="1">IF(AG38=0,"",IFERROR(AG38/AG$19,""))</f>
        <v/>
      </c>
      <c r="AI38" s="49" t="e">
        <f ca="1">IF(AND($AA38="",AG38=""),"",$AA38-AG38)</f>
        <v>#NAME?</v>
      </c>
      <c r="AJ38" s="387">
        <f ca="1">IFERROR(AA38/AA$20,0)</f>
        <v>0</v>
      </c>
      <c r="AK38" s="388">
        <f ca="1">IFERROR(AD38/AD$20,0)</f>
        <v>0</v>
      </c>
      <c r="AL38" s="389">
        <f ca="1">IFERROR(AG38/AG$20,0)</f>
        <v>0</v>
      </c>
      <c r="AM38" s="390">
        <f ca="1">+IFERROR(ROUND(($AB38-AE38)*100,2)&amp;" pts.",0)</f>
        <v>0</v>
      </c>
      <c r="AN38" s="408">
        <f ca="1">+IFERROR(ROUND(($AB38-AH38)*100,2)&amp;" pts.",0)</f>
        <v>0</v>
      </c>
    </row>
    <row r="39" spans="1:40" x14ac:dyDescent="0.2">
      <c r="A39" s="6" t="s">
        <v>27</v>
      </c>
      <c r="B39" s="7"/>
    </row>
    <row r="40" spans="1:40" x14ac:dyDescent="0.2">
      <c r="A40" s="6" t="s">
        <v>28</v>
      </c>
      <c r="B40" s="7"/>
      <c r="H40" s="10" t="s">
        <v>79</v>
      </c>
      <c r="N40" s="24" t="e">
        <f ca="1">N38&amp;" - Check"</f>
        <v>#NAME?</v>
      </c>
      <c r="O40" s="124" t="e">
        <f ca="1">_xll.EVGTS($B$1,1,$B$3,$B$5,$B$7,$B$9,O$16,O$17,O$18,$B$6,$H40)-O38</f>
        <v>#NAME?</v>
      </c>
      <c r="P40" s="124" t="e">
        <f ca="1">_xll.EVGTS($B$1,1,$B$3,$B$5,$B$7,$B$9,P$16,P$17,P$18,$B$6,$H40)-P38</f>
        <v>#NAME?</v>
      </c>
      <c r="Q40" s="124" t="e">
        <f ca="1">_xll.EVGTS($B$1,1,$B$3,$B$5,$B$7,$B$9,Q$16,Q$17,Q$18,$B$6,$H40)-Q38</f>
        <v>#NAME?</v>
      </c>
      <c r="R40" s="124" t="e">
        <f ca="1">_xll.EVGTS($B$1,1,$B$3,$B$5,$B$7,$B$9,R$16,R$17,R$18,$B$6,$H40)-R38</f>
        <v>#NAME?</v>
      </c>
      <c r="S40" s="124" t="e">
        <f ca="1">_xll.EVGTS($B$1,1,$B$3,$B$5,$B$7,$B$9,S$16,S$17,S$18,$B$6,$H40)-S38</f>
        <v>#NAME?</v>
      </c>
      <c r="T40" s="124" t="e">
        <f ca="1">_xll.EVGTS($B$1,1,$B$3,$B$5,$B$7,$B$9,T$16,T$17,T$18,$B$6,$H40)-T38</f>
        <v>#NAME?</v>
      </c>
      <c r="U40" s="124" t="e">
        <f ca="1">_xll.EVGTS($B$1,1,$B$3,$B$5,$B$7,$B$9,U$16,U$17,U$18,$B$6,$H40)-U38</f>
        <v>#NAME?</v>
      </c>
      <c r="V40" s="124" t="e">
        <f ca="1">_xll.EVGTS($B$1,1,$B$3,$B$5,$B$7,$B$9,V$16,V$17,V$18,$B$6,$H40)-V38</f>
        <v>#NAME?</v>
      </c>
      <c r="W40" s="124" t="e">
        <f ca="1">_xll.EVGTS($B$1,1,$B$3,$B$5,$B$7,$B$9,W$16,W$17,W$18,$B$6,$H40)-W38</f>
        <v>#NAME?</v>
      </c>
      <c r="X40" s="124" t="e">
        <f ca="1">_xll.EVGTS($B$1,1,$B$3,$B$5,$B$7,$B$9,X$16,X$17,X$18,$B$6,$H40)-X38</f>
        <v>#NAME?</v>
      </c>
      <c r="Y40" s="124" t="e">
        <f ca="1">_xll.EVGTS($B$1,1,$B$3,$B$5,$B$7,$B$9,Y$16,Y$17,Y$18,$B$6,$H40)-Y38</f>
        <v>#NAME?</v>
      </c>
      <c r="Z40" s="124" t="e">
        <f ca="1">_xll.EVGTS($B$1,1,$B$3,$B$5,$B$7,$B$9,Z$16,Z$17,Z$18,$B$6,$H40)-Z38</f>
        <v>#NAME?</v>
      </c>
      <c r="AA40" s="124" t="e">
        <f ca="1">SUM(O40:Z40)</f>
        <v>#NAME?</v>
      </c>
      <c r="AB40" s="15"/>
      <c r="AD40" s="124" t="e">
        <f ca="1">_xll.EVGTS($B$1,1,$B$3,$B$5,$B$7,$B$9,AD$16,AD$17,AD$18,$B$6,$H40)-AD38</f>
        <v>#NAME?</v>
      </c>
      <c r="AE40" s="15"/>
      <c r="AF40" s="19"/>
      <c r="AG40" s="124" t="e">
        <f ca="1">_xll.EVGTS($B$1,1,$B$3,$B$5,$B$7,$B$9,AG$16,AG$17,AG$18,$B$6,$H40)-AG38</f>
        <v>#NAME?</v>
      </c>
      <c r="AH40" s="15"/>
      <c r="AI40" s="19"/>
    </row>
    <row r="41" spans="1:40" x14ac:dyDescent="0.2">
      <c r="A41" s="6" t="s">
        <v>29</v>
      </c>
      <c r="B41" s="7"/>
      <c r="N41" s="11"/>
      <c r="O41" s="11"/>
      <c r="P41" s="11"/>
      <c r="Q41" s="11"/>
      <c r="R41" s="11"/>
      <c r="S41" s="11"/>
      <c r="T41" s="11"/>
      <c r="U41" s="11"/>
      <c r="V41" s="11"/>
      <c r="W41" s="11"/>
      <c r="X41" s="11"/>
      <c r="Y41" s="11"/>
      <c r="Z41" s="11"/>
      <c r="AA41" s="11"/>
      <c r="AB41" s="11"/>
      <c r="AD41" s="11"/>
      <c r="AE41" s="11"/>
      <c r="AF41" s="11"/>
      <c r="AG41" s="11"/>
      <c r="AH41" s="11"/>
      <c r="AI41" s="11"/>
    </row>
    <row r="42" spans="1:40" x14ac:dyDescent="0.2">
      <c r="A42" s="6" t="s">
        <v>30</v>
      </c>
      <c r="B42" s="7" t="s">
        <v>78</v>
      </c>
    </row>
    <row r="43" spans="1:40" x14ac:dyDescent="0.2">
      <c r="A43" s="6" t="s">
        <v>31</v>
      </c>
      <c r="B43" s="7" t="s">
        <v>78</v>
      </c>
    </row>
    <row r="44" spans="1:40" x14ac:dyDescent="0.2">
      <c r="A44" s="6" t="s">
        <v>32</v>
      </c>
      <c r="B44" s="7"/>
    </row>
    <row r="45" spans="1:40" x14ac:dyDescent="0.2">
      <c r="A45" s="6" t="s">
        <v>33</v>
      </c>
      <c r="B45" s="7"/>
    </row>
    <row r="46" spans="1:40" x14ac:dyDescent="0.2">
      <c r="A46" s="6" t="s">
        <v>34</v>
      </c>
      <c r="B46" s="7"/>
    </row>
    <row r="47" spans="1:40" x14ac:dyDescent="0.2">
      <c r="A47" s="6" t="s">
        <v>35</v>
      </c>
      <c r="B47" s="7"/>
    </row>
    <row r="48" spans="1:40" x14ac:dyDescent="0.2">
      <c r="A48" s="6" t="s">
        <v>36</v>
      </c>
      <c r="B48" s="7"/>
      <c r="H48" s="11"/>
      <c r="J48" s="1"/>
    </row>
    <row r="49" spans="1:10" x14ac:dyDescent="0.2">
      <c r="A49" s="6" t="s">
        <v>37</v>
      </c>
      <c r="B49" s="7"/>
      <c r="H49" s="11"/>
      <c r="J49" s="1"/>
    </row>
    <row r="50" spans="1:10" x14ac:dyDescent="0.2">
      <c r="A50" s="6" t="s">
        <v>38</v>
      </c>
      <c r="B50" s="7"/>
      <c r="H50" s="11"/>
      <c r="J50" s="1"/>
    </row>
    <row r="51" spans="1:10" x14ac:dyDescent="0.2">
      <c r="A51" s="6" t="s">
        <v>39</v>
      </c>
      <c r="B51" s="7"/>
      <c r="H51" s="11"/>
      <c r="J51" s="1"/>
    </row>
    <row r="52" spans="1:10" x14ac:dyDescent="0.2">
      <c r="A52" s="6" t="s">
        <v>40</v>
      </c>
      <c r="B52" s="7"/>
      <c r="H52" s="11"/>
      <c r="J52" s="1"/>
    </row>
    <row r="53" spans="1:10" x14ac:dyDescent="0.2">
      <c r="A53" s="6" t="s">
        <v>41</v>
      </c>
      <c r="B53" s="7"/>
      <c r="H53" s="11"/>
      <c r="J53" s="1"/>
    </row>
    <row r="54" spans="1:10" x14ac:dyDescent="0.2">
      <c r="A54" s="6" t="s">
        <v>42</v>
      </c>
      <c r="B54" s="7"/>
      <c r="H54" s="11"/>
      <c r="J54" s="1"/>
    </row>
    <row r="55" spans="1:10" x14ac:dyDescent="0.2">
      <c r="A55" s="6" t="s">
        <v>43</v>
      </c>
      <c r="B55" s="7"/>
      <c r="H55" s="11"/>
      <c r="J55" s="1"/>
    </row>
    <row r="56" spans="1:10" x14ac:dyDescent="0.2">
      <c r="A56" s="6" t="s">
        <v>44</v>
      </c>
      <c r="B56" s="7"/>
      <c r="H56" s="11"/>
      <c r="J56" s="1"/>
    </row>
    <row r="57" spans="1:10" x14ac:dyDescent="0.2">
      <c r="A57" s="6" t="s">
        <v>45</v>
      </c>
      <c r="B57" s="7"/>
      <c r="H57" s="11"/>
      <c r="J57" s="1"/>
    </row>
    <row r="58" spans="1:10" x14ac:dyDescent="0.2">
      <c r="A58" s="6" t="s">
        <v>46</v>
      </c>
      <c r="B58" s="7"/>
      <c r="H58" s="11"/>
      <c r="J58" s="1"/>
    </row>
    <row r="59" spans="1:10" x14ac:dyDescent="0.2">
      <c r="H59" s="11"/>
      <c r="J59" s="1"/>
    </row>
    <row r="60" spans="1:10" x14ac:dyDescent="0.2">
      <c r="H60" s="11"/>
      <c r="J60" s="1"/>
    </row>
    <row r="61" spans="1:10" x14ac:dyDescent="0.2">
      <c r="H61" s="11"/>
      <c r="J61" s="1"/>
    </row>
    <row r="62" spans="1:10" x14ac:dyDescent="0.2">
      <c r="H62" s="11"/>
      <c r="J62" s="1"/>
    </row>
    <row r="63" spans="1:10" x14ac:dyDescent="0.2">
      <c r="H63" s="11"/>
      <c r="J63" s="1"/>
    </row>
    <row r="64" spans="1:10" x14ac:dyDescent="0.2">
      <c r="H64" s="11"/>
      <c r="J64" s="1"/>
    </row>
    <row r="65" spans="8:10" x14ac:dyDescent="0.2">
      <c r="H65" s="11"/>
      <c r="J65" s="1"/>
    </row>
    <row r="66" spans="8:10" x14ac:dyDescent="0.2">
      <c r="H66" s="11"/>
      <c r="J66" s="1"/>
    </row>
    <row r="67" spans="8:10" x14ac:dyDescent="0.2">
      <c r="H67" s="11"/>
      <c r="J67" s="1"/>
    </row>
    <row r="68" spans="8:10" x14ac:dyDescent="0.2">
      <c r="H68" s="11"/>
      <c r="J68" s="1"/>
    </row>
    <row r="69" spans="8:10" x14ac:dyDescent="0.2">
      <c r="H69" s="11"/>
      <c r="J69" s="1"/>
    </row>
    <row r="70" spans="8:10" x14ac:dyDescent="0.2">
      <c r="H70" s="11"/>
      <c r="J70" s="1"/>
    </row>
  </sheetData>
  <mergeCells count="2">
    <mergeCell ref="AD31:AE31"/>
    <mergeCell ref="AG31:AH31"/>
  </mergeCells>
  <dataValidations disablePrompts="1" count="2">
    <dataValidation type="list" allowBlank="1" sqref="B28" xr:uid="{00000000-0002-0000-5600-000000000000}">
      <formula1>"ACCOUNT,BUSINESSUNIT,CATEGORY,DATASRC,DEPARTMENT,INTCO,MEASURES,RPTCURRENCY,TIME"</formula1>
    </dataValidation>
    <dataValidation type="list" allowBlank="1" sqref="B29" xr:uid="{00000000-0002-0000-56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28">
    <pageSetUpPr fitToPage="1"/>
  </sheetPr>
  <dimension ref="A1:AO68"/>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1" hidden="1" customWidth="1" outlineLevel="1" collapsed="1"/>
    <col min="13" max="13" width="9.6640625" style="1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0"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c r="L1" s="69"/>
      <c r="M1" s="69"/>
      <c r="N1" s="69"/>
    </row>
    <row r="2" spans="1:35" hidden="1" outlineLevel="1" x14ac:dyDescent="0.2">
      <c r="A2" s="8" t="s">
        <v>22</v>
      </c>
      <c r="B2" s="12" t="s">
        <v>56</v>
      </c>
      <c r="C2" s="1" t="e">
        <f ca="1">_xll.EVDES(B2,$B$1)</f>
        <v>#NAME?</v>
      </c>
      <c r="I2" s="1"/>
      <c r="J2" s="1"/>
      <c r="L2" s="69"/>
      <c r="M2" s="69"/>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516</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row>
    <row r="12" spans="1:35" hidden="1" outlineLevel="1" x14ac:dyDescent="0.2">
      <c r="A12" s="1" t="s">
        <v>115</v>
      </c>
      <c r="B12" s="46" t="e">
        <f ca="1">_xll.EVPRO($B$1,$B$10,"YEAR")</f>
        <v>#NAME?</v>
      </c>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_xll.EVRNG(H34:H35)</f>
        <v>#NAME?</v>
      </c>
      <c r="G19" s="16" t="s">
        <v>499</v>
      </c>
      <c r="H19" s="16">
        <v>400000</v>
      </c>
      <c r="I19" s="17"/>
      <c r="J19" s="17"/>
      <c r="K19" s="16"/>
      <c r="L19" s="17"/>
      <c r="M19" s="17"/>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
        <v>749</v>
      </c>
      <c r="H20" s="16">
        <v>904100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row>
    <row r="22" spans="1:40" hidden="1" outlineLevel="1" x14ac:dyDescent="0.2">
      <c r="A22" s="6" t="s">
        <v>7</v>
      </c>
      <c r="B22" s="7"/>
    </row>
    <row r="23" spans="1:40" hidden="1" outlineLevel="1" x14ac:dyDescent="0.2">
      <c r="A23" s="6" t="s">
        <v>47</v>
      </c>
      <c r="B23" s="7" t="e">
        <f ca="1">_xll.EVRNG($A$37:$B$58)</f>
        <v>#NAME?</v>
      </c>
      <c r="K23" s="53"/>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IF(_xll.EVDES(B6,$B$1)="#NODATA","",_xll.EVDES(B6,$B$1)&amp;" Department")</f>
        <v>#NAME?</v>
      </c>
    </row>
    <row r="28" spans="1:40" ht="16" x14ac:dyDescent="0.2">
      <c r="A28" s="6" t="s">
        <v>12</v>
      </c>
      <c r="B28" s="7" t="s">
        <v>22</v>
      </c>
      <c r="N28" s="67" t="e">
        <f ca="1">"For the Period ended"&amp;" "&amp;IF(_xll.EVDES($B$10,$B$1)="#NODATA","",_xll.EVDES($B$10,$B$1))</f>
        <v>#NAME?</v>
      </c>
    </row>
    <row r="29" spans="1:40" ht="15" customHeight="1" x14ac:dyDescent="0.2">
      <c r="A29" s="6" t="s">
        <v>13</v>
      </c>
      <c r="B29" s="7" t="s">
        <v>517</v>
      </c>
      <c r="N29" s="67" t="e">
        <f ca="1">_xll.EVDES(B9,B1)</f>
        <v>#NAME?</v>
      </c>
    </row>
    <row r="30" spans="1:40" x14ac:dyDescent="0.2">
      <c r="A30" s="6" t="s">
        <v>14</v>
      </c>
      <c r="B30" s="14"/>
      <c r="O30" s="208"/>
      <c r="P30" s="209"/>
      <c r="Q30" s="209"/>
      <c r="R30" s="209"/>
      <c r="S30" s="209"/>
      <c r="T30" s="209"/>
      <c r="U30" s="209"/>
      <c r="V30" s="209"/>
      <c r="W30" s="209"/>
      <c r="X30" s="209"/>
      <c r="Y30" s="209"/>
      <c r="Z30" s="209"/>
      <c r="AA30" s="209"/>
      <c r="AB30" s="210"/>
      <c r="AD30" s="209"/>
      <c r="AE30" s="209"/>
      <c r="AF30" s="209"/>
      <c r="AG30" s="209"/>
      <c r="AH30" s="209"/>
      <c r="AI30" s="209"/>
      <c r="AJ30" s="208" t="s">
        <v>752</v>
      </c>
      <c r="AK30" s="209"/>
      <c r="AL30" s="210"/>
      <c r="AM30" s="209" t="s">
        <v>750</v>
      </c>
      <c r="AN30" s="209"/>
    </row>
    <row r="31" spans="1:40" x14ac:dyDescent="0.2">
      <c r="A31" s="6" t="s">
        <v>15</v>
      </c>
      <c r="B31" s="7"/>
      <c r="G31" s="13"/>
      <c r="K31" s="52"/>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t="s">
        <v>78</v>
      </c>
      <c r="H32" s="233"/>
      <c r="I32" s="234"/>
      <c r="J32" s="234"/>
      <c r="K32" s="235" t="s">
        <v>117</v>
      </c>
      <c r="L32" s="234"/>
      <c r="M32" s="234"/>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518</v>
      </c>
      <c r="I33" s="11" t="e">
        <f ca="1">_xll.EVPRO($B$1,$H33,"STYLE")</f>
        <v>#NAME?</v>
      </c>
      <c r="J33" s="11" t="e">
        <f ca="1">_xll.EVPRO($B$1,$H33,"CALC")</f>
        <v>#NAME?</v>
      </c>
      <c r="L33" s="1"/>
      <c r="M33" s="1"/>
      <c r="N33" s="37" t="e">
        <f ca="1">IF(_xll.EVDES(H33,$B$1)="#NODATA","",_xll.EVDES(H33,$B$1))</f>
        <v>#NAME?</v>
      </c>
      <c r="O33" s="40"/>
      <c r="P33" s="43"/>
      <c r="Q33" s="43"/>
      <c r="R33" s="43"/>
      <c r="S33" s="43"/>
      <c r="T33" s="43"/>
      <c r="U33" s="43"/>
      <c r="V33" s="43"/>
      <c r="W33" s="43"/>
      <c r="X33" s="43"/>
      <c r="Y33" s="43"/>
      <c r="Z33" s="43"/>
      <c r="AA33" s="43"/>
      <c r="AB33" s="41"/>
      <c r="AD33" s="40"/>
      <c r="AE33" s="43"/>
      <c r="AF33" s="41"/>
      <c r="AG33" s="40"/>
      <c r="AH33" s="43"/>
      <c r="AI33" s="41"/>
    </row>
    <row r="34" spans="1:40" x14ac:dyDescent="0.2">
      <c r="H34" s="10" t="s">
        <v>894</v>
      </c>
      <c r="I34" s="25" t="e">
        <f ca="1">_xll.EVPRO($B$1,$H34,"STYLE")</f>
        <v>#NAME?</v>
      </c>
      <c r="J34" s="25" t="e">
        <f ca="1">_xll.EVPRO($B$1,$H34,"CALC")</f>
        <v>#NAME?</v>
      </c>
      <c r="K34" s="64" t="e">
        <f ca="1">IF(AND(I34&gt;="T3"),"&gt;","")</f>
        <v>#NAME?</v>
      </c>
      <c r="L34" s="24" t="e">
        <f ca="1">_xll.EVPRO($B$1,H34,"JDEID")</f>
        <v>#NAME?</v>
      </c>
      <c r="M34" s="24" t="e">
        <f ca="1">IF(AND(I34="N",J34="N"),_xll.EVPRO($B$1,H34,"PSFTID"),"")</f>
        <v>#NAME?</v>
      </c>
      <c r="N34" s="24" t="e">
        <f ca="1">IF(_xll.EVDES(H34,$B$1)="#NODATA","",_xll.EVDES(H34,$B$1))</f>
        <v>#NAME?</v>
      </c>
      <c r="O34" s="19">
        <v>38099.58</v>
      </c>
      <c r="P34" s="19">
        <v>43126.38</v>
      </c>
      <c r="Q34" s="19">
        <v>42997.71</v>
      </c>
      <c r="R34" s="19">
        <v>33478.239999999998</v>
      </c>
      <c r="S34" s="19">
        <v>30428.69</v>
      </c>
      <c r="T34" s="19">
        <v>20826.96</v>
      </c>
      <c r="U34" s="19">
        <v>21084.799999999999</v>
      </c>
      <c r="V34" s="19">
        <v>19097.080000000002</v>
      </c>
      <c r="W34" s="19">
        <v>16320.53</v>
      </c>
      <c r="X34" s="19">
        <v>23355.85</v>
      </c>
      <c r="Y34" s="19">
        <v>32709.040000000001</v>
      </c>
      <c r="Z34" s="19">
        <v>38070.14</v>
      </c>
      <c r="AA34" s="19" t="e">
        <f ca="1">IF($I34="B1","",SUM(O34:Z34))</f>
        <v>#NAME?</v>
      </c>
      <c r="AB34" s="15" t="e">
        <f ca="1">IF(AA34=0,"",IFERROR(AA34/AA$19,""))</f>
        <v>#NAME?</v>
      </c>
      <c r="AD34" s="19">
        <v>365273.4228</v>
      </c>
      <c r="AE34" s="15" t="str">
        <f ca="1">IF(AD34=0,"",IFERROR(AD34/AD$19,""))</f>
        <v/>
      </c>
      <c r="AF34" s="47" t="e">
        <f ca="1">IF(AND($AA34="",AD34=""),"",$AA34-AD34)</f>
        <v>#NAME?</v>
      </c>
      <c r="AG34" s="19">
        <v>404603.61</v>
      </c>
      <c r="AH34" s="15" t="str">
        <f ca="1">IF(AG34=0,"",IFERROR(AG34/AG$19,""))</f>
        <v/>
      </c>
      <c r="AI34" s="47" t="e">
        <f ca="1">IF(AND($AA34="",AG34=""),"",$AA34-AG34)</f>
        <v>#NAME?</v>
      </c>
      <c r="AJ34" s="371">
        <f ca="1">IFERROR(AA34/AA$20,0)</f>
        <v>0</v>
      </c>
      <c r="AK34" s="372">
        <f ca="1">IFERROR(AD34/AD$20,0)</f>
        <v>0</v>
      </c>
      <c r="AL34" s="373">
        <f ca="1">IFERROR(AG34/AG$20,0)</f>
        <v>0</v>
      </c>
      <c r="AM34" s="374">
        <f ca="1">+IFERROR(ROUND(($AB34-AE34)*100,2)&amp;" pts.",0)</f>
        <v>0</v>
      </c>
      <c r="AN34" s="375">
        <f ca="1">+IFERROR(ROUND(($AB34-AH34)*100,2)&amp;" pts.",0)</f>
        <v>0</v>
      </c>
    </row>
    <row r="35" spans="1:40" x14ac:dyDescent="0.2">
      <c r="C35" s="23"/>
      <c r="H35" s="10" t="s">
        <v>895</v>
      </c>
      <c r="I35" s="25" t="e">
        <f ca="1">_xll.EVPRO($B$1,$H35,"STYLE")</f>
        <v>#NAME?</v>
      </c>
      <c r="J35" s="25" t="e">
        <f ca="1">_xll.EVPRO($B$1,$H35,"CALC")</f>
        <v>#NAME?</v>
      </c>
      <c r="K35" s="64" t="e">
        <f ca="1">IF(AND(I35&gt;="T3"),"&gt;","")</f>
        <v>#NAME?</v>
      </c>
      <c r="L35" s="24" t="e">
        <f ca="1">_xll.EVPRO($B$1,H35,"JDEID")</f>
        <v>#NAME?</v>
      </c>
      <c r="M35" s="24" t="e">
        <f ca="1">IF(AND(I35="N",J35="N"),_xll.EVPRO($B$1,H35,"PSFTID"),"")</f>
        <v>#NAME?</v>
      </c>
      <c r="N35" s="24" t="e">
        <f ca="1">IF(_xll.EVDES(H35,$B$1)="#NODATA","",_xll.EVDES(H35,$B$1))</f>
        <v>#NAME?</v>
      </c>
      <c r="O35" s="19">
        <v>6333.33</v>
      </c>
      <c r="P35" s="19">
        <v>6333.33</v>
      </c>
      <c r="Q35" s="19">
        <v>6333.33</v>
      </c>
      <c r="R35" s="19">
        <v>6333.33</v>
      </c>
      <c r="S35" s="19">
        <v>6333.33</v>
      </c>
      <c r="T35" s="19">
        <v>6333.33</v>
      </c>
      <c r="U35" s="19">
        <v>6333.33</v>
      </c>
      <c r="V35" s="19">
        <v>6333.33</v>
      </c>
      <c r="W35" s="19">
        <v>6333.33</v>
      </c>
      <c r="X35" s="19">
        <v>6333.33</v>
      </c>
      <c r="Y35" s="19">
        <v>6333.33</v>
      </c>
      <c r="Z35" s="19">
        <v>6333.33</v>
      </c>
      <c r="AA35" s="19" t="e">
        <f ca="1">IF($I35="B1","",SUM(O35:Z35))</f>
        <v>#NAME?</v>
      </c>
      <c r="AB35" s="15" t="e">
        <f ca="1">IF(AA35=0,"",IFERROR(AA35/AA$19,""))</f>
        <v>#NAME?</v>
      </c>
      <c r="AD35" s="19">
        <v>75999.999999999607</v>
      </c>
      <c r="AE35" s="15" t="str">
        <f ca="1">IF(AD35=0,"",IFERROR(AD35/AD$19,""))</f>
        <v/>
      </c>
      <c r="AF35" s="47" t="e">
        <f ca="1">IF(AND($AA35="",AD35=""),"",$AA35-AD35)</f>
        <v>#NAME?</v>
      </c>
      <c r="AG35" s="19"/>
      <c r="AH35" s="15" t="str">
        <f>IF(AG35=0,"",IFERROR(AG35/AG$19,""))</f>
        <v/>
      </c>
      <c r="AI35" s="47" t="e">
        <f ca="1">IF(AND($AA35="",AG35=""),"",$AA35-AG35)</f>
        <v>#NAME?</v>
      </c>
      <c r="AJ35" s="371">
        <f ca="1">IFERROR(AA35/AA$20,0)</f>
        <v>0</v>
      </c>
      <c r="AK35" s="372">
        <f ca="1">IFERROR(AD35/AD$20,0)</f>
        <v>0</v>
      </c>
      <c r="AL35" s="373">
        <f ca="1">IFERROR(AG35/AG$20,0)</f>
        <v>0</v>
      </c>
      <c r="AM35" s="374">
        <f ca="1">+IFERROR(ROUND(($AB35-AE35)*100,2)&amp;" pts.",0)</f>
        <v>0</v>
      </c>
      <c r="AN35" s="375">
        <f ca="1">+IFERROR(ROUND(($AB35-AH35)*100,2)&amp;" pts.",0)</f>
        <v>0</v>
      </c>
    </row>
    <row r="36" spans="1:40" x14ac:dyDescent="0.2">
      <c r="A36" s="3" t="s">
        <v>23</v>
      </c>
      <c r="B36" s="5" t="s">
        <v>24</v>
      </c>
      <c r="H36" s="10" t="s">
        <v>79</v>
      </c>
      <c r="I36" s="25" t="e">
        <f ca="1">_xll.EVPRO($B$1,$H36,"STYLE")</f>
        <v>#NAME?</v>
      </c>
      <c r="J36" s="25" t="e">
        <f ca="1">_xll.EVPRO($B$1,$H36,"CALC")</f>
        <v>#NAME?</v>
      </c>
      <c r="K36" s="24"/>
      <c r="N36" s="23" t="e">
        <f ca="1">IF(_xll.EVDES(H36,$B$1)="#NODATA","",_xll.EVDES(H36,$B$1))</f>
        <v>#NAME?</v>
      </c>
      <c r="O36" s="30">
        <f t="shared" ref="O36:Z36" si="0">SUM(O34:O35)</f>
        <v>44432.91</v>
      </c>
      <c r="P36" s="30">
        <f t="shared" si="0"/>
        <v>49459.71</v>
      </c>
      <c r="Q36" s="30">
        <f t="shared" si="0"/>
        <v>49331.040000000001</v>
      </c>
      <c r="R36" s="30">
        <f t="shared" si="0"/>
        <v>39811.57</v>
      </c>
      <c r="S36" s="30">
        <f t="shared" si="0"/>
        <v>36762.019999999997</v>
      </c>
      <c r="T36" s="30">
        <f t="shared" si="0"/>
        <v>27160.29</v>
      </c>
      <c r="U36" s="30">
        <f t="shared" si="0"/>
        <v>27418.129999999997</v>
      </c>
      <c r="V36" s="30">
        <f t="shared" si="0"/>
        <v>25430.410000000003</v>
      </c>
      <c r="W36" s="30">
        <f t="shared" si="0"/>
        <v>22653.86</v>
      </c>
      <c r="X36" s="30">
        <f t="shared" si="0"/>
        <v>29689.18</v>
      </c>
      <c r="Y36" s="30">
        <f t="shared" si="0"/>
        <v>39042.370000000003</v>
      </c>
      <c r="Z36" s="30">
        <f t="shared" si="0"/>
        <v>44403.47</v>
      </c>
      <c r="AA36" s="30" t="e">
        <f ca="1">IF($I36="B1","",SUM(O36:Z36))</f>
        <v>#NAME?</v>
      </c>
      <c r="AB36" s="31" t="e">
        <f ca="1">IF(AA36=0,"",IFERROR(AA36/AA$19,""))</f>
        <v>#NAME?</v>
      </c>
      <c r="AD36" s="30">
        <f>SUM(AD34:AD35)</f>
        <v>441273.42279999959</v>
      </c>
      <c r="AE36" s="31" t="str">
        <f ca="1">IF(AD36=0,"",IFERROR(AD36/AD$19,""))</f>
        <v/>
      </c>
      <c r="AF36" s="49" t="e">
        <f ca="1">IF(AND($AA36="",AD36=""),"",$AA36-AD36)</f>
        <v>#NAME?</v>
      </c>
      <c r="AG36" s="30">
        <f>SUM(AG34:AG35)</f>
        <v>404603.61</v>
      </c>
      <c r="AH36" s="31" t="str">
        <f ca="1">IF(AG36=0,"",IFERROR(AG36/AG$19,""))</f>
        <v/>
      </c>
      <c r="AI36" s="49" t="e">
        <f ca="1">IF(AND($AA36="",AG36=""),"",$AA36-AG36)</f>
        <v>#NAME?</v>
      </c>
      <c r="AJ36" s="387">
        <f ca="1">IFERROR(AA36/AA$20,0)</f>
        <v>0</v>
      </c>
      <c r="AK36" s="388">
        <f ca="1">IFERROR(AD36/AD$20,0)</f>
        <v>0</v>
      </c>
      <c r="AL36" s="389">
        <f ca="1">IFERROR(AG36/AG$20,0)</f>
        <v>0</v>
      </c>
      <c r="AM36" s="390">
        <f ca="1">+IFERROR(ROUND(($AB36-AE36)*100,2)&amp;" pts.",0)</f>
        <v>0</v>
      </c>
      <c r="AN36" s="408">
        <f ca="1">+IFERROR(ROUND(($AB36-AH36)*100,2)&amp;" pts.",0)</f>
        <v>0</v>
      </c>
    </row>
    <row r="37" spans="1:40" x14ac:dyDescent="0.2">
      <c r="A37" s="6" t="s">
        <v>25</v>
      </c>
      <c r="B37" s="7"/>
    </row>
    <row r="38" spans="1:40" x14ac:dyDescent="0.2">
      <c r="A38" s="6" t="s">
        <v>26</v>
      </c>
      <c r="B38" s="7"/>
      <c r="H38" s="10" t="s">
        <v>79</v>
      </c>
      <c r="N38" s="24" t="e">
        <f ca="1">N36&amp;" - Check"</f>
        <v>#NAME?</v>
      </c>
      <c r="O38" s="124" t="e">
        <f ca="1">_xll.EVGTS($B$1,1,$B$3,$B$5,$B$7,$B$9,O$16,O$17,O$18,$B$6,$H38)-O36</f>
        <v>#NAME?</v>
      </c>
      <c r="P38" s="124" t="e">
        <f ca="1">_xll.EVGTS($B$1,1,$B$3,$B$5,$B$7,$B$9,P$16,P$17,P$18,$B$6,$H38)-P36</f>
        <v>#NAME?</v>
      </c>
      <c r="Q38" s="124" t="e">
        <f ca="1">_xll.EVGTS($B$1,1,$B$3,$B$5,$B$7,$B$9,Q$16,Q$17,Q$18,$B$6,$H38)-Q36</f>
        <v>#NAME?</v>
      </c>
      <c r="R38" s="124" t="e">
        <f ca="1">_xll.EVGTS($B$1,1,$B$3,$B$5,$B$7,$B$9,R$16,R$17,R$18,$B$6,$H38)-R36</f>
        <v>#NAME?</v>
      </c>
      <c r="S38" s="124" t="e">
        <f ca="1">_xll.EVGTS($B$1,1,$B$3,$B$5,$B$7,$B$9,S$16,S$17,S$18,$B$6,$H38)-S36</f>
        <v>#NAME?</v>
      </c>
      <c r="T38" s="124" t="e">
        <f ca="1">_xll.EVGTS($B$1,1,$B$3,$B$5,$B$7,$B$9,T$16,T$17,T$18,$B$6,$H38)-T36</f>
        <v>#NAME?</v>
      </c>
      <c r="U38" s="124" t="e">
        <f ca="1">_xll.EVGTS($B$1,1,$B$3,$B$5,$B$7,$B$9,U$16,U$17,U$18,$B$6,$H38)-U36</f>
        <v>#NAME?</v>
      </c>
      <c r="V38" s="124" t="e">
        <f ca="1">_xll.EVGTS($B$1,1,$B$3,$B$5,$B$7,$B$9,V$16,V$17,V$18,$B$6,$H38)-V36</f>
        <v>#NAME?</v>
      </c>
      <c r="W38" s="124" t="e">
        <f ca="1">_xll.EVGTS($B$1,1,$B$3,$B$5,$B$7,$B$9,W$16,W$17,W$18,$B$6,$H38)-W36</f>
        <v>#NAME?</v>
      </c>
      <c r="X38" s="124" t="e">
        <f ca="1">_xll.EVGTS($B$1,1,$B$3,$B$5,$B$7,$B$9,X$16,X$17,X$18,$B$6,$H38)-X36</f>
        <v>#NAME?</v>
      </c>
      <c r="Y38" s="124" t="e">
        <f ca="1">_xll.EVGTS($B$1,1,$B$3,$B$5,$B$7,$B$9,Y$16,Y$17,Y$18,$B$6,$H38)-Y36</f>
        <v>#NAME?</v>
      </c>
      <c r="Z38" s="124" t="e">
        <f ca="1">_xll.EVGTS($B$1,1,$B$3,$B$5,$B$7,$B$9,Z$16,Z$17,Z$18,$B$6,$H38)-Z36</f>
        <v>#NAME?</v>
      </c>
      <c r="AA38" s="124" t="e">
        <f ca="1">IF($I38="B1","",SUM(O38:Z38))</f>
        <v>#NAME?</v>
      </c>
      <c r="AB38" s="15"/>
      <c r="AD38" s="124" t="e">
        <f ca="1">_xll.EVGTS($B$1,1,$B$3,$B$5,$B$7,$B$9,AD$16,AD$17,AD$18,$B$6,$H38)-AD36</f>
        <v>#NAME?</v>
      </c>
      <c r="AE38" s="15"/>
      <c r="AF38" s="19"/>
      <c r="AG38" s="124" t="e">
        <f ca="1">_xll.EVGTS($B$1,1,$B$3,$B$5,$B$7,$B$9,AG$16,AG$17,AG$18,$B$6,$H38)-AG36</f>
        <v>#NAME?</v>
      </c>
      <c r="AH38" s="15"/>
      <c r="AI38" s="19"/>
    </row>
    <row r="39" spans="1:40" x14ac:dyDescent="0.2">
      <c r="A39" s="6" t="s">
        <v>27</v>
      </c>
      <c r="B39" s="7"/>
      <c r="N39" s="11"/>
      <c r="O39" s="11"/>
      <c r="P39" s="11"/>
      <c r="Q39" s="11"/>
      <c r="R39" s="11"/>
      <c r="S39" s="11"/>
      <c r="T39" s="11"/>
      <c r="U39" s="11"/>
      <c r="V39" s="11"/>
      <c r="W39" s="11"/>
      <c r="X39" s="11"/>
      <c r="Y39" s="11"/>
      <c r="Z39" s="11"/>
      <c r="AA39" s="11"/>
      <c r="AB39" s="11"/>
      <c r="AD39" s="11"/>
      <c r="AE39" s="11"/>
      <c r="AF39" s="11"/>
      <c r="AG39" s="11"/>
      <c r="AH39" s="11"/>
      <c r="AI39" s="11"/>
    </row>
    <row r="40" spans="1:40" x14ac:dyDescent="0.2">
      <c r="A40" s="6" t="s">
        <v>28</v>
      </c>
      <c r="B40" s="7"/>
    </row>
    <row r="41" spans="1:40" x14ac:dyDescent="0.2">
      <c r="A41" s="6" t="s">
        <v>29</v>
      </c>
      <c r="B41" s="7"/>
    </row>
    <row r="42" spans="1:40" x14ac:dyDescent="0.2">
      <c r="A42" s="6" t="s">
        <v>30</v>
      </c>
      <c r="B42" s="7" t="s">
        <v>78</v>
      </c>
    </row>
    <row r="43" spans="1:40" x14ac:dyDescent="0.2">
      <c r="A43" s="6" t="s">
        <v>31</v>
      </c>
      <c r="B43" s="7" t="s">
        <v>78</v>
      </c>
    </row>
    <row r="44" spans="1:40" x14ac:dyDescent="0.2">
      <c r="A44" s="6" t="s">
        <v>32</v>
      </c>
      <c r="B44" s="7"/>
    </row>
    <row r="45" spans="1:40" x14ac:dyDescent="0.2">
      <c r="A45" s="6" t="s">
        <v>33</v>
      </c>
      <c r="B45" s="7"/>
    </row>
    <row r="46" spans="1:40" x14ac:dyDescent="0.2">
      <c r="A46" s="6" t="s">
        <v>34</v>
      </c>
      <c r="B46" s="7"/>
      <c r="H46" s="11"/>
      <c r="J46" s="1"/>
    </row>
    <row r="47" spans="1:40" x14ac:dyDescent="0.2">
      <c r="A47" s="6" t="s">
        <v>35</v>
      </c>
      <c r="B47" s="7"/>
      <c r="H47" s="11"/>
      <c r="J47" s="1"/>
    </row>
    <row r="48" spans="1:40" x14ac:dyDescent="0.2">
      <c r="A48" s="6" t="s">
        <v>36</v>
      </c>
      <c r="B48" s="7"/>
      <c r="H48" s="11"/>
      <c r="J48" s="1"/>
    </row>
    <row r="49" spans="1:10" x14ac:dyDescent="0.2">
      <c r="A49" s="6" t="s">
        <v>37</v>
      </c>
      <c r="B49" s="7"/>
      <c r="H49" s="11"/>
      <c r="J49" s="1"/>
    </row>
    <row r="50" spans="1:10" x14ac:dyDescent="0.2">
      <c r="A50" s="6" t="s">
        <v>38</v>
      </c>
      <c r="B50" s="7"/>
      <c r="H50" s="11"/>
      <c r="J50" s="1"/>
    </row>
    <row r="51" spans="1:10" x14ac:dyDescent="0.2">
      <c r="A51" s="6" t="s">
        <v>39</v>
      </c>
      <c r="B51" s="7"/>
      <c r="H51" s="11"/>
      <c r="J51" s="1"/>
    </row>
    <row r="52" spans="1:10" x14ac:dyDescent="0.2">
      <c r="A52" s="6" t="s">
        <v>40</v>
      </c>
      <c r="B52" s="7"/>
      <c r="H52" s="11"/>
      <c r="J52" s="1"/>
    </row>
    <row r="53" spans="1:10" x14ac:dyDescent="0.2">
      <c r="A53" s="6" t="s">
        <v>41</v>
      </c>
      <c r="B53" s="7"/>
      <c r="H53" s="11"/>
      <c r="J53" s="1"/>
    </row>
    <row r="54" spans="1:10" x14ac:dyDescent="0.2">
      <c r="A54" s="6" t="s">
        <v>42</v>
      </c>
      <c r="B54" s="7"/>
      <c r="H54" s="11"/>
      <c r="J54" s="1"/>
    </row>
    <row r="55" spans="1:10" x14ac:dyDescent="0.2">
      <c r="A55" s="6" t="s">
        <v>43</v>
      </c>
      <c r="B55" s="7"/>
      <c r="H55" s="11"/>
      <c r="J55" s="1"/>
    </row>
    <row r="56" spans="1:10" x14ac:dyDescent="0.2">
      <c r="A56" s="6" t="s">
        <v>44</v>
      </c>
      <c r="B56" s="7"/>
      <c r="H56" s="11"/>
      <c r="J56" s="1"/>
    </row>
    <row r="57" spans="1:10" x14ac:dyDescent="0.2">
      <c r="A57" s="6" t="s">
        <v>45</v>
      </c>
      <c r="B57" s="7"/>
      <c r="H57" s="11"/>
      <c r="J57" s="1"/>
    </row>
    <row r="58" spans="1:10" x14ac:dyDescent="0.2">
      <c r="A58" s="6" t="s">
        <v>46</v>
      </c>
      <c r="B58" s="7"/>
      <c r="H58" s="11"/>
      <c r="J58" s="1"/>
    </row>
    <row r="59" spans="1:10" x14ac:dyDescent="0.2">
      <c r="H59" s="11"/>
      <c r="J59" s="1"/>
    </row>
    <row r="60" spans="1:10" x14ac:dyDescent="0.2">
      <c r="H60" s="11"/>
      <c r="J60" s="1"/>
    </row>
    <row r="61" spans="1:10" x14ac:dyDescent="0.2">
      <c r="H61" s="11"/>
      <c r="J61" s="1"/>
    </row>
    <row r="62" spans="1:10" x14ac:dyDescent="0.2">
      <c r="H62" s="11"/>
      <c r="J62" s="1"/>
    </row>
    <row r="63" spans="1:10" x14ac:dyDescent="0.2">
      <c r="H63" s="11"/>
      <c r="J63" s="1"/>
    </row>
    <row r="64" spans="1:10" x14ac:dyDescent="0.2">
      <c r="H64" s="11"/>
      <c r="J64" s="1"/>
    </row>
    <row r="65" spans="8:10" x14ac:dyDescent="0.2">
      <c r="H65" s="11"/>
      <c r="J65" s="1"/>
    </row>
    <row r="66" spans="8:10" x14ac:dyDescent="0.2">
      <c r="H66" s="11"/>
      <c r="J66" s="1"/>
    </row>
    <row r="67" spans="8:10" x14ac:dyDescent="0.2">
      <c r="H67" s="11"/>
      <c r="J67" s="1"/>
    </row>
    <row r="68" spans="8:10" x14ac:dyDescent="0.2">
      <c r="H68" s="11"/>
      <c r="J68" s="1"/>
    </row>
  </sheetData>
  <mergeCells count="2">
    <mergeCell ref="AD31:AE31"/>
    <mergeCell ref="AG31:AH31"/>
  </mergeCells>
  <dataValidations disablePrompts="1" count="2">
    <dataValidation type="list" allowBlank="1" sqref="B29" xr:uid="{00000000-0002-0000-5800-000000000000}">
      <formula1>"SELF,ALL,BAS,DEP,BASMEMBERS,MEMBERS,NOEXPAND,GDEP"</formula1>
    </dataValidation>
    <dataValidation type="list" allowBlank="1" sqref="B28" xr:uid="{00000000-0002-0000-58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29">
    <pageSetUpPr fitToPage="1"/>
  </sheetPr>
  <dimension ref="A1:AO100"/>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1" hidden="1" customWidth="1" outlineLevel="1" collapsed="1"/>
    <col min="13" max="13" width="9.6640625" style="11" hidden="1" customWidth="1" outlineLevel="1"/>
    <col min="14" max="14" width="40.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0"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c r="L1" s="69"/>
      <c r="M1" s="69"/>
      <c r="N1" s="69"/>
    </row>
    <row r="2" spans="1:35" hidden="1" outlineLevel="1" x14ac:dyDescent="0.2">
      <c r="A2" s="8" t="s">
        <v>22</v>
      </c>
      <c r="B2" s="12" t="s">
        <v>56</v>
      </c>
      <c r="C2" s="1" t="e">
        <f ca="1">_xll.EVDES(B2,$B$1)</f>
        <v>#NAME?</v>
      </c>
      <c r="I2" s="1"/>
      <c r="J2" s="1"/>
      <c r="L2" s="69"/>
      <c r="M2" s="69"/>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519</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row>
    <row r="12" spans="1:35" hidden="1" outlineLevel="1" x14ac:dyDescent="0.2">
      <c r="A12" s="1" t="s">
        <v>115</v>
      </c>
      <c r="B12" s="46" t="e">
        <f ca="1">_xll.EVPRO($B$1,$B$10,"YEAR")</f>
        <v>#NAME?</v>
      </c>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_xll.EVRNG(H34:H65)</f>
        <v>#NAME?</v>
      </c>
      <c r="G19" s="16" t="s">
        <v>499</v>
      </c>
      <c r="H19" s="16">
        <v>400000</v>
      </c>
      <c r="I19" s="17"/>
      <c r="J19" s="17"/>
      <c r="K19" s="16"/>
      <c r="L19" s="17"/>
      <c r="M19" s="17"/>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
        <v>583</v>
      </c>
      <c r="H20" s="16" t="s">
        <v>584</v>
      </c>
      <c r="I20" s="17" t="e">
        <f ca="1">_xll.EVPRO($B$1,$H20,"STYLE")</f>
        <v>#NAME?</v>
      </c>
      <c r="J20" s="17" t="e">
        <f ca="1">_xll.EVPRO($B$1,$H20,"CALC")</f>
        <v>#NAME?</v>
      </c>
      <c r="K20" s="16"/>
      <c r="L20" s="17"/>
      <c r="M20" s="17"/>
      <c r="N20" s="16" t="e">
        <f ca="1">IF(_xll.EVDES(H20,$B$1)="#NODATA","",_xll.EVDES(H20,$B$1))&amp;"-"&amp;_xll.EVDES(G20)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c r="G21" s="16" t="s">
        <v>749</v>
      </c>
      <c r="H21" s="16">
        <v>904100</v>
      </c>
      <c r="I21" s="17"/>
      <c r="J21" s="17"/>
      <c r="K21" s="16"/>
      <c r="L21" s="17"/>
      <c r="M21" s="17"/>
      <c r="N21" s="16" t="e">
        <f ca="1">_xll.EVDES(H21)</f>
        <v>#NAME?</v>
      </c>
      <c r="O21" s="18" t="e">
        <f ca="1">_xll.EVGTS($B$1,1,$B$3,$B$5,$B$7,$B$9,O$16,O$17,O$18,$G$21,$H$21)</f>
        <v>#NAME?</v>
      </c>
      <c r="P21" s="18" t="e">
        <f ca="1">_xll.EVGTS($B$1,1,$B$3,$B$5,$B$7,$B$9,P$16,P$17,P$18,$G$21,$H$21)</f>
        <v>#NAME?</v>
      </c>
      <c r="Q21" s="18" t="e">
        <f ca="1">_xll.EVGTS($B$1,1,$B$3,$B$5,$B$7,$B$9,Q$16,Q$17,Q$18,$G$21,$H$21)</f>
        <v>#NAME?</v>
      </c>
      <c r="R21" s="18" t="e">
        <f ca="1">_xll.EVGTS($B$1,1,$B$3,$B$5,$B$7,$B$9,R$16,R$17,R$18,$G$21,$H$21)</f>
        <v>#NAME?</v>
      </c>
      <c r="S21" s="18" t="e">
        <f ca="1">_xll.EVGTS($B$1,1,$B$3,$B$5,$B$7,$B$9,S$16,S$17,S$18,$G$21,$H$21)</f>
        <v>#NAME?</v>
      </c>
      <c r="T21" s="18" t="e">
        <f ca="1">_xll.EVGTS($B$1,1,$B$3,$B$5,$B$7,$B$9,T$16,T$17,T$18,$G$21,$H$21)</f>
        <v>#NAME?</v>
      </c>
      <c r="U21" s="18" t="e">
        <f ca="1">_xll.EVGTS($B$1,1,$B$3,$B$5,$B$7,$B$9,U$16,U$17,U$18,$G$21,$H$21)</f>
        <v>#NAME?</v>
      </c>
      <c r="V21" s="18" t="e">
        <f ca="1">_xll.EVGTS($B$1,1,$B$3,$B$5,$B$7,$B$9,V$16,V$17,V$18,$G$21,$H$21)</f>
        <v>#NAME?</v>
      </c>
      <c r="W21" s="18" t="e">
        <f ca="1">_xll.EVGTS($B$1,1,$B$3,$B$5,$B$7,$B$9,W$16,W$17,W$18,$G$21,$H$21)</f>
        <v>#NAME?</v>
      </c>
      <c r="X21" s="18" t="e">
        <f ca="1">_xll.EVGTS($B$1,1,$B$3,$B$5,$B$7,$B$9,X$16,X$17,X$18,$G$21,$H$21)</f>
        <v>#NAME?</v>
      </c>
      <c r="Y21" s="18" t="e">
        <f ca="1">_xll.EVGTS($B$1,1,$B$3,$B$5,$B$7,$B$9,Y$16,Y$17,Y$18,$G$21,$H$21)</f>
        <v>#NAME?</v>
      </c>
      <c r="Z21" s="18" t="e">
        <f ca="1">_xll.EVGTS($B$1,1,$B$3,$B$5,$B$7,$B$9,Z$16,Z$17,Z$18,$G$21,$H$21)</f>
        <v>#NAME?</v>
      </c>
      <c r="AA21" s="18" t="e">
        <f ca="1">SUM(O21:Z21)</f>
        <v>#NAME?</v>
      </c>
      <c r="AB21" s="16"/>
      <c r="AC21" s="16"/>
      <c r="AD21" s="18" t="e">
        <f ca="1">_xll.EVGTS($B$1,1,$B$3,$B$5,$B$7,$B$9,AD$16,AD$17,AD$18,$G$21,$H$21)</f>
        <v>#NAME?</v>
      </c>
      <c r="AE21" s="16"/>
      <c r="AF21" s="16"/>
      <c r="AG21" s="18" t="e">
        <f ca="1">_xll.EVGTS($B$1,1,$B$3,$B$5,$B$7,$B$9,AG$16,AG$17,AG$18,$G$21,$H$21)</f>
        <v>#NAME?</v>
      </c>
      <c r="AH21" s="16"/>
      <c r="AI21" s="16"/>
    </row>
    <row r="22" spans="1:40" hidden="1" outlineLevel="1" x14ac:dyDescent="0.2">
      <c r="A22" s="6" t="s">
        <v>7</v>
      </c>
      <c r="B22" s="7" t="e">
        <f ca="1">_xll.EVRNG(A36:F41)</f>
        <v>#NAME?</v>
      </c>
      <c r="G22" s="8" t="s">
        <v>589</v>
      </c>
    </row>
    <row r="23" spans="1:40" hidden="1" outlineLevel="1" x14ac:dyDescent="0.2">
      <c r="A23" s="6" t="s">
        <v>47</v>
      </c>
      <c r="B23" s="7" t="e">
        <f ca="1">_xll.EVRNG($A$45:$B$66)</f>
        <v>#NAME?</v>
      </c>
      <c r="K23" s="53"/>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IF(_xll.EVDES(B6,$B$1)="#NODATA","",_xll.EVDES(B6,$B$1)&amp;" Department")</f>
        <v>#NAME?</v>
      </c>
    </row>
    <row r="28" spans="1:40" ht="16" x14ac:dyDescent="0.2">
      <c r="A28" s="6" t="s">
        <v>12</v>
      </c>
      <c r="B28" s="7" t="s">
        <v>22</v>
      </c>
      <c r="N28" s="67" t="e">
        <f ca="1">"For the Period ended"&amp;" "&amp;IF(_xll.EVDES($B$10,$B$1)="#NODATA","",_xll.EVDES($B$10,$B$1))</f>
        <v>#NAME?</v>
      </c>
    </row>
    <row r="29" spans="1:40" ht="15" customHeight="1" x14ac:dyDescent="0.2">
      <c r="A29" s="6" t="s">
        <v>13</v>
      </c>
      <c r="B29" s="7" t="s">
        <v>549</v>
      </c>
      <c r="N29" s="67" t="e">
        <f ca="1">_xll.EVDES(B9,B1)</f>
        <v>#NAME?</v>
      </c>
    </row>
    <row r="30" spans="1:40" x14ac:dyDescent="0.2">
      <c r="A30" s="6" t="s">
        <v>14</v>
      </c>
      <c r="B30" s="14"/>
      <c r="O30" s="208"/>
      <c r="P30" s="209"/>
      <c r="Q30" s="209"/>
      <c r="R30" s="209"/>
      <c r="S30" s="209"/>
      <c r="T30" s="209"/>
      <c r="U30" s="209"/>
      <c r="V30" s="209"/>
      <c r="W30" s="209"/>
      <c r="X30" s="209"/>
      <c r="Y30" s="209"/>
      <c r="Z30" s="209"/>
      <c r="AA30" s="209"/>
      <c r="AB30" s="210"/>
      <c r="AD30" s="209"/>
      <c r="AE30" s="209"/>
      <c r="AF30" s="209"/>
      <c r="AG30" s="209"/>
      <c r="AH30" s="209"/>
      <c r="AI30" s="209"/>
      <c r="AJ30" s="208" t="s">
        <v>752</v>
      </c>
      <c r="AK30" s="209"/>
      <c r="AL30" s="210"/>
      <c r="AM30" s="209" t="s">
        <v>750</v>
      </c>
      <c r="AN30" s="209"/>
    </row>
    <row r="31" spans="1:40" x14ac:dyDescent="0.2">
      <c r="A31" s="6" t="s">
        <v>15</v>
      </c>
      <c r="B31" s="7"/>
      <c r="G31" s="13"/>
      <c r="K31" s="52"/>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c r="H32" s="233"/>
      <c r="I32" s="234"/>
      <c r="J32" s="234"/>
      <c r="K32" s="235" t="s">
        <v>117</v>
      </c>
      <c r="L32" s="234"/>
      <c r="M32" s="234"/>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544</v>
      </c>
      <c r="I33" s="11" t="e">
        <f ca="1">_xll.EVPRO($B$1,$H33,"STYLE")</f>
        <v>#NAME?</v>
      </c>
      <c r="J33" s="11" t="e">
        <f ca="1">_xll.EVPRO($B$1,$H33,"CALC")</f>
        <v>#NAME?</v>
      </c>
      <c r="L33" s="1"/>
      <c r="M33" s="1"/>
      <c r="N33" s="37" t="e">
        <f ca="1">IF(_xll.EVDES(H33,$B$1)="#NODATA","",_xll.EVDES(H33,$B$1))</f>
        <v>#NAME?</v>
      </c>
      <c r="O33" s="40"/>
      <c r="P33" s="43"/>
      <c r="Q33" s="43"/>
      <c r="R33" s="43"/>
      <c r="S33" s="43"/>
      <c r="T33" s="43"/>
      <c r="U33" s="43"/>
      <c r="V33" s="43"/>
      <c r="W33" s="43"/>
      <c r="X33" s="43"/>
      <c r="Y33" s="43"/>
      <c r="Z33" s="43"/>
      <c r="AA33" s="43"/>
      <c r="AB33" s="41"/>
      <c r="AD33" s="40"/>
      <c r="AE33" s="43"/>
      <c r="AF33" s="41"/>
      <c r="AG33" s="40"/>
      <c r="AH33" s="43"/>
      <c r="AI33" s="41"/>
    </row>
    <row r="34" spans="1:40" x14ac:dyDescent="0.2">
      <c r="H34" s="10" t="s">
        <v>522</v>
      </c>
      <c r="I34" s="25" t="e">
        <f ca="1">_xll.EVPRO($B$1,$H34,"STYLE")</f>
        <v>#NAME?</v>
      </c>
      <c r="J34" s="25" t="e">
        <f ca="1">_xll.EVPRO($B$1,$H34,"CALC")</f>
        <v>#NAME?</v>
      </c>
      <c r="K34" s="64" t="e">
        <f ca="1">IF(AND(I34&gt;="T4"),"&gt;","")</f>
        <v>#NAME?</v>
      </c>
      <c r="L34" s="24" t="e">
        <f ca="1">_xll.EVPRO($B$1,H34,"JDEID")</f>
        <v>#NAME?</v>
      </c>
      <c r="M34" s="24" t="e">
        <f ca="1">IF(AND(I34="N",J34="N"),_xll.EVPRO($B$1,H34,"PSFTID"),"")</f>
        <v>#NAME?</v>
      </c>
      <c r="N34" s="24" t="e">
        <f ca="1">IF(_xll.EVDES(H34,$B$1)="#NODATA","",_xll.EVDES(H34,$B$1))</f>
        <v>#NAME?</v>
      </c>
      <c r="O34" s="19"/>
      <c r="P34" s="19"/>
      <c r="Q34" s="19"/>
      <c r="R34" s="19"/>
      <c r="S34" s="19"/>
      <c r="T34" s="19"/>
      <c r="U34" s="19"/>
      <c r="V34" s="19"/>
      <c r="W34" s="19"/>
      <c r="X34" s="19"/>
      <c r="Y34" s="19"/>
      <c r="Z34" s="19"/>
      <c r="AA34" s="19" t="e">
        <f t="shared" ref="AA34:AA65" ca="1" si="0">IF($I34="B1","",SUM(O34:Z34))</f>
        <v>#NAME?</v>
      </c>
      <c r="AB34" s="15" t="e">
        <f t="shared" ref="AB34:AB65" ca="1" si="1">IF(AA34=0,"",IFERROR(AA34/AA$19,""))</f>
        <v>#NAME?</v>
      </c>
      <c r="AD34" s="19"/>
      <c r="AE34" s="15" t="str">
        <f t="shared" ref="AE34:AE65" si="2">IF(AD34=0,"",IFERROR(AD34/AD$19,""))</f>
        <v/>
      </c>
      <c r="AF34" s="47" t="e">
        <f t="shared" ref="AF34:AF65" ca="1" si="3">IF(AND($AA34="",AD34=""),"",$AA34-AD34)</f>
        <v>#NAME?</v>
      </c>
      <c r="AG34" s="19"/>
      <c r="AH34" s="15" t="str">
        <f>IF(AG34=0,"",IFERROR(AG34/AG$19,""))</f>
        <v/>
      </c>
      <c r="AI34" s="47" t="e">
        <f ca="1">IF(AND($AA34="",AG34=""),"",$AA34-AG34)</f>
        <v>#NAME?</v>
      </c>
      <c r="AJ34" s="371">
        <f ca="1">IFERROR(AA34/AA$21,0)</f>
        <v>0</v>
      </c>
      <c r="AK34" s="372">
        <f ca="1">IFERROR(AD34/AD$21,0)</f>
        <v>0</v>
      </c>
      <c r="AL34" s="373">
        <f ca="1">IFERROR(AG34/AG$21,0)</f>
        <v>0</v>
      </c>
      <c r="AM34" s="374">
        <f ca="1">+IFERROR(ROUND(($AB34-AE34)*100,2)&amp;" pts.",0)</f>
        <v>0</v>
      </c>
      <c r="AN34" s="375">
        <f ca="1">+IFERROR(ROUND(($AB34-AH34)*100,2)&amp;" pts.",0)</f>
        <v>0</v>
      </c>
    </row>
    <row r="35" spans="1:40" x14ac:dyDescent="0.2">
      <c r="A35" s="20" t="s">
        <v>92</v>
      </c>
      <c r="B35" s="21" t="s">
        <v>93</v>
      </c>
      <c r="C35" s="21" t="s">
        <v>94</v>
      </c>
      <c r="D35" s="21" t="s">
        <v>95</v>
      </c>
      <c r="E35" s="21" t="s">
        <v>96</v>
      </c>
      <c r="F35" s="22" t="s">
        <v>97</v>
      </c>
      <c r="H35" s="10" t="s">
        <v>523</v>
      </c>
      <c r="I35" s="25" t="e">
        <f ca="1">_xll.EVPRO($B$1,$H35,"STYLE")</f>
        <v>#NAME?</v>
      </c>
      <c r="J35" s="25" t="e">
        <f ca="1">_xll.EVPRO($B$1,$H35,"CALC")</f>
        <v>#NAME?</v>
      </c>
      <c r="K35" s="64" t="e">
        <f t="shared" ref="K35:K65" ca="1" si="4">IF(AND(I35&gt;="T4"),"&gt;","")</f>
        <v>#NAME?</v>
      </c>
      <c r="L35" s="24" t="e">
        <f ca="1">_xll.EVPRO($B$1,H35,"JDEID")</f>
        <v>#NAME?</v>
      </c>
      <c r="M35" s="24" t="e">
        <f ca="1">IF(AND(I35="N",J35="N"),_xll.EVPRO($B$1,H35,"PSFTID"),"")</f>
        <v>#NAME?</v>
      </c>
      <c r="N35" s="24" t="e">
        <f ca="1">IF(_xll.EVDES(H35,$B$1)="#NODATA","",_xll.EVDES(H35,$B$1))</f>
        <v>#NAME?</v>
      </c>
      <c r="O35" s="19">
        <v>-1939.85</v>
      </c>
      <c r="P35" s="19">
        <v>-1838.2</v>
      </c>
      <c r="Q35" s="19">
        <v>-2002.55</v>
      </c>
      <c r="R35" s="19">
        <v>-1967.65</v>
      </c>
      <c r="S35" s="19">
        <v>-2116.0700000000002</v>
      </c>
      <c r="T35" s="19">
        <v>-2077.4899999999998</v>
      </c>
      <c r="U35" s="19">
        <v>-2152.0300000000002</v>
      </c>
      <c r="V35" s="19">
        <v>-2157.5</v>
      </c>
      <c r="W35" s="19">
        <v>-1997.83</v>
      </c>
      <c r="X35" s="19">
        <v>-1918.92</v>
      </c>
      <c r="Y35" s="19"/>
      <c r="Z35" s="19"/>
      <c r="AA35" s="19" t="e">
        <f t="shared" ca="1" si="0"/>
        <v>#NAME?</v>
      </c>
      <c r="AB35" s="15" t="e">
        <f t="shared" ca="1" si="1"/>
        <v>#NAME?</v>
      </c>
      <c r="AD35" s="19"/>
      <c r="AE35" s="15" t="str">
        <f t="shared" si="2"/>
        <v/>
      </c>
      <c r="AF35" s="47" t="e">
        <f t="shared" ca="1" si="3"/>
        <v>#NAME?</v>
      </c>
      <c r="AG35" s="19">
        <v>-9638.44</v>
      </c>
      <c r="AH35" s="15" t="str">
        <f t="shared" ref="AH35:AH65" ca="1" si="5">IF(AG35=0,"",IFERROR(AG35/AG$19,""))</f>
        <v/>
      </c>
      <c r="AI35" s="47" t="e">
        <f t="shared" ref="AI35:AI65" ca="1" si="6">IF(AND($AA35="",AG35=""),"",$AA35-AG35)</f>
        <v>#NAME?</v>
      </c>
      <c r="AJ35" s="371">
        <f t="shared" ref="AJ35:AJ65" ca="1" si="7">IFERROR(AA35/AA$21,0)</f>
        <v>0</v>
      </c>
      <c r="AK35" s="372">
        <f t="shared" ref="AK35:AK65" ca="1" si="8">IFERROR(AD35/AD$21,0)</f>
        <v>0</v>
      </c>
      <c r="AL35" s="373">
        <f t="shared" ref="AL35:AL65" ca="1" si="9">IFERROR(AG35/AG$21,0)</f>
        <v>0</v>
      </c>
      <c r="AM35" s="374">
        <f t="shared" ref="AM35:AM65" ca="1" si="10">+IFERROR(ROUND(($AB35-AE35)*100,2)&amp;" pts.",0)</f>
        <v>0</v>
      </c>
      <c r="AN35" s="375">
        <f t="shared" ref="AN35:AN65" ca="1" si="11">+IFERROR(ROUND(($AB35-AH35)*100,2)&amp;" pts.",0)</f>
        <v>0</v>
      </c>
    </row>
    <row r="36" spans="1:40" x14ac:dyDescent="0.2">
      <c r="H36" s="10" t="s">
        <v>524</v>
      </c>
      <c r="I36" s="25" t="e">
        <f ca="1">_xll.EVPRO($B$1,$H36,"STYLE")</f>
        <v>#NAME?</v>
      </c>
      <c r="J36" s="25" t="e">
        <f ca="1">_xll.EVPRO($B$1,$H36,"CALC")</f>
        <v>#NAME?</v>
      </c>
      <c r="K36" s="64" t="e">
        <f t="shared" ca="1" si="4"/>
        <v>#NAME?</v>
      </c>
      <c r="L36" s="24" t="e">
        <f ca="1">_xll.EVPRO($B$1,H36,"JDEID")</f>
        <v>#NAME?</v>
      </c>
      <c r="M36" s="24" t="e">
        <f ca="1">IF(AND(I36="N",J36="N"),_xll.EVPRO($B$1,H36,"PSFTID"),"")</f>
        <v>#NAME?</v>
      </c>
      <c r="N36" s="24" t="e">
        <f ca="1">IF(_xll.EVDES(H36,$B$1)="#NODATA","",_xll.EVDES(H36,$B$1))</f>
        <v>#NAME?</v>
      </c>
      <c r="O36" s="28"/>
      <c r="P36" s="28"/>
      <c r="Q36" s="28"/>
      <c r="R36" s="28"/>
      <c r="S36" s="28"/>
      <c r="T36" s="28"/>
      <c r="U36" s="28"/>
      <c r="V36" s="28"/>
      <c r="W36" s="28"/>
      <c r="X36" s="28"/>
      <c r="Y36" s="28"/>
      <c r="Z36" s="28"/>
      <c r="AA36" s="28" t="e">
        <f t="shared" ca="1" si="0"/>
        <v>#NAME?</v>
      </c>
      <c r="AB36" s="29" t="e">
        <f t="shared" ca="1" si="1"/>
        <v>#NAME?</v>
      </c>
      <c r="AD36" s="28"/>
      <c r="AE36" s="29" t="str">
        <f t="shared" si="2"/>
        <v/>
      </c>
      <c r="AF36" s="48" t="e">
        <f t="shared" ca="1" si="3"/>
        <v>#NAME?</v>
      </c>
      <c r="AG36" s="28"/>
      <c r="AH36" s="29" t="str">
        <f t="shared" si="5"/>
        <v/>
      </c>
      <c r="AI36" s="48" t="e">
        <f t="shared" ca="1" si="6"/>
        <v>#NAME?</v>
      </c>
      <c r="AJ36" s="381">
        <f t="shared" ca="1" si="7"/>
        <v>0</v>
      </c>
      <c r="AK36" s="382">
        <f t="shared" ca="1" si="8"/>
        <v>0</v>
      </c>
      <c r="AL36" s="383">
        <f t="shared" ca="1" si="9"/>
        <v>0</v>
      </c>
      <c r="AM36" s="384">
        <f t="shared" ca="1" si="10"/>
        <v>0</v>
      </c>
      <c r="AN36" s="385">
        <f t="shared" ca="1" si="11"/>
        <v>0</v>
      </c>
    </row>
    <row r="37" spans="1:40" x14ac:dyDescent="0.2">
      <c r="A37" s="1" t="s">
        <v>100</v>
      </c>
      <c r="C37" s="37" t="s">
        <v>101</v>
      </c>
      <c r="D37" s="1" t="s">
        <v>551</v>
      </c>
      <c r="F37" s="1" t="s">
        <v>98</v>
      </c>
      <c r="H37" s="10" t="s">
        <v>525</v>
      </c>
      <c r="I37" s="447" t="e">
        <f ca="1">_xll.EVPRO($B$1,$H37,"STYLE")</f>
        <v>#NAME?</v>
      </c>
      <c r="J37" s="447" t="e">
        <f ca="1">_xll.EVPRO($B$1,$H37,"CALC")</f>
        <v>#NAME?</v>
      </c>
      <c r="K37" s="448" t="e">
        <f t="shared" ca="1" si="4"/>
        <v>#NAME?</v>
      </c>
      <c r="L37" s="151" t="e">
        <f ca="1">_xll.EVPRO($B$1,H37,"JDEID")</f>
        <v>#NAME?</v>
      </c>
      <c r="M37" s="151" t="e">
        <f ca="1">IF(AND(I37="N",J37="N"),_xll.EVPRO($B$1,H37,"PSFTID"),"")</f>
        <v>#NAME?</v>
      </c>
      <c r="N37" s="151" t="e">
        <f ca="1">IF(_xll.EVDES(H37,$B$1)="#NODATA","",_xll.EVDES(H37,$B$1))</f>
        <v>#NAME?</v>
      </c>
      <c r="O37" s="30">
        <v>-1939.85</v>
      </c>
      <c r="P37" s="30">
        <v>-1838.2</v>
      </c>
      <c r="Q37" s="30">
        <v>-2002.55</v>
      </c>
      <c r="R37" s="30">
        <v>-1967.65</v>
      </c>
      <c r="S37" s="30">
        <v>-2116.0700000000002</v>
      </c>
      <c r="T37" s="30">
        <v>-2077.4899999999998</v>
      </c>
      <c r="U37" s="30">
        <v>-2152.0300000000002</v>
      </c>
      <c r="V37" s="30">
        <v>-2157.5</v>
      </c>
      <c r="W37" s="30">
        <v>-1997.83</v>
      </c>
      <c r="X37" s="30">
        <v>-1918.92</v>
      </c>
      <c r="Y37" s="30"/>
      <c r="Z37" s="30"/>
      <c r="AA37" s="30" t="e">
        <f t="shared" ca="1" si="0"/>
        <v>#NAME?</v>
      </c>
      <c r="AB37" s="31" t="e">
        <f t="shared" ca="1" si="1"/>
        <v>#NAME?</v>
      </c>
      <c r="AC37" s="32"/>
      <c r="AD37" s="30"/>
      <c r="AE37" s="31" t="str">
        <f t="shared" si="2"/>
        <v/>
      </c>
      <c r="AF37" s="49" t="e">
        <f t="shared" ca="1" si="3"/>
        <v>#NAME?</v>
      </c>
      <c r="AG37" s="30">
        <v>-9638.44</v>
      </c>
      <c r="AH37" s="31" t="str">
        <f t="shared" ca="1" si="5"/>
        <v/>
      </c>
      <c r="AI37" s="49" t="e">
        <f t="shared" ca="1" si="6"/>
        <v>#NAME?</v>
      </c>
      <c r="AJ37" s="336">
        <f t="shared" ca="1" si="7"/>
        <v>0</v>
      </c>
      <c r="AK37" s="337">
        <f t="shared" ca="1" si="8"/>
        <v>0</v>
      </c>
      <c r="AL37" s="339">
        <f t="shared" ca="1" si="9"/>
        <v>0</v>
      </c>
      <c r="AM37" s="386">
        <f t="shared" ca="1" si="10"/>
        <v>0</v>
      </c>
      <c r="AN37" s="407">
        <f t="shared" ca="1" si="11"/>
        <v>0</v>
      </c>
    </row>
    <row r="38" spans="1:40" x14ac:dyDescent="0.2">
      <c r="A38" s="1" t="s">
        <v>105</v>
      </c>
      <c r="C38" s="24" t="s">
        <v>101</v>
      </c>
      <c r="D38" s="1" t="s">
        <v>106</v>
      </c>
      <c r="F38" s="1" t="s">
        <v>98</v>
      </c>
      <c r="H38" s="10" t="s">
        <v>547</v>
      </c>
      <c r="I38" s="449" t="e">
        <f ca="1">_xll.EVPRO($B$1,$H38,"STYLE")</f>
        <v>#NAME?</v>
      </c>
      <c r="J38" s="449" t="e">
        <f ca="1">_xll.EVPRO($B$1,$H38,"CALC")</f>
        <v>#NAME?</v>
      </c>
      <c r="K38" s="450" t="e">
        <f t="shared" ca="1" si="4"/>
        <v>#NAME?</v>
      </c>
      <c r="L38" s="450" t="e">
        <f ca="1">_xll.EVPRO($B$1,H38,"JDEID")</f>
        <v>#NAME?</v>
      </c>
      <c r="M38" s="450" t="e">
        <f ca="1">IF(AND(I38="N",J38="N"),_xll.EVPRO($B$1,H38,"PSFTID"),"")</f>
        <v>#NAME?</v>
      </c>
      <c r="N38" s="450" t="e">
        <f ca="1">IF(_xll.EVDES(H38,$B$1)="#NODATA","",_xll.EVDES(H38,$B$1))</f>
        <v>#NAME?</v>
      </c>
      <c r="O38" s="19"/>
      <c r="P38" s="19"/>
      <c r="Q38" s="19"/>
      <c r="R38" s="19"/>
      <c r="S38" s="19"/>
      <c r="T38" s="19"/>
      <c r="U38" s="19"/>
      <c r="V38" s="19"/>
      <c r="W38" s="19"/>
      <c r="X38" s="19"/>
      <c r="Y38" s="19"/>
      <c r="Z38" s="19"/>
      <c r="AA38" s="19" t="e">
        <f t="shared" ca="1" si="0"/>
        <v>#NAME?</v>
      </c>
      <c r="AB38" s="15" t="e">
        <f t="shared" ca="1" si="1"/>
        <v>#NAME?</v>
      </c>
      <c r="AD38" s="19"/>
      <c r="AE38" s="15" t="str">
        <f t="shared" si="2"/>
        <v/>
      </c>
      <c r="AF38" s="47" t="e">
        <f t="shared" ca="1" si="3"/>
        <v>#NAME?</v>
      </c>
      <c r="AG38" s="19"/>
      <c r="AH38" s="15" t="str">
        <f t="shared" si="5"/>
        <v/>
      </c>
      <c r="AI38" s="47" t="e">
        <f t="shared" ca="1" si="6"/>
        <v>#NAME?</v>
      </c>
      <c r="AJ38" s="371">
        <f t="shared" ca="1" si="7"/>
        <v>0</v>
      </c>
      <c r="AK38" s="372">
        <f t="shared" ca="1" si="8"/>
        <v>0</v>
      </c>
      <c r="AL38" s="373">
        <f t="shared" ca="1" si="9"/>
        <v>0</v>
      </c>
      <c r="AM38" s="374">
        <f t="shared" ca="1" si="10"/>
        <v>0</v>
      </c>
      <c r="AN38" s="375">
        <f t="shared" ca="1" si="11"/>
        <v>0</v>
      </c>
    </row>
    <row r="39" spans="1:40" x14ac:dyDescent="0.2">
      <c r="A39" s="1" t="s">
        <v>102</v>
      </c>
      <c r="C39" s="24" t="s">
        <v>101</v>
      </c>
      <c r="D39" s="1" t="s">
        <v>106</v>
      </c>
      <c r="F39" s="1" t="s">
        <v>98</v>
      </c>
      <c r="H39" s="10" t="s">
        <v>526</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19"/>
      <c r="P39" s="19"/>
      <c r="Q39" s="19"/>
      <c r="R39" s="19"/>
      <c r="S39" s="19"/>
      <c r="T39" s="19">
        <v>5.66</v>
      </c>
      <c r="U39" s="19"/>
      <c r="V39" s="19"/>
      <c r="W39" s="19"/>
      <c r="X39" s="19"/>
      <c r="Y39" s="19"/>
      <c r="Z39" s="19"/>
      <c r="AA39" s="19" t="e">
        <f t="shared" ca="1" si="0"/>
        <v>#NAME?</v>
      </c>
      <c r="AB39" s="15" t="e">
        <f t="shared" ca="1" si="1"/>
        <v>#NAME?</v>
      </c>
      <c r="AD39" s="19"/>
      <c r="AE39" s="15" t="str">
        <f t="shared" si="2"/>
        <v/>
      </c>
      <c r="AF39" s="47" t="e">
        <f t="shared" ca="1" si="3"/>
        <v>#NAME?</v>
      </c>
      <c r="AG39" s="19">
        <v>-2.8421709430404001E-14</v>
      </c>
      <c r="AH39" s="15" t="str">
        <f t="shared" ca="1" si="5"/>
        <v/>
      </c>
      <c r="AI39" s="47" t="e">
        <f t="shared" ca="1" si="6"/>
        <v>#NAME?</v>
      </c>
      <c r="AJ39" s="371">
        <f t="shared" ca="1" si="7"/>
        <v>0</v>
      </c>
      <c r="AK39" s="372">
        <f t="shared" ca="1" si="8"/>
        <v>0</v>
      </c>
      <c r="AL39" s="373">
        <f t="shared" ca="1" si="9"/>
        <v>0</v>
      </c>
      <c r="AM39" s="374">
        <f t="shared" ca="1" si="10"/>
        <v>0</v>
      </c>
      <c r="AN39" s="375">
        <f t="shared" ca="1" si="11"/>
        <v>0</v>
      </c>
    </row>
    <row r="40" spans="1:40" x14ac:dyDescent="0.2">
      <c r="A40" s="1" t="s">
        <v>108</v>
      </c>
      <c r="C40" s="23" t="s">
        <v>101</v>
      </c>
      <c r="D40" s="1" t="s">
        <v>106</v>
      </c>
      <c r="F40" s="1" t="s">
        <v>98</v>
      </c>
      <c r="H40" s="10" t="s">
        <v>527</v>
      </c>
      <c r="I40" s="25" t="e">
        <f ca="1">_xll.EVPRO($B$1,$H40,"STYLE")</f>
        <v>#NAME?</v>
      </c>
      <c r="J40" s="25" t="e">
        <f ca="1">_xll.EVPRO($B$1,$H40,"CALC")</f>
        <v>#NAME?</v>
      </c>
      <c r="K40" s="64" t="e">
        <f t="shared" ca="1" si="4"/>
        <v>#NAME?</v>
      </c>
      <c r="L40" s="24" t="e">
        <f ca="1">_xll.EVPRO($B$1,H40,"JDEID")</f>
        <v>#NAME?</v>
      </c>
      <c r="M40" s="24" t="e">
        <f ca="1">IF(AND(I40="N",J40="N"),_xll.EVPRO($B$1,H40,"PSFTID"),"")</f>
        <v>#NAME?</v>
      </c>
      <c r="N40" s="24" t="e">
        <f ca="1">IF(_xll.EVDES(H40,$B$1)="#NODATA","",_xll.EVDES(H40,$B$1))</f>
        <v>#NAME?</v>
      </c>
      <c r="O40" s="28">
        <v>999.18</v>
      </c>
      <c r="P40" s="28">
        <v>1697.89</v>
      </c>
      <c r="Q40" s="28">
        <v>1671.22</v>
      </c>
      <c r="R40" s="28">
        <v>-196.17</v>
      </c>
      <c r="S40" s="28">
        <v>1870.24</v>
      </c>
      <c r="T40" s="28">
        <v>652.47</v>
      </c>
      <c r="U40" s="28">
        <v>837.03</v>
      </c>
      <c r="V40" s="28">
        <v>517.89</v>
      </c>
      <c r="W40" s="28">
        <v>3514.57</v>
      </c>
      <c r="X40" s="28">
        <v>-800.55</v>
      </c>
      <c r="Y40" s="28">
        <v>2224.88</v>
      </c>
      <c r="Z40" s="28">
        <v>-2950.36</v>
      </c>
      <c r="AA40" s="28" t="e">
        <f t="shared" ca="1" si="0"/>
        <v>#NAME?</v>
      </c>
      <c r="AB40" s="29" t="e">
        <f t="shared" ca="1" si="1"/>
        <v>#NAME?</v>
      </c>
      <c r="AD40" s="28">
        <v>16322.0000000004</v>
      </c>
      <c r="AE40" s="29" t="str">
        <f t="shared" ca="1" si="2"/>
        <v/>
      </c>
      <c r="AF40" s="48" t="e">
        <f t="shared" ca="1" si="3"/>
        <v>#NAME?</v>
      </c>
      <c r="AG40" s="28">
        <v>17917.740000000002</v>
      </c>
      <c r="AH40" s="29" t="str">
        <f t="shared" ca="1" si="5"/>
        <v/>
      </c>
      <c r="AI40" s="48" t="e">
        <f t="shared" ca="1" si="6"/>
        <v>#NAME?</v>
      </c>
      <c r="AJ40" s="381">
        <f t="shared" ca="1" si="7"/>
        <v>0</v>
      </c>
      <c r="AK40" s="382">
        <f t="shared" ca="1" si="8"/>
        <v>0</v>
      </c>
      <c r="AL40" s="383">
        <f t="shared" ca="1" si="9"/>
        <v>0</v>
      </c>
      <c r="AM40" s="384">
        <f t="shared" ca="1" si="10"/>
        <v>0</v>
      </c>
      <c r="AN40" s="385">
        <f t="shared" ca="1" si="11"/>
        <v>0</v>
      </c>
    </row>
    <row r="41" spans="1:40" x14ac:dyDescent="0.2">
      <c r="A41" s="1" t="s">
        <v>108</v>
      </c>
      <c r="C41" s="27" t="s">
        <v>101</v>
      </c>
      <c r="D41" s="1" t="s">
        <v>107</v>
      </c>
      <c r="F41" s="1" t="s">
        <v>99</v>
      </c>
      <c r="H41" s="10" t="s">
        <v>520</v>
      </c>
      <c r="I41" s="447" t="e">
        <f ca="1">_xll.EVPRO($B$1,$H41,"STYLE")</f>
        <v>#NAME?</v>
      </c>
      <c r="J41" s="447" t="e">
        <f ca="1">_xll.EVPRO($B$1,$H41,"CALC")</f>
        <v>#NAME?</v>
      </c>
      <c r="K41" s="448" t="e">
        <f t="shared" ca="1" si="4"/>
        <v>#NAME?</v>
      </c>
      <c r="L41" s="151" t="e">
        <f ca="1">_xll.EVPRO($B$1,H41,"JDEID")</f>
        <v>#NAME?</v>
      </c>
      <c r="M41" s="151" t="e">
        <f ca="1">IF(AND(I41="N",J41="N"),_xll.EVPRO($B$1,H41,"PSFTID"),"")</f>
        <v>#NAME?</v>
      </c>
      <c r="N41" s="151" t="e">
        <f ca="1">IF(_xll.EVDES(H41,$B$1)="#NODATA","",_xll.EVDES(H41,$B$1))</f>
        <v>#NAME?</v>
      </c>
      <c r="O41" s="30">
        <v>999.18</v>
      </c>
      <c r="P41" s="30">
        <v>1697.89</v>
      </c>
      <c r="Q41" s="30">
        <v>1671.22</v>
      </c>
      <c r="R41" s="30">
        <v>-196.17</v>
      </c>
      <c r="S41" s="30">
        <v>1870.24</v>
      </c>
      <c r="T41" s="30">
        <v>658.13</v>
      </c>
      <c r="U41" s="30">
        <v>837.03</v>
      </c>
      <c r="V41" s="30">
        <v>517.89</v>
      </c>
      <c r="W41" s="30">
        <v>3514.57</v>
      </c>
      <c r="X41" s="30">
        <v>-800.55</v>
      </c>
      <c r="Y41" s="30">
        <v>2224.88</v>
      </c>
      <c r="Z41" s="30">
        <v>-2950.36</v>
      </c>
      <c r="AA41" s="30" t="e">
        <f t="shared" ca="1" si="0"/>
        <v>#NAME?</v>
      </c>
      <c r="AB41" s="31" t="e">
        <f t="shared" ca="1" si="1"/>
        <v>#NAME?</v>
      </c>
      <c r="AC41" s="32"/>
      <c r="AD41" s="30">
        <v>16322.0000000004</v>
      </c>
      <c r="AE41" s="31" t="str">
        <f t="shared" ca="1" si="2"/>
        <v/>
      </c>
      <c r="AF41" s="49" t="e">
        <f t="shared" ca="1" si="3"/>
        <v>#NAME?</v>
      </c>
      <c r="AG41" s="30">
        <v>17917.740000000002</v>
      </c>
      <c r="AH41" s="31" t="str">
        <f t="shared" ca="1" si="5"/>
        <v/>
      </c>
      <c r="AI41" s="49" t="e">
        <f t="shared" ca="1" si="6"/>
        <v>#NAME?</v>
      </c>
      <c r="AJ41" s="336">
        <f t="shared" ca="1" si="7"/>
        <v>0</v>
      </c>
      <c r="AK41" s="337">
        <f t="shared" ca="1" si="8"/>
        <v>0</v>
      </c>
      <c r="AL41" s="339">
        <f t="shared" ca="1" si="9"/>
        <v>0</v>
      </c>
      <c r="AM41" s="386">
        <f t="shared" ca="1" si="10"/>
        <v>0</v>
      </c>
      <c r="AN41" s="407">
        <f t="shared" ca="1" si="11"/>
        <v>0</v>
      </c>
    </row>
    <row r="42" spans="1:40" x14ac:dyDescent="0.2">
      <c r="H42" s="10" t="s">
        <v>546</v>
      </c>
      <c r="I42" s="449" t="e">
        <f ca="1">_xll.EVPRO($B$1,$H42,"STYLE")</f>
        <v>#NAME?</v>
      </c>
      <c r="J42" s="449" t="e">
        <f ca="1">_xll.EVPRO($B$1,$H42,"CALC")</f>
        <v>#NAME?</v>
      </c>
      <c r="K42" s="450" t="e">
        <f t="shared" ca="1" si="4"/>
        <v>#NAME?</v>
      </c>
      <c r="L42" s="450" t="e">
        <f ca="1">_xll.EVPRO($B$1,H42,"JDEID")</f>
        <v>#NAME?</v>
      </c>
      <c r="M42" s="450" t="e">
        <f ca="1">IF(AND(I42="N",J42="N"),_xll.EVPRO($B$1,H42,"PSFTID"),"")</f>
        <v>#NAME?</v>
      </c>
      <c r="N42" s="450" t="e">
        <f ca="1">IF(_xll.EVDES(H42,$B$1)="#NODATA","",_xll.EVDES(H42,$B$1))</f>
        <v>#NAME?</v>
      </c>
      <c r="O42" s="19"/>
      <c r="P42" s="19"/>
      <c r="Q42" s="19"/>
      <c r="R42" s="19"/>
      <c r="S42" s="19"/>
      <c r="T42" s="19"/>
      <c r="U42" s="19"/>
      <c r="V42" s="19"/>
      <c r="W42" s="19"/>
      <c r="X42" s="19"/>
      <c r="Y42" s="19"/>
      <c r="Z42" s="19"/>
      <c r="AA42" s="19" t="e">
        <f t="shared" ca="1" si="0"/>
        <v>#NAME?</v>
      </c>
      <c r="AB42" s="15" t="e">
        <f t="shared" ca="1" si="1"/>
        <v>#NAME?</v>
      </c>
      <c r="AD42" s="19"/>
      <c r="AE42" s="15" t="str">
        <f t="shared" si="2"/>
        <v/>
      </c>
      <c r="AF42" s="47" t="e">
        <f t="shared" ca="1" si="3"/>
        <v>#NAME?</v>
      </c>
      <c r="AG42" s="19"/>
      <c r="AH42" s="15" t="str">
        <f t="shared" si="5"/>
        <v/>
      </c>
      <c r="AI42" s="47" t="e">
        <f t="shared" ca="1" si="6"/>
        <v>#NAME?</v>
      </c>
      <c r="AJ42" s="371">
        <f t="shared" ca="1" si="7"/>
        <v>0</v>
      </c>
      <c r="AK42" s="372">
        <f t="shared" ca="1" si="8"/>
        <v>0</v>
      </c>
      <c r="AL42" s="373">
        <f t="shared" ca="1" si="9"/>
        <v>0</v>
      </c>
      <c r="AM42" s="374">
        <f t="shared" ca="1" si="10"/>
        <v>0</v>
      </c>
      <c r="AN42" s="375">
        <f t="shared" ca="1" si="11"/>
        <v>0</v>
      </c>
    </row>
    <row r="43" spans="1:40" x14ac:dyDescent="0.2">
      <c r="C43" s="23"/>
      <c r="H43" s="10" t="s">
        <v>528</v>
      </c>
      <c r="I43" s="25" t="e">
        <f ca="1">_xll.EVPRO($B$1,$H43,"STYLE")</f>
        <v>#NAME?</v>
      </c>
      <c r="J43" s="25" t="e">
        <f ca="1">_xll.EVPRO($B$1,$H43,"CALC")</f>
        <v>#NAME?</v>
      </c>
      <c r="K43" s="64" t="e">
        <f t="shared" ca="1" si="4"/>
        <v>#NAME?</v>
      </c>
      <c r="L43" s="24" t="e">
        <f ca="1">_xll.EVPRO($B$1,H43,"JDEID")</f>
        <v>#NAME?</v>
      </c>
      <c r="M43" s="24" t="e">
        <f ca="1">IF(AND(I43="N",J43="N"),_xll.EVPRO($B$1,H43,"PSFTID"),"")</f>
        <v>#NAME?</v>
      </c>
      <c r="N43" s="24" t="e">
        <f ca="1">IF(_xll.EVDES(H43,$B$1)="#NODATA","",_xll.EVDES(H43,$B$1))</f>
        <v>#NAME?</v>
      </c>
      <c r="O43" s="19">
        <v>40564</v>
      </c>
      <c r="P43" s="19">
        <v>37098</v>
      </c>
      <c r="Q43" s="19">
        <v>37098</v>
      </c>
      <c r="R43" s="19">
        <v>37098</v>
      </c>
      <c r="S43" s="19">
        <v>37098</v>
      </c>
      <c r="T43" s="19">
        <v>37098</v>
      </c>
      <c r="U43" s="19">
        <v>37098</v>
      </c>
      <c r="V43" s="19">
        <v>37098</v>
      </c>
      <c r="W43" s="19">
        <v>37098</v>
      </c>
      <c r="X43" s="19">
        <v>37098</v>
      </c>
      <c r="Y43" s="19">
        <v>34816.28</v>
      </c>
      <c r="Z43" s="19">
        <v>37098</v>
      </c>
      <c r="AA43" s="19" t="e">
        <f t="shared" ca="1" si="0"/>
        <v>#NAME?</v>
      </c>
      <c r="AB43" s="15" t="e">
        <f t="shared" ca="1" si="1"/>
        <v>#NAME?</v>
      </c>
      <c r="AD43" s="19">
        <v>448640.36</v>
      </c>
      <c r="AE43" s="15" t="str">
        <f t="shared" ca="1" si="2"/>
        <v/>
      </c>
      <c r="AF43" s="47" t="e">
        <f t="shared" ca="1" si="3"/>
        <v>#NAME?</v>
      </c>
      <c r="AG43" s="19">
        <v>382932</v>
      </c>
      <c r="AH43" s="15" t="str">
        <f t="shared" ca="1" si="5"/>
        <v/>
      </c>
      <c r="AI43" s="47" t="e">
        <f t="shared" ca="1" si="6"/>
        <v>#NAME?</v>
      </c>
      <c r="AJ43" s="371">
        <f t="shared" ca="1" si="7"/>
        <v>0</v>
      </c>
      <c r="AK43" s="372">
        <f t="shared" ca="1" si="8"/>
        <v>0</v>
      </c>
      <c r="AL43" s="373">
        <f t="shared" ca="1" si="9"/>
        <v>0</v>
      </c>
      <c r="AM43" s="374">
        <f t="shared" ca="1" si="10"/>
        <v>0</v>
      </c>
      <c r="AN43" s="375">
        <f t="shared" ca="1" si="11"/>
        <v>0</v>
      </c>
    </row>
    <row r="44" spans="1:40" x14ac:dyDescent="0.2">
      <c r="A44" s="3" t="s">
        <v>23</v>
      </c>
      <c r="B44" s="5" t="s">
        <v>24</v>
      </c>
      <c r="H44" s="133" t="s">
        <v>529</v>
      </c>
      <c r="I44" s="25" t="e">
        <f ca="1">_xll.EVPRO($B$1,$H44,"STYLE")</f>
        <v>#NAME?</v>
      </c>
      <c r="J44" s="25" t="e">
        <f ca="1">_xll.EVPRO($B$1,$H44,"CALC")</f>
        <v>#NAME?</v>
      </c>
      <c r="K44" s="64" t="e">
        <f t="shared" ca="1" si="4"/>
        <v>#NAME?</v>
      </c>
      <c r="L44" s="24" t="e">
        <f ca="1">_xll.EVPRO($B$1,H44,"JDEID")</f>
        <v>#NAME?</v>
      </c>
      <c r="M44" s="24" t="e">
        <f ca="1">IF(AND(I44="N",J44="N"),_xll.EVPRO($B$1,H44,"PSFTID"),"")</f>
        <v>#NAME?</v>
      </c>
      <c r="N44" s="24" t="e">
        <f ca="1">IF(_xll.EVDES(H44,$B$1)="#NODATA","",_xll.EVDES(H44,$B$1))</f>
        <v>#NAME?</v>
      </c>
      <c r="O44" s="19">
        <v>8363</v>
      </c>
      <c r="P44" s="19">
        <v>8363</v>
      </c>
      <c r="Q44" s="19">
        <v>8363</v>
      </c>
      <c r="R44" s="19">
        <v>8363.2000000000007</v>
      </c>
      <c r="S44" s="19">
        <v>8363</v>
      </c>
      <c r="T44" s="19">
        <v>8363</v>
      </c>
      <c r="U44" s="19">
        <v>8363</v>
      </c>
      <c r="V44" s="19">
        <v>8363</v>
      </c>
      <c r="W44" s="19">
        <v>8363</v>
      </c>
      <c r="X44" s="19">
        <v>8363</v>
      </c>
      <c r="Y44" s="19">
        <v>51542.28</v>
      </c>
      <c r="Z44" s="19">
        <v>95554.87</v>
      </c>
      <c r="AA44" s="19" t="e">
        <f t="shared" ca="1" si="0"/>
        <v>#NAME?</v>
      </c>
      <c r="AB44" s="15" t="e">
        <f t="shared" ca="1" si="1"/>
        <v>#NAME?</v>
      </c>
      <c r="AD44" s="19">
        <v>100858</v>
      </c>
      <c r="AE44" s="15" t="str">
        <f t="shared" ca="1" si="2"/>
        <v/>
      </c>
      <c r="AF44" s="47" t="e">
        <f t="shared" ca="1" si="3"/>
        <v>#NAME?</v>
      </c>
      <c r="AG44" s="19">
        <v>97428</v>
      </c>
      <c r="AH44" s="15" t="str">
        <f t="shared" ca="1" si="5"/>
        <v/>
      </c>
      <c r="AI44" s="47" t="e">
        <f t="shared" ca="1" si="6"/>
        <v>#NAME?</v>
      </c>
      <c r="AJ44" s="371">
        <f t="shared" ca="1" si="7"/>
        <v>0</v>
      </c>
      <c r="AK44" s="372">
        <f t="shared" ca="1" si="8"/>
        <v>0</v>
      </c>
      <c r="AL44" s="373">
        <f t="shared" ca="1" si="9"/>
        <v>0</v>
      </c>
      <c r="AM44" s="374">
        <f t="shared" ca="1" si="10"/>
        <v>0</v>
      </c>
      <c r="AN44" s="375">
        <f t="shared" ca="1" si="11"/>
        <v>0</v>
      </c>
    </row>
    <row r="45" spans="1:40" x14ac:dyDescent="0.2">
      <c r="A45" s="6" t="s">
        <v>25</v>
      </c>
      <c r="B45" s="7"/>
      <c r="H45" s="133" t="s">
        <v>530</v>
      </c>
      <c r="I45" s="25" t="e">
        <f ca="1">_xll.EVPRO($B$1,$H45,"STYLE")</f>
        <v>#NAME?</v>
      </c>
      <c r="J45" s="25" t="e">
        <f ca="1">_xll.EVPRO($B$1,$H45,"CALC")</f>
        <v>#NAME?</v>
      </c>
      <c r="K45" s="64" t="e">
        <f t="shared" ca="1" si="4"/>
        <v>#NAME?</v>
      </c>
      <c r="L45" s="24" t="e">
        <f ca="1">_xll.EVPRO($B$1,H45,"JDEID")</f>
        <v>#NAME?</v>
      </c>
      <c r="M45" s="24" t="e">
        <f ca="1">IF(AND(I45="N",J45="N"),_xll.EVPRO($B$1,H45,"PSFTID"),"")</f>
        <v>#NAME?</v>
      </c>
      <c r="N45" s="24" t="e">
        <f ca="1">IF(_xll.EVDES(H45,$B$1)="#NODATA","",_xll.EVDES(H45,$B$1))</f>
        <v>#NAME?</v>
      </c>
      <c r="O45" s="19"/>
      <c r="P45" s="19"/>
      <c r="Q45" s="19"/>
      <c r="R45" s="19">
        <v>16589</v>
      </c>
      <c r="S45" s="19"/>
      <c r="T45" s="19"/>
      <c r="U45" s="19"/>
      <c r="V45" s="19"/>
      <c r="W45" s="19"/>
      <c r="X45" s="19"/>
      <c r="Y45" s="19"/>
      <c r="Z45" s="19"/>
      <c r="AA45" s="19" t="e">
        <f t="shared" ca="1" si="0"/>
        <v>#NAME?</v>
      </c>
      <c r="AB45" s="15" t="e">
        <f t="shared" ca="1" si="1"/>
        <v>#NAME?</v>
      </c>
      <c r="AD45" s="19">
        <v>16589</v>
      </c>
      <c r="AE45" s="15" t="str">
        <f t="shared" ca="1" si="2"/>
        <v/>
      </c>
      <c r="AF45" s="47" t="e">
        <f t="shared" ca="1" si="3"/>
        <v>#NAME?</v>
      </c>
      <c r="AG45" s="19">
        <v>16589.2</v>
      </c>
      <c r="AH45" s="15" t="str">
        <f t="shared" ca="1" si="5"/>
        <v/>
      </c>
      <c r="AI45" s="47" t="e">
        <f t="shared" ca="1" si="6"/>
        <v>#NAME?</v>
      </c>
      <c r="AJ45" s="371">
        <f t="shared" ca="1" si="7"/>
        <v>0</v>
      </c>
      <c r="AK45" s="372">
        <f t="shared" ca="1" si="8"/>
        <v>0</v>
      </c>
      <c r="AL45" s="373">
        <f t="shared" ca="1" si="9"/>
        <v>0</v>
      </c>
      <c r="AM45" s="374">
        <f t="shared" ca="1" si="10"/>
        <v>0</v>
      </c>
      <c r="AN45" s="375">
        <f t="shared" ca="1" si="11"/>
        <v>0</v>
      </c>
    </row>
    <row r="46" spans="1:40" x14ac:dyDescent="0.2">
      <c r="A46" s="6" t="s">
        <v>26</v>
      </c>
      <c r="B46" s="7"/>
      <c r="H46" s="133" t="s">
        <v>531</v>
      </c>
      <c r="I46" s="25" t="e">
        <f ca="1">_xll.EVPRO($B$1,$H46,"STYLE")</f>
        <v>#NAME?</v>
      </c>
      <c r="J46" s="25" t="e">
        <f ca="1">_xll.EVPRO($B$1,$H46,"CALC")</f>
        <v>#NAME?</v>
      </c>
      <c r="K46" s="64" t="e">
        <f t="shared" ca="1" si="4"/>
        <v>#NAME?</v>
      </c>
      <c r="L46" s="24" t="e">
        <f ca="1">_xll.EVPRO($B$1,H46,"JDEID")</f>
        <v>#NAME?</v>
      </c>
      <c r="M46" s="24" t="e">
        <f ca="1">IF(AND(I46="N",J46="N"),_xll.EVPRO($B$1,H46,"PSFTID"),"")</f>
        <v>#NAME?</v>
      </c>
      <c r="N46" s="24" t="e">
        <f ca="1">IF(_xll.EVDES(H46,$B$1)="#NODATA","",_xll.EVDES(H46,$B$1))</f>
        <v>#NAME?</v>
      </c>
      <c r="O46" s="19"/>
      <c r="P46" s="19"/>
      <c r="Q46" s="19"/>
      <c r="R46" s="19"/>
      <c r="S46" s="19"/>
      <c r="T46" s="19"/>
      <c r="U46" s="19"/>
      <c r="V46" s="19"/>
      <c r="W46" s="19"/>
      <c r="X46" s="19"/>
      <c r="Y46" s="19"/>
      <c r="Z46" s="19"/>
      <c r="AA46" s="19" t="e">
        <f t="shared" ca="1" si="0"/>
        <v>#NAME?</v>
      </c>
      <c r="AB46" s="15" t="e">
        <f t="shared" ca="1" si="1"/>
        <v>#NAME?</v>
      </c>
      <c r="AD46" s="19"/>
      <c r="AE46" s="15" t="str">
        <f t="shared" si="2"/>
        <v/>
      </c>
      <c r="AF46" s="47" t="e">
        <f t="shared" ca="1" si="3"/>
        <v>#NAME?</v>
      </c>
      <c r="AG46" s="19"/>
      <c r="AH46" s="15" t="str">
        <f t="shared" si="5"/>
        <v/>
      </c>
      <c r="AI46" s="47" t="e">
        <f t="shared" ca="1" si="6"/>
        <v>#NAME?</v>
      </c>
      <c r="AJ46" s="371">
        <f t="shared" ca="1" si="7"/>
        <v>0</v>
      </c>
      <c r="AK46" s="372">
        <f t="shared" ca="1" si="8"/>
        <v>0</v>
      </c>
      <c r="AL46" s="373">
        <f t="shared" ca="1" si="9"/>
        <v>0</v>
      </c>
      <c r="AM46" s="374">
        <f t="shared" ca="1" si="10"/>
        <v>0</v>
      </c>
      <c r="AN46" s="375">
        <f t="shared" ca="1" si="11"/>
        <v>0</v>
      </c>
    </row>
    <row r="47" spans="1:40" x14ac:dyDescent="0.2">
      <c r="A47" s="6" t="s">
        <v>27</v>
      </c>
      <c r="B47" s="7"/>
      <c r="H47" s="133" t="s">
        <v>825</v>
      </c>
      <c r="I47" s="25" t="e">
        <f ca="1">_xll.EVPRO($B$1,$H47,"STYLE")</f>
        <v>#NAME?</v>
      </c>
      <c r="J47" s="25" t="e">
        <f ca="1">_xll.EVPRO($B$1,$H47,"CALC")</f>
        <v>#NAME?</v>
      </c>
      <c r="K47" s="64" t="e">
        <f t="shared" ca="1" si="4"/>
        <v>#NAME?</v>
      </c>
      <c r="L47" s="24" t="e">
        <f ca="1">_xll.EVPRO($B$1,H47,"JDEID")</f>
        <v>#NAME?</v>
      </c>
      <c r="M47" s="24" t="e">
        <f ca="1">IF(AND(I47="N",J47="N"),_xll.EVPRO($B$1,H47,"PSFTID"),"")</f>
        <v>#NAME?</v>
      </c>
      <c r="N47" s="24" t="e">
        <f ca="1">IF(_xll.EVDES(H47,$B$1)="#NODATA","",_xll.EVDES(H47,$B$1))</f>
        <v>#NAME?</v>
      </c>
      <c r="O47" s="28"/>
      <c r="P47" s="28"/>
      <c r="Q47" s="28"/>
      <c r="R47" s="28"/>
      <c r="S47" s="28"/>
      <c r="T47" s="28"/>
      <c r="U47" s="28"/>
      <c r="V47" s="28"/>
      <c r="W47" s="28"/>
      <c r="X47" s="28"/>
      <c r="Y47" s="28"/>
      <c r="Z47" s="28"/>
      <c r="AA47" s="28" t="e">
        <f t="shared" ca="1" si="0"/>
        <v>#NAME?</v>
      </c>
      <c r="AB47" s="29" t="e">
        <f t="shared" ca="1" si="1"/>
        <v>#NAME?</v>
      </c>
      <c r="AD47" s="28"/>
      <c r="AE47" s="29" t="str">
        <f t="shared" si="2"/>
        <v/>
      </c>
      <c r="AF47" s="48" t="e">
        <f t="shared" ca="1" si="3"/>
        <v>#NAME?</v>
      </c>
      <c r="AG47" s="28"/>
      <c r="AH47" s="29" t="str">
        <f t="shared" si="5"/>
        <v/>
      </c>
      <c r="AI47" s="48" t="e">
        <f t="shared" ca="1" si="6"/>
        <v>#NAME?</v>
      </c>
      <c r="AJ47" s="381">
        <f t="shared" ca="1" si="7"/>
        <v>0</v>
      </c>
      <c r="AK47" s="382">
        <f t="shared" ca="1" si="8"/>
        <v>0</v>
      </c>
      <c r="AL47" s="383">
        <f t="shared" ca="1" si="9"/>
        <v>0</v>
      </c>
      <c r="AM47" s="384">
        <f t="shared" ca="1" si="10"/>
        <v>0</v>
      </c>
      <c r="AN47" s="385">
        <f t="shared" ca="1" si="11"/>
        <v>0</v>
      </c>
    </row>
    <row r="48" spans="1:40" x14ac:dyDescent="0.2">
      <c r="A48" s="6" t="s">
        <v>28</v>
      </c>
      <c r="B48" s="7"/>
      <c r="H48" s="10" t="s">
        <v>521</v>
      </c>
      <c r="I48" s="447" t="e">
        <f ca="1">_xll.EVPRO($B$1,$H48,"STYLE")</f>
        <v>#NAME?</v>
      </c>
      <c r="J48" s="447" t="e">
        <f ca="1">_xll.EVPRO($B$1,$H48,"CALC")</f>
        <v>#NAME?</v>
      </c>
      <c r="K48" s="448" t="e">
        <f t="shared" ca="1" si="4"/>
        <v>#NAME?</v>
      </c>
      <c r="L48" s="151" t="e">
        <f ca="1">_xll.EVPRO($B$1,H48,"JDEID")</f>
        <v>#NAME?</v>
      </c>
      <c r="M48" s="151" t="e">
        <f ca="1">IF(AND(I48="N",J48="N"),_xll.EVPRO($B$1,H48,"PSFTID"),"")</f>
        <v>#NAME?</v>
      </c>
      <c r="N48" s="151" t="e">
        <f ca="1">IF(_xll.EVDES(H48,$B$1)="#NODATA","",_xll.EVDES(H48,$B$1))</f>
        <v>#NAME?</v>
      </c>
      <c r="O48" s="30">
        <v>48927</v>
      </c>
      <c r="P48" s="30">
        <v>45461</v>
      </c>
      <c r="Q48" s="30">
        <v>45461</v>
      </c>
      <c r="R48" s="30">
        <v>62050.2</v>
      </c>
      <c r="S48" s="30">
        <v>45461</v>
      </c>
      <c r="T48" s="30">
        <v>45461</v>
      </c>
      <c r="U48" s="30">
        <v>45461</v>
      </c>
      <c r="V48" s="30">
        <v>45461</v>
      </c>
      <c r="W48" s="30">
        <v>45461</v>
      </c>
      <c r="X48" s="30">
        <v>45461</v>
      </c>
      <c r="Y48" s="30">
        <v>86358.56</v>
      </c>
      <c r="Z48" s="30">
        <v>132652.87</v>
      </c>
      <c r="AA48" s="30" t="e">
        <f t="shared" ca="1" si="0"/>
        <v>#NAME?</v>
      </c>
      <c r="AB48" s="31" t="e">
        <f t="shared" ca="1" si="1"/>
        <v>#NAME?</v>
      </c>
      <c r="AC48" s="32"/>
      <c r="AD48" s="30">
        <v>566087.36</v>
      </c>
      <c r="AE48" s="31" t="str">
        <f t="shared" ca="1" si="2"/>
        <v/>
      </c>
      <c r="AF48" s="49" t="e">
        <f t="shared" ca="1" si="3"/>
        <v>#NAME?</v>
      </c>
      <c r="AG48" s="30">
        <v>496949.2</v>
      </c>
      <c r="AH48" s="31" t="str">
        <f t="shared" ca="1" si="5"/>
        <v/>
      </c>
      <c r="AI48" s="49" t="e">
        <f t="shared" ca="1" si="6"/>
        <v>#NAME?</v>
      </c>
      <c r="AJ48" s="336">
        <f t="shared" ca="1" si="7"/>
        <v>0</v>
      </c>
      <c r="AK48" s="337">
        <f t="shared" ca="1" si="8"/>
        <v>0</v>
      </c>
      <c r="AL48" s="339">
        <f t="shared" ca="1" si="9"/>
        <v>0</v>
      </c>
      <c r="AM48" s="386">
        <f t="shared" ca="1" si="10"/>
        <v>0</v>
      </c>
      <c r="AN48" s="407">
        <f t="shared" ca="1" si="11"/>
        <v>0</v>
      </c>
    </row>
    <row r="49" spans="1:40" x14ac:dyDescent="0.2">
      <c r="A49" s="6" t="s">
        <v>29</v>
      </c>
      <c r="B49" s="7"/>
      <c r="H49" s="133" t="s">
        <v>550</v>
      </c>
      <c r="I49" s="449" t="e">
        <f ca="1">_xll.EVPRO($B$1,$H49,"STYLE")</f>
        <v>#NAME?</v>
      </c>
      <c r="J49" s="449" t="e">
        <f ca="1">_xll.EVPRO($B$1,$H49,"CALC")</f>
        <v>#NAME?</v>
      </c>
      <c r="K49" s="450" t="e">
        <f t="shared" ca="1" si="4"/>
        <v>#NAME?</v>
      </c>
      <c r="L49" s="450" t="e">
        <f ca="1">_xll.EVPRO($B$1,H49,"JDEID")</f>
        <v>#NAME?</v>
      </c>
      <c r="M49" s="450" t="e">
        <f ca="1">IF(AND(I49="N",J49="N"),_xll.EVPRO($B$1,H49,"PSFTID"),"")</f>
        <v>#NAME?</v>
      </c>
      <c r="N49" s="450" t="e">
        <f ca="1">IF(_xll.EVDES(H49,$B$1)="#NODATA","",_xll.EVDES(H49,$B$1))</f>
        <v>#NAME?</v>
      </c>
      <c r="O49" s="19"/>
      <c r="P49" s="19"/>
      <c r="Q49" s="19"/>
      <c r="R49" s="19"/>
      <c r="S49" s="19"/>
      <c r="T49" s="19"/>
      <c r="U49" s="19"/>
      <c r="V49" s="19"/>
      <c r="W49" s="19"/>
      <c r="X49" s="19"/>
      <c r="Y49" s="19"/>
      <c r="Z49" s="19"/>
      <c r="AA49" s="19" t="e">
        <f t="shared" ca="1" si="0"/>
        <v>#NAME?</v>
      </c>
      <c r="AB49" s="15" t="e">
        <f t="shared" ca="1" si="1"/>
        <v>#NAME?</v>
      </c>
      <c r="AD49" s="19"/>
      <c r="AE49" s="15" t="str">
        <f t="shared" si="2"/>
        <v/>
      </c>
      <c r="AF49" s="47" t="e">
        <f t="shared" ca="1" si="3"/>
        <v>#NAME?</v>
      </c>
      <c r="AG49" s="19"/>
      <c r="AH49" s="15" t="str">
        <f t="shared" si="5"/>
        <v/>
      </c>
      <c r="AI49" s="47" t="e">
        <f t="shared" ca="1" si="6"/>
        <v>#NAME?</v>
      </c>
      <c r="AJ49" s="371">
        <f t="shared" ca="1" si="7"/>
        <v>0</v>
      </c>
      <c r="AK49" s="372">
        <f t="shared" ca="1" si="8"/>
        <v>0</v>
      </c>
      <c r="AL49" s="373">
        <f t="shared" ca="1" si="9"/>
        <v>0</v>
      </c>
      <c r="AM49" s="374">
        <f t="shared" ca="1" si="10"/>
        <v>0</v>
      </c>
      <c r="AN49" s="375">
        <f t="shared" ca="1" si="11"/>
        <v>0</v>
      </c>
    </row>
    <row r="50" spans="1:40" x14ac:dyDescent="0.2">
      <c r="A50" s="6" t="s">
        <v>30</v>
      </c>
      <c r="B50" s="7" t="s">
        <v>78</v>
      </c>
      <c r="H50" s="133" t="s">
        <v>532</v>
      </c>
      <c r="I50" s="25" t="e">
        <f ca="1">_xll.EVPRO($B$1,$H50,"STYLE")</f>
        <v>#NAME?</v>
      </c>
      <c r="J50" s="25" t="e">
        <f ca="1">_xll.EVPRO($B$1,$H50,"CALC")</f>
        <v>#NAME?</v>
      </c>
      <c r="K50" s="64" t="e">
        <f t="shared" ca="1" si="4"/>
        <v>#NAME?</v>
      </c>
      <c r="L50" s="24" t="e">
        <f ca="1">_xll.EVPRO($B$1,H50,"JDEID")</f>
        <v>#NAME?</v>
      </c>
      <c r="M50" s="24" t="e">
        <f ca="1">IF(AND(I50="N",J50="N"),_xll.EVPRO($B$1,H50,"PSFTID"),"")</f>
        <v>#NAME?</v>
      </c>
      <c r="N50" s="24" t="e">
        <f ca="1">IF(_xll.EVDES(H50,$B$1)="#NODATA","",_xll.EVDES(H50,$B$1))</f>
        <v>#NAME?</v>
      </c>
      <c r="O50" s="19"/>
      <c r="P50" s="19"/>
      <c r="Q50" s="19"/>
      <c r="R50" s="19"/>
      <c r="S50" s="19"/>
      <c r="T50" s="19"/>
      <c r="U50" s="19"/>
      <c r="V50" s="19"/>
      <c r="W50" s="19"/>
      <c r="X50" s="19"/>
      <c r="Y50" s="19"/>
      <c r="Z50" s="19"/>
      <c r="AA50" s="19" t="e">
        <f t="shared" ca="1" si="0"/>
        <v>#NAME?</v>
      </c>
      <c r="AB50" s="15" t="e">
        <f t="shared" ca="1" si="1"/>
        <v>#NAME?</v>
      </c>
      <c r="AD50" s="19"/>
      <c r="AE50" s="15" t="str">
        <f t="shared" si="2"/>
        <v/>
      </c>
      <c r="AF50" s="47" t="e">
        <f t="shared" ca="1" si="3"/>
        <v>#NAME?</v>
      </c>
      <c r="AG50" s="19"/>
      <c r="AH50" s="15" t="str">
        <f t="shared" si="5"/>
        <v/>
      </c>
      <c r="AI50" s="47" t="e">
        <f t="shared" ca="1" si="6"/>
        <v>#NAME?</v>
      </c>
      <c r="AJ50" s="371">
        <f t="shared" ca="1" si="7"/>
        <v>0</v>
      </c>
      <c r="AK50" s="372">
        <f t="shared" ca="1" si="8"/>
        <v>0</v>
      </c>
      <c r="AL50" s="373">
        <f t="shared" ca="1" si="9"/>
        <v>0</v>
      </c>
      <c r="AM50" s="374">
        <f t="shared" ca="1" si="10"/>
        <v>0</v>
      </c>
      <c r="AN50" s="375">
        <f t="shared" ca="1" si="11"/>
        <v>0</v>
      </c>
    </row>
    <row r="51" spans="1:40" x14ac:dyDescent="0.2">
      <c r="A51" s="6" t="s">
        <v>31</v>
      </c>
      <c r="B51" s="7" t="s">
        <v>78</v>
      </c>
      <c r="H51" s="133" t="s">
        <v>533</v>
      </c>
      <c r="I51" s="25" t="e">
        <f ca="1">_xll.EVPRO($B$1,$H51,"STYLE")</f>
        <v>#NAME?</v>
      </c>
      <c r="J51" s="25" t="e">
        <f ca="1">_xll.EVPRO($B$1,$H51,"CALC")</f>
        <v>#NAME?</v>
      </c>
      <c r="K51" s="64" t="e">
        <f t="shared" ca="1" si="4"/>
        <v>#NAME?</v>
      </c>
      <c r="L51" s="24" t="e">
        <f ca="1">_xll.EVPRO($B$1,H51,"JDEID")</f>
        <v>#NAME?</v>
      </c>
      <c r="M51" s="24" t="e">
        <f ca="1">IF(AND(I51="N",J51="N"),_xll.EVPRO($B$1,H51,"PSFTID"),"")</f>
        <v>#NAME?</v>
      </c>
      <c r="N51" s="24" t="e">
        <f ca="1">IF(_xll.EVDES(H51,$B$1)="#NODATA","",_xll.EVDES(H51,$B$1))</f>
        <v>#NAME?</v>
      </c>
      <c r="O51" s="19">
        <v>117130.14</v>
      </c>
      <c r="P51" s="19">
        <v>117130.14</v>
      </c>
      <c r="Q51" s="19">
        <v>117130.14</v>
      </c>
      <c r="R51" s="19">
        <v>117130.14</v>
      </c>
      <c r="S51" s="19">
        <v>103880.28</v>
      </c>
      <c r="T51" s="19">
        <v>103880.13</v>
      </c>
      <c r="U51" s="19">
        <v>103880.13</v>
      </c>
      <c r="V51" s="19">
        <v>102599.53</v>
      </c>
      <c r="W51" s="19">
        <v>103880.13</v>
      </c>
      <c r="X51" s="19">
        <v>103880.13</v>
      </c>
      <c r="Y51" s="19">
        <v>103880.13</v>
      </c>
      <c r="Z51" s="19">
        <v>103880.13</v>
      </c>
      <c r="AA51" s="19" t="e">
        <f t="shared" ca="1" si="0"/>
        <v>#NAME?</v>
      </c>
      <c r="AB51" s="15" t="e">
        <f t="shared" ca="1" si="1"/>
        <v>#NAME?</v>
      </c>
      <c r="AD51" s="19">
        <v>1464125</v>
      </c>
      <c r="AE51" s="15" t="str">
        <f t="shared" ca="1" si="2"/>
        <v/>
      </c>
      <c r="AF51" s="47" t="e">
        <f t="shared" ca="1" si="3"/>
        <v>#NAME?</v>
      </c>
      <c r="AG51" s="19">
        <v>1267850.22</v>
      </c>
      <c r="AH51" s="15" t="str">
        <f t="shared" ca="1" si="5"/>
        <v/>
      </c>
      <c r="AI51" s="47" t="e">
        <f t="shared" ca="1" si="6"/>
        <v>#NAME?</v>
      </c>
      <c r="AJ51" s="371">
        <f t="shared" ca="1" si="7"/>
        <v>0</v>
      </c>
      <c r="AK51" s="372">
        <f t="shared" ca="1" si="8"/>
        <v>0</v>
      </c>
      <c r="AL51" s="373">
        <f t="shared" ca="1" si="9"/>
        <v>0</v>
      </c>
      <c r="AM51" s="374">
        <f t="shared" ca="1" si="10"/>
        <v>0</v>
      </c>
      <c r="AN51" s="375">
        <f t="shared" ca="1" si="11"/>
        <v>0</v>
      </c>
    </row>
    <row r="52" spans="1:40" x14ac:dyDescent="0.2">
      <c r="A52" s="6" t="s">
        <v>32</v>
      </c>
      <c r="B52" s="7"/>
      <c r="H52" s="10" t="s">
        <v>534</v>
      </c>
      <c r="I52" s="25" t="e">
        <f ca="1">_xll.EVPRO($B$1,$H52,"STYLE")</f>
        <v>#NAME?</v>
      </c>
      <c r="J52" s="25" t="e">
        <f ca="1">_xll.EVPRO($B$1,$H52,"CALC")</f>
        <v>#NAME?</v>
      </c>
      <c r="K52" s="64" t="e">
        <f t="shared" ca="1" si="4"/>
        <v>#NAME?</v>
      </c>
      <c r="L52" s="24" t="e">
        <f ca="1">_xll.EVPRO($B$1,H52,"JDEID")</f>
        <v>#NAME?</v>
      </c>
      <c r="M52" s="24" t="e">
        <f ca="1">IF(AND(I52="N",J52="N"),_xll.EVPRO($B$1,H52,"PSFTID"),"")</f>
        <v>#NAME?</v>
      </c>
      <c r="N52" s="24" t="e">
        <f ca="1">IF(_xll.EVDES(H52,$B$1)="#NODATA","",_xll.EVDES(H52,$B$1))</f>
        <v>#NAME?</v>
      </c>
      <c r="O52" s="19">
        <v>3196.4</v>
      </c>
      <c r="P52" s="19">
        <v>3196.4</v>
      </c>
      <c r="Q52" s="19">
        <v>3196.4</v>
      </c>
      <c r="R52" s="19">
        <v>3196.4</v>
      </c>
      <c r="S52" s="19">
        <v>3196.4</v>
      </c>
      <c r="T52" s="19">
        <v>3196.4</v>
      </c>
      <c r="U52" s="19">
        <v>3196.4</v>
      </c>
      <c r="V52" s="19">
        <v>3196.4</v>
      </c>
      <c r="W52" s="19">
        <v>3196.4</v>
      </c>
      <c r="X52" s="19">
        <v>3196.4</v>
      </c>
      <c r="Y52" s="19">
        <v>3196.4</v>
      </c>
      <c r="Z52" s="19">
        <v>13967.96</v>
      </c>
      <c r="AA52" s="19" t="e">
        <f t="shared" ca="1" si="0"/>
        <v>#NAME?</v>
      </c>
      <c r="AB52" s="15" t="e">
        <f t="shared" ca="1" si="1"/>
        <v>#NAME?</v>
      </c>
      <c r="AD52" s="19">
        <v>39472</v>
      </c>
      <c r="AE52" s="15" t="str">
        <f t="shared" ca="1" si="2"/>
        <v/>
      </c>
      <c r="AF52" s="47" t="e">
        <f t="shared" ca="1" si="3"/>
        <v>#NAME?</v>
      </c>
      <c r="AG52" s="19">
        <v>36682.400000000001</v>
      </c>
      <c r="AH52" s="15" t="str">
        <f t="shared" ca="1" si="5"/>
        <v/>
      </c>
      <c r="AI52" s="47" t="e">
        <f t="shared" ca="1" si="6"/>
        <v>#NAME?</v>
      </c>
      <c r="AJ52" s="371">
        <f t="shared" ca="1" si="7"/>
        <v>0</v>
      </c>
      <c r="AK52" s="372">
        <f t="shared" ca="1" si="8"/>
        <v>0</v>
      </c>
      <c r="AL52" s="373">
        <f t="shared" ca="1" si="9"/>
        <v>0</v>
      </c>
      <c r="AM52" s="374">
        <f t="shared" ca="1" si="10"/>
        <v>0</v>
      </c>
      <c r="AN52" s="375">
        <f t="shared" ca="1" si="11"/>
        <v>0</v>
      </c>
    </row>
    <row r="53" spans="1:40" x14ac:dyDescent="0.2">
      <c r="A53" s="6" t="s">
        <v>33</v>
      </c>
      <c r="B53" s="7"/>
      <c r="H53" s="10" t="s">
        <v>535</v>
      </c>
      <c r="I53" s="25" t="e">
        <f ca="1">_xll.EVPRO($B$1,$H53,"STYLE")</f>
        <v>#NAME?</v>
      </c>
      <c r="J53" s="25" t="e">
        <f ca="1">_xll.EVPRO($B$1,$H53,"CALC")</f>
        <v>#NAME?</v>
      </c>
      <c r="K53" s="64" t="e">
        <f t="shared" ca="1" si="4"/>
        <v>#NAME?</v>
      </c>
      <c r="L53" s="24" t="e">
        <f ca="1">_xll.EVPRO($B$1,H53,"JDEID")</f>
        <v>#NAME?</v>
      </c>
      <c r="M53" s="24" t="e">
        <f ca="1">IF(AND(I53="N",J53="N"),_xll.EVPRO($B$1,H53,"PSFTID"),"")</f>
        <v>#NAME?</v>
      </c>
      <c r="N53" s="24" t="e">
        <f ca="1">IF(_xll.EVDES(H53,$B$1)="#NODATA","",_xll.EVDES(H53,$B$1))</f>
        <v>#NAME?</v>
      </c>
      <c r="O53" s="19">
        <v>2936.82</v>
      </c>
      <c r="P53" s="19">
        <v>2936.82</v>
      </c>
      <c r="Q53" s="19">
        <v>2936.82</v>
      </c>
      <c r="R53" s="19">
        <v>3200.19</v>
      </c>
      <c r="S53" s="19">
        <v>2673.45</v>
      </c>
      <c r="T53" s="19">
        <v>2936.86</v>
      </c>
      <c r="U53" s="19">
        <v>2936.82</v>
      </c>
      <c r="V53" s="19">
        <v>3059.56</v>
      </c>
      <c r="W53" s="19">
        <v>3183.35</v>
      </c>
      <c r="X53" s="19">
        <v>3183.23</v>
      </c>
      <c r="Y53" s="19">
        <v>3183.23</v>
      </c>
      <c r="Z53" s="19">
        <v>3183.23</v>
      </c>
      <c r="AA53" s="19" t="e">
        <f t="shared" ca="1" si="0"/>
        <v>#NAME?</v>
      </c>
      <c r="AB53" s="15" t="e">
        <f t="shared" ca="1" si="1"/>
        <v>#NAME?</v>
      </c>
      <c r="AD53" s="19">
        <v>35772</v>
      </c>
      <c r="AE53" s="15" t="str">
        <f t="shared" ca="1" si="2"/>
        <v/>
      </c>
      <c r="AF53" s="47" t="e">
        <f t="shared" ca="1" si="3"/>
        <v>#NAME?</v>
      </c>
      <c r="AG53" s="19">
        <v>36000.910000000003</v>
      </c>
      <c r="AH53" s="15" t="str">
        <f t="shared" ca="1" si="5"/>
        <v/>
      </c>
      <c r="AI53" s="47" t="e">
        <f t="shared" ca="1" si="6"/>
        <v>#NAME?</v>
      </c>
      <c r="AJ53" s="371">
        <f t="shared" ca="1" si="7"/>
        <v>0</v>
      </c>
      <c r="AK53" s="372">
        <f t="shared" ca="1" si="8"/>
        <v>0</v>
      </c>
      <c r="AL53" s="373">
        <f t="shared" ca="1" si="9"/>
        <v>0</v>
      </c>
      <c r="AM53" s="374">
        <f t="shared" ca="1" si="10"/>
        <v>0</v>
      </c>
      <c r="AN53" s="375">
        <f t="shared" ca="1" si="11"/>
        <v>0</v>
      </c>
    </row>
    <row r="54" spans="1:40" x14ac:dyDescent="0.2">
      <c r="A54" s="6" t="s">
        <v>34</v>
      </c>
      <c r="B54" s="7"/>
      <c r="H54" s="10" t="s">
        <v>536</v>
      </c>
      <c r="I54" s="25" t="e">
        <f ca="1">_xll.EVPRO($B$1,$H54,"STYLE")</f>
        <v>#NAME?</v>
      </c>
      <c r="J54" s="25" t="e">
        <f ca="1">_xll.EVPRO($B$1,$H54,"CALC")</f>
        <v>#NAME?</v>
      </c>
      <c r="K54" s="64" t="e">
        <f t="shared" ca="1" si="4"/>
        <v>#NAME?</v>
      </c>
      <c r="L54" s="24" t="e">
        <f ca="1">_xll.EVPRO($B$1,H54,"JDEID")</f>
        <v>#NAME?</v>
      </c>
      <c r="M54" s="24" t="e">
        <f ca="1">IF(AND(I54="N",J54="N"),_xll.EVPRO($B$1,H54,"PSFTID"),"")</f>
        <v>#NAME?</v>
      </c>
      <c r="N54" s="24" t="e">
        <f ca="1">IF(_xll.EVDES(H54,$B$1)="#NODATA","",_xll.EVDES(H54,$B$1))</f>
        <v>#NAME?</v>
      </c>
      <c r="O54" s="28">
        <v>356.97</v>
      </c>
      <c r="P54" s="28">
        <v>350.51</v>
      </c>
      <c r="Q54" s="28">
        <v>350.51</v>
      </c>
      <c r="R54" s="28">
        <v>350.51</v>
      </c>
      <c r="S54" s="28">
        <v>350.51</v>
      </c>
      <c r="T54" s="28">
        <v>350.51</v>
      </c>
      <c r="U54" s="28">
        <v>350.51</v>
      </c>
      <c r="V54" s="28">
        <v>350.51</v>
      </c>
      <c r="W54" s="28">
        <v>350.51</v>
      </c>
      <c r="X54" s="28">
        <v>350.51</v>
      </c>
      <c r="Y54" s="28">
        <v>350.51</v>
      </c>
      <c r="Z54" s="28">
        <v>2584.4</v>
      </c>
      <c r="AA54" s="28" t="e">
        <f t="shared" ca="1" si="0"/>
        <v>#NAME?</v>
      </c>
      <c r="AB54" s="29" t="e">
        <f t="shared" ca="1" si="1"/>
        <v>#NAME?</v>
      </c>
      <c r="AD54" s="28">
        <v>12929</v>
      </c>
      <c r="AE54" s="29" t="str">
        <f t="shared" ca="1" si="2"/>
        <v/>
      </c>
      <c r="AF54" s="48" t="e">
        <f t="shared" ca="1" si="3"/>
        <v>#NAME?</v>
      </c>
      <c r="AG54" s="28">
        <v>11194.58</v>
      </c>
      <c r="AH54" s="29" t="str">
        <f t="shared" ca="1" si="5"/>
        <v/>
      </c>
      <c r="AI54" s="48" t="e">
        <f t="shared" ca="1" si="6"/>
        <v>#NAME?</v>
      </c>
      <c r="AJ54" s="381">
        <f t="shared" ca="1" si="7"/>
        <v>0</v>
      </c>
      <c r="AK54" s="382">
        <f t="shared" ca="1" si="8"/>
        <v>0</v>
      </c>
      <c r="AL54" s="383">
        <f t="shared" ca="1" si="9"/>
        <v>0</v>
      </c>
      <c r="AM54" s="384">
        <f t="shared" ca="1" si="10"/>
        <v>0</v>
      </c>
      <c r="AN54" s="385">
        <f t="shared" ca="1" si="11"/>
        <v>0</v>
      </c>
    </row>
    <row r="55" spans="1:40" x14ac:dyDescent="0.2">
      <c r="A55" s="6" t="s">
        <v>35</v>
      </c>
      <c r="B55" s="7"/>
      <c r="H55" s="10" t="s">
        <v>537</v>
      </c>
      <c r="I55" s="447" t="e">
        <f ca="1">_xll.EVPRO($B$1,$H55,"STYLE")</f>
        <v>#NAME?</v>
      </c>
      <c r="J55" s="447" t="e">
        <f ca="1">_xll.EVPRO($B$1,$H55,"CALC")</f>
        <v>#NAME?</v>
      </c>
      <c r="K55" s="448" t="e">
        <f t="shared" ca="1" si="4"/>
        <v>#NAME?</v>
      </c>
      <c r="L55" s="151" t="e">
        <f ca="1">_xll.EVPRO($B$1,H55,"JDEID")</f>
        <v>#NAME?</v>
      </c>
      <c r="M55" s="151" t="e">
        <f ca="1">IF(AND(I55="N",J55="N"),_xll.EVPRO($B$1,H55,"PSFTID"),"")</f>
        <v>#NAME?</v>
      </c>
      <c r="N55" s="151" t="e">
        <f ca="1">IF(_xll.EVDES(H55,$B$1)="#NODATA","",_xll.EVDES(H55,$B$1))</f>
        <v>#NAME?</v>
      </c>
      <c r="O55" s="30">
        <v>123620.33</v>
      </c>
      <c r="P55" s="30">
        <v>123613.87</v>
      </c>
      <c r="Q55" s="30">
        <v>123613.87</v>
      </c>
      <c r="R55" s="30">
        <v>123877.24</v>
      </c>
      <c r="S55" s="30">
        <v>110100.64</v>
      </c>
      <c r="T55" s="30">
        <v>110363.9</v>
      </c>
      <c r="U55" s="30">
        <v>110363.86</v>
      </c>
      <c r="V55" s="30">
        <v>109206</v>
      </c>
      <c r="W55" s="30">
        <v>110610.39</v>
      </c>
      <c r="X55" s="30">
        <v>110610.27</v>
      </c>
      <c r="Y55" s="30">
        <v>110610.27</v>
      </c>
      <c r="Z55" s="30">
        <v>123615.72</v>
      </c>
      <c r="AA55" s="30" t="e">
        <f t="shared" ca="1" si="0"/>
        <v>#NAME?</v>
      </c>
      <c r="AB55" s="31" t="e">
        <f t="shared" ca="1" si="1"/>
        <v>#NAME?</v>
      </c>
      <c r="AC55" s="32"/>
      <c r="AD55" s="30">
        <v>1552298</v>
      </c>
      <c r="AE55" s="31" t="str">
        <f t="shared" ca="1" si="2"/>
        <v/>
      </c>
      <c r="AF55" s="49" t="e">
        <f t="shared" ca="1" si="3"/>
        <v>#NAME?</v>
      </c>
      <c r="AG55" s="30">
        <v>1351728.11</v>
      </c>
      <c r="AH55" s="31" t="str">
        <f t="shared" ca="1" si="5"/>
        <v/>
      </c>
      <c r="AI55" s="49" t="e">
        <f t="shared" ca="1" si="6"/>
        <v>#NAME?</v>
      </c>
      <c r="AJ55" s="336">
        <f t="shared" ca="1" si="7"/>
        <v>0</v>
      </c>
      <c r="AK55" s="337">
        <f t="shared" ca="1" si="8"/>
        <v>0</v>
      </c>
      <c r="AL55" s="339">
        <f t="shared" ca="1" si="9"/>
        <v>0</v>
      </c>
      <c r="AM55" s="386">
        <f t="shared" ca="1" si="10"/>
        <v>0</v>
      </c>
      <c r="AN55" s="407">
        <f t="shared" ca="1" si="11"/>
        <v>0</v>
      </c>
    </row>
    <row r="56" spans="1:40" x14ac:dyDescent="0.2">
      <c r="A56" s="6" t="s">
        <v>36</v>
      </c>
      <c r="B56" s="7"/>
      <c r="H56" s="10" t="s">
        <v>545</v>
      </c>
      <c r="I56" s="449" t="e">
        <f ca="1">_xll.EVPRO($B$1,$H56,"STYLE")</f>
        <v>#NAME?</v>
      </c>
      <c r="J56" s="449" t="e">
        <f ca="1">_xll.EVPRO($B$1,$H56,"CALC")</f>
        <v>#NAME?</v>
      </c>
      <c r="K56" s="450" t="e">
        <f t="shared" ca="1" si="4"/>
        <v>#NAME?</v>
      </c>
      <c r="L56" s="450" t="e">
        <f ca="1">_xll.EVPRO($B$1,H56,"JDEID")</f>
        <v>#NAME?</v>
      </c>
      <c r="M56" s="450" t="e">
        <f ca="1">IF(AND(I56="N",J56="N"),_xll.EVPRO($B$1,H56,"PSFTID"),"")</f>
        <v>#NAME?</v>
      </c>
      <c r="N56" s="450" t="e">
        <f ca="1">IF(_xll.EVDES(H56,$B$1)="#NODATA","",_xll.EVDES(H56,$B$1))</f>
        <v>#NAME?</v>
      </c>
      <c r="O56" s="19"/>
      <c r="P56" s="19"/>
      <c r="Q56" s="19"/>
      <c r="R56" s="19"/>
      <c r="S56" s="19"/>
      <c r="T56" s="19"/>
      <c r="U56" s="19"/>
      <c r="V56" s="19"/>
      <c r="W56" s="19"/>
      <c r="X56" s="19"/>
      <c r="Y56" s="19"/>
      <c r="Z56" s="19"/>
      <c r="AA56" s="19" t="e">
        <f t="shared" ca="1" si="0"/>
        <v>#NAME?</v>
      </c>
      <c r="AB56" s="15" t="e">
        <f t="shared" ca="1" si="1"/>
        <v>#NAME?</v>
      </c>
      <c r="AD56" s="19"/>
      <c r="AE56" s="15" t="str">
        <f t="shared" si="2"/>
        <v/>
      </c>
      <c r="AF56" s="47" t="e">
        <f t="shared" ca="1" si="3"/>
        <v>#NAME?</v>
      </c>
      <c r="AG56" s="19"/>
      <c r="AH56" s="15" t="str">
        <f t="shared" si="5"/>
        <v/>
      </c>
      <c r="AI56" s="47" t="e">
        <f t="shared" ca="1" si="6"/>
        <v>#NAME?</v>
      </c>
      <c r="AJ56" s="371">
        <f t="shared" ca="1" si="7"/>
        <v>0</v>
      </c>
      <c r="AK56" s="372">
        <f t="shared" ca="1" si="8"/>
        <v>0</v>
      </c>
      <c r="AL56" s="373">
        <f t="shared" ca="1" si="9"/>
        <v>0</v>
      </c>
      <c r="AM56" s="374">
        <f t="shared" ca="1" si="10"/>
        <v>0</v>
      </c>
      <c r="AN56" s="375">
        <f t="shared" ca="1" si="11"/>
        <v>0</v>
      </c>
    </row>
    <row r="57" spans="1:40" x14ac:dyDescent="0.2">
      <c r="A57" s="6" t="s">
        <v>37</v>
      </c>
      <c r="B57" s="7"/>
      <c r="H57" s="10" t="s">
        <v>538</v>
      </c>
      <c r="I57" s="25" t="e">
        <f ca="1">_xll.EVPRO($B$1,$H57,"STYLE")</f>
        <v>#NAME?</v>
      </c>
      <c r="J57" s="25" t="e">
        <f ca="1">_xll.EVPRO($B$1,$H57,"CALC")</f>
        <v>#NAME?</v>
      </c>
      <c r="K57" s="64" t="e">
        <f t="shared" ca="1" si="4"/>
        <v>#NAME?</v>
      </c>
      <c r="L57" s="24" t="e">
        <f ca="1">_xll.EVPRO($B$1,H57,"JDEID")</f>
        <v>#NAME?</v>
      </c>
      <c r="M57" s="24" t="e">
        <f ca="1">IF(AND(I57="N",J57="N"),_xll.EVPRO($B$1,H57,"PSFTID"),"")</f>
        <v>#NAME?</v>
      </c>
      <c r="N57" s="24" t="e">
        <f ca="1">IF(_xll.EVDES(H57,$B$1)="#NODATA","",_xll.EVDES(H57,$B$1))</f>
        <v>#NAME?</v>
      </c>
      <c r="O57" s="19"/>
      <c r="P57" s="19"/>
      <c r="Q57" s="19"/>
      <c r="R57" s="19"/>
      <c r="S57" s="19"/>
      <c r="T57" s="19"/>
      <c r="U57" s="19"/>
      <c r="V57" s="19"/>
      <c r="W57" s="19"/>
      <c r="X57" s="19"/>
      <c r="Y57" s="19"/>
      <c r="Z57" s="19"/>
      <c r="AA57" s="19" t="e">
        <f t="shared" ca="1" si="0"/>
        <v>#NAME?</v>
      </c>
      <c r="AB57" s="15" t="e">
        <f t="shared" ca="1" si="1"/>
        <v>#NAME?</v>
      </c>
      <c r="AD57" s="19"/>
      <c r="AE57" s="15" t="str">
        <f t="shared" si="2"/>
        <v/>
      </c>
      <c r="AF57" s="47" t="e">
        <f t="shared" ca="1" si="3"/>
        <v>#NAME?</v>
      </c>
      <c r="AG57" s="19"/>
      <c r="AH57" s="15" t="str">
        <f t="shared" si="5"/>
        <v/>
      </c>
      <c r="AI57" s="47" t="e">
        <f t="shared" ca="1" si="6"/>
        <v>#NAME?</v>
      </c>
      <c r="AJ57" s="371">
        <f t="shared" ca="1" si="7"/>
        <v>0</v>
      </c>
      <c r="AK57" s="372">
        <f t="shared" ca="1" si="8"/>
        <v>0</v>
      </c>
      <c r="AL57" s="373">
        <f t="shared" ca="1" si="9"/>
        <v>0</v>
      </c>
      <c r="AM57" s="374">
        <f t="shared" ca="1" si="10"/>
        <v>0</v>
      </c>
      <c r="AN57" s="375">
        <f t="shared" ca="1" si="11"/>
        <v>0</v>
      </c>
    </row>
    <row r="58" spans="1:40" x14ac:dyDescent="0.2">
      <c r="A58" s="6" t="s">
        <v>38</v>
      </c>
      <c r="B58" s="7"/>
      <c r="H58" s="10" t="s">
        <v>539</v>
      </c>
      <c r="I58" s="25" t="e">
        <f ca="1">_xll.EVPRO($B$1,$H58,"STYLE")</f>
        <v>#NAME?</v>
      </c>
      <c r="J58" s="25" t="e">
        <f ca="1">_xll.EVPRO($B$1,$H58,"CALC")</f>
        <v>#NAME?</v>
      </c>
      <c r="K58" s="64" t="e">
        <f t="shared" ca="1" si="4"/>
        <v>#NAME?</v>
      </c>
      <c r="L58" s="24" t="e">
        <f ca="1">_xll.EVPRO($B$1,H58,"JDEID")</f>
        <v>#NAME?</v>
      </c>
      <c r="M58" s="24" t="e">
        <f ca="1">IF(AND(I58="N",J58="N"),_xll.EVPRO($B$1,H58,"PSFTID"),"")</f>
        <v>#NAME?</v>
      </c>
      <c r="N58" s="24" t="e">
        <f ca="1">IF(_xll.EVDES(H58,$B$1)="#NODATA","",_xll.EVDES(H58,$B$1))</f>
        <v>#NAME?</v>
      </c>
      <c r="O58" s="19"/>
      <c r="P58" s="19"/>
      <c r="Q58" s="19"/>
      <c r="R58" s="19"/>
      <c r="S58" s="19"/>
      <c r="T58" s="19"/>
      <c r="U58" s="19"/>
      <c r="V58" s="19"/>
      <c r="W58" s="19"/>
      <c r="X58" s="19"/>
      <c r="Y58" s="19"/>
      <c r="Z58" s="19"/>
      <c r="AA58" s="19" t="e">
        <f t="shared" ca="1" si="0"/>
        <v>#NAME?</v>
      </c>
      <c r="AB58" s="15" t="e">
        <f t="shared" ca="1" si="1"/>
        <v>#NAME?</v>
      </c>
      <c r="AD58" s="19"/>
      <c r="AE58" s="15" t="str">
        <f t="shared" si="2"/>
        <v/>
      </c>
      <c r="AF58" s="47" t="e">
        <f t="shared" ca="1" si="3"/>
        <v>#NAME?</v>
      </c>
      <c r="AG58" s="19"/>
      <c r="AH58" s="15" t="str">
        <f t="shared" si="5"/>
        <v/>
      </c>
      <c r="AI58" s="47" t="e">
        <f t="shared" ca="1" si="6"/>
        <v>#NAME?</v>
      </c>
      <c r="AJ58" s="371">
        <f t="shared" ca="1" si="7"/>
        <v>0</v>
      </c>
      <c r="AK58" s="372">
        <f t="shared" ca="1" si="8"/>
        <v>0</v>
      </c>
      <c r="AL58" s="373">
        <f t="shared" ca="1" si="9"/>
        <v>0</v>
      </c>
      <c r="AM58" s="374">
        <f t="shared" ca="1" si="10"/>
        <v>0</v>
      </c>
      <c r="AN58" s="375">
        <f t="shared" ca="1" si="11"/>
        <v>0</v>
      </c>
    </row>
    <row r="59" spans="1:40" x14ac:dyDescent="0.2">
      <c r="A59" s="6" t="s">
        <v>39</v>
      </c>
      <c r="B59" s="7"/>
      <c r="H59" s="10" t="s">
        <v>786</v>
      </c>
      <c r="I59" s="25" t="e">
        <f ca="1">_xll.EVPRO($B$1,$H59,"STYLE")</f>
        <v>#NAME?</v>
      </c>
      <c r="J59" s="25" t="e">
        <f ca="1">_xll.EVPRO($B$1,$H59,"CALC")</f>
        <v>#NAME?</v>
      </c>
      <c r="K59" s="64" t="e">
        <f t="shared" ca="1" si="4"/>
        <v>#NAME?</v>
      </c>
      <c r="L59" s="24" t="e">
        <f ca="1">_xll.EVPRO($B$1,H59,"JDEID")</f>
        <v>#NAME?</v>
      </c>
      <c r="M59" s="24" t="e">
        <f ca="1">IF(AND(I59="N",J59="N"),_xll.EVPRO($B$1,H59,"PSFTID"),"")</f>
        <v>#NAME?</v>
      </c>
      <c r="N59" s="24" t="e">
        <f ca="1">IF(_xll.EVDES(H59,$B$1)="#NODATA","",_xll.EVDES(H59,$B$1))</f>
        <v>#NAME?</v>
      </c>
      <c r="O59" s="19"/>
      <c r="P59" s="19"/>
      <c r="Q59" s="19"/>
      <c r="R59" s="19"/>
      <c r="S59" s="19"/>
      <c r="T59" s="19"/>
      <c r="U59" s="19"/>
      <c r="V59" s="19"/>
      <c r="W59" s="19"/>
      <c r="X59" s="19"/>
      <c r="Y59" s="19"/>
      <c r="Z59" s="19"/>
      <c r="AA59" s="19" t="e">
        <f t="shared" ca="1" si="0"/>
        <v>#NAME?</v>
      </c>
      <c r="AB59" s="15" t="e">
        <f t="shared" ca="1" si="1"/>
        <v>#NAME?</v>
      </c>
      <c r="AD59" s="19"/>
      <c r="AE59" s="15" t="str">
        <f t="shared" si="2"/>
        <v/>
      </c>
      <c r="AF59" s="47" t="e">
        <f t="shared" ca="1" si="3"/>
        <v>#NAME?</v>
      </c>
      <c r="AG59" s="19"/>
      <c r="AH59" s="15" t="str">
        <f t="shared" si="5"/>
        <v/>
      </c>
      <c r="AI59" s="47" t="e">
        <f t="shared" ca="1" si="6"/>
        <v>#NAME?</v>
      </c>
      <c r="AJ59" s="371">
        <f t="shared" ca="1" si="7"/>
        <v>0</v>
      </c>
      <c r="AK59" s="372">
        <f t="shared" ca="1" si="8"/>
        <v>0</v>
      </c>
      <c r="AL59" s="373">
        <f t="shared" ca="1" si="9"/>
        <v>0</v>
      </c>
      <c r="AM59" s="374">
        <f t="shared" ca="1" si="10"/>
        <v>0</v>
      </c>
      <c r="AN59" s="375">
        <f t="shared" ca="1" si="11"/>
        <v>0</v>
      </c>
    </row>
    <row r="60" spans="1:40" x14ac:dyDescent="0.2">
      <c r="A60" s="6" t="s">
        <v>40</v>
      </c>
      <c r="B60" s="7"/>
      <c r="H60" s="10" t="s">
        <v>827</v>
      </c>
      <c r="I60" s="25" t="e">
        <f ca="1">_xll.EVPRO($B$1,$H60,"STYLE")</f>
        <v>#NAME?</v>
      </c>
      <c r="J60" s="25" t="e">
        <f ca="1">_xll.EVPRO($B$1,$H60,"CALC")</f>
        <v>#NAME?</v>
      </c>
      <c r="K60" s="64" t="e">
        <f t="shared" ca="1" si="4"/>
        <v>#NAME?</v>
      </c>
      <c r="L60" s="24" t="e">
        <f ca="1">_xll.EVPRO($B$1,H60,"JDEID")</f>
        <v>#NAME?</v>
      </c>
      <c r="M60" s="24" t="e">
        <f ca="1">IF(AND(I60="N",J60="N"),_xll.EVPRO($B$1,H60,"PSFTID"),"")</f>
        <v>#NAME?</v>
      </c>
      <c r="N60" s="24" t="e">
        <f ca="1">IF(_xll.EVDES(H60,$B$1)="#NODATA","",_xll.EVDES(H60,$B$1))</f>
        <v>#NAME?</v>
      </c>
      <c r="O60" s="19"/>
      <c r="P60" s="19"/>
      <c r="Q60" s="19"/>
      <c r="R60" s="19"/>
      <c r="S60" s="19"/>
      <c r="T60" s="19"/>
      <c r="U60" s="19"/>
      <c r="V60" s="19"/>
      <c r="W60" s="19"/>
      <c r="X60" s="19"/>
      <c r="Y60" s="19"/>
      <c r="Z60" s="19"/>
      <c r="AA60" s="19" t="e">
        <f t="shared" ca="1" si="0"/>
        <v>#NAME?</v>
      </c>
      <c r="AB60" s="15" t="e">
        <f t="shared" ca="1" si="1"/>
        <v>#NAME?</v>
      </c>
      <c r="AD60" s="19"/>
      <c r="AE60" s="15" t="str">
        <f t="shared" si="2"/>
        <v/>
      </c>
      <c r="AF60" s="47" t="e">
        <f t="shared" ca="1" si="3"/>
        <v>#NAME?</v>
      </c>
      <c r="AG60" s="19"/>
      <c r="AH60" s="15" t="str">
        <f t="shared" si="5"/>
        <v/>
      </c>
      <c r="AI60" s="47" t="e">
        <f t="shared" ca="1" si="6"/>
        <v>#NAME?</v>
      </c>
      <c r="AJ60" s="371">
        <f t="shared" ca="1" si="7"/>
        <v>0</v>
      </c>
      <c r="AK60" s="372">
        <f t="shared" ca="1" si="8"/>
        <v>0</v>
      </c>
      <c r="AL60" s="373">
        <f t="shared" ca="1" si="9"/>
        <v>0</v>
      </c>
      <c r="AM60" s="374">
        <f t="shared" ca="1" si="10"/>
        <v>0</v>
      </c>
      <c r="AN60" s="375">
        <f t="shared" ca="1" si="11"/>
        <v>0</v>
      </c>
    </row>
    <row r="61" spans="1:40" x14ac:dyDescent="0.2">
      <c r="A61" s="6" t="s">
        <v>41</v>
      </c>
      <c r="B61" s="7"/>
      <c r="H61" s="10" t="s">
        <v>801</v>
      </c>
      <c r="I61" s="25" t="e">
        <f ca="1">_xll.EVPRO($B$1,$H61,"STYLE")</f>
        <v>#NAME?</v>
      </c>
      <c r="J61" s="25" t="e">
        <f ca="1">_xll.EVPRO($B$1,$H61,"CALC")</f>
        <v>#NAME?</v>
      </c>
      <c r="K61" s="64" t="e">
        <f t="shared" ca="1" si="4"/>
        <v>#NAME?</v>
      </c>
      <c r="L61" s="24" t="e">
        <f ca="1">_xll.EVPRO($B$1,H61,"JDEID")</f>
        <v>#NAME?</v>
      </c>
      <c r="M61" s="24" t="e">
        <f ca="1">IF(AND(I61="N",J61="N"),_xll.EVPRO($B$1,H61,"PSFTID"),"")</f>
        <v>#NAME?</v>
      </c>
      <c r="N61" s="24" t="e">
        <f ca="1">IF(_xll.EVDES(H61,$B$1)="#NODATA","",_xll.EVDES(H61,$B$1))</f>
        <v>#NAME?</v>
      </c>
      <c r="O61" s="19"/>
      <c r="P61" s="19"/>
      <c r="Q61" s="19"/>
      <c r="R61" s="19"/>
      <c r="S61" s="19"/>
      <c r="T61" s="19"/>
      <c r="U61" s="19"/>
      <c r="V61" s="19"/>
      <c r="W61" s="19"/>
      <c r="X61" s="19"/>
      <c r="Y61" s="19"/>
      <c r="Z61" s="19"/>
      <c r="AA61" s="19" t="e">
        <f t="shared" ca="1" si="0"/>
        <v>#NAME?</v>
      </c>
      <c r="AB61" s="15" t="e">
        <f t="shared" ca="1" si="1"/>
        <v>#NAME?</v>
      </c>
      <c r="AD61" s="19"/>
      <c r="AE61" s="15" t="str">
        <f t="shared" si="2"/>
        <v/>
      </c>
      <c r="AF61" s="47" t="e">
        <f t="shared" ca="1" si="3"/>
        <v>#NAME?</v>
      </c>
      <c r="AG61" s="19"/>
      <c r="AH61" s="15" t="str">
        <f t="shared" si="5"/>
        <v/>
      </c>
      <c r="AI61" s="47" t="e">
        <f t="shared" ca="1" si="6"/>
        <v>#NAME?</v>
      </c>
      <c r="AJ61" s="371">
        <f t="shared" ca="1" si="7"/>
        <v>0</v>
      </c>
      <c r="AK61" s="372">
        <f t="shared" ca="1" si="8"/>
        <v>0</v>
      </c>
      <c r="AL61" s="373">
        <f t="shared" ca="1" si="9"/>
        <v>0</v>
      </c>
      <c r="AM61" s="374">
        <f t="shared" ca="1" si="10"/>
        <v>0</v>
      </c>
      <c r="AN61" s="375">
        <f t="shared" ca="1" si="11"/>
        <v>0</v>
      </c>
    </row>
    <row r="62" spans="1:40" x14ac:dyDescent="0.2">
      <c r="A62" s="6" t="s">
        <v>42</v>
      </c>
      <c r="B62" s="7"/>
      <c r="H62" s="10" t="s">
        <v>769</v>
      </c>
      <c r="I62" s="25" t="e">
        <f ca="1">_xll.EVPRO($B$1,$H62,"STYLE")</f>
        <v>#NAME?</v>
      </c>
      <c r="J62" s="25" t="e">
        <f ca="1">_xll.EVPRO($B$1,$H62,"CALC")</f>
        <v>#NAME?</v>
      </c>
      <c r="K62" s="64" t="e">
        <f t="shared" ca="1" si="4"/>
        <v>#NAME?</v>
      </c>
      <c r="L62" s="24" t="e">
        <f ca="1">_xll.EVPRO($B$1,H62,"JDEID")</f>
        <v>#NAME?</v>
      </c>
      <c r="M62" s="24" t="e">
        <f ca="1">IF(AND(I62="N",J62="N"),_xll.EVPRO($B$1,H62,"PSFTID"),"")</f>
        <v>#NAME?</v>
      </c>
      <c r="N62" s="24" t="e">
        <f ca="1">IF(_xll.EVDES(H62,$B$1)="#NODATA","",_xll.EVDES(H62,$B$1))</f>
        <v>#NAME?</v>
      </c>
      <c r="O62" s="19"/>
      <c r="P62" s="19"/>
      <c r="Q62" s="19"/>
      <c r="R62" s="19"/>
      <c r="S62" s="19"/>
      <c r="T62" s="19"/>
      <c r="U62" s="19"/>
      <c r="V62" s="19"/>
      <c r="W62" s="19"/>
      <c r="X62" s="19"/>
      <c r="Y62" s="19"/>
      <c r="Z62" s="19"/>
      <c r="AA62" s="19" t="e">
        <f t="shared" ca="1" si="0"/>
        <v>#NAME?</v>
      </c>
      <c r="AB62" s="15" t="e">
        <f t="shared" ca="1" si="1"/>
        <v>#NAME?</v>
      </c>
      <c r="AD62" s="19"/>
      <c r="AE62" s="15" t="str">
        <f t="shared" si="2"/>
        <v/>
      </c>
      <c r="AF62" s="47" t="e">
        <f t="shared" ca="1" si="3"/>
        <v>#NAME?</v>
      </c>
      <c r="AG62" s="19"/>
      <c r="AH62" s="15" t="str">
        <f t="shared" si="5"/>
        <v/>
      </c>
      <c r="AI62" s="47" t="e">
        <f t="shared" ca="1" si="6"/>
        <v>#NAME?</v>
      </c>
      <c r="AJ62" s="371">
        <f t="shared" ca="1" si="7"/>
        <v>0</v>
      </c>
      <c r="AK62" s="372">
        <f t="shared" ca="1" si="8"/>
        <v>0</v>
      </c>
      <c r="AL62" s="373">
        <f t="shared" ca="1" si="9"/>
        <v>0</v>
      </c>
      <c r="AM62" s="374">
        <f t="shared" ca="1" si="10"/>
        <v>0</v>
      </c>
      <c r="AN62" s="375">
        <f t="shared" ca="1" si="11"/>
        <v>0</v>
      </c>
    </row>
    <row r="63" spans="1:40" x14ac:dyDescent="0.2">
      <c r="A63" s="6" t="s">
        <v>43</v>
      </c>
      <c r="B63" s="7"/>
      <c r="H63" s="10" t="s">
        <v>540</v>
      </c>
      <c r="I63" s="25" t="e">
        <f ca="1">_xll.EVPRO($B$1,$H63,"STYLE")</f>
        <v>#NAME?</v>
      </c>
      <c r="J63" s="25" t="e">
        <f ca="1">_xll.EVPRO($B$1,$H63,"CALC")</f>
        <v>#NAME?</v>
      </c>
      <c r="K63" s="64" t="e">
        <f t="shared" ca="1" si="4"/>
        <v>#NAME?</v>
      </c>
      <c r="L63" s="24" t="e">
        <f ca="1">_xll.EVPRO($B$1,H63,"JDEID")</f>
        <v>#NAME?</v>
      </c>
      <c r="M63" s="24" t="e">
        <f ca="1">IF(AND(I63="N",J63="N"),_xll.EVPRO($B$1,H63,"PSFTID"),"")</f>
        <v>#NAME?</v>
      </c>
      <c r="N63" s="24" t="e">
        <f ca="1">IF(_xll.EVDES(H63,$B$1)="#NODATA","",_xll.EVDES(H63,$B$1))</f>
        <v>#NAME?</v>
      </c>
      <c r="O63" s="19"/>
      <c r="P63" s="19"/>
      <c r="Q63" s="19"/>
      <c r="R63" s="19"/>
      <c r="S63" s="19"/>
      <c r="T63" s="19"/>
      <c r="U63" s="19"/>
      <c r="V63" s="19"/>
      <c r="W63" s="19"/>
      <c r="X63" s="19"/>
      <c r="Y63" s="19"/>
      <c r="Z63" s="19"/>
      <c r="AA63" s="19" t="e">
        <f t="shared" ca="1" si="0"/>
        <v>#NAME?</v>
      </c>
      <c r="AB63" s="15" t="e">
        <f t="shared" ca="1" si="1"/>
        <v>#NAME?</v>
      </c>
      <c r="AD63" s="19"/>
      <c r="AE63" s="15" t="str">
        <f t="shared" si="2"/>
        <v/>
      </c>
      <c r="AF63" s="47" t="e">
        <f t="shared" ca="1" si="3"/>
        <v>#NAME?</v>
      </c>
      <c r="AG63" s="19"/>
      <c r="AH63" s="15" t="str">
        <f t="shared" si="5"/>
        <v/>
      </c>
      <c r="AI63" s="47" t="e">
        <f t="shared" ca="1" si="6"/>
        <v>#NAME?</v>
      </c>
      <c r="AJ63" s="371">
        <f t="shared" ca="1" si="7"/>
        <v>0</v>
      </c>
      <c r="AK63" s="372">
        <f t="shared" ca="1" si="8"/>
        <v>0</v>
      </c>
      <c r="AL63" s="373">
        <f t="shared" ca="1" si="9"/>
        <v>0</v>
      </c>
      <c r="AM63" s="374">
        <f t="shared" ca="1" si="10"/>
        <v>0</v>
      </c>
      <c r="AN63" s="375">
        <f t="shared" ca="1" si="11"/>
        <v>0</v>
      </c>
    </row>
    <row r="64" spans="1:40" x14ac:dyDescent="0.2">
      <c r="A64" s="6" t="s">
        <v>44</v>
      </c>
      <c r="B64" s="7"/>
      <c r="H64" s="10" t="s">
        <v>541</v>
      </c>
      <c r="I64" s="25" t="e">
        <f ca="1">_xll.EVPRO($B$1,$H64,"STYLE")</f>
        <v>#NAME?</v>
      </c>
      <c r="J64" s="25" t="e">
        <f ca="1">_xll.EVPRO($B$1,$H64,"CALC")</f>
        <v>#NAME?</v>
      </c>
      <c r="K64" s="64" t="e">
        <f t="shared" ca="1" si="4"/>
        <v>#NAME?</v>
      </c>
      <c r="L64" s="24" t="e">
        <f ca="1">_xll.EVPRO($B$1,H64,"JDEID")</f>
        <v>#NAME?</v>
      </c>
      <c r="M64" s="24" t="e">
        <f ca="1">IF(AND(I64="N",J64="N"),_xll.EVPRO($B$1,H64,"PSFTID"),"")</f>
        <v>#NAME?</v>
      </c>
      <c r="N64" s="24" t="e">
        <f ca="1">IF(_xll.EVDES(H64,$B$1)="#NODATA","",_xll.EVDES(H64,$B$1))</f>
        <v>#NAME?</v>
      </c>
      <c r="O64" s="28"/>
      <c r="P64" s="28"/>
      <c r="Q64" s="28"/>
      <c r="R64" s="28"/>
      <c r="S64" s="28"/>
      <c r="T64" s="28"/>
      <c r="U64" s="28"/>
      <c r="V64" s="28"/>
      <c r="W64" s="28"/>
      <c r="X64" s="28"/>
      <c r="Y64" s="28"/>
      <c r="Z64" s="28"/>
      <c r="AA64" s="28" t="e">
        <f t="shared" ca="1" si="0"/>
        <v>#NAME?</v>
      </c>
      <c r="AB64" s="29" t="e">
        <f t="shared" ca="1" si="1"/>
        <v>#NAME?</v>
      </c>
      <c r="AD64" s="28"/>
      <c r="AE64" s="29" t="str">
        <f t="shared" si="2"/>
        <v/>
      </c>
      <c r="AF64" s="48" t="e">
        <f t="shared" ca="1" si="3"/>
        <v>#NAME?</v>
      </c>
      <c r="AG64" s="28"/>
      <c r="AH64" s="29" t="str">
        <f t="shared" si="5"/>
        <v/>
      </c>
      <c r="AI64" s="48" t="e">
        <f t="shared" ca="1" si="6"/>
        <v>#NAME?</v>
      </c>
      <c r="AJ64" s="381">
        <f t="shared" ca="1" si="7"/>
        <v>0</v>
      </c>
      <c r="AK64" s="382">
        <f t="shared" ca="1" si="8"/>
        <v>0</v>
      </c>
      <c r="AL64" s="383">
        <f t="shared" ca="1" si="9"/>
        <v>0</v>
      </c>
      <c r="AM64" s="384">
        <f t="shared" ca="1" si="10"/>
        <v>0</v>
      </c>
      <c r="AN64" s="385">
        <f t="shared" ca="1" si="11"/>
        <v>0</v>
      </c>
    </row>
    <row r="65" spans="1:40" x14ac:dyDescent="0.2">
      <c r="A65" s="6" t="s">
        <v>45</v>
      </c>
      <c r="B65" s="7"/>
      <c r="H65" s="10" t="s">
        <v>542</v>
      </c>
      <c r="I65" s="447" t="e">
        <f ca="1">_xll.EVPRO($B$1,$H65,"STYLE")</f>
        <v>#NAME?</v>
      </c>
      <c r="J65" s="447" t="e">
        <f ca="1">_xll.EVPRO($B$1,$H65,"CALC")</f>
        <v>#NAME?</v>
      </c>
      <c r="K65" s="448" t="e">
        <f t="shared" ca="1" si="4"/>
        <v>#NAME?</v>
      </c>
      <c r="L65" s="151" t="e">
        <f ca="1">_xll.EVPRO($B$1,H65,"JDEID")</f>
        <v>#NAME?</v>
      </c>
      <c r="M65" s="151" t="e">
        <f ca="1">IF(AND(I65="N",J65="N"),_xll.EVPRO($B$1,H65,"PSFTID"),"")</f>
        <v>#NAME?</v>
      </c>
      <c r="N65" s="151" t="e">
        <f ca="1">IF(_xll.EVDES(H65,$B$1)="#NODATA","",_xll.EVDES(H65,$B$1))</f>
        <v>#NAME?</v>
      </c>
      <c r="O65" s="30"/>
      <c r="P65" s="30"/>
      <c r="Q65" s="30"/>
      <c r="R65" s="30"/>
      <c r="S65" s="30"/>
      <c r="T65" s="30"/>
      <c r="U65" s="30"/>
      <c r="V65" s="30"/>
      <c r="W65" s="30"/>
      <c r="X65" s="30"/>
      <c r="Y65" s="30"/>
      <c r="Z65" s="30"/>
      <c r="AA65" s="30" t="e">
        <f t="shared" ca="1" si="0"/>
        <v>#NAME?</v>
      </c>
      <c r="AB65" s="31" t="e">
        <f t="shared" ca="1" si="1"/>
        <v>#NAME?</v>
      </c>
      <c r="AC65" s="32"/>
      <c r="AD65" s="30"/>
      <c r="AE65" s="31" t="str">
        <f t="shared" si="2"/>
        <v/>
      </c>
      <c r="AF65" s="49" t="e">
        <f t="shared" ca="1" si="3"/>
        <v>#NAME?</v>
      </c>
      <c r="AG65" s="30"/>
      <c r="AH65" s="31" t="str">
        <f t="shared" si="5"/>
        <v/>
      </c>
      <c r="AI65" s="49" t="e">
        <f t="shared" ca="1" si="6"/>
        <v>#NAME?</v>
      </c>
      <c r="AJ65" s="336">
        <f t="shared" ca="1" si="7"/>
        <v>0</v>
      </c>
      <c r="AK65" s="337">
        <f t="shared" ca="1" si="8"/>
        <v>0</v>
      </c>
      <c r="AL65" s="339">
        <f t="shared" ca="1" si="9"/>
        <v>0</v>
      </c>
      <c r="AM65" s="386">
        <f t="shared" ca="1" si="10"/>
        <v>0</v>
      </c>
      <c r="AN65" s="407">
        <f t="shared" ca="1" si="11"/>
        <v>0</v>
      </c>
    </row>
    <row r="66" spans="1:40" x14ac:dyDescent="0.2">
      <c r="A66" s="6" t="s">
        <v>46</v>
      </c>
      <c r="B66" s="7"/>
      <c r="H66" s="10"/>
      <c r="I66" s="26"/>
      <c r="J66" s="26"/>
      <c r="K66" s="65"/>
      <c r="L66" s="23"/>
      <c r="M66" s="23"/>
      <c r="N66" s="24" t="e">
        <f ca="1">N20</f>
        <v>#NAME?</v>
      </c>
      <c r="O66" s="19" t="e">
        <f ca="1">O$20</f>
        <v>#NAME?</v>
      </c>
      <c r="P66" s="19" t="e">
        <f t="shared" ref="P66:Z66" ca="1" si="12">P$20</f>
        <v>#NAME?</v>
      </c>
      <c r="Q66" s="19" t="e">
        <f t="shared" ca="1" si="12"/>
        <v>#NAME?</v>
      </c>
      <c r="R66" s="19" t="e">
        <f t="shared" ca="1" si="12"/>
        <v>#NAME?</v>
      </c>
      <c r="S66" s="19" t="e">
        <f t="shared" ca="1" si="12"/>
        <v>#NAME?</v>
      </c>
      <c r="T66" s="19" t="e">
        <f t="shared" ca="1" si="12"/>
        <v>#NAME?</v>
      </c>
      <c r="U66" s="19" t="e">
        <f t="shared" ca="1" si="12"/>
        <v>#NAME?</v>
      </c>
      <c r="V66" s="19" t="e">
        <f t="shared" ca="1" si="12"/>
        <v>#NAME?</v>
      </c>
      <c r="W66" s="19" t="e">
        <f t="shared" ca="1" si="12"/>
        <v>#NAME?</v>
      </c>
      <c r="X66" s="19" t="e">
        <f t="shared" ca="1" si="12"/>
        <v>#NAME?</v>
      </c>
      <c r="Y66" s="19" t="e">
        <f t="shared" ca="1" si="12"/>
        <v>#NAME?</v>
      </c>
      <c r="Z66" s="19" t="e">
        <f t="shared" ca="1" si="12"/>
        <v>#NAME?</v>
      </c>
      <c r="AA66" s="19" t="e">
        <f t="shared" ref="AA66:AA68" ca="1" si="13">IF($I66="B1","",SUM(O66:Z66))</f>
        <v>#NAME?</v>
      </c>
      <c r="AB66" s="15" t="e">
        <f t="shared" ref="AB66:AB68" ca="1" si="14">IF(AA66=0,"",IFERROR(AA66/AA$19,""))</f>
        <v>#NAME?</v>
      </c>
      <c r="AD66" s="19" t="e">
        <f ca="1">AD$20</f>
        <v>#NAME?</v>
      </c>
      <c r="AE66" s="15" t="e">
        <f t="shared" ref="AE66:AE68" ca="1" si="15">IF(AD66=0,"",IFERROR(AD66/AD$19,""))</f>
        <v>#NAME?</v>
      </c>
      <c r="AF66" s="47" t="e">
        <f t="shared" ref="AF66:AF68" ca="1" si="16">IF(AND($AA66="",AD66=""),"",$AA66-AD66)</f>
        <v>#NAME?</v>
      </c>
      <c r="AG66" s="19" t="e">
        <f ca="1">AG$20</f>
        <v>#NAME?</v>
      </c>
      <c r="AH66" s="15" t="e">
        <f ca="1">IF(AG66=0,"",IFERROR(AG66/AG$19,""))</f>
        <v>#NAME?</v>
      </c>
      <c r="AI66" s="47" t="e">
        <f ca="1">IF(AND($AA66="",AG66=""),"",$AA66-AG66)</f>
        <v>#NAME?</v>
      </c>
      <c r="AJ66" s="381">
        <f ca="1">IFERROR(AA66/AA$21,0)</f>
        <v>0</v>
      </c>
      <c r="AK66" s="382">
        <f ca="1">IFERROR(AD66/AD$21,0)</f>
        <v>0</v>
      </c>
      <c r="AL66" s="383">
        <f ca="1">IFERROR(AG66/AG$21,0)</f>
        <v>0</v>
      </c>
      <c r="AM66" s="384">
        <f ca="1">+IFERROR(ROUND(($AB66-AE66)*100,2)&amp;" pts.",0)</f>
        <v>0</v>
      </c>
      <c r="AN66" s="385">
        <f ca="1">+IFERROR(ROUND(($AB66-AH66)*100,2)&amp;" pts.",0)</f>
        <v>0</v>
      </c>
    </row>
    <row r="67" spans="1:40" x14ac:dyDescent="0.2">
      <c r="H67" s="10"/>
      <c r="I67" s="26"/>
      <c r="J67" s="26"/>
      <c r="K67" s="65"/>
      <c r="L67" s="23"/>
      <c r="M67" s="23"/>
      <c r="N67" s="23" t="s">
        <v>588</v>
      </c>
      <c r="O67" s="30" t="e">
        <f ca="1">O65-O66</f>
        <v>#NAME?</v>
      </c>
      <c r="P67" s="30" t="e">
        <f t="shared" ref="P67:Z67" ca="1" si="17">P65-P66</f>
        <v>#NAME?</v>
      </c>
      <c r="Q67" s="30" t="e">
        <f t="shared" ca="1" si="17"/>
        <v>#NAME?</v>
      </c>
      <c r="R67" s="30" t="e">
        <f t="shared" ca="1" si="17"/>
        <v>#NAME?</v>
      </c>
      <c r="S67" s="30" t="e">
        <f t="shared" ca="1" si="17"/>
        <v>#NAME?</v>
      </c>
      <c r="T67" s="30" t="e">
        <f t="shared" ca="1" si="17"/>
        <v>#NAME?</v>
      </c>
      <c r="U67" s="30" t="e">
        <f t="shared" ca="1" si="17"/>
        <v>#NAME?</v>
      </c>
      <c r="V67" s="30" t="e">
        <f t="shared" ca="1" si="17"/>
        <v>#NAME?</v>
      </c>
      <c r="W67" s="30" t="e">
        <f t="shared" ca="1" si="17"/>
        <v>#NAME?</v>
      </c>
      <c r="X67" s="30" t="e">
        <f t="shared" ca="1" si="17"/>
        <v>#NAME?</v>
      </c>
      <c r="Y67" s="30" t="e">
        <f t="shared" ca="1" si="17"/>
        <v>#NAME?</v>
      </c>
      <c r="Z67" s="30" t="e">
        <f t="shared" ca="1" si="17"/>
        <v>#NAME?</v>
      </c>
      <c r="AA67" s="30" t="e">
        <f t="shared" ca="1" si="13"/>
        <v>#NAME?</v>
      </c>
      <c r="AB67" s="31" t="e">
        <f t="shared" ca="1" si="14"/>
        <v>#NAME?</v>
      </c>
      <c r="AD67" s="30" t="e">
        <f ca="1">AD65-AD66</f>
        <v>#NAME?</v>
      </c>
      <c r="AE67" s="31" t="e">
        <f t="shared" ca="1" si="15"/>
        <v>#NAME?</v>
      </c>
      <c r="AF67" s="49" t="e">
        <f t="shared" ca="1" si="16"/>
        <v>#NAME?</v>
      </c>
      <c r="AG67" s="30" t="e">
        <f ca="1">AG65-AG66</f>
        <v>#NAME?</v>
      </c>
      <c r="AH67" s="31" t="e">
        <f ca="1">IF(AG67=0,"",IFERROR(AG67/AG$19,""))</f>
        <v>#NAME?</v>
      </c>
      <c r="AI67" s="49" t="e">
        <f ca="1">IF(AND($AA67="",AG67=""),"",$AA67-AG67)</f>
        <v>#NAME?</v>
      </c>
      <c r="AJ67" s="364">
        <f ca="1">IFERROR(AA67/AA$21,0)</f>
        <v>0</v>
      </c>
      <c r="AK67" s="365">
        <f ca="1">IFERROR(AD67/AD$21,0)</f>
        <v>0</v>
      </c>
      <c r="AL67" s="366">
        <f ca="1">IFERROR(AG67/AG$21,0)</f>
        <v>0</v>
      </c>
      <c r="AM67" s="367">
        <f ca="1">+IFERROR(ROUND(($AB67-AE67)*100,2)&amp;" pts.",0)</f>
        <v>0</v>
      </c>
      <c r="AN67" s="409">
        <f ca="1">+IFERROR(ROUND(($AB67-AH67)*100,2)&amp;" pts.",0)</f>
        <v>0</v>
      </c>
    </row>
    <row r="68" spans="1:40" x14ac:dyDescent="0.2">
      <c r="H68" s="10" t="s">
        <v>543</v>
      </c>
      <c r="I68" s="25" t="e">
        <f ca="1">_xll.EVPRO($B$1,$H68,"STYLE")</f>
        <v>#NAME?</v>
      </c>
      <c r="J68" s="25" t="e">
        <f ca="1">_xll.EVPRO($B$1,$H68,"CALC")</f>
        <v>#NAME?</v>
      </c>
      <c r="K68" s="24"/>
      <c r="N68" s="23" t="e">
        <f ca="1">IF(_xll.EVDES(H68,$B$1)="#NODATA","",_xll.EVDES(H68,$B$1))</f>
        <v>#NAME?</v>
      </c>
      <c r="O68" s="30" t="e">
        <f ca="1">O38+O42+O49+O56+O65-O66</f>
        <v>#NAME?</v>
      </c>
      <c r="P68" s="30" t="e">
        <f t="shared" ref="P68:Z68" ca="1" si="18">P38+P42+P49+P56+P65-P66</f>
        <v>#NAME?</v>
      </c>
      <c r="Q68" s="30" t="e">
        <f t="shared" ca="1" si="18"/>
        <v>#NAME?</v>
      </c>
      <c r="R68" s="30" t="e">
        <f t="shared" ca="1" si="18"/>
        <v>#NAME?</v>
      </c>
      <c r="S68" s="30" t="e">
        <f t="shared" ca="1" si="18"/>
        <v>#NAME?</v>
      </c>
      <c r="T68" s="30" t="e">
        <f t="shared" ca="1" si="18"/>
        <v>#NAME?</v>
      </c>
      <c r="U68" s="30" t="e">
        <f t="shared" ca="1" si="18"/>
        <v>#NAME?</v>
      </c>
      <c r="V68" s="30" t="e">
        <f t="shared" ca="1" si="18"/>
        <v>#NAME?</v>
      </c>
      <c r="W68" s="30" t="e">
        <f t="shared" ca="1" si="18"/>
        <v>#NAME?</v>
      </c>
      <c r="X68" s="30" t="e">
        <f t="shared" ca="1" si="18"/>
        <v>#NAME?</v>
      </c>
      <c r="Y68" s="30" t="e">
        <f t="shared" ca="1" si="18"/>
        <v>#NAME?</v>
      </c>
      <c r="Z68" s="30" t="e">
        <f t="shared" ca="1" si="18"/>
        <v>#NAME?</v>
      </c>
      <c r="AA68" s="30" t="e">
        <f t="shared" ca="1" si="13"/>
        <v>#NAME?</v>
      </c>
      <c r="AB68" s="31" t="e">
        <f t="shared" ca="1" si="14"/>
        <v>#NAME?</v>
      </c>
      <c r="AD68" s="30" t="e">
        <f t="shared" ref="AD68" ca="1" si="19">AD38+AD42+AD49+AD56+AD65-AD66</f>
        <v>#NAME?</v>
      </c>
      <c r="AE68" s="31" t="e">
        <f t="shared" ca="1" si="15"/>
        <v>#NAME?</v>
      </c>
      <c r="AF68" s="49" t="e">
        <f t="shared" ca="1" si="16"/>
        <v>#NAME?</v>
      </c>
      <c r="AG68" s="30" t="e">
        <f t="shared" ref="AG68" ca="1" si="20">AG38+AG42+AG49+AG56+AG65-AG66</f>
        <v>#NAME?</v>
      </c>
      <c r="AH68" s="31" t="e">
        <f ca="1">IF(AG68=0,"",IFERROR(AG68/AG$19,""))</f>
        <v>#NAME?</v>
      </c>
      <c r="AI68" s="49" t="e">
        <f ca="1">IF(AND($AA68="",AG68=""),"",$AA68-AG68)</f>
        <v>#NAME?</v>
      </c>
      <c r="AJ68" s="411">
        <f ca="1">IFERROR(AA68/AA$21,0)</f>
        <v>0</v>
      </c>
      <c r="AK68" s="412">
        <f ca="1">IFERROR(AD68/AD$21,0)</f>
        <v>0</v>
      </c>
      <c r="AL68" s="413">
        <f ca="1">IFERROR(AG68/AG$21,0)</f>
        <v>0</v>
      </c>
      <c r="AM68" s="414">
        <f ca="1">+IFERROR(ROUND(($AB68-AE68)*100,2)&amp;" pts.",0)</f>
        <v>0</v>
      </c>
      <c r="AN68" s="415">
        <f ca="1">+IFERROR(ROUND(($AB68-AH68)*100,2)&amp;" pts.",0)</f>
        <v>0</v>
      </c>
    </row>
    <row r="70" spans="1:40" x14ac:dyDescent="0.2">
      <c r="I70" s="1"/>
      <c r="J70" s="1"/>
      <c r="L70" s="1"/>
      <c r="M70" s="1"/>
    </row>
    <row r="71" spans="1:40" x14ac:dyDescent="0.2">
      <c r="I71" s="1"/>
      <c r="J71" s="1"/>
      <c r="L71" s="1"/>
      <c r="M71" s="1"/>
    </row>
    <row r="72" spans="1:40" x14ac:dyDescent="0.2">
      <c r="I72" s="1"/>
      <c r="J72" s="1"/>
      <c r="L72" s="1"/>
      <c r="M72" s="1"/>
    </row>
    <row r="78" spans="1:40" x14ac:dyDescent="0.2">
      <c r="I78" s="1"/>
      <c r="J78" s="1"/>
      <c r="L78" s="1"/>
      <c r="M78" s="1"/>
    </row>
    <row r="79" spans="1:40" x14ac:dyDescent="0.2">
      <c r="H79" s="11"/>
      <c r="J79" s="1"/>
    </row>
    <row r="80" spans="1:40" x14ac:dyDescent="0.2">
      <c r="H80" s="11"/>
      <c r="J80" s="1"/>
    </row>
    <row r="81" spans="8:10" x14ac:dyDescent="0.2">
      <c r="H81" s="11"/>
      <c r="J81" s="1"/>
    </row>
    <row r="82" spans="8:10" x14ac:dyDescent="0.2">
      <c r="H82" s="11"/>
      <c r="J82" s="1"/>
    </row>
    <row r="83" spans="8:10" x14ac:dyDescent="0.2">
      <c r="H83" s="11"/>
      <c r="J83" s="1"/>
    </row>
    <row r="84" spans="8:10" x14ac:dyDescent="0.2">
      <c r="H84" s="11"/>
      <c r="J84" s="1"/>
    </row>
    <row r="85" spans="8:10" x14ac:dyDescent="0.2">
      <c r="H85" s="11"/>
      <c r="J85" s="1"/>
    </row>
    <row r="86" spans="8:10" x14ac:dyDescent="0.2">
      <c r="H86" s="11"/>
      <c r="J86" s="1"/>
    </row>
    <row r="87" spans="8:10" x14ac:dyDescent="0.2">
      <c r="H87" s="11"/>
      <c r="J87" s="1"/>
    </row>
    <row r="88" spans="8:10" x14ac:dyDescent="0.2">
      <c r="H88" s="11"/>
      <c r="J88" s="1"/>
    </row>
    <row r="89" spans="8:10" x14ac:dyDescent="0.2">
      <c r="H89" s="11"/>
      <c r="J89" s="1"/>
    </row>
    <row r="90" spans="8:10" x14ac:dyDescent="0.2">
      <c r="H90" s="11"/>
      <c r="J90" s="1"/>
    </row>
    <row r="91" spans="8:10" x14ac:dyDescent="0.2">
      <c r="H91" s="11"/>
      <c r="J91" s="1"/>
    </row>
    <row r="92" spans="8:10" x14ac:dyDescent="0.2">
      <c r="H92" s="11"/>
      <c r="J92" s="1"/>
    </row>
    <row r="93" spans="8:10" x14ac:dyDescent="0.2">
      <c r="H93" s="11"/>
      <c r="J93" s="1"/>
    </row>
    <row r="94" spans="8:10" x14ac:dyDescent="0.2">
      <c r="H94" s="11"/>
      <c r="J94" s="1"/>
    </row>
    <row r="95" spans="8:10" x14ac:dyDescent="0.2">
      <c r="H95" s="11"/>
      <c r="J95" s="1"/>
    </row>
    <row r="96" spans="8:10" x14ac:dyDescent="0.2">
      <c r="H96" s="11"/>
      <c r="J96" s="1"/>
    </row>
    <row r="97" spans="8:10" x14ac:dyDescent="0.2">
      <c r="H97" s="11"/>
      <c r="J97" s="1"/>
    </row>
    <row r="98" spans="8:10" x14ac:dyDescent="0.2">
      <c r="H98" s="11"/>
      <c r="J98" s="1"/>
    </row>
    <row r="99" spans="8:10" x14ac:dyDescent="0.2">
      <c r="H99" s="11"/>
      <c r="J99" s="1"/>
    </row>
    <row r="100" spans="8:10" x14ac:dyDescent="0.2">
      <c r="H100" s="11"/>
      <c r="J100" s="1"/>
    </row>
  </sheetData>
  <mergeCells count="2">
    <mergeCell ref="AD31:AE31"/>
    <mergeCell ref="AG31:AH31"/>
  </mergeCells>
  <dataValidations disablePrompts="1" count="2">
    <dataValidation type="list" allowBlank="1" sqref="B28" xr:uid="{00000000-0002-0000-5A00-000000000000}">
      <formula1>"ACCOUNT,BUSINESSUNIT,CATEGORY,DATASRC,DEPARTMENT,INTCO,MEASURES,RPTCURRENCY,TIME"</formula1>
    </dataValidation>
    <dataValidation type="list" allowBlank="1" sqref="B29" xr:uid="{00000000-0002-0000-5A00-000001000000}">
      <formula1>"SELF,ALL,BAS,DEP,BASMEMBERS,MEMBERS,NOEXPAND,GDEP"</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30">
    <pageSetUpPr fitToPage="1"/>
  </sheetPr>
  <dimension ref="A1:AO102"/>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61" sqref="O61"/>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1" hidden="1" customWidth="1" outlineLevel="1" collapsed="1"/>
    <col min="13" max="13" width="9.6640625" style="1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0"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c r="L1" s="69"/>
      <c r="M1" s="69"/>
      <c r="N1" s="69"/>
    </row>
    <row r="2" spans="1:35" hidden="1" outlineLevel="1" x14ac:dyDescent="0.2">
      <c r="A2" s="8" t="s">
        <v>22</v>
      </c>
      <c r="B2" s="12" t="s">
        <v>554</v>
      </c>
      <c r="C2" s="1" t="e">
        <f ca="1">_xll.EVDES(B2,$B$1)</f>
        <v>#NAME?</v>
      </c>
      <c r="I2" s="1"/>
      <c r="J2" s="1"/>
      <c r="L2" s="69"/>
      <c r="M2" s="69"/>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552</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row>
    <row r="12" spans="1:35" hidden="1" outlineLevel="1" x14ac:dyDescent="0.2">
      <c r="A12" s="1" t="s">
        <v>115</v>
      </c>
      <c r="B12" s="46" t="e">
        <f ca="1">_xll.EVPRO($B$1,$B$10,"YEAR")</f>
        <v>#NAME?</v>
      </c>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_xll.EVRNG(H35:H36,H38:H39,H42:H43)</f>
        <v>#NAME?</v>
      </c>
      <c r="G19" s="16" t="s">
        <v>499</v>
      </c>
      <c r="H19" s="16">
        <v>400000</v>
      </c>
      <c r="I19" s="17"/>
      <c r="J19" s="17"/>
      <c r="K19" s="16"/>
      <c r="L19" s="17"/>
      <c r="M19" s="17"/>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
        <v>749</v>
      </c>
      <c r="H20" s="16">
        <v>904100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row>
    <row r="22" spans="1:40" hidden="1" outlineLevel="1" x14ac:dyDescent="0.2">
      <c r="A22" s="6" t="s">
        <v>7</v>
      </c>
      <c r="B22" s="7" t="e">
        <f ca="1">_xll.EVRNG(A36:F42)</f>
        <v>#NAME?</v>
      </c>
    </row>
    <row r="23" spans="1:40" hidden="1" outlineLevel="1" x14ac:dyDescent="0.2">
      <c r="A23" s="6" t="s">
        <v>47</v>
      </c>
      <c r="B23" s="7" t="e">
        <f ca="1">_xll.EVRNG($A$81:$B$102)</f>
        <v>#NAME?</v>
      </c>
      <c r="K23" s="53"/>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IF(_xll.EVDES(B6,$B$1)="#NODATA","",_xll.EVDES(B6,$B$1)&amp;" Department")</f>
        <v>#NAME?</v>
      </c>
    </row>
    <row r="28" spans="1:40" ht="16" x14ac:dyDescent="0.2">
      <c r="A28" s="6" t="s">
        <v>12</v>
      </c>
      <c r="B28" s="7" t="s">
        <v>22</v>
      </c>
      <c r="N28" s="67" t="e">
        <f ca="1">"For the Period ended"&amp;" "&amp;IF(_xll.EVDES($B$10,$B$1)="#NODATA","",_xll.EVDES($B$10,$B$1))</f>
        <v>#NAME?</v>
      </c>
    </row>
    <row r="29" spans="1:40" ht="15" customHeight="1" x14ac:dyDescent="0.2">
      <c r="A29" s="6" t="s">
        <v>13</v>
      </c>
      <c r="B29" s="7" t="s">
        <v>746</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752</v>
      </c>
      <c r="AK30" s="209"/>
      <c r="AL30" s="210"/>
      <c r="AM30" s="209" t="s">
        <v>750</v>
      </c>
      <c r="AN30" s="209"/>
    </row>
    <row r="31" spans="1:40" x14ac:dyDescent="0.2">
      <c r="A31" s="6" t="s">
        <v>15</v>
      </c>
      <c r="B31" s="7"/>
      <c r="G31" s="13"/>
      <c r="K31" s="52"/>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t="s">
        <v>78</v>
      </c>
      <c r="H32" s="233"/>
      <c r="I32" s="234"/>
      <c r="J32" s="234"/>
      <c r="K32" s="235" t="s">
        <v>117</v>
      </c>
      <c r="L32" s="234"/>
      <c r="M32" s="234"/>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 t="s">
        <v>73</v>
      </c>
      <c r="I33" s="11" t="e">
        <f ca="1">_xll.EVPRO($B$1,$H33,"STYLE")</f>
        <v>#NAME?</v>
      </c>
      <c r="J33" s="11" t="e">
        <f ca="1">_xll.EVPRO($B$1,$H33,"CALC")</f>
        <v>#NAME?</v>
      </c>
      <c r="N33" s="37" t="e">
        <f ca="1">IF(_xll.EVDES(H33,$B$1)="#NODATA","",_xll.EVDES(H33,$B$1))</f>
        <v>#NAME?</v>
      </c>
      <c r="O33" s="50"/>
      <c r="AB33" s="51"/>
      <c r="AD33" s="50"/>
      <c r="AF33" s="51"/>
      <c r="AG33" s="50"/>
      <c r="AI33" s="51"/>
    </row>
    <row r="34" spans="1:40" x14ac:dyDescent="0.2">
      <c r="H34" s="1" t="s">
        <v>74</v>
      </c>
      <c r="I34" s="11" t="e">
        <f ca="1">_xll.EVPRO($B$1,$H34,"STYLE")</f>
        <v>#NAME?</v>
      </c>
      <c r="J34" s="11" t="e">
        <f ca="1">_xll.EVPRO($B$1,$H34,"CALC")</f>
        <v>#NAME?</v>
      </c>
      <c r="N34" s="8" t="e">
        <f ca="1">IF(_xll.EVDES(H34,$B$1)="#NODATA","",_xll.EVDES(H34,$B$1))</f>
        <v>#NAME?</v>
      </c>
      <c r="O34" s="40"/>
      <c r="P34" s="43"/>
      <c r="Q34" s="43"/>
      <c r="R34" s="43"/>
      <c r="S34" s="43"/>
      <c r="T34" s="43"/>
      <c r="U34" s="43"/>
      <c r="V34" s="43"/>
      <c r="W34" s="43"/>
      <c r="X34" s="43"/>
      <c r="Y34" s="43"/>
      <c r="Z34" s="43"/>
      <c r="AA34" s="43"/>
      <c r="AB34" s="41"/>
      <c r="AD34" s="40"/>
      <c r="AE34" s="43"/>
      <c r="AF34" s="41"/>
      <c r="AG34" s="40"/>
      <c r="AH34" s="43"/>
      <c r="AI34" s="41"/>
    </row>
    <row r="35" spans="1:40" hidden="1" x14ac:dyDescent="0.2">
      <c r="A35" s="20" t="s">
        <v>92</v>
      </c>
      <c r="B35" s="21" t="s">
        <v>93</v>
      </c>
      <c r="C35" s="21" t="s">
        <v>94</v>
      </c>
      <c r="D35" s="21" t="s">
        <v>95</v>
      </c>
      <c r="E35" s="21" t="s">
        <v>96</v>
      </c>
      <c r="F35" s="22" t="s">
        <v>97</v>
      </c>
      <c r="H35" s="10" t="s">
        <v>667</v>
      </c>
      <c r="I35" s="25" t="e">
        <f ca="1">_xll.EVPRO($B$1,$H35,"STYLE")</f>
        <v>#NAME?</v>
      </c>
      <c r="J35" s="25" t="e">
        <f ca="1">_xll.EVPRO($B$1,$H35,"CALC")</f>
        <v>#NAME?</v>
      </c>
      <c r="K35" s="64" t="e">
        <f ca="1">IF(AND(I35&gt;="T3"),"&gt;","")</f>
        <v>#NAME?</v>
      </c>
      <c r="L35" s="24" t="e">
        <f ca="1">_xll.EVPRO($B$1,H35,"JDEID")</f>
        <v>#NAME?</v>
      </c>
      <c r="M35" s="24" t="e">
        <f ca="1">IF(AND(I35="N",J35="N"),_xll.EVPRO($B$1,H35,"PSFTID"),"")</f>
        <v>#NAME?</v>
      </c>
      <c r="N35" s="24" t="e">
        <f ca="1">IF(_xll.EVDES(H35,$B$1)="#NODATA","",_xll.EVDES(H35,$B$1))</f>
        <v>#NAME?</v>
      </c>
      <c r="O35" s="44"/>
      <c r="P35" s="44"/>
      <c r="Q35" s="44"/>
      <c r="R35" s="44"/>
      <c r="S35" s="44"/>
      <c r="T35" s="44"/>
      <c r="U35" s="44"/>
      <c r="V35" s="44"/>
      <c r="W35" s="44"/>
      <c r="X35" s="44"/>
      <c r="Y35" s="44"/>
      <c r="Z35" s="44"/>
      <c r="AA35" s="28" t="e">
        <f ca="1">IF($I35="B1","",SUM(O35:Z35))</f>
        <v>#NAME?</v>
      </c>
      <c r="AB35" s="45" t="e">
        <f ca="1">IF(AA35=0,"",IFERROR(AA35/AA$19,""))</f>
        <v>#NAME?</v>
      </c>
      <c r="AD35" s="28"/>
      <c r="AE35" s="29" t="str">
        <f>IF(AD35=0,"",IFERROR(AD35/AD$19,""))</f>
        <v/>
      </c>
      <c r="AF35" s="48" t="e">
        <f ca="1">IF(AND($AA35="",AD35=""),"",$AA35-AD35)</f>
        <v>#NAME?</v>
      </c>
      <c r="AG35" s="28"/>
      <c r="AH35" s="29" t="str">
        <f>IF(AG35=0,"",IFERROR(AG35/AG$19,""))</f>
        <v/>
      </c>
      <c r="AI35" s="48" t="e">
        <f ca="1">IF(AND($AA35="",AG35=""),"",$AA35-AG35)</f>
        <v>#NAME?</v>
      </c>
      <c r="AJ35" s="371">
        <f ca="1">IFERROR(AA35/AA$20,0)</f>
        <v>0</v>
      </c>
      <c r="AK35" s="372">
        <f ca="1">IFERROR(AD35/AD$20,0)</f>
        <v>0</v>
      </c>
      <c r="AL35" s="373">
        <f ca="1">IFERROR(AG35/AG$20,0)</f>
        <v>0</v>
      </c>
      <c r="AM35" s="374">
        <f ca="1">+IFERROR(ROUND(($AB35-AE35)*100,2)&amp;" pts.",0)</f>
        <v>0</v>
      </c>
      <c r="AN35" s="375">
        <f ca="1">+IFERROR(ROUND(($AB35-AH35)*100,2)&amp;" pts.",0)</f>
        <v>0</v>
      </c>
    </row>
    <row r="36" spans="1:40" hidden="1" x14ac:dyDescent="0.2">
      <c r="H36" s="10"/>
      <c r="I36" s="25" t="e">
        <f ca="1">_xll.EVPRO($B$1,$H36,"STYLE")</f>
        <v>#NAME?</v>
      </c>
      <c r="J36" s="25" t="e">
        <f ca="1">_xll.EVPRO($B$1,$H36,"CALC")</f>
        <v>#NAME?</v>
      </c>
      <c r="K36" s="64" t="e">
        <f ca="1">IF(AND(I36&gt;="T3"),"&gt;","")</f>
        <v>#NAME?</v>
      </c>
      <c r="L36" s="24" t="e">
        <f ca="1">_xll.EVPRO($B$1,H36,"JDEID")</f>
        <v>#NAME?</v>
      </c>
      <c r="M36" s="24" t="e">
        <f ca="1">IF(AND(I36="N",J36="N"),_xll.EVPRO($B$1,H36,"PSFTID"),"")</f>
        <v>#NAME?</v>
      </c>
      <c r="N36" s="24" t="e">
        <f ca="1">IF(_xll.EVDES(H36,$B$1)="#NODATA","",_xll.EVDES(H36,$B$1))</f>
        <v>#NAME?</v>
      </c>
      <c r="O36" s="44"/>
      <c r="P36" s="44"/>
      <c r="Q36" s="44"/>
      <c r="R36" s="44"/>
      <c r="S36" s="44"/>
      <c r="T36" s="44"/>
      <c r="U36" s="44"/>
      <c r="V36" s="44"/>
      <c r="W36" s="44"/>
      <c r="X36" s="44"/>
      <c r="Y36" s="44"/>
      <c r="Z36" s="44"/>
      <c r="AA36" s="28" t="e">
        <f ca="1">IF($I36="B1","",SUM(O36:Z36))</f>
        <v>#NAME?</v>
      </c>
      <c r="AB36" s="45" t="e">
        <f ca="1">IF(AA36=0,"",IFERROR(AA36/AA$19,""))</f>
        <v>#NAME?</v>
      </c>
      <c r="AD36" s="28"/>
      <c r="AE36" s="29" t="str">
        <f>IF(AD36=0,"",IFERROR(AD36/AD$19,""))</f>
        <v/>
      </c>
      <c r="AF36" s="48" t="e">
        <f ca="1">IF(AND($AA36="",AD36=""),"",$AA36-AD36)</f>
        <v>#NAME?</v>
      </c>
      <c r="AG36" s="28"/>
      <c r="AH36" s="29" t="str">
        <f>IF(AG36=0,"",IFERROR(AG36/AG$19,""))</f>
        <v/>
      </c>
      <c r="AI36" s="48" t="e">
        <f ca="1">IF(AND($AA36="",AG36=""),"",$AA36-AG36)</f>
        <v>#NAME?</v>
      </c>
      <c r="AJ36" s="371">
        <f ca="1">IFERROR(AA36/AA$20,0)</f>
        <v>0</v>
      </c>
      <c r="AK36" s="372">
        <f ca="1">IFERROR(AD36/AD$20,0)</f>
        <v>0</v>
      </c>
      <c r="AL36" s="373">
        <f ca="1">IFERROR(AG36/AG$20,0)</f>
        <v>0</v>
      </c>
      <c r="AM36" s="374">
        <f ca="1">+IFERROR(ROUND(($AB36-AE36)*100,2)&amp;" pts.",0)</f>
        <v>0</v>
      </c>
      <c r="AN36" s="375">
        <f ca="1">+IFERROR(ROUND(($AB36-AH36)*100,2)&amp;" pts.",0)</f>
        <v>0</v>
      </c>
    </row>
    <row r="37" spans="1:40" x14ac:dyDescent="0.2">
      <c r="A37" s="1" t="s">
        <v>108</v>
      </c>
      <c r="C37" s="24" t="s">
        <v>101</v>
      </c>
      <c r="D37" s="1" t="s">
        <v>106</v>
      </c>
      <c r="F37" s="1" t="s">
        <v>98</v>
      </c>
      <c r="H37" s="10" t="s">
        <v>75</v>
      </c>
      <c r="I37" s="26" t="e">
        <f ca="1">_xll.EVPRO($B$1,$H37,"STYLE")</f>
        <v>#NAME?</v>
      </c>
      <c r="J37" s="26" t="e">
        <f ca="1">_xll.EVPRO($B$1,$H37,"CALC")</f>
        <v>#NAME?</v>
      </c>
      <c r="K37" s="65" t="e">
        <f ca="1">IF(AND(I37&gt;="T3"),"&gt;","")</f>
        <v>#NAME?</v>
      </c>
      <c r="L37" s="23" t="e">
        <f ca="1">_xll.EVPRO($B$1,H37,"JDEID")</f>
        <v>#NAME?</v>
      </c>
      <c r="M37" s="24" t="e">
        <f ca="1">IF(AND(I37="N",J37="N"),_xll.EVPRO($B$1,H37,"PSFTID"),"")</f>
        <v>#NAME?</v>
      </c>
      <c r="N37" s="23" t="e">
        <f ca="1">IF(_xll.EVDES(H37,$B$1)="#NODATA","",_xll.EVDES(H37,$B$1))</f>
        <v>#NAME?</v>
      </c>
      <c r="O37" s="35"/>
      <c r="P37" s="35"/>
      <c r="Q37" s="35"/>
      <c r="R37" s="35"/>
      <c r="S37" s="35"/>
      <c r="T37" s="35"/>
      <c r="U37" s="35"/>
      <c r="V37" s="35"/>
      <c r="W37" s="35"/>
      <c r="X37" s="35"/>
      <c r="Y37" s="35"/>
      <c r="Z37" s="35"/>
      <c r="AA37" s="19" t="e">
        <f ca="1">IF($I37="B1","",SUM(O37:Z37))</f>
        <v>#NAME?</v>
      </c>
      <c r="AB37" s="36" t="e">
        <f ca="1">IF(AA37=0,"",IFERROR(AA37/AA$19,""))</f>
        <v>#NAME?</v>
      </c>
      <c r="AD37" s="19"/>
      <c r="AE37" s="15" t="str">
        <f>IF(AD37=0,"",IFERROR(AD37/AD$19,""))</f>
        <v/>
      </c>
      <c r="AF37" s="47" t="e">
        <f ca="1">IF(AND($AA37="",AD37=""),"",$AA37-AD37)</f>
        <v>#NAME?</v>
      </c>
      <c r="AG37" s="19"/>
      <c r="AH37" s="15" t="str">
        <f>IF(AG37=0,"",IFERROR(AG37/AG$19,""))</f>
        <v/>
      </c>
      <c r="AI37" s="47" t="e">
        <f ca="1">IF(AND($AA37="",AG37=""),"",$AA37-AG37)</f>
        <v>#NAME?</v>
      </c>
      <c r="AJ37" s="371">
        <f ca="1">IFERROR(AA37/AA$20,0)</f>
        <v>0</v>
      </c>
      <c r="AK37" s="372">
        <f ca="1">IFERROR(AD37/AD$20,0)</f>
        <v>0</v>
      </c>
      <c r="AL37" s="373">
        <f ca="1">IFERROR(AG37/AG$20,0)</f>
        <v>0</v>
      </c>
      <c r="AM37" s="374">
        <f ca="1">+IFERROR(ROUND(($AB37-AE37)*100,2)&amp;" pts.",0)</f>
        <v>0</v>
      </c>
      <c r="AN37" s="375">
        <f ca="1">+IFERROR(ROUND(($AB37-AH37)*100,2)&amp;" pts.",0)</f>
        <v>0</v>
      </c>
    </row>
    <row r="38" spans="1:40" hidden="1" x14ac:dyDescent="0.2">
      <c r="A38" s="1" t="s">
        <v>100</v>
      </c>
      <c r="C38" s="8" t="s">
        <v>101</v>
      </c>
      <c r="D38" s="1" t="s">
        <v>106</v>
      </c>
      <c r="F38" s="1" t="s">
        <v>98</v>
      </c>
      <c r="H38" s="10" t="s">
        <v>667</v>
      </c>
      <c r="I38" s="25" t="e">
        <f ca="1">_xll.EVPRO($B$1,$H38,"STYLE")</f>
        <v>#NAME?</v>
      </c>
      <c r="J38" s="25" t="e">
        <f ca="1">_xll.EVPRO($B$1,$H38,"CALC")</f>
        <v>#NAME?</v>
      </c>
      <c r="K38" s="64" t="e">
        <f ca="1">IF(AND(I38&gt;="T3"),"&gt;","")</f>
        <v>#NAME?</v>
      </c>
      <c r="L38" s="24" t="e">
        <f ca="1">_xll.EVPRO($B$1,H38,"JDEID")</f>
        <v>#NAME?</v>
      </c>
      <c r="M38" s="24" t="e">
        <f ca="1">IF(AND(I38="N",J38="N"),_xll.EVPRO($B$1,H38,"PSFTID"),"")</f>
        <v>#NAME?</v>
      </c>
      <c r="N38" s="24" t="e">
        <f ca="1">IF(_xll.EVDES(H38,$B$1)="#NODATA","",_xll.EVDES(H38,$B$1))</f>
        <v>#NAME?</v>
      </c>
      <c r="O38" s="44"/>
      <c r="P38" s="44"/>
      <c r="Q38" s="44"/>
      <c r="R38" s="44"/>
      <c r="S38" s="44"/>
      <c r="T38" s="44"/>
      <c r="U38" s="44"/>
      <c r="V38" s="44"/>
      <c r="W38" s="44"/>
      <c r="X38" s="44"/>
      <c r="Y38" s="44"/>
      <c r="Z38" s="44"/>
      <c r="AA38" s="28" t="e">
        <f ca="1">IF($I38="B1","",SUM(O38:Z38))</f>
        <v>#NAME?</v>
      </c>
      <c r="AB38" s="45" t="e">
        <f ca="1">IF(AA38=0,"",IFERROR(AA38/AA$19,""))</f>
        <v>#NAME?</v>
      </c>
      <c r="AD38" s="28"/>
      <c r="AE38" s="29" t="str">
        <f>IF(AD38=0,"",IFERROR(AD38/AD$19,""))</f>
        <v/>
      </c>
      <c r="AF38" s="48" t="e">
        <f ca="1">IF(AND($AA38="",AD38=""),"",$AA38-AD38)</f>
        <v>#NAME?</v>
      </c>
      <c r="AG38" s="28"/>
      <c r="AH38" s="29" t="str">
        <f>IF(AG38=0,"",IFERROR(AG38/AG$19,""))</f>
        <v/>
      </c>
      <c r="AI38" s="48" t="e">
        <f ca="1">IF(AND($AA38="",AG38=""),"",$AA38-AG38)</f>
        <v>#NAME?</v>
      </c>
      <c r="AJ38" s="381">
        <f ca="1">IFERROR(AA38/AA$20,0)</f>
        <v>0</v>
      </c>
      <c r="AK38" s="382">
        <f ca="1">IFERROR(AD38/AD$20,0)</f>
        <v>0</v>
      </c>
      <c r="AL38" s="383">
        <f ca="1">IFERROR(AG38/AG$20,0)</f>
        <v>0</v>
      </c>
      <c r="AM38" s="384">
        <f ca="1">+IFERROR(ROUND(($AB38-AE38)*100,2)&amp;" pts.",0)</f>
        <v>0</v>
      </c>
      <c r="AN38" s="385">
        <f ca="1">+IFERROR(ROUND(($AB38-AH38)*100,2)&amp;" pts.",0)</f>
        <v>0</v>
      </c>
    </row>
    <row r="39" spans="1:40" hidden="1" x14ac:dyDescent="0.2">
      <c r="A39" s="1" t="s">
        <v>109</v>
      </c>
      <c r="C39" s="23" t="s">
        <v>101</v>
      </c>
      <c r="D39" s="1" t="s">
        <v>106</v>
      </c>
      <c r="F39" s="1" t="s">
        <v>98</v>
      </c>
      <c r="H39" s="10"/>
      <c r="I39" s="25" t="e">
        <f ca="1">_xll.EVPRO($B$1,$H39,"STYLE")</f>
        <v>#NAME?</v>
      </c>
      <c r="J39" s="25" t="e">
        <f ca="1">_xll.EVPRO($B$1,$H39,"CALC")</f>
        <v>#NAME?</v>
      </c>
      <c r="K39" s="64" t="e">
        <f ca="1">IF(AND(I39&gt;="T3"),"&gt;","")</f>
        <v>#NAME?</v>
      </c>
      <c r="L39" s="24" t="e">
        <f ca="1">_xll.EVPRO($B$1,H39,"JDEID")</f>
        <v>#NAME?</v>
      </c>
      <c r="M39" s="24" t="e">
        <f ca="1">IF(AND(I39="N",J39="N"),_xll.EVPRO($B$1,H39,"PSFTID"),"")</f>
        <v>#NAME?</v>
      </c>
      <c r="N39" s="24" t="e">
        <f ca="1">IF(_xll.EVDES(H39,$B$1)="#NODATA","",_xll.EVDES(H39,$B$1))</f>
        <v>#NAME?</v>
      </c>
      <c r="O39" s="44"/>
      <c r="P39" s="44"/>
      <c r="Q39" s="44"/>
      <c r="R39" s="44"/>
      <c r="S39" s="44"/>
      <c r="T39" s="44"/>
      <c r="U39" s="44"/>
      <c r="V39" s="44"/>
      <c r="W39" s="44"/>
      <c r="X39" s="44"/>
      <c r="Y39" s="44"/>
      <c r="Z39" s="44"/>
      <c r="AA39" s="28" t="e">
        <f ca="1">IF($I39="B1","",SUM(O39:Z39))</f>
        <v>#NAME?</v>
      </c>
      <c r="AB39" s="45" t="e">
        <f ca="1">IF(AA39=0,"",IFERROR(AA39/AA$19,""))</f>
        <v>#NAME?</v>
      </c>
      <c r="AD39" s="28"/>
      <c r="AE39" s="29" t="str">
        <f>IF(AD39=0,"",IFERROR(AD39/AD$19,""))</f>
        <v/>
      </c>
      <c r="AF39" s="48" t="e">
        <f ca="1">IF(AND($AA39="",AD39=""),"",$AA39-AD39)</f>
        <v>#NAME?</v>
      </c>
      <c r="AG39" s="28"/>
      <c r="AH39" s="29" t="str">
        <f>IF(AG39=0,"",IFERROR(AG39/AG$19,""))</f>
        <v/>
      </c>
      <c r="AI39" s="48" t="e">
        <f ca="1">IF(AND($AA39="",AG39=""),"",$AA39-AG39)</f>
        <v>#NAME?</v>
      </c>
      <c r="AJ39" s="381">
        <f ca="1">IFERROR(AA39/AA$20,0)</f>
        <v>0</v>
      </c>
      <c r="AK39" s="382">
        <f ca="1">IFERROR(AD39/AD$20,0)</f>
        <v>0</v>
      </c>
      <c r="AL39" s="383">
        <f ca="1">IFERROR(AG39/AG$20,0)</f>
        <v>0</v>
      </c>
      <c r="AM39" s="384">
        <f ca="1">+IFERROR(ROUND(($AB39-AE39)*100,2)&amp;" pts.",0)</f>
        <v>0</v>
      </c>
      <c r="AN39" s="385">
        <f ca="1">+IFERROR(ROUND(($AB39-AH39)*100,2)&amp;" pts.",0)</f>
        <v>0</v>
      </c>
    </row>
    <row r="40" spans="1:40" x14ac:dyDescent="0.2">
      <c r="A40" s="1" t="s">
        <v>109</v>
      </c>
      <c r="C40" s="135" t="s">
        <v>101</v>
      </c>
      <c r="D40" s="1" t="s">
        <v>107</v>
      </c>
      <c r="F40" s="1" t="s">
        <v>99</v>
      </c>
      <c r="H40" s="23"/>
      <c r="I40" s="23"/>
      <c r="J40" s="23"/>
      <c r="K40" s="23"/>
      <c r="L40" s="23"/>
      <c r="M40" s="23"/>
      <c r="N40" s="23"/>
      <c r="O40" s="38"/>
      <c r="P40" s="42"/>
      <c r="Q40" s="42"/>
      <c r="R40" s="42"/>
      <c r="S40" s="42"/>
      <c r="T40" s="42"/>
      <c r="U40" s="42"/>
      <c r="V40" s="42"/>
      <c r="W40" s="42"/>
      <c r="X40" s="42"/>
      <c r="Y40" s="42"/>
      <c r="Z40" s="42"/>
      <c r="AA40" s="42"/>
      <c r="AB40" s="39"/>
      <c r="AD40" s="38"/>
      <c r="AE40" s="42"/>
      <c r="AF40" s="39"/>
      <c r="AG40" s="38"/>
      <c r="AH40" s="42"/>
      <c r="AI40" s="39"/>
    </row>
    <row r="41" spans="1:40" x14ac:dyDescent="0.2">
      <c r="A41" s="1" t="s">
        <v>110</v>
      </c>
      <c r="C41" s="23" t="s">
        <v>101</v>
      </c>
      <c r="D41" s="1" t="s">
        <v>106</v>
      </c>
      <c r="F41" s="1" t="s">
        <v>98</v>
      </c>
      <c r="H41" s="1" t="s">
        <v>82</v>
      </c>
      <c r="I41" s="11" t="e">
        <f ca="1">_xll.EVPRO($B$1,$H41,"STYLE")</f>
        <v>#NAME?</v>
      </c>
      <c r="J41" s="11" t="e">
        <f ca="1">_xll.EVPRO($B$1,$H41,"CALC")</f>
        <v>#NAME?</v>
      </c>
      <c r="L41" s="1"/>
      <c r="M41" s="1"/>
      <c r="N41" s="37" t="e">
        <f ca="1">IF(_xll.EVDES(H41,$B$1)="#NODATA","",_xll.EVDES(H41,$B$1))</f>
        <v>#NAME?</v>
      </c>
      <c r="O41" s="40"/>
      <c r="P41" s="43"/>
      <c r="Q41" s="43"/>
      <c r="R41" s="43"/>
      <c r="S41" s="43"/>
      <c r="T41" s="43"/>
      <c r="U41" s="43"/>
      <c r="V41" s="43"/>
      <c r="W41" s="43"/>
      <c r="X41" s="43"/>
      <c r="Y41" s="43"/>
      <c r="Z41" s="43"/>
      <c r="AA41" s="43"/>
      <c r="AB41" s="41"/>
      <c r="AD41" s="40"/>
      <c r="AE41" s="43"/>
      <c r="AF41" s="41"/>
      <c r="AG41" s="40"/>
      <c r="AH41" s="43"/>
      <c r="AI41" s="41"/>
    </row>
    <row r="42" spans="1:40" hidden="1" x14ac:dyDescent="0.2">
      <c r="A42" s="1" t="s">
        <v>110</v>
      </c>
      <c r="C42" s="27" t="s">
        <v>101</v>
      </c>
      <c r="D42" s="1" t="s">
        <v>107</v>
      </c>
      <c r="F42" s="1" t="s">
        <v>99</v>
      </c>
      <c r="H42" s="10" t="s">
        <v>667</v>
      </c>
      <c r="I42" s="25" t="e">
        <f ca="1">_xll.EVPRO($B$1,$H42,"STYLE")</f>
        <v>#NAME?</v>
      </c>
      <c r="J42" s="25" t="e">
        <f ca="1">_xll.EVPRO($B$1,$H42,"CALC")</f>
        <v>#NAME?</v>
      </c>
      <c r="K42" s="64" t="e">
        <f ca="1">IF(AND(I42&gt;="T3"),"&gt;","")</f>
        <v>#NAME?</v>
      </c>
      <c r="L42" s="24" t="e">
        <f ca="1">_xll.EVPRO($B$1,H42,"JDEID")</f>
        <v>#NAME?</v>
      </c>
      <c r="M42" s="24" t="e">
        <f ca="1">IF(AND(I42="N",J42="N"),_xll.EVPRO($B$1,H42,"PSFTID"),"")</f>
        <v>#NAME?</v>
      </c>
      <c r="N42" s="24" t="e">
        <f ca="1">IF(_xll.EVDES(H42,$B$1)="#NODATA","",_xll.EVDES(H42,$B$1))</f>
        <v>#NAME?</v>
      </c>
      <c r="O42" s="19"/>
      <c r="P42" s="19"/>
      <c r="Q42" s="19"/>
      <c r="R42" s="19"/>
      <c r="S42" s="19"/>
      <c r="T42" s="19"/>
      <c r="U42" s="19"/>
      <c r="V42" s="19"/>
      <c r="W42" s="19"/>
      <c r="X42" s="19"/>
      <c r="Y42" s="19"/>
      <c r="Z42" s="19"/>
      <c r="AA42" s="19" t="e">
        <f ca="1">IF($I42="B1","",SUM(O42:Z42))</f>
        <v>#NAME?</v>
      </c>
      <c r="AB42" s="15" t="e">
        <f ca="1">IF(AA42=0,"",IFERROR(AA42/AA$19,""))</f>
        <v>#NAME?</v>
      </c>
      <c r="AD42" s="19"/>
      <c r="AE42" s="15" t="str">
        <f>IF(AD42=0,"",IFERROR(AD42/AD$19,""))</f>
        <v/>
      </c>
      <c r="AF42" s="47" t="e">
        <f ca="1">IF(AND($AA42="",AD42=""),"",$AA42-AD42)</f>
        <v>#NAME?</v>
      </c>
      <c r="AG42" s="19"/>
      <c r="AH42" s="15" t="str">
        <f>IF(AG42=0,"",IFERROR(AG42/AG$19,""))</f>
        <v/>
      </c>
      <c r="AI42" s="47" t="e">
        <f ca="1">IF(AND($AA42="",AG42=""),"",$AA42-AG42)</f>
        <v>#NAME?</v>
      </c>
      <c r="AJ42" s="371">
        <f ca="1">IFERROR(AA42/AA$20,0)</f>
        <v>0</v>
      </c>
      <c r="AK42" s="372">
        <f ca="1">IFERROR(AD42/AD$20,0)</f>
        <v>0</v>
      </c>
      <c r="AL42" s="373">
        <f ca="1">IFERROR(AG42/AG$20,0)</f>
        <v>0</v>
      </c>
      <c r="AM42" s="374">
        <f ca="1">+IFERROR(ROUND(($AB42-AE42)*100,2)&amp;" pts.",0)</f>
        <v>0</v>
      </c>
      <c r="AN42" s="375">
        <f ca="1">+IFERROR(ROUND(($AB42-AH42)*100,2)&amp;" pts.",0)</f>
        <v>0</v>
      </c>
    </row>
    <row r="43" spans="1:40" hidden="1" x14ac:dyDescent="0.2">
      <c r="C43" s="23"/>
      <c r="H43" s="10"/>
      <c r="I43" s="25" t="e">
        <f ca="1">_xll.EVPRO($B$1,$H43,"STYLE")</f>
        <v>#NAME?</v>
      </c>
      <c r="J43" s="25" t="e">
        <f ca="1">_xll.EVPRO($B$1,$H43,"CALC")</f>
        <v>#NAME?</v>
      </c>
      <c r="K43" s="64" t="e">
        <f ca="1">IF(AND(I43&gt;="T3"),"&gt;","")</f>
        <v>#NAME?</v>
      </c>
      <c r="L43" s="24" t="e">
        <f ca="1">_xll.EVPRO($B$1,H43,"JDEID")</f>
        <v>#NAME?</v>
      </c>
      <c r="M43" s="24" t="e">
        <f ca="1">IF(AND(I43="N",J43="N"),_xll.EVPRO($B$1,H43,"PSFTID"),"")</f>
        <v>#NAME?</v>
      </c>
      <c r="N43" s="24" t="e">
        <f ca="1">IF(_xll.EVDES(H43,$B$1)="#NODATA","",_xll.EVDES(H43,$B$1))</f>
        <v>#NAME?</v>
      </c>
      <c r="O43" s="19"/>
      <c r="P43" s="19"/>
      <c r="Q43" s="19"/>
      <c r="R43" s="19"/>
      <c r="S43" s="19"/>
      <c r="T43" s="19"/>
      <c r="U43" s="19"/>
      <c r="V43" s="19"/>
      <c r="W43" s="19"/>
      <c r="X43" s="19"/>
      <c r="Y43" s="19"/>
      <c r="Z43" s="19"/>
      <c r="AA43" s="19" t="e">
        <f ca="1">IF($I43="B1","",SUM(O43:Z43))</f>
        <v>#NAME?</v>
      </c>
      <c r="AB43" s="15" t="e">
        <f ca="1">IF(AA43=0,"",IFERROR(AA43/AA$19,""))</f>
        <v>#NAME?</v>
      </c>
      <c r="AD43" s="19"/>
      <c r="AE43" s="15" t="str">
        <f>IF(AD43=0,"",IFERROR(AD43/AD$19,""))</f>
        <v/>
      </c>
      <c r="AF43" s="47" t="e">
        <f ca="1">IF(AND($AA43="",AD43=""),"",$AA43-AD43)</f>
        <v>#NAME?</v>
      </c>
      <c r="AG43" s="19"/>
      <c r="AH43" s="15" t="str">
        <f>IF(AG43=0,"",IFERROR(AG43/AG$19,""))</f>
        <v/>
      </c>
      <c r="AI43" s="47" t="e">
        <f ca="1">IF(AND($AA43="",AG43=""),"",$AA43-AG43)</f>
        <v>#NAME?</v>
      </c>
      <c r="AJ43" s="371">
        <f ca="1">IFERROR(AA43/AA$20,0)</f>
        <v>0</v>
      </c>
      <c r="AK43" s="372">
        <f ca="1">IFERROR(AD43/AD$20,0)</f>
        <v>0</v>
      </c>
      <c r="AL43" s="373">
        <f ca="1">IFERROR(AG43/AG$20,0)</f>
        <v>0</v>
      </c>
      <c r="AM43" s="374">
        <f ca="1">+IFERROR(ROUND(($AB43-AE43)*100,2)&amp;" pts.",0)</f>
        <v>0</v>
      </c>
      <c r="AN43" s="375">
        <f ca="1">+IFERROR(ROUND(($AB43-AH43)*100,2)&amp;" pts.",0)</f>
        <v>0</v>
      </c>
    </row>
    <row r="44" spans="1:40" x14ac:dyDescent="0.2">
      <c r="C44" s="23"/>
      <c r="H44" s="10" t="s">
        <v>79</v>
      </c>
      <c r="I44" s="25" t="e">
        <f ca="1">_xll.EVPRO($B$1,$H44,"STYLE")</f>
        <v>#NAME?</v>
      </c>
      <c r="J44" s="25" t="e">
        <f ca="1">_xll.EVPRO($B$1,$H44,"CALC")</f>
        <v>#NAME?</v>
      </c>
      <c r="K44" s="24"/>
      <c r="N44" s="23" t="e">
        <f ca="1">IF(_xll.EVDES(H44,$B$1)="#NODATA","",_xll.EVDES(H44,$B$1))</f>
        <v>#NAME?</v>
      </c>
      <c r="O44" s="30">
        <f t="shared" ref="O44:Z44" si="0">SUM(O42:O43)</f>
        <v>0</v>
      </c>
      <c r="P44" s="30">
        <f t="shared" si="0"/>
        <v>0</v>
      </c>
      <c r="Q44" s="30">
        <f t="shared" si="0"/>
        <v>0</v>
      </c>
      <c r="R44" s="30">
        <f t="shared" si="0"/>
        <v>0</v>
      </c>
      <c r="S44" s="30">
        <f t="shared" si="0"/>
        <v>0</v>
      </c>
      <c r="T44" s="30">
        <f t="shared" si="0"/>
        <v>0</v>
      </c>
      <c r="U44" s="30">
        <f t="shared" si="0"/>
        <v>0</v>
      </c>
      <c r="V44" s="30">
        <f t="shared" si="0"/>
        <v>0</v>
      </c>
      <c r="W44" s="30">
        <f t="shared" si="0"/>
        <v>0</v>
      </c>
      <c r="X44" s="30">
        <f t="shared" si="0"/>
        <v>0</v>
      </c>
      <c r="Y44" s="30">
        <f t="shared" si="0"/>
        <v>0</v>
      </c>
      <c r="Z44" s="30">
        <f t="shared" si="0"/>
        <v>0</v>
      </c>
      <c r="AA44" s="30" t="e">
        <f ca="1">IF($I44="B1","",SUM(O44:Z44))</f>
        <v>#NAME?</v>
      </c>
      <c r="AB44" s="31" t="e">
        <f ca="1">IF(AA44=0,"",IFERROR(AA44/AA$19,""))</f>
        <v>#NAME?</v>
      </c>
      <c r="AD44" s="30">
        <f>SUM(AD42:AD43)</f>
        <v>0</v>
      </c>
      <c r="AE44" s="31" t="str">
        <f>IF(AD44=0,"",IFERROR(AD44/AD$19,""))</f>
        <v/>
      </c>
      <c r="AF44" s="49" t="e">
        <f ca="1">IF(AND($AA44="",AD44=""),"",$AA44-AD44)</f>
        <v>#NAME?</v>
      </c>
      <c r="AG44" s="30">
        <f>SUM(AG42:AG43)</f>
        <v>0</v>
      </c>
      <c r="AH44" s="31" t="str">
        <f>IF(AG44=0,"",IFERROR(AG44/AG$19,""))</f>
        <v/>
      </c>
      <c r="AI44" s="49" t="e">
        <f ca="1">IF(AND($AA44="",AG44=""),"",$AA44-AG44)</f>
        <v>#NAME?</v>
      </c>
      <c r="AJ44" s="387">
        <f ca="1">IFERROR(AA44/AA$20,0)</f>
        <v>0</v>
      </c>
      <c r="AK44" s="388">
        <f ca="1">IFERROR(AD44/AD$20,0)</f>
        <v>0</v>
      </c>
      <c r="AL44" s="389">
        <f ca="1">IFERROR(AG44/AG$20,0)</f>
        <v>0</v>
      </c>
      <c r="AM44" s="390">
        <f ca="1">+IFERROR(ROUND(($AB44-AE44)*100,2)&amp;" pts.",0)</f>
        <v>0</v>
      </c>
      <c r="AN44" s="408">
        <f ca="1">+IFERROR(ROUND(($AB44-AH44)*100,2)&amp;" pts.",0)</f>
        <v>0</v>
      </c>
    </row>
    <row r="45" spans="1:40" x14ac:dyDescent="0.2">
      <c r="A45" s="4" t="e">
        <f ca="1">_xll.EVDRE($B$1,A48:B55)</f>
        <v>#NAME?</v>
      </c>
      <c r="B45" s="1" t="s">
        <v>740</v>
      </c>
      <c r="C45" s="23"/>
      <c r="O45" s="50"/>
      <c r="AB45" s="51"/>
      <c r="AD45" s="50"/>
      <c r="AF45" s="51"/>
      <c r="AG45" s="50"/>
      <c r="AI45" s="51"/>
    </row>
    <row r="46" spans="1:40" x14ac:dyDescent="0.2">
      <c r="C46" s="23"/>
      <c r="H46" s="10" t="s">
        <v>80</v>
      </c>
      <c r="I46" s="25" t="e">
        <f ca="1">_xll.EVPRO($B$1,$H46,"STYLE")</f>
        <v>#NAME?</v>
      </c>
      <c r="J46" s="25" t="e">
        <f ca="1">_xll.EVPRO($B$1,$H46,"CALC")</f>
        <v>#NAME?</v>
      </c>
      <c r="K46" s="23"/>
      <c r="N46" s="23" t="e">
        <f ca="1">IF(_xll.EVDES(H46,$B$1)="#NODATA","",_xll.EVDES(H46,$B$1))</f>
        <v>#NAME?</v>
      </c>
      <c r="O46" s="145">
        <f t="shared" ref="O46:Z46" si="1">SUMIF($H$33:$H$45,"600000",O$33:O$45)+SUMIF($H$33:$H$45,"700000",O$33:O$45)</f>
        <v>0</v>
      </c>
      <c r="P46" s="145">
        <f t="shared" si="1"/>
        <v>0</v>
      </c>
      <c r="Q46" s="145">
        <f t="shared" si="1"/>
        <v>0</v>
      </c>
      <c r="R46" s="145">
        <f t="shared" si="1"/>
        <v>0</v>
      </c>
      <c r="S46" s="145">
        <f t="shared" si="1"/>
        <v>0</v>
      </c>
      <c r="T46" s="145">
        <f t="shared" si="1"/>
        <v>0</v>
      </c>
      <c r="U46" s="145">
        <f t="shared" si="1"/>
        <v>0</v>
      </c>
      <c r="V46" s="145">
        <f t="shared" si="1"/>
        <v>0</v>
      </c>
      <c r="W46" s="145">
        <f t="shared" si="1"/>
        <v>0</v>
      </c>
      <c r="X46" s="145">
        <f t="shared" si="1"/>
        <v>0</v>
      </c>
      <c r="Y46" s="145">
        <f t="shared" si="1"/>
        <v>0</v>
      </c>
      <c r="Z46" s="145">
        <f t="shared" si="1"/>
        <v>0</v>
      </c>
      <c r="AA46" s="145" t="e">
        <f ca="1">IF($I46="B1","",SUM(O46:Z46))</f>
        <v>#NAME?</v>
      </c>
      <c r="AB46" s="156" t="e">
        <f ca="1">IF(AA46=0,"",IFERROR(AA46/AA$19,""))</f>
        <v>#NAME?</v>
      </c>
      <c r="AD46" s="145">
        <f>SUMIF($H$33:$H$45,"600000",AD$33:AD$45)+SUMIF($H$33:$H$45,"700000",AD$33:AD$45)</f>
        <v>0</v>
      </c>
      <c r="AE46" s="156" t="str">
        <f>IF(AD46=0,"",IFERROR(AD46/AD$19,""))</f>
        <v/>
      </c>
      <c r="AF46" s="146" t="e">
        <f ca="1">IF(AND($AA46="",AD46=""),"",$AA46-AD46)</f>
        <v>#NAME?</v>
      </c>
      <c r="AG46" s="145">
        <f>SUMIF($H$33:$H$45,"600000",AG$33:AG$45)+SUMIF($H$33:$H$45,"700000",AG$33:AG$45)</f>
        <v>0</v>
      </c>
      <c r="AH46" s="156" t="str">
        <f>IF(AG46=0,"",IFERROR(AG46/AG$19,""))</f>
        <v/>
      </c>
      <c r="AI46" s="146" t="e">
        <f ca="1">IF(AND($AA46="",AG46=""),"",$AA46-AG46)</f>
        <v>#NAME?</v>
      </c>
      <c r="AJ46" s="364">
        <f ca="1">IFERROR(AA46/AA$20,0)</f>
        <v>0</v>
      </c>
      <c r="AK46" s="365">
        <f ca="1">IFERROR(AD46/AD$20,0)</f>
        <v>0</v>
      </c>
      <c r="AL46" s="366">
        <f ca="1">IFERROR(AG46/AG$20,0)</f>
        <v>0</v>
      </c>
      <c r="AM46" s="367">
        <f ca="1">+IFERROR(ROUND(($AB46-AE46)*100,2)&amp;" pts.",0)</f>
        <v>0</v>
      </c>
      <c r="AN46" s="409">
        <f ca="1">+IFERROR(ROUND(($AB46-AH46)*100,2)&amp;" pts.",0)</f>
        <v>0</v>
      </c>
    </row>
    <row r="47" spans="1:40" x14ac:dyDescent="0.2">
      <c r="A47" s="3" t="s">
        <v>0</v>
      </c>
      <c r="B47" s="5" t="s">
        <v>1</v>
      </c>
      <c r="C47" s="23"/>
      <c r="I47" s="1"/>
      <c r="J47" s="1"/>
      <c r="L47" s="1"/>
      <c r="M47" s="1"/>
      <c r="O47" s="50"/>
      <c r="AB47" s="51"/>
      <c r="AD47" s="50"/>
      <c r="AF47" s="51"/>
      <c r="AG47" s="50"/>
      <c r="AI47" s="51"/>
    </row>
    <row r="48" spans="1:40" x14ac:dyDescent="0.2">
      <c r="A48" s="6" t="s">
        <v>2</v>
      </c>
      <c r="B48" s="7" t="e">
        <f ca="1">_xll.EVRNG($B$2:$B$10)</f>
        <v>#NAME?</v>
      </c>
      <c r="C48" s="23"/>
      <c r="I48" s="1"/>
      <c r="J48" s="1"/>
      <c r="L48" s="1"/>
      <c r="M48" s="1"/>
      <c r="N48" s="37" t="s">
        <v>596</v>
      </c>
      <c r="O48" s="40"/>
      <c r="P48" s="43"/>
      <c r="Q48" s="43"/>
      <c r="R48" s="43"/>
      <c r="S48" s="43"/>
      <c r="T48" s="43"/>
      <c r="U48" s="43"/>
      <c r="V48" s="43"/>
      <c r="W48" s="43"/>
      <c r="X48" s="43"/>
      <c r="Y48" s="43"/>
      <c r="Z48" s="43"/>
      <c r="AA48" s="43"/>
      <c r="AB48" s="41"/>
      <c r="AD48" s="40"/>
      <c r="AE48" s="43"/>
      <c r="AF48" s="41"/>
      <c r="AG48" s="40"/>
      <c r="AH48" s="43"/>
      <c r="AI48" s="41"/>
    </row>
    <row r="49" spans="1:40" x14ac:dyDescent="0.2">
      <c r="A49" s="6" t="s">
        <v>3</v>
      </c>
      <c r="B49" s="7" t="e">
        <f ca="1">_xll.EVRNG($O$16:$AN$18)</f>
        <v>#NAME?</v>
      </c>
      <c r="C49" s="23"/>
      <c r="H49" s="10" t="s">
        <v>592</v>
      </c>
      <c r="I49" s="25" t="e">
        <f ca="1">_xll.EVPRO($B$1,$H49,"STYLE")</f>
        <v>#NAME?</v>
      </c>
      <c r="J49" s="25" t="e">
        <f ca="1">_xll.EVPRO($B$1,$H49,"CALC")</f>
        <v>#NAME?</v>
      </c>
      <c r="K49" s="64" t="e">
        <f ca="1">IF(AND(I49&gt;="T3"),"&gt;","")</f>
        <v>#NAME?</v>
      </c>
      <c r="L49" s="24" t="e">
        <f ca="1">_xll.EVPRO($B$1,H49,"JDEID")</f>
        <v>#NAME?</v>
      </c>
      <c r="M49" s="24" t="e">
        <f ca="1">IF(AND(I49="N",J49="N"),_xll.EVPRO($B$1,H49,"PSFTID"),"")</f>
        <v>#NAME?</v>
      </c>
      <c r="N49" s="24" t="e">
        <f ca="1">IF(_xll.EVDES(H49,$B$1)="#NODATA","",_xll.EVDES(H49,$B$1))</f>
        <v>#NAME?</v>
      </c>
      <c r="O49" s="19"/>
      <c r="P49" s="19"/>
      <c r="Q49" s="19"/>
      <c r="R49" s="19"/>
      <c r="S49" s="19"/>
      <c r="T49" s="19"/>
      <c r="U49" s="19"/>
      <c r="V49" s="19"/>
      <c r="W49" s="19"/>
      <c r="X49" s="19"/>
      <c r="Y49" s="19"/>
      <c r="Z49" s="19"/>
      <c r="AA49" s="19" t="e">
        <f ca="1">IF($I49="B1","",SUM(O49:Z49))</f>
        <v>#NAME?</v>
      </c>
      <c r="AB49" s="15" t="e">
        <f ca="1">IF(AA49=0,"",IFERROR(AA49/AA$19,""))</f>
        <v>#NAME?</v>
      </c>
      <c r="AD49" s="19"/>
      <c r="AE49" s="15" t="str">
        <f>IF(AD49=0,"",IFERROR(AD49/AD$19,""))</f>
        <v/>
      </c>
      <c r="AF49" s="47" t="e">
        <f ca="1">IF(AND($AA49="",AD49=""),"",$AA49-AD49)</f>
        <v>#NAME?</v>
      </c>
      <c r="AG49" s="19"/>
      <c r="AH49" s="15" t="str">
        <f>IF(AG49=0,"",IFERROR(AG49/AG$19,""))</f>
        <v/>
      </c>
      <c r="AI49" s="47" t="e">
        <f ca="1">IF(AND($AA49="",AG49=""),"",$AA49-AG49)</f>
        <v>#NAME?</v>
      </c>
      <c r="AJ49" s="371">
        <f ca="1">IFERROR(AA49/AA$20,0)</f>
        <v>0</v>
      </c>
      <c r="AK49" s="372">
        <f ca="1">IFERROR(AD49/AD$20,0)</f>
        <v>0</v>
      </c>
      <c r="AL49" s="373">
        <f ca="1">IFERROR(AG49/AG$20,0)</f>
        <v>0</v>
      </c>
      <c r="AM49" s="374">
        <f ca="1">+IFERROR(ROUND(($AB49-AE49)*100,2)&amp;" pts.",0)</f>
        <v>0</v>
      </c>
      <c r="AN49" s="375">
        <f ca="1">+IFERROR(ROUND(($AB49-AH49)*100,2)&amp;" pts.",0)</f>
        <v>0</v>
      </c>
    </row>
    <row r="50" spans="1:40" x14ac:dyDescent="0.2">
      <c r="A50" s="6" t="s">
        <v>4</v>
      </c>
      <c r="B50" s="7" t="e">
        <f ca="1">_xll.EVRNG(H49:H50)</f>
        <v>#NAME?</v>
      </c>
      <c r="C50" s="23"/>
      <c r="H50" s="10" t="s">
        <v>593</v>
      </c>
      <c r="I50" s="25" t="e">
        <f ca="1">_xll.EVPRO($B$1,$H50,"STYLE")</f>
        <v>#NAME?</v>
      </c>
      <c r="J50" s="25" t="e">
        <f ca="1">_xll.EVPRO($B$1,$H50,"CALC")</f>
        <v>#NAME?</v>
      </c>
      <c r="L50" s="24" t="e">
        <f ca="1">_xll.EVPRO($B$1,H50,"JDEID")</f>
        <v>#NAME?</v>
      </c>
      <c r="M50" s="24" t="e">
        <f ca="1">IF(AND(I50="N",J50="N"),_xll.EVPRO($B$1,H50,"PSFTID"),"")</f>
        <v>#NAME?</v>
      </c>
      <c r="N50" s="24" t="e">
        <f ca="1">IF(_xll.EVDES(H50,$B$1)="#NODATA","",_xll.EVDES(H50,$B$1))</f>
        <v>#NAME?</v>
      </c>
      <c r="O50" s="19"/>
      <c r="P50" s="19"/>
      <c r="Q50" s="19"/>
      <c r="R50" s="19"/>
      <c r="S50" s="19"/>
      <c r="T50" s="19"/>
      <c r="U50" s="19"/>
      <c r="V50" s="19"/>
      <c r="W50" s="19"/>
      <c r="X50" s="19"/>
      <c r="Y50" s="19"/>
      <c r="Z50" s="19"/>
      <c r="AA50" s="19" t="e">
        <f ca="1">IF($I50="B1","",SUM(O50:Z50))</f>
        <v>#NAME?</v>
      </c>
      <c r="AB50" s="15" t="e">
        <f ca="1">IF(AA50=0,"",IFERROR(AA50/AA$19,""))</f>
        <v>#NAME?</v>
      </c>
      <c r="AD50" s="19"/>
      <c r="AE50" s="15" t="str">
        <f>IF(AD50=0,"",IFERROR(AD50/AD$19,""))</f>
        <v/>
      </c>
      <c r="AF50" s="47" t="e">
        <f ca="1">IF(AND($AA50="",AD50=""),"",$AA50-AD50)</f>
        <v>#NAME?</v>
      </c>
      <c r="AG50" s="19"/>
      <c r="AH50" s="15" t="str">
        <f>IF(AG50=0,"",IFERROR(AG50/AG$19,""))</f>
        <v/>
      </c>
      <c r="AI50" s="47" t="e">
        <f ca="1">IF(AND($AA50="",AG50=""),"",$AA50-AG50)</f>
        <v>#NAME?</v>
      </c>
      <c r="AJ50" s="381">
        <f ca="1">IFERROR(AA50/AA$20,0)</f>
        <v>0</v>
      </c>
      <c r="AK50" s="382">
        <f ca="1">IFERROR(AD50/AD$20,0)</f>
        <v>0</v>
      </c>
      <c r="AL50" s="383">
        <f ca="1">IFERROR(AG50/AG$20,0)</f>
        <v>0</v>
      </c>
      <c r="AM50" s="384">
        <f ca="1">+IFERROR(ROUND(($AB50-AE50)*100,2)&amp;" pts.",0)</f>
        <v>0</v>
      </c>
      <c r="AN50" s="385">
        <f ca="1">+IFERROR(ROUND(($AB50-AH50)*100,2)&amp;" pts.",0)</f>
        <v>0</v>
      </c>
    </row>
    <row r="51" spans="1:40" x14ac:dyDescent="0.2">
      <c r="A51" s="6" t="s">
        <v>5</v>
      </c>
      <c r="B51" s="7"/>
      <c r="C51" s="23"/>
      <c r="N51" s="23" t="s">
        <v>557</v>
      </c>
      <c r="O51" s="30">
        <f>SUM(O49:O50)</f>
        <v>0</v>
      </c>
      <c r="P51" s="30">
        <f t="shared" ref="P51:Z51" si="2">SUM(P49:P50)</f>
        <v>0</v>
      </c>
      <c r="Q51" s="30">
        <f t="shared" si="2"/>
        <v>0</v>
      </c>
      <c r="R51" s="30">
        <f t="shared" si="2"/>
        <v>0</v>
      </c>
      <c r="S51" s="30">
        <f t="shared" si="2"/>
        <v>0</v>
      </c>
      <c r="T51" s="30">
        <f t="shared" si="2"/>
        <v>0</v>
      </c>
      <c r="U51" s="30">
        <f t="shared" si="2"/>
        <v>0</v>
      </c>
      <c r="V51" s="30">
        <f t="shared" si="2"/>
        <v>0</v>
      </c>
      <c r="W51" s="30">
        <f t="shared" si="2"/>
        <v>0</v>
      </c>
      <c r="X51" s="30">
        <f t="shared" si="2"/>
        <v>0</v>
      </c>
      <c r="Y51" s="30">
        <f t="shared" si="2"/>
        <v>0</v>
      </c>
      <c r="Z51" s="30">
        <f t="shared" si="2"/>
        <v>0</v>
      </c>
      <c r="AA51" s="30">
        <f>IF($I51="B1","",SUM(O51:Z51))</f>
        <v>0</v>
      </c>
      <c r="AB51" s="31" t="str">
        <f>IF(AA51=0,"",IFERROR(AA51/AA$19,""))</f>
        <v/>
      </c>
      <c r="AD51" s="30">
        <f>SUM(AD49:AD50)</f>
        <v>0</v>
      </c>
      <c r="AE51" s="31" t="str">
        <f>IF(AD51=0,"",IFERROR(AD51/AD$19,""))</f>
        <v/>
      </c>
      <c r="AF51" s="49">
        <f>IF(AND($AA51="",AD51=""),"",$AA51-AD51)</f>
        <v>0</v>
      </c>
      <c r="AG51" s="30">
        <f>SUM(AG49:AG50)</f>
        <v>0</v>
      </c>
      <c r="AH51" s="31" t="str">
        <f>IF(AG51=0,"",IFERROR(AG51/AG$19,""))</f>
        <v/>
      </c>
      <c r="AI51" s="49">
        <f>IF(AND($AA51="",AG51=""),"",$AA51-AG51)</f>
        <v>0</v>
      </c>
      <c r="AJ51" s="387">
        <f ca="1">IFERROR(AA51/AA$20,0)</f>
        <v>0</v>
      </c>
      <c r="AK51" s="388">
        <f ca="1">IFERROR(AD51/AD$20,0)</f>
        <v>0</v>
      </c>
      <c r="AL51" s="389">
        <f ca="1">IFERROR(AG51/AG$20,0)</f>
        <v>0</v>
      </c>
      <c r="AM51" s="390">
        <f>+IFERROR(ROUND(($AB51-AE51)*100,2)&amp;" pts.",0)</f>
        <v>0</v>
      </c>
      <c r="AN51" s="408">
        <f>+IFERROR(ROUND(($AB51-AH51)*100,2)&amp;" pts.",0)</f>
        <v>0</v>
      </c>
    </row>
    <row r="52" spans="1:40" x14ac:dyDescent="0.2">
      <c r="A52" s="6" t="s">
        <v>6</v>
      </c>
      <c r="B52" s="7"/>
      <c r="C52" s="23"/>
      <c r="N52" s="23"/>
      <c r="O52" s="40"/>
      <c r="P52" s="43"/>
      <c r="Q52" s="43"/>
      <c r="R52" s="43"/>
      <c r="S52" s="43"/>
      <c r="T52" s="43"/>
      <c r="U52" s="43"/>
      <c r="V52" s="43"/>
      <c r="W52" s="43"/>
      <c r="X52" s="43"/>
      <c r="Y52" s="43"/>
      <c r="Z52" s="43"/>
      <c r="AA52" s="43"/>
      <c r="AB52" s="41"/>
      <c r="AD52" s="40"/>
      <c r="AE52" s="43"/>
      <c r="AF52" s="41"/>
      <c r="AG52" s="40"/>
      <c r="AH52" s="43"/>
      <c r="AI52" s="41"/>
    </row>
    <row r="53" spans="1:40" ht="16" thickBot="1" x14ac:dyDescent="0.25">
      <c r="A53" s="6" t="s">
        <v>7</v>
      </c>
      <c r="B53" s="7"/>
      <c r="C53" s="23"/>
      <c r="N53" s="23" t="s">
        <v>556</v>
      </c>
      <c r="O53" s="58">
        <f>O46+O51</f>
        <v>0</v>
      </c>
      <c r="P53" s="58">
        <f t="shared" ref="P53:Z53" si="3">P46+P51</f>
        <v>0</v>
      </c>
      <c r="Q53" s="58">
        <f t="shared" si="3"/>
        <v>0</v>
      </c>
      <c r="R53" s="58">
        <f t="shared" si="3"/>
        <v>0</v>
      </c>
      <c r="S53" s="58">
        <f t="shared" si="3"/>
        <v>0</v>
      </c>
      <c r="T53" s="58">
        <f t="shared" si="3"/>
        <v>0</v>
      </c>
      <c r="U53" s="58">
        <f t="shared" si="3"/>
        <v>0</v>
      </c>
      <c r="V53" s="58">
        <f t="shared" si="3"/>
        <v>0</v>
      </c>
      <c r="W53" s="58">
        <f t="shared" si="3"/>
        <v>0</v>
      </c>
      <c r="X53" s="58">
        <f t="shared" si="3"/>
        <v>0</v>
      </c>
      <c r="Y53" s="58">
        <f t="shared" si="3"/>
        <v>0</v>
      </c>
      <c r="Z53" s="58">
        <f t="shared" si="3"/>
        <v>0</v>
      </c>
      <c r="AA53" s="58">
        <f>IF($I53="B1","",SUM(O53:Z53))</f>
        <v>0</v>
      </c>
      <c r="AB53" s="59" t="str">
        <f>IF(AA53=0,"",IFERROR(AA53/AA$19,""))</f>
        <v/>
      </c>
      <c r="AD53" s="58">
        <f>AD46+AD51</f>
        <v>0</v>
      </c>
      <c r="AE53" s="59" t="str">
        <f>IF(AD53=0,"",IFERROR(AD53/AD$19,""))</f>
        <v/>
      </c>
      <c r="AF53" s="60">
        <f>IF(AND($AA53="",AD53=""),"",$AA53-AD53)</f>
        <v>0</v>
      </c>
      <c r="AG53" s="58">
        <f>AG46+AG51</f>
        <v>0</v>
      </c>
      <c r="AH53" s="59" t="str">
        <f>IF(AG53=0,"",IFERROR(AG53/AG$19,""))</f>
        <v/>
      </c>
      <c r="AI53" s="60">
        <f>IF(AND($AA53="",AG53=""),"",$AA53-AG53)</f>
        <v>0</v>
      </c>
      <c r="AJ53" s="402">
        <f ca="1">IFERROR(AA53/AA$20,0)</f>
        <v>0</v>
      </c>
      <c r="AK53" s="403">
        <f ca="1">IFERROR(AD53/AD$20,0)</f>
        <v>0</v>
      </c>
      <c r="AL53" s="404">
        <f ca="1">IFERROR(AG53/AG$20,0)</f>
        <v>0</v>
      </c>
      <c r="AM53" s="405">
        <f>+IFERROR(ROUND(($AB53-AE53)*100,2)&amp;" pts.",0)</f>
        <v>0</v>
      </c>
      <c r="AN53" s="410">
        <f>+IFERROR(ROUND(($AB53-AH53)*100,2)&amp;" pts.",0)</f>
        <v>0</v>
      </c>
    </row>
    <row r="54" spans="1:40" ht="16" thickTop="1" x14ac:dyDescent="0.2">
      <c r="A54" s="6" t="s">
        <v>47</v>
      </c>
      <c r="B54" s="7" t="e">
        <f ca="1">_xll.EVRNG($A$81:$B$102)</f>
        <v>#NAME?</v>
      </c>
      <c r="C54" s="23"/>
      <c r="O54" s="38"/>
      <c r="P54" s="42"/>
      <c r="Q54" s="42"/>
      <c r="R54" s="42"/>
      <c r="S54" s="42"/>
      <c r="T54" s="42"/>
      <c r="U54" s="42"/>
      <c r="V54" s="42"/>
      <c r="W54" s="42"/>
      <c r="X54" s="42"/>
      <c r="Y54" s="42"/>
      <c r="Z54" s="42"/>
      <c r="AA54" s="42"/>
      <c r="AB54" s="39"/>
      <c r="AD54" s="38"/>
      <c r="AE54" s="42"/>
      <c r="AF54" s="39"/>
      <c r="AG54" s="38"/>
      <c r="AH54" s="42"/>
      <c r="AI54" s="39"/>
    </row>
    <row r="55" spans="1:40" x14ac:dyDescent="0.2">
      <c r="A55" s="6" t="s">
        <v>8</v>
      </c>
      <c r="B55" s="7"/>
      <c r="C55" s="23"/>
      <c r="N55" s="37" t="s">
        <v>595</v>
      </c>
      <c r="O55" s="40"/>
      <c r="P55" s="43"/>
      <c r="Q55" s="43"/>
      <c r="R55" s="43"/>
      <c r="S55" s="43"/>
      <c r="T55" s="43"/>
      <c r="U55" s="43"/>
      <c r="V55" s="43"/>
      <c r="W55" s="43"/>
      <c r="X55" s="43"/>
      <c r="Y55" s="43"/>
      <c r="Z55" s="43"/>
      <c r="AA55" s="43"/>
      <c r="AB55" s="41"/>
      <c r="AD55" s="40"/>
      <c r="AE55" s="43"/>
      <c r="AF55" s="41"/>
      <c r="AG55" s="40"/>
      <c r="AH55" s="43"/>
      <c r="AI55" s="41"/>
    </row>
    <row r="56" spans="1:40" hidden="1" x14ac:dyDescent="0.2">
      <c r="C56" s="23"/>
      <c r="H56" s="133" t="s">
        <v>667</v>
      </c>
      <c r="I56" s="25" t="e">
        <f ca="1">_xll.EVPRO($B$1,$H56,"STYLE")</f>
        <v>#NAME?</v>
      </c>
      <c r="J56" s="25" t="e">
        <f ca="1">_xll.EVPRO($B$1,$H56,"CALC")</f>
        <v>#NAME?</v>
      </c>
      <c r="K56" s="24"/>
      <c r="L56" s="24"/>
      <c r="M56" s="24"/>
      <c r="N56" s="24" t="e">
        <f ca="1">IF(_xll.EVDES(H56,$B$1)="#NODATA","",_xll.EVDES(H56,$B$1))</f>
        <v>#NAME?</v>
      </c>
      <c r="O56" s="19"/>
      <c r="P56" s="19"/>
      <c r="Q56" s="19"/>
      <c r="R56" s="19"/>
      <c r="S56" s="19"/>
      <c r="T56" s="19"/>
      <c r="U56" s="19"/>
      <c r="V56" s="19"/>
      <c r="W56" s="19"/>
      <c r="X56" s="19"/>
      <c r="Y56" s="19"/>
      <c r="Z56" s="19"/>
      <c r="AA56" s="19" t="e">
        <f ca="1">IF($I56="B1","",SUM(O56:Z56))</f>
        <v>#NAME?</v>
      </c>
      <c r="AB56" s="15" t="e">
        <f ca="1">IF(AA56=0,"",IFERROR(AA56/AA$19,""))</f>
        <v>#NAME?</v>
      </c>
      <c r="AD56" s="19"/>
      <c r="AE56" s="15" t="str">
        <f>IF(AD56=0,"",IFERROR(AD56/AD$19,""))</f>
        <v/>
      </c>
      <c r="AF56" s="47" t="e">
        <f ca="1">IF(AND($AA56="",AD56=""),"",$AA56-AD56)</f>
        <v>#NAME?</v>
      </c>
      <c r="AG56" s="19"/>
      <c r="AH56" s="15" t="str">
        <f>IF(AG56=0,"",IFERROR(AG56/AG$19,""))</f>
        <v/>
      </c>
      <c r="AI56" s="47" t="e">
        <f ca="1">IF(AND($AA56="",AG56=""),"",$AA56-AG56)</f>
        <v>#NAME?</v>
      </c>
      <c r="AJ56" s="371">
        <f ca="1">IFERROR(AA56/AA$20,0)</f>
        <v>0</v>
      </c>
      <c r="AK56" s="372">
        <f ca="1">IFERROR(AD56/AD$20,0)</f>
        <v>0</v>
      </c>
      <c r="AL56" s="373">
        <f ca="1">IFERROR(AG56/AG$20,0)</f>
        <v>0</v>
      </c>
      <c r="AM56" s="374">
        <f ca="1">+IFERROR(ROUND(($AB56-AE56)*100,2)&amp;" pts.",0)</f>
        <v>0</v>
      </c>
      <c r="AN56" s="375">
        <f ca="1">+IFERROR(ROUND(($AB56-AH56)*100,2)&amp;" pts.",0)</f>
        <v>0</v>
      </c>
    </row>
    <row r="57" spans="1:40" hidden="1" x14ac:dyDescent="0.2">
      <c r="C57" s="23"/>
      <c r="H57" s="133"/>
      <c r="I57" s="25" t="e">
        <f ca="1">_xll.EVPRO($B$1,$H57,"STYLE")</f>
        <v>#NAME?</v>
      </c>
      <c r="J57" s="25" t="e">
        <f ca="1">_xll.EVPRO($B$1,$H57,"CALC")</f>
        <v>#NAME?</v>
      </c>
      <c r="K57" s="24"/>
      <c r="L57" s="24"/>
      <c r="M57" s="24"/>
      <c r="N57" s="24" t="e">
        <f ca="1">IF(_xll.EVDES(H57,$B$1)="#NODATA","",_xll.EVDES(H57,$B$1))</f>
        <v>#NAME?</v>
      </c>
      <c r="O57" s="19"/>
      <c r="P57" s="19"/>
      <c r="Q57" s="19"/>
      <c r="R57" s="19"/>
      <c r="S57" s="19"/>
      <c r="T57" s="19"/>
      <c r="U57" s="19"/>
      <c r="V57" s="19"/>
      <c r="W57" s="19"/>
      <c r="X57" s="19"/>
      <c r="Y57" s="19"/>
      <c r="Z57" s="19"/>
      <c r="AA57" s="19" t="e">
        <f ca="1">IF($I57="B1","",SUM(O57:Z57))</f>
        <v>#NAME?</v>
      </c>
      <c r="AB57" s="15" t="e">
        <f ca="1">IF(AA57=0,"",IFERROR(AA57/AA$19,""))</f>
        <v>#NAME?</v>
      </c>
      <c r="AD57" s="19"/>
      <c r="AE57" s="15" t="str">
        <f>IF(AD57=0,"",IFERROR(AD57/AD$19,""))</f>
        <v/>
      </c>
      <c r="AF57" s="47" t="e">
        <f ca="1">IF(AND($AA57="",AD57=""),"",$AA57-AD57)</f>
        <v>#NAME?</v>
      </c>
      <c r="AG57" s="19"/>
      <c r="AH57" s="15" t="str">
        <f>IF(AG57=0,"",IFERROR(AG57/AG$19,""))</f>
        <v/>
      </c>
      <c r="AI57" s="47" t="e">
        <f ca="1">IF(AND($AA57="",AG57=""),"",$AA57-AG57)</f>
        <v>#NAME?</v>
      </c>
      <c r="AJ57" s="371">
        <f ca="1">IFERROR(AA57/AA$20,0)</f>
        <v>0</v>
      </c>
      <c r="AK57" s="372">
        <f ca="1">IFERROR(AD57/AD$20,0)</f>
        <v>0</v>
      </c>
      <c r="AL57" s="373">
        <f ca="1">IFERROR(AG57/AG$20,0)</f>
        <v>0</v>
      </c>
      <c r="AM57" s="374">
        <f ca="1">+IFERROR(ROUND(($AB57-AE57)*100,2)&amp;" pts.",0)</f>
        <v>0</v>
      </c>
      <c r="AN57" s="375">
        <f ca="1">+IFERROR(ROUND(($AB57-AH57)*100,2)&amp;" pts.",0)</f>
        <v>0</v>
      </c>
    </row>
    <row r="58" spans="1:40" x14ac:dyDescent="0.2">
      <c r="A58" s="4" t="e">
        <f ca="1">_xll.EVDRE($B$1,A61:B68,A71:B77)</f>
        <v>#NAME?</v>
      </c>
      <c r="H58" s="11"/>
      <c r="J58" s="1"/>
      <c r="N58" s="23" t="s">
        <v>555</v>
      </c>
      <c r="O58" s="30">
        <f t="shared" ref="O58:Z58" si="4">SUM(O56:O57)</f>
        <v>0</v>
      </c>
      <c r="P58" s="30">
        <f t="shared" si="4"/>
        <v>0</v>
      </c>
      <c r="Q58" s="30">
        <f t="shared" si="4"/>
        <v>0</v>
      </c>
      <c r="R58" s="30">
        <f t="shared" si="4"/>
        <v>0</v>
      </c>
      <c r="S58" s="30">
        <f t="shared" si="4"/>
        <v>0</v>
      </c>
      <c r="T58" s="30">
        <f t="shared" si="4"/>
        <v>0</v>
      </c>
      <c r="U58" s="30">
        <f t="shared" si="4"/>
        <v>0</v>
      </c>
      <c r="V58" s="30">
        <f t="shared" si="4"/>
        <v>0</v>
      </c>
      <c r="W58" s="30">
        <f t="shared" si="4"/>
        <v>0</v>
      </c>
      <c r="X58" s="30">
        <f t="shared" si="4"/>
        <v>0</v>
      </c>
      <c r="Y58" s="30">
        <f t="shared" si="4"/>
        <v>0</v>
      </c>
      <c r="Z58" s="30">
        <f t="shared" si="4"/>
        <v>0</v>
      </c>
      <c r="AA58" s="30">
        <f>IF($I58="B1","",SUM(O58:Z58))</f>
        <v>0</v>
      </c>
      <c r="AB58" s="31" t="str">
        <f>IF(AA58=0,"",IFERROR(AA58/AA$19,""))</f>
        <v/>
      </c>
      <c r="AD58" s="30">
        <f>SUM(AD56:AD57)</f>
        <v>0</v>
      </c>
      <c r="AE58" s="31" t="str">
        <f>IF(AD58=0,"",IFERROR(AD58/AD$19,""))</f>
        <v/>
      </c>
      <c r="AF58" s="49">
        <f>IF(AND($AA58="",AD58=""),"",$AA58-AD58)</f>
        <v>0</v>
      </c>
      <c r="AG58" s="30">
        <f>SUM(AG56:AG57)</f>
        <v>0</v>
      </c>
      <c r="AH58" s="31" t="str">
        <f>IF(AG58=0,"",IFERROR(AG58/AG$19,""))</f>
        <v/>
      </c>
      <c r="AI58" s="49">
        <f>IF(AND($AA58="",AG58=""),"",$AA58-AG58)</f>
        <v>0</v>
      </c>
      <c r="AJ58" s="387">
        <f ca="1">IFERROR(AA58/AA$20,0)</f>
        <v>0</v>
      </c>
      <c r="AK58" s="388">
        <f ca="1">IFERROR(AD58/AD$20,0)</f>
        <v>0</v>
      </c>
      <c r="AL58" s="389">
        <f ca="1">IFERROR(AG58/AG$20,0)</f>
        <v>0</v>
      </c>
      <c r="AM58" s="390">
        <f>+IFERROR(ROUND(($AB58-AE58)*100,2)&amp;" pts.",0)</f>
        <v>0</v>
      </c>
      <c r="AN58" s="408">
        <f>+IFERROR(ROUND(($AB58-AH58)*100,2)&amp;" pts.",0)</f>
        <v>0</v>
      </c>
    </row>
    <row r="59" spans="1:40" x14ac:dyDescent="0.2">
      <c r="H59" s="11"/>
      <c r="J59" s="1"/>
      <c r="O59" s="40"/>
      <c r="P59" s="43"/>
      <c r="Q59" s="43"/>
      <c r="R59" s="43"/>
      <c r="S59" s="43"/>
      <c r="T59" s="43"/>
      <c r="U59" s="43"/>
      <c r="V59" s="43"/>
      <c r="W59" s="43"/>
      <c r="X59" s="43"/>
      <c r="Y59" s="43"/>
      <c r="Z59" s="43"/>
      <c r="AA59" s="43"/>
      <c r="AB59" s="41"/>
      <c r="AD59" s="40"/>
      <c r="AE59" s="43"/>
      <c r="AF59" s="41"/>
      <c r="AG59" s="40"/>
      <c r="AH59" s="43"/>
      <c r="AI59" s="41"/>
    </row>
    <row r="60" spans="1:40" ht="16" thickBot="1" x14ac:dyDescent="0.25">
      <c r="A60" s="3" t="s">
        <v>0</v>
      </c>
      <c r="B60" s="5" t="s">
        <v>1</v>
      </c>
      <c r="H60" s="11"/>
      <c r="J60" s="1"/>
      <c r="N60" s="23" t="s">
        <v>558</v>
      </c>
      <c r="O60" s="58">
        <f>O53+O58</f>
        <v>0</v>
      </c>
      <c r="P60" s="58">
        <f t="shared" ref="P60:Z60" si="5">P53+P58</f>
        <v>0</v>
      </c>
      <c r="Q60" s="58">
        <f t="shared" si="5"/>
        <v>0</v>
      </c>
      <c r="R60" s="58">
        <f t="shared" si="5"/>
        <v>0</v>
      </c>
      <c r="S60" s="58">
        <f t="shared" si="5"/>
        <v>0</v>
      </c>
      <c r="T60" s="58">
        <f t="shared" si="5"/>
        <v>0</v>
      </c>
      <c r="U60" s="58">
        <f t="shared" si="5"/>
        <v>0</v>
      </c>
      <c r="V60" s="58">
        <f t="shared" si="5"/>
        <v>0</v>
      </c>
      <c r="W60" s="58">
        <f t="shared" si="5"/>
        <v>0</v>
      </c>
      <c r="X60" s="58">
        <f t="shared" si="5"/>
        <v>0</v>
      </c>
      <c r="Y60" s="58">
        <f t="shared" si="5"/>
        <v>0</v>
      </c>
      <c r="Z60" s="58">
        <f t="shared" si="5"/>
        <v>0</v>
      </c>
      <c r="AA60" s="58">
        <f>IF($I60="B1","",SUM(O60:Z60))</f>
        <v>0</v>
      </c>
      <c r="AB60" s="59" t="str">
        <f>IF(AA60=0,"",IFERROR(AA60/AA$19,""))</f>
        <v/>
      </c>
      <c r="AD60" s="58">
        <f>AD53+AD58</f>
        <v>0</v>
      </c>
      <c r="AE60" s="59" t="str">
        <f>IF(AD60=0,"",IFERROR(AD60/AD$19,""))</f>
        <v/>
      </c>
      <c r="AF60" s="60">
        <f>IF(AND($AA60="",AD60=""),"",$AA60-AD60)</f>
        <v>0</v>
      </c>
      <c r="AG60" s="58">
        <f>AG53+AG58</f>
        <v>0</v>
      </c>
      <c r="AH60" s="59" t="str">
        <f>IF(AG60=0,"",IFERROR(AG60/AG$19,""))</f>
        <v/>
      </c>
      <c r="AI60" s="60">
        <f>IF(AND($AA60="",AG60=""),"",$AA60-AG60)</f>
        <v>0</v>
      </c>
    </row>
    <row r="61" spans="1:40" ht="16" thickTop="1" x14ac:dyDescent="0.2">
      <c r="A61" s="6" t="s">
        <v>2</v>
      </c>
      <c r="B61" s="7" t="e">
        <f ca="1">_xll.EVRNG($B$2:$B$10)</f>
        <v>#NAME?</v>
      </c>
      <c r="H61" s="11"/>
      <c r="J61" s="1"/>
    </row>
    <row r="62" spans="1:40" x14ac:dyDescent="0.2">
      <c r="A62" s="6" t="s">
        <v>3</v>
      </c>
      <c r="B62" s="7" t="e">
        <f ca="1">_xll.EVRNG($O$16:$AN$18)</f>
        <v>#NAME?</v>
      </c>
      <c r="H62" s="11"/>
      <c r="J62" s="1"/>
    </row>
    <row r="63" spans="1:40" x14ac:dyDescent="0.2">
      <c r="A63" s="6" t="s">
        <v>4</v>
      </c>
      <c r="B63" s="7" t="e">
        <f ca="1">_xll.EVRNG(H56:H57)</f>
        <v>#NAME?</v>
      </c>
      <c r="H63" s="10" t="s">
        <v>56</v>
      </c>
      <c r="I63" s="25" t="e">
        <f ca="1">_xll.EVPRO($B$1,$H63,"STYLE")</f>
        <v>#NAME?</v>
      </c>
      <c r="J63" s="25" t="e">
        <f ca="1">_xll.EVPRO($B$1,$H63,"CALC")</f>
        <v>#NAME?</v>
      </c>
      <c r="K63" s="23"/>
      <c r="N63" s="23" t="s">
        <v>666</v>
      </c>
      <c r="O63" s="124" t="e">
        <f ca="1">_xll.EVGTS($B$1,1,$B$3,$B$5,$B$7,$B$9,O$16,O$17,O$18,$B$6,$H63)</f>
        <v>#NAME?</v>
      </c>
      <c r="P63" s="124" t="e">
        <f ca="1">_xll.EVGTS($B$1,1,$B$3,$B$5,$B$7,$B$9,P$16,P$17,P$18,$B$6,$H63)</f>
        <v>#NAME?</v>
      </c>
      <c r="Q63" s="124" t="e">
        <f ca="1">_xll.EVGTS($B$1,1,$B$3,$B$5,$B$7,$B$9,Q$16,Q$17,Q$18,$B$6,$H63)</f>
        <v>#NAME?</v>
      </c>
      <c r="R63" s="124" t="e">
        <f ca="1">_xll.EVGTS($B$1,1,$B$3,$B$5,$B$7,$B$9,R$16,R$17,R$18,$B$6,$H63)</f>
        <v>#NAME?</v>
      </c>
      <c r="S63" s="124" t="e">
        <f ca="1">_xll.EVGTS($B$1,1,$B$3,$B$5,$B$7,$B$9,S$16,S$17,S$18,$B$6,$H63)</f>
        <v>#NAME?</v>
      </c>
      <c r="T63" s="124" t="e">
        <f ca="1">_xll.EVGTS($B$1,1,$B$3,$B$5,$B$7,$B$9,T$16,T$17,T$18,$B$6,$H63)</f>
        <v>#NAME?</v>
      </c>
      <c r="U63" s="124" t="e">
        <f ca="1">_xll.EVGTS($B$1,1,$B$3,$B$5,$B$7,$B$9,U$16,U$17,U$18,$B$6,$H63)</f>
        <v>#NAME?</v>
      </c>
      <c r="V63" s="124" t="e">
        <f ca="1">_xll.EVGTS($B$1,1,$B$3,$B$5,$B$7,$B$9,V$16,V$17,V$18,$B$6,$H63)</f>
        <v>#NAME?</v>
      </c>
      <c r="W63" s="124" t="e">
        <f ca="1">_xll.EVGTS($B$1,1,$B$3,$B$5,$B$7,$B$9,W$16,W$17,W$18,$B$6,$H63)</f>
        <v>#NAME?</v>
      </c>
      <c r="X63" s="124" t="e">
        <f ca="1">_xll.EVGTS($B$1,1,$B$3,$B$5,$B$7,$B$9,X$16,X$17,X$18,$B$6,$H63)</f>
        <v>#NAME?</v>
      </c>
      <c r="Y63" s="124" t="e">
        <f ca="1">_xll.EVGTS($B$1,1,$B$3,$B$5,$B$7,$B$9,Y$16,Y$17,Y$18,$B$6,$H63)</f>
        <v>#NAME?</v>
      </c>
      <c r="Z63" s="124" t="e">
        <f ca="1">_xll.EVGTS($B$1,1,$B$3,$B$5,$B$7,$B$9,Z$16,Z$17,Z$18,$B$6,$H63)</f>
        <v>#NAME?</v>
      </c>
      <c r="AA63" s="19" t="e">
        <f ca="1">IF($I63="B1","",SUM(O63:Z63))</f>
        <v>#NAME?</v>
      </c>
      <c r="AB63" s="124"/>
      <c r="AD63" s="124" t="e">
        <f ca="1">_xll.EVGTS($B$1,1,$B$3,$B$5,$B$7,$B$9,AD$16,AD$17,AD$18,$B$6,$H63)</f>
        <v>#NAME?</v>
      </c>
      <c r="AE63" s="124"/>
      <c r="AF63" s="124"/>
      <c r="AG63" s="124" t="e">
        <f ca="1">_xll.EVGTS($B$1,1,$B$3,$B$5,$B$7,$B$9,AG$16,AG$17,AG$18,$B$6,$H63)</f>
        <v>#NAME?</v>
      </c>
      <c r="AH63" s="124"/>
      <c r="AI63" s="124"/>
    </row>
    <row r="64" spans="1:40" x14ac:dyDescent="0.2">
      <c r="A64" s="6" t="s">
        <v>5</v>
      </c>
      <c r="B64" s="7"/>
      <c r="H64" s="11"/>
      <c r="J64" s="1"/>
    </row>
    <row r="65" spans="1:10" x14ac:dyDescent="0.2">
      <c r="A65" s="6" t="s">
        <v>6</v>
      </c>
      <c r="B65" s="7"/>
      <c r="H65" s="11"/>
      <c r="J65" s="1"/>
    </row>
    <row r="66" spans="1:10" x14ac:dyDescent="0.2">
      <c r="A66" s="6" t="s">
        <v>7</v>
      </c>
      <c r="B66" s="7"/>
      <c r="H66" s="11"/>
      <c r="J66" s="1"/>
    </row>
    <row r="67" spans="1:10" x14ac:dyDescent="0.2">
      <c r="A67" s="6" t="s">
        <v>47</v>
      </c>
      <c r="B67" s="7" t="e">
        <f ca="1">_xll.EVRNG($A$81:$B$102)</f>
        <v>#NAME?</v>
      </c>
      <c r="H67" s="11"/>
      <c r="J67" s="1"/>
    </row>
    <row r="68" spans="1:10" x14ac:dyDescent="0.2">
      <c r="A68" s="6" t="s">
        <v>8</v>
      </c>
      <c r="B68" s="7"/>
      <c r="H68" s="11"/>
      <c r="J68" s="1"/>
    </row>
    <row r="70" spans="1:10" x14ac:dyDescent="0.2">
      <c r="A70" s="3" t="s">
        <v>9</v>
      </c>
      <c r="B70" s="5" t="s">
        <v>10</v>
      </c>
    </row>
    <row r="71" spans="1:10" x14ac:dyDescent="0.2">
      <c r="A71" s="6" t="s">
        <v>11</v>
      </c>
      <c r="B71" s="7" t="s">
        <v>21</v>
      </c>
    </row>
    <row r="72" spans="1:10" x14ac:dyDescent="0.2">
      <c r="A72" s="6" t="s">
        <v>12</v>
      </c>
      <c r="B72" s="7" t="s">
        <v>22</v>
      </c>
    </row>
    <row r="73" spans="1:10" x14ac:dyDescent="0.2">
      <c r="A73" s="6" t="s">
        <v>13</v>
      </c>
      <c r="B73" s="7" t="s">
        <v>594</v>
      </c>
    </row>
    <row r="74" spans="1:10" x14ac:dyDescent="0.2">
      <c r="A74" s="6" t="s">
        <v>14</v>
      </c>
      <c r="B74" s="14"/>
    </row>
    <row r="75" spans="1:10" x14ac:dyDescent="0.2">
      <c r="A75" s="6" t="s">
        <v>15</v>
      </c>
      <c r="B75" s="7"/>
    </row>
    <row r="76" spans="1:10" x14ac:dyDescent="0.2">
      <c r="A76" s="6" t="s">
        <v>16</v>
      </c>
      <c r="B76" s="7" t="s">
        <v>78</v>
      </c>
    </row>
    <row r="77" spans="1:10" x14ac:dyDescent="0.2">
      <c r="A77" s="6" t="s">
        <v>17</v>
      </c>
      <c r="B77" s="7"/>
    </row>
    <row r="80" spans="1:10" x14ac:dyDescent="0.2">
      <c r="A80" s="3" t="s">
        <v>23</v>
      </c>
      <c r="B80" s="5" t="s">
        <v>24</v>
      </c>
    </row>
    <row r="81" spans="1:2" x14ac:dyDescent="0.2">
      <c r="A81" s="6" t="s">
        <v>25</v>
      </c>
      <c r="B81" s="7"/>
    </row>
    <row r="82" spans="1:2" x14ac:dyDescent="0.2">
      <c r="A82" s="6" t="s">
        <v>26</v>
      </c>
      <c r="B82" s="7"/>
    </row>
    <row r="83" spans="1:2" x14ac:dyDescent="0.2">
      <c r="A83" s="6" t="s">
        <v>27</v>
      </c>
      <c r="B83" s="7"/>
    </row>
    <row r="84" spans="1:2" x14ac:dyDescent="0.2">
      <c r="A84" s="6" t="s">
        <v>28</v>
      </c>
      <c r="B84" s="7"/>
    </row>
    <row r="85" spans="1:2" x14ac:dyDescent="0.2">
      <c r="A85" s="6" t="s">
        <v>29</v>
      </c>
      <c r="B85" s="7"/>
    </row>
    <row r="86" spans="1:2" x14ac:dyDescent="0.2">
      <c r="A86" s="6" t="s">
        <v>30</v>
      </c>
      <c r="B86" s="7" t="s">
        <v>78</v>
      </c>
    </row>
    <row r="87" spans="1:2" x14ac:dyDescent="0.2">
      <c r="A87" s="6" t="s">
        <v>31</v>
      </c>
      <c r="B87" s="7" t="s">
        <v>78</v>
      </c>
    </row>
    <row r="88" spans="1:2" x14ac:dyDescent="0.2">
      <c r="A88" s="6" t="s">
        <v>32</v>
      </c>
      <c r="B88" s="7"/>
    </row>
    <row r="89" spans="1:2" x14ac:dyDescent="0.2">
      <c r="A89" s="6" t="s">
        <v>33</v>
      </c>
      <c r="B89" s="7"/>
    </row>
    <row r="90" spans="1:2" x14ac:dyDescent="0.2">
      <c r="A90" s="6" t="s">
        <v>34</v>
      </c>
      <c r="B90" s="7"/>
    </row>
    <row r="91" spans="1:2" x14ac:dyDescent="0.2">
      <c r="A91" s="6" t="s">
        <v>35</v>
      </c>
      <c r="B91" s="7"/>
    </row>
    <row r="92" spans="1:2" x14ac:dyDescent="0.2">
      <c r="A92" s="6" t="s">
        <v>36</v>
      </c>
      <c r="B92" s="7"/>
    </row>
    <row r="93" spans="1:2" x14ac:dyDescent="0.2">
      <c r="A93" s="6" t="s">
        <v>37</v>
      </c>
      <c r="B93" s="7"/>
    </row>
    <row r="94" spans="1:2" x14ac:dyDescent="0.2">
      <c r="A94" s="6" t="s">
        <v>38</v>
      </c>
      <c r="B94" s="7"/>
    </row>
    <row r="95" spans="1:2" x14ac:dyDescent="0.2">
      <c r="A95" s="6" t="s">
        <v>39</v>
      </c>
      <c r="B95" s="7"/>
    </row>
    <row r="96" spans="1:2" x14ac:dyDescent="0.2">
      <c r="A96" s="6" t="s">
        <v>40</v>
      </c>
      <c r="B96" s="7"/>
    </row>
    <row r="97" spans="1:2" x14ac:dyDescent="0.2">
      <c r="A97" s="6" t="s">
        <v>41</v>
      </c>
      <c r="B97" s="7"/>
    </row>
    <row r="98" spans="1:2" x14ac:dyDescent="0.2">
      <c r="A98" s="6" t="s">
        <v>42</v>
      </c>
      <c r="B98" s="7"/>
    </row>
    <row r="99" spans="1:2" x14ac:dyDescent="0.2">
      <c r="A99" s="6" t="s">
        <v>43</v>
      </c>
      <c r="B99" s="7"/>
    </row>
    <row r="100" spans="1:2" x14ac:dyDescent="0.2">
      <c r="A100" s="6" t="s">
        <v>44</v>
      </c>
      <c r="B100" s="7"/>
    </row>
    <row r="101" spans="1:2" x14ac:dyDescent="0.2">
      <c r="A101" s="6" t="s">
        <v>45</v>
      </c>
      <c r="B101" s="7"/>
    </row>
    <row r="102" spans="1:2" x14ac:dyDescent="0.2">
      <c r="A102" s="6" t="s">
        <v>46</v>
      </c>
      <c r="B102" s="7"/>
    </row>
  </sheetData>
  <mergeCells count="2">
    <mergeCell ref="AD31:AE31"/>
    <mergeCell ref="AG31:AH31"/>
  </mergeCells>
  <dataValidations disablePrompts="1" count="2">
    <dataValidation type="list" allowBlank="1" sqref="B72 B28" xr:uid="{00000000-0002-0000-5C00-000000000000}">
      <formula1>"ACCOUNT,BUSINESSUNIT,CATEGORY,DATASRC,DEPARTMENT,INTCO,MEASURES,RPTCURRENCY,TIME"</formula1>
    </dataValidation>
    <dataValidation type="list" allowBlank="1" sqref="B73 B29" xr:uid="{00000000-0002-0000-5C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96">
    <pageSetUpPr fitToPage="1"/>
  </sheetPr>
  <dimension ref="A1:AO102"/>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61" sqref="O61"/>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1" hidden="1" customWidth="1" outlineLevel="1" collapsed="1"/>
    <col min="13" max="13" width="9.6640625" style="1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0" style="1" hidden="1" customWidth="1" outlineLevel="1"/>
    <col min="41" max="41" width="9.1640625" style="1" collapsed="1"/>
    <col min="42" max="16384" width="9.1640625" style="1"/>
  </cols>
  <sheetData>
    <row r="1" spans="1:35" hidden="1" outlineLevel="1" x14ac:dyDescent="0.2">
      <c r="A1" s="8" t="s">
        <v>48</v>
      </c>
      <c r="B1" s="2" t="s">
        <v>49</v>
      </c>
      <c r="C1" s="8" t="s">
        <v>980</v>
      </c>
      <c r="I1" s="1"/>
      <c r="J1" s="1"/>
      <c r="L1" s="69"/>
      <c r="M1" s="69"/>
      <c r="N1" s="69"/>
    </row>
    <row r="2" spans="1:35" hidden="1" outlineLevel="1" x14ac:dyDescent="0.2">
      <c r="A2" s="8" t="s">
        <v>22</v>
      </c>
      <c r="B2" s="12" t="s">
        <v>554</v>
      </c>
      <c r="C2" s="1" t="s">
        <v>1520</v>
      </c>
      <c r="I2" s="1"/>
      <c r="J2" s="1"/>
      <c r="L2" s="69"/>
      <c r="M2" s="69"/>
    </row>
    <row r="3" spans="1:35" hidden="1" outlineLevel="1" x14ac:dyDescent="0.2">
      <c r="A3" s="8" t="s">
        <v>50</v>
      </c>
      <c r="B3" s="9" t="s">
        <v>979</v>
      </c>
      <c r="C3" s="1" t="s">
        <v>982</v>
      </c>
      <c r="I3" s="1"/>
      <c r="J3" s="1"/>
    </row>
    <row r="4" spans="1:35" hidden="1" outlineLevel="1" x14ac:dyDescent="0.2">
      <c r="A4" s="8" t="s">
        <v>19</v>
      </c>
      <c r="B4" s="9" t="str">
        <f>SetUp!$D$6</f>
        <v>CURRENT</v>
      </c>
      <c r="C4" s="1" t="s">
        <v>960</v>
      </c>
      <c r="E4" s="46">
        <v>20250100</v>
      </c>
      <c r="F4" s="46">
        <v>20250100</v>
      </c>
    </row>
    <row r="5" spans="1:35" hidden="1" outlineLevel="1" x14ac:dyDescent="0.2">
      <c r="A5" s="8" t="s">
        <v>51</v>
      </c>
      <c r="B5" s="12" t="s">
        <v>59</v>
      </c>
      <c r="C5" s="1" t="s">
        <v>59</v>
      </c>
    </row>
    <row r="6" spans="1:35" hidden="1" outlineLevel="1" x14ac:dyDescent="0.2">
      <c r="A6" s="8" t="s">
        <v>52</v>
      </c>
      <c r="B6" s="12" t="s">
        <v>552</v>
      </c>
      <c r="C6" s="1" t="s">
        <v>1521</v>
      </c>
      <c r="E6" s="46" t="s">
        <v>552</v>
      </c>
      <c r="F6" s="1" t="s">
        <v>278</v>
      </c>
    </row>
    <row r="7" spans="1:35" hidden="1" outlineLevel="1" x14ac:dyDescent="0.2">
      <c r="A7" s="8" t="s">
        <v>53</v>
      </c>
      <c r="B7" s="12" t="s">
        <v>61</v>
      </c>
      <c r="C7" s="1" t="s">
        <v>984</v>
      </c>
    </row>
    <row r="8" spans="1:35" hidden="1" outlineLevel="1" x14ac:dyDescent="0.2">
      <c r="A8" s="8" t="s">
        <v>20</v>
      </c>
      <c r="B8" s="12" t="s">
        <v>63</v>
      </c>
      <c r="C8" s="1" t="s">
        <v>985</v>
      </c>
    </row>
    <row r="9" spans="1:35" hidden="1" outlineLevel="1" x14ac:dyDescent="0.2">
      <c r="A9" s="8" t="s">
        <v>54</v>
      </c>
      <c r="B9" s="9" t="str">
        <f>SetUp!$D$10</f>
        <v>LC</v>
      </c>
      <c r="C9" s="1" t="s">
        <v>986</v>
      </c>
    </row>
    <row r="10" spans="1:35" hidden="1" outlineLevel="1" x14ac:dyDescent="0.2">
      <c r="A10" s="8" t="s">
        <v>18</v>
      </c>
      <c r="B10" s="9" t="str">
        <f>SetUp!$D$7</f>
        <v>2024.TOTAL</v>
      </c>
      <c r="C10" s="1" t="s">
        <v>987</v>
      </c>
      <c r="D10" s="212" t="s">
        <v>988</v>
      </c>
    </row>
    <row r="11" spans="1:35" hidden="1" outlineLevel="1" x14ac:dyDescent="0.2">
      <c r="B11" s="8"/>
      <c r="M11" s="46" t="str">
        <f>IF(LEFT(SetUp!$D$6,3)="ALT","Y","N")</f>
        <v>N</v>
      </c>
      <c r="N11" s="1" t="s">
        <v>800</v>
      </c>
      <c r="O11" s="2" t="s">
        <v>682</v>
      </c>
      <c r="P11" s="2" t="s">
        <v>682</v>
      </c>
      <c r="Q11" s="2" t="s">
        <v>682</v>
      </c>
      <c r="R11" s="2" t="s">
        <v>682</v>
      </c>
      <c r="S11" s="2" t="s">
        <v>682</v>
      </c>
      <c r="T11" s="2" t="s">
        <v>682</v>
      </c>
      <c r="U11" s="2" t="s">
        <v>682</v>
      </c>
      <c r="V11" s="2" t="s">
        <v>682</v>
      </c>
      <c r="W11" s="2" t="s">
        <v>682</v>
      </c>
      <c r="X11" s="2" t="s">
        <v>682</v>
      </c>
      <c r="Y11" s="2" t="s">
        <v>682</v>
      </c>
      <c r="Z11" s="2" t="s">
        <v>682</v>
      </c>
    </row>
    <row r="12" spans="1:35" hidden="1" outlineLevel="1" x14ac:dyDescent="0.2">
      <c r="A12" s="1" t="s">
        <v>115</v>
      </c>
      <c r="B12" s="46">
        <v>2024</v>
      </c>
      <c r="N12" s="1" t="s">
        <v>597</v>
      </c>
      <c r="O12" s="213" t="s">
        <v>78</v>
      </c>
      <c r="P12" s="213" t="s">
        <v>78</v>
      </c>
      <c r="Q12" s="213" t="s">
        <v>78</v>
      </c>
      <c r="R12" s="213" t="s">
        <v>78</v>
      </c>
      <c r="S12" s="213" t="s">
        <v>78</v>
      </c>
      <c r="T12" s="213" t="s">
        <v>78</v>
      </c>
      <c r="U12" s="213" t="s">
        <v>78</v>
      </c>
      <c r="V12" s="213" t="s">
        <v>78</v>
      </c>
      <c r="W12" s="213" t="s">
        <v>78</v>
      </c>
      <c r="X12" s="213" t="s">
        <v>78</v>
      </c>
      <c r="Y12" s="213" t="s">
        <v>78</v>
      </c>
      <c r="Z12" s="213" t="s">
        <v>78</v>
      </c>
      <c r="AA12" s="213"/>
      <c r="AD12" s="213"/>
      <c r="AG12" s="213"/>
    </row>
    <row r="13" spans="1:35" hidden="1" outlineLevel="1" x14ac:dyDescent="0.2">
      <c r="A13" s="1" t="s">
        <v>602</v>
      </c>
      <c r="B13" s="46">
        <v>2024</v>
      </c>
      <c r="N13" s="1" t="s">
        <v>598</v>
      </c>
      <c r="O13" s="53">
        <v>20240100</v>
      </c>
      <c r="P13" s="53">
        <v>20240200</v>
      </c>
      <c r="Q13" s="53">
        <v>20240300</v>
      </c>
      <c r="R13" s="53">
        <v>20240400</v>
      </c>
      <c r="S13" s="53">
        <v>20240500</v>
      </c>
      <c r="T13" s="53">
        <v>20240600</v>
      </c>
      <c r="U13" s="53">
        <v>20240700</v>
      </c>
      <c r="V13" s="53">
        <v>20240800</v>
      </c>
      <c r="W13" s="53">
        <v>20240900</v>
      </c>
      <c r="X13" s="53">
        <v>20241000</v>
      </c>
      <c r="Y13" s="53">
        <v>20241100</v>
      </c>
      <c r="Z13" s="53">
        <v>20241200</v>
      </c>
      <c r="AA13" s="53">
        <v>10000193</v>
      </c>
      <c r="AD13" s="53">
        <v>10000193</v>
      </c>
      <c r="AG13" s="53">
        <v>10000183</v>
      </c>
    </row>
    <row r="14" spans="1:35" hidden="1" outlineLevel="1" x14ac:dyDescent="0.2">
      <c r="A14" s="4" t="s">
        <v>989</v>
      </c>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N16" s="1" t="s">
        <v>18</v>
      </c>
      <c r="O16" s="2" t="s">
        <v>990</v>
      </c>
      <c r="P16" s="2" t="s">
        <v>991</v>
      </c>
      <c r="Q16" s="2" t="s">
        <v>992</v>
      </c>
      <c r="R16" s="2" t="s">
        <v>993</v>
      </c>
      <c r="S16" s="2" t="s">
        <v>994</v>
      </c>
      <c r="T16" s="2" t="s">
        <v>995</v>
      </c>
      <c r="U16" s="2" t="s">
        <v>996</v>
      </c>
      <c r="V16" s="2" t="s">
        <v>997</v>
      </c>
      <c r="W16" s="2" t="s">
        <v>998</v>
      </c>
      <c r="X16" s="2" t="s">
        <v>999</v>
      </c>
      <c r="Y16" s="2" t="s">
        <v>1000</v>
      </c>
      <c r="Z16" s="2" t="str">
        <f>IF(SetUp!$O$1=TRUE,SetUp!$Q$6,IF($D$10="FY",LEFT($B$10,6)&amp;"."&amp;Z15,$B$12&amp;"."&amp;Z14))</f>
        <v>2024.DEC</v>
      </c>
      <c r="AA16" s="2" t="str">
        <f>IF($D$10="FY",LEFT($B$10,6)&amp;"."&amp;AA15,$B$12&amp;"."&amp;AA14)</f>
        <v>2024.TOTAL</v>
      </c>
      <c r="AB16" s="10"/>
      <c r="AC16" s="10"/>
      <c r="AD16" s="2" t="str">
        <f>IF(SetUp!$O$1=TRUE,SetUp!$Q$6,SetUp!$G$7)</f>
        <v>2024.TOTAL</v>
      </c>
      <c r="AE16" s="10"/>
      <c r="AF16" s="10"/>
      <c r="AG16" s="2" t="s">
        <v>955</v>
      </c>
      <c r="AH16" s="10"/>
      <c r="AI16" s="10"/>
    </row>
    <row r="17" spans="1:40" hidden="1" outlineLevel="1" x14ac:dyDescent="0.2">
      <c r="A17" s="6" t="s">
        <v>2</v>
      </c>
      <c r="B17" s="14" t="s">
        <v>1522</v>
      </c>
      <c r="N17" s="1" t="s">
        <v>19</v>
      </c>
      <c r="O17" s="2" t="s">
        <v>682</v>
      </c>
      <c r="P17" s="2" t="s">
        <v>682</v>
      </c>
      <c r="Q17" s="2" t="s">
        <v>682</v>
      </c>
      <c r="R17" s="2" t="s">
        <v>682</v>
      </c>
      <c r="S17" s="2" t="s">
        <v>682</v>
      </c>
      <c r="T17" s="2" t="s">
        <v>682</v>
      </c>
      <c r="U17" s="2" t="s">
        <v>682</v>
      </c>
      <c r="V17" s="2" t="s">
        <v>682</v>
      </c>
      <c r="W17" s="2" t="s">
        <v>682</v>
      </c>
      <c r="X17" s="2" t="s">
        <v>682</v>
      </c>
      <c r="Y17" s="2" t="s">
        <v>682</v>
      </c>
      <c r="Z17" s="2" t="s">
        <v>682</v>
      </c>
      <c r="AA17" s="2"/>
      <c r="AB17" s="10"/>
      <c r="AC17" s="10"/>
      <c r="AD17" s="2" t="str">
        <f>SetUp!$G$6</f>
        <v>BUDGET</v>
      </c>
      <c r="AE17" s="10"/>
      <c r="AF17" s="10"/>
      <c r="AG17" s="2" t="str">
        <f>SetUp!$J$6</f>
        <v>ACTUAL_CON</v>
      </c>
      <c r="AH17" s="10"/>
      <c r="AI17" s="10"/>
    </row>
    <row r="18" spans="1:40" hidden="1" outlineLevel="1" x14ac:dyDescent="0.2">
      <c r="A18" s="6" t="s">
        <v>3</v>
      </c>
      <c r="B18" s="14" t="s">
        <v>1523</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str">
        <f>IF(SetUp!$O$1=TRUE,"TRAILING12",IF(AD17="CURRENT","ROLLINGFORECAST","PERIODIC"))</f>
        <v>PERIODIC</v>
      </c>
      <c r="AE18" s="10"/>
      <c r="AF18" s="10"/>
      <c r="AG18" s="2" t="str">
        <f>IF(SetUp!$O$1=TRUE,"TRAILING12",IF(AG17="CURRENT","ROLLINGFORECAST","PERIODIC"))</f>
        <v>PERIODIC</v>
      </c>
      <c r="AH18" s="10"/>
      <c r="AI18" s="10"/>
    </row>
    <row r="19" spans="1:40" hidden="1" outlineLevel="1" x14ac:dyDescent="0.2">
      <c r="A19" s="6" t="s">
        <v>4</v>
      </c>
      <c r="B19" s="14" t="s">
        <v>1524</v>
      </c>
      <c r="G19" s="16" t="s">
        <v>499</v>
      </c>
      <c r="H19" s="16">
        <v>400000</v>
      </c>
      <c r="I19" s="17"/>
      <c r="J19" s="17"/>
      <c r="K19" s="16"/>
      <c r="L19" s="17"/>
      <c r="M19" s="17"/>
      <c r="N19" s="16" t="s">
        <v>1001</v>
      </c>
      <c r="O19" s="18">
        <v>1176929.01</v>
      </c>
      <c r="P19" s="18">
        <v>1356809.16</v>
      </c>
      <c r="Q19" s="18">
        <v>1295733.29</v>
      </c>
      <c r="R19" s="18">
        <v>1074347.0900000001</v>
      </c>
      <c r="S19" s="18">
        <v>894357.51</v>
      </c>
      <c r="T19" s="18">
        <v>630684.44999999995</v>
      </c>
      <c r="U19" s="18">
        <v>649800.93000000005</v>
      </c>
      <c r="V19" s="18">
        <v>589394.93999999994</v>
      </c>
      <c r="W19" s="18">
        <v>502527.81</v>
      </c>
      <c r="X19" s="18">
        <v>718138.97</v>
      </c>
      <c r="Y19" s="18">
        <v>816401.49</v>
      </c>
      <c r="Z19" s="18">
        <v>1134093.05</v>
      </c>
      <c r="AA19" s="18">
        <f>SUM(O19:Z19)</f>
        <v>10839217.699999999</v>
      </c>
      <c r="AB19" s="16"/>
      <c r="AC19" s="16"/>
      <c r="AD19" s="18">
        <v>11239182.24</v>
      </c>
      <c r="AE19" s="16"/>
      <c r="AF19" s="16"/>
      <c r="AG19" s="18">
        <v>12940207.16</v>
      </c>
      <c r="AH19" s="16"/>
      <c r="AI19" s="16"/>
    </row>
    <row r="20" spans="1:40" hidden="1" outlineLevel="1" x14ac:dyDescent="0.2">
      <c r="A20" s="6" t="s">
        <v>5</v>
      </c>
      <c r="B20" s="7"/>
      <c r="G20" s="16" t="s">
        <v>749</v>
      </c>
      <c r="H20" s="16">
        <v>904100</v>
      </c>
      <c r="I20" s="17"/>
      <c r="J20" s="17"/>
      <c r="K20" s="16"/>
      <c r="L20" s="17"/>
      <c r="M20" s="17"/>
      <c r="N20" s="16" t="s">
        <v>1008</v>
      </c>
      <c r="O20" s="18">
        <v>4092</v>
      </c>
      <c r="P20" s="18">
        <v>3828</v>
      </c>
      <c r="Q20" s="18">
        <v>4092</v>
      </c>
      <c r="R20" s="18">
        <v>3960</v>
      </c>
      <c r="S20" s="18">
        <v>4092</v>
      </c>
      <c r="T20" s="18">
        <v>3960</v>
      </c>
      <c r="U20" s="18">
        <v>4092</v>
      </c>
      <c r="V20" s="18">
        <v>4092</v>
      </c>
      <c r="W20" s="18">
        <v>3960</v>
      </c>
      <c r="X20" s="18">
        <v>4092</v>
      </c>
      <c r="Y20" s="18">
        <v>3960</v>
      </c>
      <c r="Z20" s="18">
        <v>4092</v>
      </c>
      <c r="AA20" s="18">
        <f>SUM(O20:Z20)</f>
        <v>48312</v>
      </c>
      <c r="AB20" s="16"/>
      <c r="AC20" s="16"/>
      <c r="AD20" s="18">
        <v>48312</v>
      </c>
      <c r="AE20" s="16"/>
      <c r="AF20" s="16"/>
      <c r="AG20" s="18">
        <v>48180</v>
      </c>
      <c r="AH20" s="16"/>
      <c r="AI20" s="16"/>
    </row>
    <row r="21" spans="1:40" hidden="1" outlineLevel="1" x14ac:dyDescent="0.2">
      <c r="A21" s="6" t="s">
        <v>6</v>
      </c>
      <c r="B21" s="7"/>
    </row>
    <row r="22" spans="1:40" hidden="1" outlineLevel="1" x14ac:dyDescent="0.2">
      <c r="A22" s="6" t="s">
        <v>7</v>
      </c>
      <c r="B22" s="14" t="s">
        <v>1525</v>
      </c>
    </row>
    <row r="23" spans="1:40" hidden="1" outlineLevel="1" x14ac:dyDescent="0.2">
      <c r="A23" s="6" t="s">
        <v>47</v>
      </c>
      <c r="B23" s="14" t="s">
        <v>1526</v>
      </c>
      <c r="K23" s="53"/>
    </row>
    <row r="24" spans="1:40" hidden="1" outlineLevel="1" x14ac:dyDescent="0.2">
      <c r="A24" s="6" t="s">
        <v>8</v>
      </c>
      <c r="B24" s="7"/>
    </row>
    <row r="25" spans="1:40" collapsed="1" x14ac:dyDescent="0.2"/>
    <row r="26" spans="1:40" ht="23" x14ac:dyDescent="0.25">
      <c r="A26" s="3" t="s">
        <v>9</v>
      </c>
      <c r="B26" s="5" t="s">
        <v>10</v>
      </c>
      <c r="N26" s="61" t="s">
        <v>982</v>
      </c>
    </row>
    <row r="27" spans="1:40" ht="18" x14ac:dyDescent="0.2">
      <c r="A27" s="6" t="s">
        <v>11</v>
      </c>
      <c r="B27" s="7" t="s">
        <v>21</v>
      </c>
      <c r="N27" s="66" t="s">
        <v>1527</v>
      </c>
    </row>
    <row r="28" spans="1:40" ht="16" x14ac:dyDescent="0.2">
      <c r="A28" s="6" t="s">
        <v>12</v>
      </c>
      <c r="B28" s="7" t="s">
        <v>22</v>
      </c>
      <c r="N28" s="67" t="s">
        <v>1002</v>
      </c>
    </row>
    <row r="29" spans="1:40" ht="15" customHeight="1" x14ac:dyDescent="0.2">
      <c r="A29" s="6" t="s">
        <v>13</v>
      </c>
      <c r="B29" s="7" t="s">
        <v>746</v>
      </c>
      <c r="N29" s="67" t="s">
        <v>986</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752</v>
      </c>
      <c r="AK30" s="209"/>
      <c r="AL30" s="210"/>
      <c r="AM30" s="209" t="s">
        <v>750</v>
      </c>
      <c r="AN30" s="209"/>
    </row>
    <row r="31" spans="1:40" x14ac:dyDescent="0.2">
      <c r="A31" s="6" t="s">
        <v>15</v>
      </c>
      <c r="B31" s="7"/>
      <c r="G31" s="13"/>
      <c r="K31" s="52"/>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tr">
        <f>AA14</f>
        <v>TOTAL</v>
      </c>
      <c r="AB31" s="207"/>
      <c r="AD31" s="540" t="s">
        <v>987</v>
      </c>
      <c r="AE31" s="541"/>
      <c r="AF31" s="211" t="s">
        <v>631</v>
      </c>
      <c r="AG31" s="540" t="s">
        <v>1003</v>
      </c>
      <c r="AH31" s="541"/>
      <c r="AI31" s="211" t="s">
        <v>631</v>
      </c>
      <c r="AJ31" s="211">
        <v>2024</v>
      </c>
      <c r="AK31" s="238">
        <v>2024</v>
      </c>
      <c r="AL31" s="238">
        <v>2023</v>
      </c>
      <c r="AM31" s="211" t="str">
        <f>"vs "&amp;AK31</f>
        <v>vs 2024</v>
      </c>
      <c r="AN31" s="211" t="str">
        <f>"vs "&amp;AL31</f>
        <v>vs 2023</v>
      </c>
    </row>
    <row r="32" spans="1:40" s="232" customFormat="1" ht="30" customHeight="1" x14ac:dyDescent="0.2">
      <c r="A32" s="230" t="s">
        <v>16</v>
      </c>
      <c r="B32" s="231" t="s">
        <v>78</v>
      </c>
      <c r="H32" s="233"/>
      <c r="I32" s="234"/>
      <c r="J32" s="234"/>
      <c r="K32" s="235" t="s">
        <v>117</v>
      </c>
      <c r="L32" s="234"/>
      <c r="M32" s="234"/>
      <c r="N32" s="236" t="s">
        <v>120</v>
      </c>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c r="AD32" s="237" t="s">
        <v>959</v>
      </c>
      <c r="AE32" s="238" t="s">
        <v>58</v>
      </c>
      <c r="AF32" s="237" t="s">
        <v>57</v>
      </c>
      <c r="AG32" s="237" t="s">
        <v>957</v>
      </c>
      <c r="AH32" s="238" t="s">
        <v>58</v>
      </c>
      <c r="AI32" s="237" t="s">
        <v>57</v>
      </c>
      <c r="AJ32" s="237" t="str">
        <f>Z32</f>
        <v>Actual</v>
      </c>
      <c r="AK32" s="238" t="str">
        <f>AD32</f>
        <v>Budget</v>
      </c>
      <c r="AL32" s="237" t="str">
        <f>AG32</f>
        <v>Actual</v>
      </c>
      <c r="AM32" s="211" t="s">
        <v>747</v>
      </c>
      <c r="AN32" s="211" t="s">
        <v>747</v>
      </c>
    </row>
    <row r="33" spans="1:40" x14ac:dyDescent="0.2">
      <c r="A33" s="6" t="s">
        <v>17</v>
      </c>
      <c r="B33" s="7"/>
      <c r="H33" s="1" t="s">
        <v>73</v>
      </c>
      <c r="I33" s="11" t="s">
        <v>1006</v>
      </c>
      <c r="J33" s="11" t="s">
        <v>78</v>
      </c>
      <c r="N33" s="37" t="s">
        <v>1073</v>
      </c>
      <c r="O33" s="50"/>
      <c r="AB33" s="51"/>
      <c r="AD33" s="50"/>
      <c r="AF33" s="51"/>
      <c r="AG33" s="50"/>
      <c r="AI33" s="51"/>
    </row>
    <row r="34" spans="1:40" x14ac:dyDescent="0.2">
      <c r="H34" s="1" t="s">
        <v>74</v>
      </c>
      <c r="I34" s="11" t="s">
        <v>1006</v>
      </c>
      <c r="J34" s="11" t="s">
        <v>78</v>
      </c>
      <c r="N34" s="8" t="s">
        <v>1074</v>
      </c>
      <c r="O34" s="40"/>
      <c r="P34" s="43"/>
      <c r="Q34" s="43"/>
      <c r="R34" s="43"/>
      <c r="S34" s="43"/>
      <c r="T34" s="43"/>
      <c r="U34" s="43"/>
      <c r="V34" s="43"/>
      <c r="W34" s="43"/>
      <c r="X34" s="43"/>
      <c r="Y34" s="43"/>
      <c r="Z34" s="43"/>
      <c r="AA34" s="43"/>
      <c r="AB34" s="41"/>
      <c r="AD34" s="40"/>
      <c r="AE34" s="43"/>
      <c r="AF34" s="41"/>
      <c r="AG34" s="40"/>
      <c r="AH34" s="43"/>
      <c r="AI34" s="41"/>
    </row>
    <row r="35" spans="1:40" hidden="1" x14ac:dyDescent="0.2">
      <c r="A35" s="20" t="s">
        <v>92</v>
      </c>
      <c r="B35" s="21" t="s">
        <v>93</v>
      </c>
      <c r="C35" s="21" t="s">
        <v>94</v>
      </c>
      <c r="D35" s="21" t="s">
        <v>95</v>
      </c>
      <c r="E35" s="21" t="s">
        <v>96</v>
      </c>
      <c r="F35" s="22" t="s">
        <v>97</v>
      </c>
      <c r="H35" s="10" t="s">
        <v>667</v>
      </c>
      <c r="I35" s="25"/>
      <c r="J35" s="25"/>
      <c r="K35" s="64" t="str">
        <f>IF(AND(I35&gt;="T3"),"&gt;","")</f>
        <v/>
      </c>
      <c r="L35" s="24"/>
      <c r="M35" s="24"/>
      <c r="N35" s="24"/>
      <c r="O35" s="44"/>
      <c r="P35" s="44"/>
      <c r="Q35" s="44"/>
      <c r="R35" s="44"/>
      <c r="S35" s="44"/>
      <c r="T35" s="44"/>
      <c r="U35" s="44"/>
      <c r="V35" s="44"/>
      <c r="W35" s="44"/>
      <c r="X35" s="44"/>
      <c r="Y35" s="44"/>
      <c r="Z35" s="44"/>
      <c r="AA35" s="28">
        <f>IF($I35="B1","",SUM(O35:Z35))</f>
        <v>0</v>
      </c>
      <c r="AB35" s="45" t="str">
        <f>IF(AA35=0,"",IFERROR(AA35/AA$19,""))</f>
        <v/>
      </c>
      <c r="AD35" s="28"/>
      <c r="AE35" s="29" t="str">
        <f>IF(AD35=0,"",IFERROR(AD35/AD$19,""))</f>
        <v/>
      </c>
      <c r="AF35" s="48">
        <f>IF(AND($AA35="",AD35=""),"",$AA35-AD35)</f>
        <v>0</v>
      </c>
      <c r="AG35" s="28"/>
      <c r="AH35" s="29" t="str">
        <f>IF(AG35=0,"",IFERROR(AG35/AG$19,""))</f>
        <v/>
      </c>
      <c r="AI35" s="48">
        <f>IF(AND($AA35="",AG35=""),"",$AA35-AG35)</f>
        <v>0</v>
      </c>
      <c r="AJ35" s="371">
        <f>IFERROR(AA35/AA$20,0)</f>
        <v>0</v>
      </c>
      <c r="AK35" s="372">
        <f>IFERROR(AD35/AD$20,0)</f>
        <v>0</v>
      </c>
      <c r="AL35" s="373">
        <f>IFERROR(AG35/AG$20,0)</f>
        <v>0</v>
      </c>
      <c r="AM35" s="374">
        <f>+IFERROR(ROUND(($AB35-AE35)*100,2)&amp;" pts.",0)</f>
        <v>0</v>
      </c>
      <c r="AN35" s="375">
        <f>+IFERROR(ROUND(($AB35-AH35)*100,2)&amp;" pts.",0)</f>
        <v>0</v>
      </c>
    </row>
    <row r="36" spans="1:40" hidden="1" x14ac:dyDescent="0.2">
      <c r="H36" s="10"/>
      <c r="I36" s="25"/>
      <c r="J36" s="25"/>
      <c r="K36" s="64" t="str">
        <f>IF(AND(I36&gt;="T3"),"&gt;","")</f>
        <v/>
      </c>
      <c r="L36" s="24"/>
      <c r="M36" s="24"/>
      <c r="N36" s="24"/>
      <c r="O36" s="44"/>
      <c r="P36" s="44"/>
      <c r="Q36" s="44"/>
      <c r="R36" s="44"/>
      <c r="S36" s="44"/>
      <c r="T36" s="44"/>
      <c r="U36" s="44"/>
      <c r="V36" s="44"/>
      <c r="W36" s="44"/>
      <c r="X36" s="44"/>
      <c r="Y36" s="44"/>
      <c r="Z36" s="44"/>
      <c r="AA36" s="28">
        <f>IF($I36="B1","",SUM(O36:Z36))</f>
        <v>0</v>
      </c>
      <c r="AB36" s="45" t="str">
        <f>IF(AA36=0,"",IFERROR(AA36/AA$19,""))</f>
        <v/>
      </c>
      <c r="AD36" s="28"/>
      <c r="AE36" s="29" t="str">
        <f>IF(AD36=0,"",IFERROR(AD36/AD$19,""))</f>
        <v/>
      </c>
      <c r="AF36" s="48">
        <f>IF(AND($AA36="",AD36=""),"",$AA36-AD36)</f>
        <v>0</v>
      </c>
      <c r="AG36" s="28"/>
      <c r="AH36" s="29" t="str">
        <f>IF(AG36=0,"",IFERROR(AG36/AG$19,""))</f>
        <v/>
      </c>
      <c r="AI36" s="48">
        <f>IF(AND($AA36="",AG36=""),"",$AA36-AG36)</f>
        <v>0</v>
      </c>
      <c r="AJ36" s="371">
        <f>IFERROR(AA36/AA$20,0)</f>
        <v>0</v>
      </c>
      <c r="AK36" s="372">
        <f>IFERROR(AD36/AD$20,0)</f>
        <v>0</v>
      </c>
      <c r="AL36" s="373">
        <f>IFERROR(AG36/AG$20,0)</f>
        <v>0</v>
      </c>
      <c r="AM36" s="374">
        <f>+IFERROR(ROUND(($AB36-AE36)*100,2)&amp;" pts.",0)</f>
        <v>0</v>
      </c>
      <c r="AN36" s="375">
        <f>+IFERROR(ROUND(($AB36-AH36)*100,2)&amp;" pts.",0)</f>
        <v>0</v>
      </c>
    </row>
    <row r="37" spans="1:40" x14ac:dyDescent="0.2">
      <c r="A37" s="1" t="s">
        <v>108</v>
      </c>
      <c r="C37" s="24" t="s">
        <v>101</v>
      </c>
      <c r="D37" s="1" t="s">
        <v>106</v>
      </c>
      <c r="F37" s="1" t="s">
        <v>98</v>
      </c>
      <c r="H37" s="10" t="s">
        <v>75</v>
      </c>
      <c r="I37" s="26" t="s">
        <v>1006</v>
      </c>
      <c r="J37" s="26" t="s">
        <v>78</v>
      </c>
      <c r="K37" s="65" t="str">
        <f>IF(AND(I37&gt;="T3"),"&gt;","")</f>
        <v/>
      </c>
      <c r="L37" s="23"/>
      <c r="M37" s="24"/>
      <c r="N37" s="23" t="s">
        <v>1076</v>
      </c>
      <c r="O37" s="35"/>
      <c r="P37" s="35"/>
      <c r="Q37" s="35"/>
      <c r="R37" s="35"/>
      <c r="S37" s="35"/>
      <c r="T37" s="35"/>
      <c r="U37" s="35"/>
      <c r="V37" s="35"/>
      <c r="W37" s="35"/>
      <c r="X37" s="35"/>
      <c r="Y37" s="35"/>
      <c r="Z37" s="35"/>
      <c r="AA37" s="19" t="str">
        <f>IF($I37="B1","",SUM(O37:Z37))</f>
        <v/>
      </c>
      <c r="AB37" s="36" t="str">
        <f>IF(AA37=0,"",IFERROR(AA37/AA$19,""))</f>
        <v/>
      </c>
      <c r="AD37" s="19"/>
      <c r="AE37" s="15" t="str">
        <f>IF(AD37=0,"",IFERROR(AD37/AD$19,""))</f>
        <v/>
      </c>
      <c r="AF37" s="47" t="str">
        <f>IF(AND($AA37="",AD37=""),"",$AA37-AD37)</f>
        <v/>
      </c>
      <c r="AG37" s="19"/>
      <c r="AH37" s="15" t="str">
        <f>IF(AG37=0,"",IFERROR(AG37/AG$19,""))</f>
        <v/>
      </c>
      <c r="AI37" s="47" t="str">
        <f>IF(AND($AA37="",AG37=""),"",$AA37-AG37)</f>
        <v/>
      </c>
      <c r="AJ37" s="371">
        <f>IFERROR(AA37/AA$20,0)</f>
        <v>0</v>
      </c>
      <c r="AK37" s="372">
        <f>IFERROR(AD37/AD$20,0)</f>
        <v>0</v>
      </c>
      <c r="AL37" s="373">
        <f>IFERROR(AG37/AG$20,0)</f>
        <v>0</v>
      </c>
      <c r="AM37" s="374">
        <f>+IFERROR(ROUND(($AB37-AE37)*100,2)&amp;" pts.",0)</f>
        <v>0</v>
      </c>
      <c r="AN37" s="375">
        <f>+IFERROR(ROUND(($AB37-AH37)*100,2)&amp;" pts.",0)</f>
        <v>0</v>
      </c>
    </row>
    <row r="38" spans="1:40" hidden="1" x14ac:dyDescent="0.2">
      <c r="A38" s="1" t="s">
        <v>100</v>
      </c>
      <c r="C38" s="8" t="s">
        <v>101</v>
      </c>
      <c r="D38" s="1" t="s">
        <v>106</v>
      </c>
      <c r="F38" s="1" t="s">
        <v>98</v>
      </c>
      <c r="H38" s="10" t="s">
        <v>667</v>
      </c>
      <c r="I38" s="25"/>
      <c r="J38" s="25"/>
      <c r="K38" s="64" t="str">
        <f>IF(AND(I38&gt;="T3"),"&gt;","")</f>
        <v/>
      </c>
      <c r="L38" s="24"/>
      <c r="M38" s="24"/>
      <c r="N38" s="24"/>
      <c r="O38" s="44"/>
      <c r="P38" s="44"/>
      <c r="Q38" s="44"/>
      <c r="R38" s="44"/>
      <c r="S38" s="44"/>
      <c r="T38" s="44"/>
      <c r="U38" s="44"/>
      <c r="V38" s="44"/>
      <c r="W38" s="44"/>
      <c r="X38" s="44"/>
      <c r="Y38" s="44"/>
      <c r="Z38" s="44"/>
      <c r="AA38" s="28">
        <f>IF($I38="B1","",SUM(O38:Z38))</f>
        <v>0</v>
      </c>
      <c r="AB38" s="45" t="str">
        <f>IF(AA38=0,"",IFERROR(AA38/AA$19,""))</f>
        <v/>
      </c>
      <c r="AD38" s="28"/>
      <c r="AE38" s="29" t="str">
        <f>IF(AD38=0,"",IFERROR(AD38/AD$19,""))</f>
        <v/>
      </c>
      <c r="AF38" s="48">
        <f>IF(AND($AA38="",AD38=""),"",$AA38-AD38)</f>
        <v>0</v>
      </c>
      <c r="AG38" s="28"/>
      <c r="AH38" s="29" t="str">
        <f>IF(AG38=0,"",IFERROR(AG38/AG$19,""))</f>
        <v/>
      </c>
      <c r="AI38" s="48">
        <f>IF(AND($AA38="",AG38=""),"",$AA38-AG38)</f>
        <v>0</v>
      </c>
      <c r="AJ38" s="381">
        <f>IFERROR(AA38/AA$20,0)</f>
        <v>0</v>
      </c>
      <c r="AK38" s="382">
        <f>IFERROR(AD38/AD$20,0)</f>
        <v>0</v>
      </c>
      <c r="AL38" s="383">
        <f>IFERROR(AG38/AG$20,0)</f>
        <v>0</v>
      </c>
      <c r="AM38" s="384">
        <f>+IFERROR(ROUND(($AB38-AE38)*100,2)&amp;" pts.",0)</f>
        <v>0</v>
      </c>
      <c r="AN38" s="385">
        <f>+IFERROR(ROUND(($AB38-AH38)*100,2)&amp;" pts.",0)</f>
        <v>0</v>
      </c>
    </row>
    <row r="39" spans="1:40" hidden="1" x14ac:dyDescent="0.2">
      <c r="A39" s="1" t="s">
        <v>109</v>
      </c>
      <c r="C39" s="23" t="s">
        <v>101</v>
      </c>
      <c r="D39" s="1" t="s">
        <v>106</v>
      </c>
      <c r="F39" s="1" t="s">
        <v>98</v>
      </c>
      <c r="H39" s="10"/>
      <c r="I39" s="25"/>
      <c r="J39" s="25"/>
      <c r="K39" s="64" t="str">
        <f>IF(AND(I39&gt;="T3"),"&gt;","")</f>
        <v/>
      </c>
      <c r="L39" s="24"/>
      <c r="M39" s="24"/>
      <c r="N39" s="24"/>
      <c r="O39" s="44"/>
      <c r="P39" s="44"/>
      <c r="Q39" s="44"/>
      <c r="R39" s="44"/>
      <c r="S39" s="44"/>
      <c r="T39" s="44"/>
      <c r="U39" s="44"/>
      <c r="V39" s="44"/>
      <c r="W39" s="44"/>
      <c r="X39" s="44"/>
      <c r="Y39" s="44"/>
      <c r="Z39" s="44"/>
      <c r="AA39" s="28">
        <f>IF($I39="B1","",SUM(O39:Z39))</f>
        <v>0</v>
      </c>
      <c r="AB39" s="45" t="str">
        <f>IF(AA39=0,"",IFERROR(AA39/AA$19,""))</f>
        <v/>
      </c>
      <c r="AD39" s="28"/>
      <c r="AE39" s="29" t="str">
        <f>IF(AD39=0,"",IFERROR(AD39/AD$19,""))</f>
        <v/>
      </c>
      <c r="AF39" s="48">
        <f>IF(AND($AA39="",AD39=""),"",$AA39-AD39)</f>
        <v>0</v>
      </c>
      <c r="AG39" s="28"/>
      <c r="AH39" s="29" t="str">
        <f>IF(AG39=0,"",IFERROR(AG39/AG$19,""))</f>
        <v/>
      </c>
      <c r="AI39" s="48">
        <f>IF(AND($AA39="",AG39=""),"",$AA39-AG39)</f>
        <v>0</v>
      </c>
      <c r="AJ39" s="381">
        <f>IFERROR(AA39/AA$20,0)</f>
        <v>0</v>
      </c>
      <c r="AK39" s="382">
        <f>IFERROR(AD39/AD$20,0)</f>
        <v>0</v>
      </c>
      <c r="AL39" s="383">
        <f>IFERROR(AG39/AG$20,0)</f>
        <v>0</v>
      </c>
      <c r="AM39" s="384">
        <f>+IFERROR(ROUND(($AB39-AE39)*100,2)&amp;" pts.",0)</f>
        <v>0</v>
      </c>
      <c r="AN39" s="385">
        <f>+IFERROR(ROUND(($AB39-AH39)*100,2)&amp;" pts.",0)</f>
        <v>0</v>
      </c>
    </row>
    <row r="40" spans="1:40" x14ac:dyDescent="0.2">
      <c r="A40" s="1" t="s">
        <v>109</v>
      </c>
      <c r="C40" s="135" t="s">
        <v>101</v>
      </c>
      <c r="D40" s="1" t="s">
        <v>107</v>
      </c>
      <c r="F40" s="1" t="s">
        <v>99</v>
      </c>
      <c r="H40" s="23"/>
      <c r="I40" s="23"/>
      <c r="J40" s="23"/>
      <c r="K40" s="23"/>
      <c r="L40" s="23"/>
      <c r="M40" s="23"/>
      <c r="N40" s="23"/>
      <c r="O40" s="38"/>
      <c r="P40" s="42"/>
      <c r="Q40" s="42"/>
      <c r="R40" s="42"/>
      <c r="S40" s="42"/>
      <c r="T40" s="42"/>
      <c r="U40" s="42"/>
      <c r="V40" s="42"/>
      <c r="W40" s="42"/>
      <c r="X40" s="42"/>
      <c r="Y40" s="42"/>
      <c r="Z40" s="42"/>
      <c r="AA40" s="42"/>
      <c r="AB40" s="39"/>
      <c r="AD40" s="38"/>
      <c r="AE40" s="42"/>
      <c r="AF40" s="39"/>
      <c r="AG40" s="38"/>
      <c r="AH40" s="42"/>
      <c r="AI40" s="39"/>
    </row>
    <row r="41" spans="1:40" x14ac:dyDescent="0.2">
      <c r="A41" s="1" t="s">
        <v>110</v>
      </c>
      <c r="C41" s="23" t="s">
        <v>101</v>
      </c>
      <c r="D41" s="1" t="s">
        <v>106</v>
      </c>
      <c r="F41" s="1" t="s">
        <v>98</v>
      </c>
      <c r="H41" s="1" t="s">
        <v>82</v>
      </c>
      <c r="I41" s="11" t="s">
        <v>1006</v>
      </c>
      <c r="J41" s="11" t="s">
        <v>78</v>
      </c>
      <c r="L41" s="1"/>
      <c r="M41" s="1"/>
      <c r="N41" s="37" t="s">
        <v>1087</v>
      </c>
      <c r="O41" s="40"/>
      <c r="P41" s="43"/>
      <c r="Q41" s="43"/>
      <c r="R41" s="43"/>
      <c r="S41" s="43"/>
      <c r="T41" s="43"/>
      <c r="U41" s="43"/>
      <c r="V41" s="43"/>
      <c r="W41" s="43"/>
      <c r="X41" s="43"/>
      <c r="Y41" s="43"/>
      <c r="Z41" s="43"/>
      <c r="AA41" s="43"/>
      <c r="AB41" s="41"/>
      <c r="AD41" s="40"/>
      <c r="AE41" s="43"/>
      <c r="AF41" s="41"/>
      <c r="AG41" s="40"/>
      <c r="AH41" s="43"/>
      <c r="AI41" s="41"/>
    </row>
    <row r="42" spans="1:40" hidden="1" x14ac:dyDescent="0.2">
      <c r="A42" s="1" t="s">
        <v>110</v>
      </c>
      <c r="C42" s="27" t="s">
        <v>101</v>
      </c>
      <c r="D42" s="1" t="s">
        <v>107</v>
      </c>
      <c r="F42" s="1" t="s">
        <v>99</v>
      </c>
      <c r="H42" s="10" t="s">
        <v>667</v>
      </c>
      <c r="I42" s="25"/>
      <c r="J42" s="25"/>
      <c r="K42" s="64" t="str">
        <f>IF(AND(I42&gt;="T3"),"&gt;","")</f>
        <v/>
      </c>
      <c r="L42" s="24"/>
      <c r="M42" s="24"/>
      <c r="N42" s="24"/>
      <c r="O42" s="19"/>
      <c r="P42" s="19"/>
      <c r="Q42" s="19"/>
      <c r="R42" s="19"/>
      <c r="S42" s="19"/>
      <c r="T42" s="19"/>
      <c r="U42" s="19"/>
      <c r="V42" s="19"/>
      <c r="W42" s="19"/>
      <c r="X42" s="19"/>
      <c r="Y42" s="19"/>
      <c r="Z42" s="19"/>
      <c r="AA42" s="19">
        <f>IF($I42="B1","",SUM(O42:Z42))</f>
        <v>0</v>
      </c>
      <c r="AB42" s="15" t="str">
        <f>IF(AA42=0,"",IFERROR(AA42/AA$19,""))</f>
        <v/>
      </c>
      <c r="AD42" s="19"/>
      <c r="AE42" s="15" t="str">
        <f>IF(AD42=0,"",IFERROR(AD42/AD$19,""))</f>
        <v/>
      </c>
      <c r="AF42" s="47">
        <f>IF(AND($AA42="",AD42=""),"",$AA42-AD42)</f>
        <v>0</v>
      </c>
      <c r="AG42" s="19"/>
      <c r="AH42" s="15" t="str">
        <f>IF(AG42=0,"",IFERROR(AG42/AG$19,""))</f>
        <v/>
      </c>
      <c r="AI42" s="47">
        <f>IF(AND($AA42="",AG42=""),"",$AA42-AG42)</f>
        <v>0</v>
      </c>
      <c r="AJ42" s="371">
        <f>IFERROR(AA42/AA$20,0)</f>
        <v>0</v>
      </c>
      <c r="AK42" s="372">
        <f>IFERROR(AD42/AD$20,0)</f>
        <v>0</v>
      </c>
      <c r="AL42" s="373">
        <f>IFERROR(AG42/AG$20,0)</f>
        <v>0</v>
      </c>
      <c r="AM42" s="374">
        <f>+IFERROR(ROUND(($AB42-AE42)*100,2)&amp;" pts.",0)</f>
        <v>0</v>
      </c>
      <c r="AN42" s="375">
        <f>+IFERROR(ROUND(($AB42-AH42)*100,2)&amp;" pts.",0)</f>
        <v>0</v>
      </c>
    </row>
    <row r="43" spans="1:40" hidden="1" x14ac:dyDescent="0.2">
      <c r="C43" s="23"/>
      <c r="H43" s="10"/>
      <c r="I43" s="25"/>
      <c r="J43" s="25"/>
      <c r="K43" s="64" t="str">
        <f>IF(AND(I43&gt;="T3"),"&gt;","")</f>
        <v/>
      </c>
      <c r="L43" s="24"/>
      <c r="M43" s="24"/>
      <c r="N43" s="24"/>
      <c r="O43" s="19"/>
      <c r="P43" s="19"/>
      <c r="Q43" s="19"/>
      <c r="R43" s="19"/>
      <c r="S43" s="19"/>
      <c r="T43" s="19"/>
      <c r="U43" s="19"/>
      <c r="V43" s="19"/>
      <c r="W43" s="19"/>
      <c r="X43" s="19"/>
      <c r="Y43" s="19"/>
      <c r="Z43" s="19"/>
      <c r="AA43" s="19">
        <f>IF($I43="B1","",SUM(O43:Z43))</f>
        <v>0</v>
      </c>
      <c r="AB43" s="15" t="str">
        <f>IF(AA43=0,"",IFERROR(AA43/AA$19,""))</f>
        <v/>
      </c>
      <c r="AD43" s="19"/>
      <c r="AE43" s="15" t="str">
        <f>IF(AD43=0,"",IFERROR(AD43/AD$19,""))</f>
        <v/>
      </c>
      <c r="AF43" s="47">
        <f>IF(AND($AA43="",AD43=""),"",$AA43-AD43)</f>
        <v>0</v>
      </c>
      <c r="AG43" s="19"/>
      <c r="AH43" s="15" t="str">
        <f>IF(AG43=0,"",IFERROR(AG43/AG$19,""))</f>
        <v/>
      </c>
      <c r="AI43" s="47">
        <f>IF(AND($AA43="",AG43=""),"",$AA43-AG43)</f>
        <v>0</v>
      </c>
      <c r="AJ43" s="371">
        <f>IFERROR(AA43/AA$20,0)</f>
        <v>0</v>
      </c>
      <c r="AK43" s="372">
        <f>IFERROR(AD43/AD$20,0)</f>
        <v>0</v>
      </c>
      <c r="AL43" s="373">
        <f>IFERROR(AG43/AG$20,0)</f>
        <v>0</v>
      </c>
      <c r="AM43" s="374">
        <f>+IFERROR(ROUND(($AB43-AE43)*100,2)&amp;" pts.",0)</f>
        <v>0</v>
      </c>
      <c r="AN43" s="375">
        <f>+IFERROR(ROUND(($AB43-AH43)*100,2)&amp;" pts.",0)</f>
        <v>0</v>
      </c>
    </row>
    <row r="44" spans="1:40" x14ac:dyDescent="0.2">
      <c r="C44" s="23"/>
      <c r="H44" s="10" t="s">
        <v>79</v>
      </c>
      <c r="I44" s="25" t="s">
        <v>1007</v>
      </c>
      <c r="J44" s="25" t="s">
        <v>78</v>
      </c>
      <c r="K44" s="24"/>
      <c r="N44" s="23" t="s">
        <v>1111</v>
      </c>
      <c r="O44" s="30">
        <f t="shared" ref="O44:Z44" si="0">SUM(O42:O43)</f>
        <v>0</v>
      </c>
      <c r="P44" s="30">
        <f t="shared" si="0"/>
        <v>0</v>
      </c>
      <c r="Q44" s="30">
        <f t="shared" si="0"/>
        <v>0</v>
      </c>
      <c r="R44" s="30">
        <f t="shared" si="0"/>
        <v>0</v>
      </c>
      <c r="S44" s="30">
        <f t="shared" si="0"/>
        <v>0</v>
      </c>
      <c r="T44" s="30">
        <f t="shared" si="0"/>
        <v>0</v>
      </c>
      <c r="U44" s="30">
        <f t="shared" si="0"/>
        <v>0</v>
      </c>
      <c r="V44" s="30">
        <f t="shared" si="0"/>
        <v>0</v>
      </c>
      <c r="W44" s="30">
        <f t="shared" si="0"/>
        <v>0</v>
      </c>
      <c r="X44" s="30">
        <f t="shared" si="0"/>
        <v>0</v>
      </c>
      <c r="Y44" s="30">
        <f t="shared" si="0"/>
        <v>0</v>
      </c>
      <c r="Z44" s="30">
        <f t="shared" si="0"/>
        <v>0</v>
      </c>
      <c r="AA44" s="30">
        <f>IF($I44="B1","",SUM(O44:Z44))</f>
        <v>0</v>
      </c>
      <c r="AB44" s="31" t="str">
        <f>IF(AA44=0,"",IFERROR(AA44/AA$19,""))</f>
        <v/>
      </c>
      <c r="AD44" s="30">
        <f>SUM(AD42:AD43)</f>
        <v>0</v>
      </c>
      <c r="AE44" s="31" t="str">
        <f>IF(AD44=0,"",IFERROR(AD44/AD$19,""))</f>
        <v/>
      </c>
      <c r="AF44" s="49">
        <f>IF(AND($AA44="",AD44=""),"",$AA44-AD44)</f>
        <v>0</v>
      </c>
      <c r="AG44" s="30">
        <f>SUM(AG42:AG43)</f>
        <v>0</v>
      </c>
      <c r="AH44" s="31" t="str">
        <f>IF(AG44=0,"",IFERROR(AG44/AG$19,""))</f>
        <v/>
      </c>
      <c r="AI44" s="49">
        <f>IF(AND($AA44="",AG44=""),"",$AA44-AG44)</f>
        <v>0</v>
      </c>
      <c r="AJ44" s="387">
        <f>IFERROR(AA44/AA$20,0)</f>
        <v>0</v>
      </c>
      <c r="AK44" s="388">
        <f>IFERROR(AD44/AD$20,0)</f>
        <v>0</v>
      </c>
      <c r="AL44" s="389">
        <f>IFERROR(AG44/AG$20,0)</f>
        <v>0</v>
      </c>
      <c r="AM44" s="390">
        <f>+IFERROR(ROUND(($AB44-AE44)*100,2)&amp;" pts.",0)</f>
        <v>0</v>
      </c>
      <c r="AN44" s="408">
        <f>+IFERROR(ROUND(($AB44-AH44)*100,2)&amp;" pts.",0)</f>
        <v>0</v>
      </c>
    </row>
    <row r="45" spans="1:40" x14ac:dyDescent="0.2">
      <c r="A45" s="4" t="s">
        <v>989</v>
      </c>
      <c r="B45" s="1" t="s">
        <v>740</v>
      </c>
      <c r="C45" s="23"/>
      <c r="O45" s="50"/>
      <c r="AB45" s="51"/>
      <c r="AD45" s="50"/>
      <c r="AF45" s="51"/>
      <c r="AG45" s="50"/>
      <c r="AI45" s="51"/>
    </row>
    <row r="46" spans="1:40" x14ac:dyDescent="0.2">
      <c r="C46" s="23"/>
      <c r="H46" s="10" t="s">
        <v>80</v>
      </c>
      <c r="I46" s="25" t="s">
        <v>1007</v>
      </c>
      <c r="J46" s="25" t="s">
        <v>78</v>
      </c>
      <c r="K46" s="23"/>
      <c r="N46" s="23" t="s">
        <v>1112</v>
      </c>
      <c r="O46" s="145">
        <f t="shared" ref="O46:Z46" si="1">SUMIF($H$33:$H$45,"600000",O$33:O$45)+SUMIF($H$33:$H$45,"700000",O$33:O$45)</f>
        <v>0</v>
      </c>
      <c r="P46" s="145">
        <f t="shared" si="1"/>
        <v>0</v>
      </c>
      <c r="Q46" s="145">
        <f t="shared" si="1"/>
        <v>0</v>
      </c>
      <c r="R46" s="145">
        <f t="shared" si="1"/>
        <v>0</v>
      </c>
      <c r="S46" s="145">
        <f t="shared" si="1"/>
        <v>0</v>
      </c>
      <c r="T46" s="145">
        <f t="shared" si="1"/>
        <v>0</v>
      </c>
      <c r="U46" s="145">
        <f t="shared" si="1"/>
        <v>0</v>
      </c>
      <c r="V46" s="145">
        <f t="shared" si="1"/>
        <v>0</v>
      </c>
      <c r="W46" s="145">
        <f t="shared" si="1"/>
        <v>0</v>
      </c>
      <c r="X46" s="145">
        <f t="shared" si="1"/>
        <v>0</v>
      </c>
      <c r="Y46" s="145">
        <f t="shared" si="1"/>
        <v>0</v>
      </c>
      <c r="Z46" s="145">
        <f t="shared" si="1"/>
        <v>0</v>
      </c>
      <c r="AA46" s="145">
        <f>IF($I46="B1","",SUM(O46:Z46))</f>
        <v>0</v>
      </c>
      <c r="AB46" s="156" t="str">
        <f>IF(AA46=0,"",IFERROR(AA46/AA$19,""))</f>
        <v/>
      </c>
      <c r="AD46" s="145">
        <f>SUMIF($H$33:$H$45,"600000",AD$33:AD$45)+SUMIF($H$33:$H$45,"700000",AD$33:AD$45)</f>
        <v>0</v>
      </c>
      <c r="AE46" s="156" t="str">
        <f>IF(AD46=0,"",IFERROR(AD46/AD$19,""))</f>
        <v/>
      </c>
      <c r="AF46" s="146">
        <f>IF(AND($AA46="",AD46=""),"",$AA46-AD46)</f>
        <v>0</v>
      </c>
      <c r="AG46" s="145">
        <f>SUMIF($H$33:$H$45,"600000",AG$33:AG$45)+SUMIF($H$33:$H$45,"700000",AG$33:AG$45)</f>
        <v>0</v>
      </c>
      <c r="AH46" s="156" t="str">
        <f>IF(AG46=0,"",IFERROR(AG46/AG$19,""))</f>
        <v/>
      </c>
      <c r="AI46" s="146">
        <f>IF(AND($AA46="",AG46=""),"",$AA46-AG46)</f>
        <v>0</v>
      </c>
      <c r="AJ46" s="364">
        <f>IFERROR(AA46/AA$20,0)</f>
        <v>0</v>
      </c>
      <c r="AK46" s="365">
        <f>IFERROR(AD46/AD$20,0)</f>
        <v>0</v>
      </c>
      <c r="AL46" s="366">
        <f>IFERROR(AG46/AG$20,0)</f>
        <v>0</v>
      </c>
      <c r="AM46" s="367">
        <f>+IFERROR(ROUND(($AB46-AE46)*100,2)&amp;" pts.",0)</f>
        <v>0</v>
      </c>
      <c r="AN46" s="409">
        <f>+IFERROR(ROUND(($AB46-AH46)*100,2)&amp;" pts.",0)</f>
        <v>0</v>
      </c>
    </row>
    <row r="47" spans="1:40" x14ac:dyDescent="0.2">
      <c r="A47" s="3" t="s">
        <v>0</v>
      </c>
      <c r="B47" s="5" t="s">
        <v>1</v>
      </c>
      <c r="C47" s="23"/>
      <c r="I47" s="1"/>
      <c r="J47" s="1"/>
      <c r="L47" s="1"/>
      <c r="M47" s="1"/>
      <c r="O47" s="50"/>
      <c r="AB47" s="51"/>
      <c r="AD47" s="50"/>
      <c r="AF47" s="51"/>
      <c r="AG47" s="50"/>
      <c r="AI47" s="51"/>
    </row>
    <row r="48" spans="1:40" x14ac:dyDescent="0.2">
      <c r="A48" s="6" t="s">
        <v>2</v>
      </c>
      <c r="B48" s="14" t="s">
        <v>1522</v>
      </c>
      <c r="C48" s="23"/>
      <c r="I48" s="1"/>
      <c r="J48" s="1"/>
      <c r="L48" s="1"/>
      <c r="M48" s="1"/>
      <c r="N48" s="37" t="s">
        <v>596</v>
      </c>
      <c r="O48" s="40"/>
      <c r="P48" s="43"/>
      <c r="Q48" s="43"/>
      <c r="R48" s="43"/>
      <c r="S48" s="43"/>
      <c r="T48" s="43"/>
      <c r="U48" s="43"/>
      <c r="V48" s="43"/>
      <c r="W48" s="43"/>
      <c r="X48" s="43"/>
      <c r="Y48" s="43"/>
      <c r="Z48" s="43"/>
      <c r="AA48" s="43"/>
      <c r="AB48" s="41"/>
      <c r="AD48" s="40"/>
      <c r="AE48" s="43"/>
      <c r="AF48" s="41"/>
      <c r="AG48" s="40"/>
      <c r="AH48" s="43"/>
      <c r="AI48" s="41"/>
    </row>
    <row r="49" spans="1:40" x14ac:dyDescent="0.2">
      <c r="A49" s="6" t="s">
        <v>3</v>
      </c>
      <c r="B49" s="14" t="s">
        <v>1523</v>
      </c>
      <c r="C49" s="23"/>
      <c r="H49" s="10" t="s">
        <v>592</v>
      </c>
      <c r="I49" s="25" t="s">
        <v>1004</v>
      </c>
      <c r="J49" s="25" t="s">
        <v>1004</v>
      </c>
      <c r="K49" s="64" t="str">
        <f>IF(AND(I49&gt;="T3"),"&gt;","")</f>
        <v/>
      </c>
      <c r="L49" s="24">
        <v>789110</v>
      </c>
      <c r="M49" s="24">
        <v>690940</v>
      </c>
      <c r="N49" s="24" t="s">
        <v>1528</v>
      </c>
      <c r="O49" s="19"/>
      <c r="P49" s="19"/>
      <c r="Q49" s="19"/>
      <c r="R49" s="19"/>
      <c r="S49" s="19"/>
      <c r="T49" s="19"/>
      <c r="U49" s="19"/>
      <c r="V49" s="19"/>
      <c r="W49" s="19"/>
      <c r="X49" s="19"/>
      <c r="Y49" s="19"/>
      <c r="Z49" s="19"/>
      <c r="AA49" s="19">
        <f>IF($I49="B1","",SUM(O49:Z49))</f>
        <v>0</v>
      </c>
      <c r="AB49" s="15" t="str">
        <f>IF(AA49=0,"",IFERROR(AA49/AA$19,""))</f>
        <v/>
      </c>
      <c r="AD49" s="19"/>
      <c r="AE49" s="15" t="str">
        <f>IF(AD49=0,"",IFERROR(AD49/AD$19,""))</f>
        <v/>
      </c>
      <c r="AF49" s="47">
        <f>IF(AND($AA49="",AD49=""),"",$AA49-AD49)</f>
        <v>0</v>
      </c>
      <c r="AG49" s="19"/>
      <c r="AH49" s="15" t="str">
        <f>IF(AG49=0,"",IFERROR(AG49/AG$19,""))</f>
        <v/>
      </c>
      <c r="AI49" s="47">
        <f>IF(AND($AA49="",AG49=""),"",$AA49-AG49)</f>
        <v>0</v>
      </c>
      <c r="AJ49" s="371">
        <f>IFERROR(AA49/AA$20,0)</f>
        <v>0</v>
      </c>
      <c r="AK49" s="372">
        <f>IFERROR(AD49/AD$20,0)</f>
        <v>0</v>
      </c>
      <c r="AL49" s="373">
        <f>IFERROR(AG49/AG$20,0)</f>
        <v>0</v>
      </c>
      <c r="AM49" s="374">
        <f>+IFERROR(ROUND(($AB49-AE49)*100,2)&amp;" pts.",0)</f>
        <v>0</v>
      </c>
      <c r="AN49" s="375">
        <f>+IFERROR(ROUND(($AB49-AH49)*100,2)&amp;" pts.",0)</f>
        <v>0</v>
      </c>
    </row>
    <row r="50" spans="1:40" x14ac:dyDescent="0.2">
      <c r="A50" s="6" t="s">
        <v>4</v>
      </c>
      <c r="B50" s="14" t="s">
        <v>1530</v>
      </c>
      <c r="C50" s="23"/>
      <c r="H50" s="10" t="s">
        <v>593</v>
      </c>
      <c r="I50" s="25" t="s">
        <v>1004</v>
      </c>
      <c r="J50" s="25" t="s">
        <v>1004</v>
      </c>
      <c r="L50" s="24">
        <v>789115</v>
      </c>
      <c r="M50" s="24">
        <v>690938</v>
      </c>
      <c r="N50" s="24" t="s">
        <v>1529</v>
      </c>
      <c r="O50" s="19"/>
      <c r="P50" s="19"/>
      <c r="Q50" s="19"/>
      <c r="R50" s="19"/>
      <c r="S50" s="19"/>
      <c r="T50" s="19"/>
      <c r="U50" s="19"/>
      <c r="V50" s="19"/>
      <c r="W50" s="19"/>
      <c r="X50" s="19"/>
      <c r="Y50" s="19"/>
      <c r="Z50" s="19"/>
      <c r="AA50" s="19">
        <f>IF($I50="B1","",SUM(O50:Z50))</f>
        <v>0</v>
      </c>
      <c r="AB50" s="15" t="str">
        <f>IF(AA50=0,"",IFERROR(AA50/AA$19,""))</f>
        <v/>
      </c>
      <c r="AD50" s="19"/>
      <c r="AE50" s="15" t="str">
        <f>IF(AD50=0,"",IFERROR(AD50/AD$19,""))</f>
        <v/>
      </c>
      <c r="AF50" s="47">
        <f>IF(AND($AA50="",AD50=""),"",$AA50-AD50)</f>
        <v>0</v>
      </c>
      <c r="AG50" s="19"/>
      <c r="AH50" s="15" t="str">
        <f>IF(AG50=0,"",IFERROR(AG50/AG$19,""))</f>
        <v/>
      </c>
      <c r="AI50" s="47">
        <f>IF(AND($AA50="",AG50=""),"",$AA50-AG50)</f>
        <v>0</v>
      </c>
      <c r="AJ50" s="381">
        <f>IFERROR(AA50/AA$20,0)</f>
        <v>0</v>
      </c>
      <c r="AK50" s="382">
        <f>IFERROR(AD50/AD$20,0)</f>
        <v>0</v>
      </c>
      <c r="AL50" s="383">
        <f>IFERROR(AG50/AG$20,0)</f>
        <v>0</v>
      </c>
      <c r="AM50" s="384">
        <f>+IFERROR(ROUND(($AB50-AE50)*100,2)&amp;" pts.",0)</f>
        <v>0</v>
      </c>
      <c r="AN50" s="385">
        <f>+IFERROR(ROUND(($AB50-AH50)*100,2)&amp;" pts.",0)</f>
        <v>0</v>
      </c>
    </row>
    <row r="51" spans="1:40" x14ac:dyDescent="0.2">
      <c r="A51" s="6" t="s">
        <v>5</v>
      </c>
      <c r="B51" s="7"/>
      <c r="C51" s="23"/>
      <c r="N51" s="23" t="s">
        <v>557</v>
      </c>
      <c r="O51" s="30">
        <f t="shared" ref="O51:Z51" si="2">SUM(O49:O50)</f>
        <v>0</v>
      </c>
      <c r="P51" s="30">
        <f t="shared" si="2"/>
        <v>0</v>
      </c>
      <c r="Q51" s="30">
        <f t="shared" si="2"/>
        <v>0</v>
      </c>
      <c r="R51" s="30">
        <f t="shared" si="2"/>
        <v>0</v>
      </c>
      <c r="S51" s="30">
        <f t="shared" si="2"/>
        <v>0</v>
      </c>
      <c r="T51" s="30">
        <f t="shared" si="2"/>
        <v>0</v>
      </c>
      <c r="U51" s="30">
        <f t="shared" si="2"/>
        <v>0</v>
      </c>
      <c r="V51" s="30">
        <f t="shared" si="2"/>
        <v>0</v>
      </c>
      <c r="W51" s="30">
        <f t="shared" si="2"/>
        <v>0</v>
      </c>
      <c r="X51" s="30">
        <f t="shared" si="2"/>
        <v>0</v>
      </c>
      <c r="Y51" s="30">
        <f t="shared" si="2"/>
        <v>0</v>
      </c>
      <c r="Z51" s="30">
        <f t="shared" si="2"/>
        <v>0</v>
      </c>
      <c r="AA51" s="30">
        <f>IF($I51="B1","",SUM(O51:Z51))</f>
        <v>0</v>
      </c>
      <c r="AB51" s="31" t="str">
        <f>IF(AA51=0,"",IFERROR(AA51/AA$19,""))</f>
        <v/>
      </c>
      <c r="AD51" s="30">
        <f>SUM(AD49:AD50)</f>
        <v>0</v>
      </c>
      <c r="AE51" s="31" t="str">
        <f>IF(AD51=0,"",IFERROR(AD51/AD$19,""))</f>
        <v/>
      </c>
      <c r="AF51" s="49">
        <f>IF(AND($AA51="",AD51=""),"",$AA51-AD51)</f>
        <v>0</v>
      </c>
      <c r="AG51" s="30">
        <f>SUM(AG49:AG50)</f>
        <v>0</v>
      </c>
      <c r="AH51" s="31" t="str">
        <f>IF(AG51=0,"",IFERROR(AG51/AG$19,""))</f>
        <v/>
      </c>
      <c r="AI51" s="49">
        <f>IF(AND($AA51="",AG51=""),"",$AA51-AG51)</f>
        <v>0</v>
      </c>
      <c r="AJ51" s="387">
        <f>IFERROR(AA51/AA$20,0)</f>
        <v>0</v>
      </c>
      <c r="AK51" s="388">
        <f>IFERROR(AD51/AD$20,0)</f>
        <v>0</v>
      </c>
      <c r="AL51" s="389">
        <f>IFERROR(AG51/AG$20,0)</f>
        <v>0</v>
      </c>
      <c r="AM51" s="390">
        <f>+IFERROR(ROUND(($AB51-AE51)*100,2)&amp;" pts.",0)</f>
        <v>0</v>
      </c>
      <c r="AN51" s="408">
        <f>+IFERROR(ROUND(($AB51-AH51)*100,2)&amp;" pts.",0)</f>
        <v>0</v>
      </c>
    </row>
    <row r="52" spans="1:40" x14ac:dyDescent="0.2">
      <c r="A52" s="6" t="s">
        <v>6</v>
      </c>
      <c r="B52" s="7"/>
      <c r="C52" s="23"/>
      <c r="N52" s="23"/>
      <c r="O52" s="40"/>
      <c r="P52" s="43"/>
      <c r="Q52" s="43"/>
      <c r="R52" s="43"/>
      <c r="S52" s="43"/>
      <c r="T52" s="43"/>
      <c r="U52" s="43"/>
      <c r="V52" s="43"/>
      <c r="W52" s="43"/>
      <c r="X52" s="43"/>
      <c r="Y52" s="43"/>
      <c r="Z52" s="43"/>
      <c r="AA52" s="43"/>
      <c r="AB52" s="41"/>
      <c r="AD52" s="40"/>
      <c r="AE52" s="43"/>
      <c r="AF52" s="41"/>
      <c r="AG52" s="40"/>
      <c r="AH52" s="43"/>
      <c r="AI52" s="41"/>
    </row>
    <row r="53" spans="1:40" ht="16" thickBot="1" x14ac:dyDescent="0.25">
      <c r="A53" s="6" t="s">
        <v>7</v>
      </c>
      <c r="B53" s="7"/>
      <c r="C53" s="23"/>
      <c r="N53" s="23" t="s">
        <v>556</v>
      </c>
      <c r="O53" s="58">
        <f t="shared" ref="O53:Z53" si="3">O46+O51</f>
        <v>0</v>
      </c>
      <c r="P53" s="58">
        <f t="shared" si="3"/>
        <v>0</v>
      </c>
      <c r="Q53" s="58">
        <f t="shared" si="3"/>
        <v>0</v>
      </c>
      <c r="R53" s="58">
        <f t="shared" si="3"/>
        <v>0</v>
      </c>
      <c r="S53" s="58">
        <f t="shared" si="3"/>
        <v>0</v>
      </c>
      <c r="T53" s="58">
        <f t="shared" si="3"/>
        <v>0</v>
      </c>
      <c r="U53" s="58">
        <f t="shared" si="3"/>
        <v>0</v>
      </c>
      <c r="V53" s="58">
        <f t="shared" si="3"/>
        <v>0</v>
      </c>
      <c r="W53" s="58">
        <f t="shared" si="3"/>
        <v>0</v>
      </c>
      <c r="X53" s="58">
        <f t="shared" si="3"/>
        <v>0</v>
      </c>
      <c r="Y53" s="58">
        <f t="shared" si="3"/>
        <v>0</v>
      </c>
      <c r="Z53" s="58">
        <f t="shared" si="3"/>
        <v>0</v>
      </c>
      <c r="AA53" s="58">
        <f>IF($I53="B1","",SUM(O53:Z53))</f>
        <v>0</v>
      </c>
      <c r="AB53" s="59" t="str">
        <f>IF(AA53=0,"",IFERROR(AA53/AA$19,""))</f>
        <v/>
      </c>
      <c r="AD53" s="58">
        <f>AD46+AD51</f>
        <v>0</v>
      </c>
      <c r="AE53" s="59" t="str">
        <f>IF(AD53=0,"",IFERROR(AD53/AD$19,""))</f>
        <v/>
      </c>
      <c r="AF53" s="60">
        <f>IF(AND($AA53="",AD53=""),"",$AA53-AD53)</f>
        <v>0</v>
      </c>
      <c r="AG53" s="58">
        <f>AG46+AG51</f>
        <v>0</v>
      </c>
      <c r="AH53" s="59" t="str">
        <f>IF(AG53=0,"",IFERROR(AG53/AG$19,""))</f>
        <v/>
      </c>
      <c r="AI53" s="60">
        <f>IF(AND($AA53="",AG53=""),"",$AA53-AG53)</f>
        <v>0</v>
      </c>
      <c r="AJ53" s="402">
        <f>IFERROR(AA53/AA$20,0)</f>
        <v>0</v>
      </c>
      <c r="AK53" s="403">
        <f>IFERROR(AD53/AD$20,0)</f>
        <v>0</v>
      </c>
      <c r="AL53" s="404">
        <f>IFERROR(AG53/AG$20,0)</f>
        <v>0</v>
      </c>
      <c r="AM53" s="405">
        <f>+IFERROR(ROUND(($AB53-AE53)*100,2)&amp;" pts.",0)</f>
        <v>0</v>
      </c>
      <c r="AN53" s="410">
        <f>+IFERROR(ROUND(($AB53-AH53)*100,2)&amp;" pts.",0)</f>
        <v>0</v>
      </c>
    </row>
    <row r="54" spans="1:40" ht="16" thickTop="1" x14ac:dyDescent="0.2">
      <c r="A54" s="6" t="s">
        <v>47</v>
      </c>
      <c r="B54" s="14" t="s">
        <v>1526</v>
      </c>
      <c r="C54" s="23"/>
      <c r="O54" s="38"/>
      <c r="P54" s="42"/>
      <c r="Q54" s="42"/>
      <c r="R54" s="42"/>
      <c r="S54" s="42"/>
      <c r="T54" s="42"/>
      <c r="U54" s="42"/>
      <c r="V54" s="42"/>
      <c r="W54" s="42"/>
      <c r="X54" s="42"/>
      <c r="Y54" s="42"/>
      <c r="Z54" s="42"/>
      <c r="AA54" s="42"/>
      <c r="AB54" s="39"/>
      <c r="AD54" s="38"/>
      <c r="AE54" s="42"/>
      <c r="AF54" s="39"/>
      <c r="AG54" s="38"/>
      <c r="AH54" s="42"/>
      <c r="AI54" s="39"/>
    </row>
    <row r="55" spans="1:40" x14ac:dyDescent="0.2">
      <c r="A55" s="6" t="s">
        <v>8</v>
      </c>
      <c r="B55" s="7"/>
      <c r="C55" s="23"/>
      <c r="N55" s="37" t="s">
        <v>595</v>
      </c>
      <c r="O55" s="40"/>
      <c r="P55" s="43"/>
      <c r="Q55" s="43"/>
      <c r="R55" s="43"/>
      <c r="S55" s="43"/>
      <c r="T55" s="43"/>
      <c r="U55" s="43"/>
      <c r="V55" s="43"/>
      <c r="W55" s="43"/>
      <c r="X55" s="43"/>
      <c r="Y55" s="43"/>
      <c r="Z55" s="43"/>
      <c r="AA55" s="43"/>
      <c r="AB55" s="41"/>
      <c r="AD55" s="40"/>
      <c r="AE55" s="43"/>
      <c r="AF55" s="41"/>
      <c r="AG55" s="40"/>
      <c r="AH55" s="43"/>
      <c r="AI55" s="41"/>
    </row>
    <row r="56" spans="1:40" hidden="1" x14ac:dyDescent="0.2">
      <c r="C56" s="23"/>
      <c r="H56" s="133" t="s">
        <v>667</v>
      </c>
      <c r="I56" s="25"/>
      <c r="J56" s="25"/>
      <c r="K56" s="24"/>
      <c r="L56" s="24"/>
      <c r="M56" s="24"/>
      <c r="N56" s="24"/>
      <c r="O56" s="19"/>
      <c r="P56" s="19"/>
      <c r="Q56" s="19"/>
      <c r="R56" s="19"/>
      <c r="S56" s="19"/>
      <c r="T56" s="19"/>
      <c r="U56" s="19"/>
      <c r="V56" s="19"/>
      <c r="W56" s="19"/>
      <c r="X56" s="19"/>
      <c r="Y56" s="19"/>
      <c r="Z56" s="19"/>
      <c r="AA56" s="19">
        <f>IF($I56="B1","",SUM(O56:Z56))</f>
        <v>0</v>
      </c>
      <c r="AB56" s="15" t="str">
        <f>IF(AA56=0,"",IFERROR(AA56/AA$19,""))</f>
        <v/>
      </c>
      <c r="AD56" s="19"/>
      <c r="AE56" s="15" t="str">
        <f>IF(AD56=0,"",IFERROR(AD56/AD$19,""))</f>
        <v/>
      </c>
      <c r="AF56" s="47">
        <f>IF(AND($AA56="",AD56=""),"",$AA56-AD56)</f>
        <v>0</v>
      </c>
      <c r="AG56" s="19"/>
      <c r="AH56" s="15" t="str">
        <f>IF(AG56=0,"",IFERROR(AG56/AG$19,""))</f>
        <v/>
      </c>
      <c r="AI56" s="47">
        <f>IF(AND($AA56="",AG56=""),"",$AA56-AG56)</f>
        <v>0</v>
      </c>
      <c r="AJ56" s="371">
        <f>IFERROR(AA56/AA$20,0)</f>
        <v>0</v>
      </c>
      <c r="AK56" s="372">
        <f>IFERROR(AD56/AD$20,0)</f>
        <v>0</v>
      </c>
      <c r="AL56" s="373">
        <f>IFERROR(AG56/AG$20,0)</f>
        <v>0</v>
      </c>
      <c r="AM56" s="374">
        <f>+IFERROR(ROUND(($AB56-AE56)*100,2)&amp;" pts.",0)</f>
        <v>0</v>
      </c>
      <c r="AN56" s="375">
        <f>+IFERROR(ROUND(($AB56-AH56)*100,2)&amp;" pts.",0)</f>
        <v>0</v>
      </c>
    </row>
    <row r="57" spans="1:40" hidden="1" x14ac:dyDescent="0.2">
      <c r="C57" s="23"/>
      <c r="H57" s="133"/>
      <c r="I57" s="25"/>
      <c r="J57" s="25"/>
      <c r="K57" s="24"/>
      <c r="L57" s="24"/>
      <c r="M57" s="24"/>
      <c r="N57" s="24"/>
      <c r="O57" s="19"/>
      <c r="P57" s="19"/>
      <c r="Q57" s="19"/>
      <c r="R57" s="19"/>
      <c r="S57" s="19"/>
      <c r="T57" s="19"/>
      <c r="U57" s="19"/>
      <c r="V57" s="19"/>
      <c r="W57" s="19"/>
      <c r="X57" s="19"/>
      <c r="Y57" s="19"/>
      <c r="Z57" s="19"/>
      <c r="AA57" s="19">
        <f>IF($I57="B1","",SUM(O57:Z57))</f>
        <v>0</v>
      </c>
      <c r="AB57" s="15" t="str">
        <f>IF(AA57=0,"",IFERROR(AA57/AA$19,""))</f>
        <v/>
      </c>
      <c r="AD57" s="19"/>
      <c r="AE57" s="15" t="str">
        <f>IF(AD57=0,"",IFERROR(AD57/AD$19,""))</f>
        <v/>
      </c>
      <c r="AF57" s="47">
        <f>IF(AND($AA57="",AD57=""),"",$AA57-AD57)</f>
        <v>0</v>
      </c>
      <c r="AG57" s="19"/>
      <c r="AH57" s="15" t="str">
        <f>IF(AG57=0,"",IFERROR(AG57/AG$19,""))</f>
        <v/>
      </c>
      <c r="AI57" s="47">
        <f>IF(AND($AA57="",AG57=""),"",$AA57-AG57)</f>
        <v>0</v>
      </c>
      <c r="AJ57" s="371">
        <f>IFERROR(AA57/AA$20,0)</f>
        <v>0</v>
      </c>
      <c r="AK57" s="372">
        <f>IFERROR(AD57/AD$20,0)</f>
        <v>0</v>
      </c>
      <c r="AL57" s="373">
        <f>IFERROR(AG57/AG$20,0)</f>
        <v>0</v>
      </c>
      <c r="AM57" s="374">
        <f>+IFERROR(ROUND(($AB57-AE57)*100,2)&amp;" pts.",0)</f>
        <v>0</v>
      </c>
      <c r="AN57" s="375">
        <f>+IFERROR(ROUND(($AB57-AH57)*100,2)&amp;" pts.",0)</f>
        <v>0</v>
      </c>
    </row>
    <row r="58" spans="1:40" x14ac:dyDescent="0.2">
      <c r="A58" s="4" t="s">
        <v>989</v>
      </c>
      <c r="H58" s="11"/>
      <c r="J58" s="1"/>
      <c r="N58" s="23" t="s">
        <v>555</v>
      </c>
      <c r="O58" s="30">
        <f t="shared" ref="O58:Z58" si="4">SUM(O56:O57)</f>
        <v>0</v>
      </c>
      <c r="P58" s="30">
        <f t="shared" si="4"/>
        <v>0</v>
      </c>
      <c r="Q58" s="30">
        <f t="shared" si="4"/>
        <v>0</v>
      </c>
      <c r="R58" s="30">
        <f t="shared" si="4"/>
        <v>0</v>
      </c>
      <c r="S58" s="30">
        <f t="shared" si="4"/>
        <v>0</v>
      </c>
      <c r="T58" s="30">
        <f t="shared" si="4"/>
        <v>0</v>
      </c>
      <c r="U58" s="30">
        <f t="shared" si="4"/>
        <v>0</v>
      </c>
      <c r="V58" s="30">
        <f t="shared" si="4"/>
        <v>0</v>
      </c>
      <c r="W58" s="30">
        <f t="shared" si="4"/>
        <v>0</v>
      </c>
      <c r="X58" s="30">
        <f t="shared" si="4"/>
        <v>0</v>
      </c>
      <c r="Y58" s="30">
        <f t="shared" si="4"/>
        <v>0</v>
      </c>
      <c r="Z58" s="30">
        <f t="shared" si="4"/>
        <v>0</v>
      </c>
      <c r="AA58" s="30">
        <f>IF($I58="B1","",SUM(O58:Z58))</f>
        <v>0</v>
      </c>
      <c r="AB58" s="31" t="str">
        <f>IF(AA58=0,"",IFERROR(AA58/AA$19,""))</f>
        <v/>
      </c>
      <c r="AD58" s="30">
        <f>SUM(AD56:AD57)</f>
        <v>0</v>
      </c>
      <c r="AE58" s="31" t="str">
        <f>IF(AD58=0,"",IFERROR(AD58/AD$19,""))</f>
        <v/>
      </c>
      <c r="AF58" s="49">
        <f>IF(AND($AA58="",AD58=""),"",$AA58-AD58)</f>
        <v>0</v>
      </c>
      <c r="AG58" s="30">
        <f>SUM(AG56:AG57)</f>
        <v>0</v>
      </c>
      <c r="AH58" s="31" t="str">
        <f>IF(AG58=0,"",IFERROR(AG58/AG$19,""))</f>
        <v/>
      </c>
      <c r="AI58" s="49">
        <f>IF(AND($AA58="",AG58=""),"",$AA58-AG58)</f>
        <v>0</v>
      </c>
      <c r="AJ58" s="387">
        <f>IFERROR(AA58/AA$20,0)</f>
        <v>0</v>
      </c>
      <c r="AK58" s="388">
        <f>IFERROR(AD58/AD$20,0)</f>
        <v>0</v>
      </c>
      <c r="AL58" s="389">
        <f>IFERROR(AG58/AG$20,0)</f>
        <v>0</v>
      </c>
      <c r="AM58" s="390">
        <f>+IFERROR(ROUND(($AB58-AE58)*100,2)&amp;" pts.",0)</f>
        <v>0</v>
      </c>
      <c r="AN58" s="408">
        <f>+IFERROR(ROUND(($AB58-AH58)*100,2)&amp;" pts.",0)</f>
        <v>0</v>
      </c>
    </row>
    <row r="59" spans="1:40" x14ac:dyDescent="0.2">
      <c r="H59" s="11"/>
      <c r="J59" s="1"/>
      <c r="O59" s="40"/>
      <c r="P59" s="43"/>
      <c r="Q59" s="43"/>
      <c r="R59" s="43"/>
      <c r="S59" s="43"/>
      <c r="T59" s="43"/>
      <c r="U59" s="43"/>
      <c r="V59" s="43"/>
      <c r="W59" s="43"/>
      <c r="X59" s="43"/>
      <c r="Y59" s="43"/>
      <c r="Z59" s="43"/>
      <c r="AA59" s="43"/>
      <c r="AB59" s="41"/>
      <c r="AD59" s="40"/>
      <c r="AE59" s="43"/>
      <c r="AF59" s="41"/>
      <c r="AG59" s="40"/>
      <c r="AH59" s="43"/>
      <c r="AI59" s="41"/>
    </row>
    <row r="60" spans="1:40" ht="16" thickBot="1" x14ac:dyDescent="0.25">
      <c r="A60" s="3" t="s">
        <v>0</v>
      </c>
      <c r="B60" s="5" t="s">
        <v>1</v>
      </c>
      <c r="H60" s="11"/>
      <c r="J60" s="1"/>
      <c r="N60" s="23" t="s">
        <v>558</v>
      </c>
      <c r="O60" s="58">
        <f t="shared" ref="O60:Z60" si="5">O53+O58</f>
        <v>0</v>
      </c>
      <c r="P60" s="58">
        <f t="shared" si="5"/>
        <v>0</v>
      </c>
      <c r="Q60" s="58">
        <f t="shared" si="5"/>
        <v>0</v>
      </c>
      <c r="R60" s="58">
        <f t="shared" si="5"/>
        <v>0</v>
      </c>
      <c r="S60" s="58">
        <f t="shared" si="5"/>
        <v>0</v>
      </c>
      <c r="T60" s="58">
        <f t="shared" si="5"/>
        <v>0</v>
      </c>
      <c r="U60" s="58">
        <f t="shared" si="5"/>
        <v>0</v>
      </c>
      <c r="V60" s="58">
        <f t="shared" si="5"/>
        <v>0</v>
      </c>
      <c r="W60" s="58">
        <f t="shared" si="5"/>
        <v>0</v>
      </c>
      <c r="X60" s="58">
        <f t="shared" si="5"/>
        <v>0</v>
      </c>
      <c r="Y60" s="58">
        <f t="shared" si="5"/>
        <v>0</v>
      </c>
      <c r="Z60" s="58">
        <f t="shared" si="5"/>
        <v>0</v>
      </c>
      <c r="AA60" s="58">
        <f>IF($I60="B1","",SUM(O60:Z60))</f>
        <v>0</v>
      </c>
      <c r="AB60" s="59" t="str">
        <f>IF(AA60=0,"",IFERROR(AA60/AA$19,""))</f>
        <v/>
      </c>
      <c r="AD60" s="58">
        <f>AD53+AD58</f>
        <v>0</v>
      </c>
      <c r="AE60" s="59" t="str">
        <f>IF(AD60=0,"",IFERROR(AD60/AD$19,""))</f>
        <v/>
      </c>
      <c r="AF60" s="60">
        <f>IF(AND($AA60="",AD60=""),"",$AA60-AD60)</f>
        <v>0</v>
      </c>
      <c r="AG60" s="58">
        <f>AG53+AG58</f>
        <v>0</v>
      </c>
      <c r="AH60" s="59" t="str">
        <f>IF(AG60=0,"",IFERROR(AG60/AG$19,""))</f>
        <v/>
      </c>
      <c r="AI60" s="60">
        <f>IF(AND($AA60="",AG60=""),"",$AA60-AG60)</f>
        <v>0</v>
      </c>
    </row>
    <row r="61" spans="1:40" ht="16" thickTop="1" x14ac:dyDescent="0.2">
      <c r="A61" s="6" t="s">
        <v>2</v>
      </c>
      <c r="B61" s="14" t="s">
        <v>1522</v>
      </c>
      <c r="H61" s="11"/>
      <c r="J61" s="1"/>
    </row>
    <row r="62" spans="1:40" x14ac:dyDescent="0.2">
      <c r="A62" s="6" t="s">
        <v>3</v>
      </c>
      <c r="B62" s="14" t="s">
        <v>1523</v>
      </c>
      <c r="H62" s="11"/>
      <c r="J62" s="1"/>
    </row>
    <row r="63" spans="1:40" x14ac:dyDescent="0.2">
      <c r="A63" s="6" t="s">
        <v>4</v>
      </c>
      <c r="B63" s="14" t="s">
        <v>1531</v>
      </c>
      <c r="H63" s="10" t="s">
        <v>56</v>
      </c>
      <c r="I63" s="25" t="s">
        <v>1005</v>
      </c>
      <c r="J63" s="25" t="s">
        <v>78</v>
      </c>
      <c r="K63" s="23"/>
      <c r="N63" s="23" t="s">
        <v>666</v>
      </c>
      <c r="O63" s="124">
        <v>0</v>
      </c>
      <c r="P63" s="124">
        <v>0</v>
      </c>
      <c r="Q63" s="124">
        <v>0</v>
      </c>
      <c r="R63" s="124">
        <v>0</v>
      </c>
      <c r="S63" s="124">
        <v>0</v>
      </c>
      <c r="T63" s="124">
        <v>0</v>
      </c>
      <c r="U63" s="124">
        <v>0</v>
      </c>
      <c r="V63" s="124">
        <v>0</v>
      </c>
      <c r="W63" s="124">
        <v>0</v>
      </c>
      <c r="X63" s="124">
        <v>0</v>
      </c>
      <c r="Y63" s="124">
        <v>0</v>
      </c>
      <c r="Z63" s="124">
        <v>0</v>
      </c>
      <c r="AA63" s="19">
        <f>IF($I63="B1","",SUM(O63:Z63))</f>
        <v>0</v>
      </c>
      <c r="AB63" s="124"/>
      <c r="AD63" s="124">
        <v>0</v>
      </c>
      <c r="AE63" s="124"/>
      <c r="AF63" s="124"/>
      <c r="AG63" s="124">
        <v>0</v>
      </c>
      <c r="AH63" s="124"/>
      <c r="AI63" s="124"/>
    </row>
    <row r="64" spans="1:40" x14ac:dyDescent="0.2">
      <c r="A64" s="6" t="s">
        <v>5</v>
      </c>
      <c r="B64" s="7"/>
      <c r="H64" s="11"/>
      <c r="J64" s="1"/>
    </row>
    <row r="65" spans="1:10" x14ac:dyDescent="0.2">
      <c r="A65" s="6" t="s">
        <v>6</v>
      </c>
      <c r="B65" s="7"/>
      <c r="H65" s="11"/>
      <c r="J65" s="1"/>
    </row>
    <row r="66" spans="1:10" x14ac:dyDescent="0.2">
      <c r="A66" s="6" t="s">
        <v>7</v>
      </c>
      <c r="B66" s="7"/>
      <c r="H66" s="11"/>
      <c r="J66" s="1"/>
    </row>
    <row r="67" spans="1:10" x14ac:dyDescent="0.2">
      <c r="A67" s="6" t="s">
        <v>47</v>
      </c>
      <c r="B67" s="14" t="s">
        <v>1526</v>
      </c>
      <c r="H67" s="11"/>
      <c r="J67" s="1"/>
    </row>
    <row r="68" spans="1:10" x14ac:dyDescent="0.2">
      <c r="A68" s="6" t="s">
        <v>8</v>
      </c>
      <c r="B68" s="7"/>
      <c r="H68" s="11"/>
      <c r="J68" s="1"/>
    </row>
    <row r="70" spans="1:10" x14ac:dyDescent="0.2">
      <c r="A70" s="3" t="s">
        <v>9</v>
      </c>
      <c r="B70" s="5" t="s">
        <v>10</v>
      </c>
    </row>
    <row r="71" spans="1:10" x14ac:dyDescent="0.2">
      <c r="A71" s="6" t="s">
        <v>11</v>
      </c>
      <c r="B71" s="7" t="s">
        <v>21</v>
      </c>
    </row>
    <row r="72" spans="1:10" x14ac:dyDescent="0.2">
      <c r="A72" s="6" t="s">
        <v>12</v>
      </c>
      <c r="B72" s="7" t="s">
        <v>22</v>
      </c>
    </row>
    <row r="73" spans="1:10" x14ac:dyDescent="0.2">
      <c r="A73" s="6" t="s">
        <v>13</v>
      </c>
      <c r="B73" s="7" t="s">
        <v>594</v>
      </c>
    </row>
    <row r="74" spans="1:10" x14ac:dyDescent="0.2">
      <c r="A74" s="6" t="s">
        <v>14</v>
      </c>
      <c r="B74" s="14"/>
    </row>
    <row r="75" spans="1:10" x14ac:dyDescent="0.2">
      <c r="A75" s="6" t="s">
        <v>15</v>
      </c>
      <c r="B75" s="7"/>
    </row>
    <row r="76" spans="1:10" x14ac:dyDescent="0.2">
      <c r="A76" s="6" t="s">
        <v>16</v>
      </c>
      <c r="B76" s="7" t="s">
        <v>78</v>
      </c>
    </row>
    <row r="77" spans="1:10" x14ac:dyDescent="0.2">
      <c r="A77" s="6" t="s">
        <v>17</v>
      </c>
      <c r="B77" s="7"/>
    </row>
    <row r="80" spans="1:10" x14ac:dyDescent="0.2">
      <c r="A80" s="3" t="s">
        <v>23</v>
      </c>
      <c r="B80" s="5" t="s">
        <v>24</v>
      </c>
    </row>
    <row r="81" spans="1:2" x14ac:dyDescent="0.2">
      <c r="A81" s="6" t="s">
        <v>25</v>
      </c>
      <c r="B81" s="7"/>
    </row>
    <row r="82" spans="1:2" x14ac:dyDescent="0.2">
      <c r="A82" s="6" t="s">
        <v>26</v>
      </c>
      <c r="B82" s="7"/>
    </row>
    <row r="83" spans="1:2" x14ac:dyDescent="0.2">
      <c r="A83" s="6" t="s">
        <v>27</v>
      </c>
      <c r="B83" s="7"/>
    </row>
    <row r="84" spans="1:2" x14ac:dyDescent="0.2">
      <c r="A84" s="6" t="s">
        <v>28</v>
      </c>
      <c r="B84" s="7"/>
    </row>
    <row r="85" spans="1:2" x14ac:dyDescent="0.2">
      <c r="A85" s="6" t="s">
        <v>29</v>
      </c>
      <c r="B85" s="7"/>
    </row>
    <row r="86" spans="1:2" x14ac:dyDescent="0.2">
      <c r="A86" s="6" t="s">
        <v>30</v>
      </c>
      <c r="B86" s="7" t="s">
        <v>78</v>
      </c>
    </row>
    <row r="87" spans="1:2" x14ac:dyDescent="0.2">
      <c r="A87" s="6" t="s">
        <v>31</v>
      </c>
      <c r="B87" s="7" t="s">
        <v>78</v>
      </c>
    </row>
    <row r="88" spans="1:2" x14ac:dyDescent="0.2">
      <c r="A88" s="6" t="s">
        <v>32</v>
      </c>
      <c r="B88" s="7"/>
    </row>
    <row r="89" spans="1:2" x14ac:dyDescent="0.2">
      <c r="A89" s="6" t="s">
        <v>33</v>
      </c>
      <c r="B89" s="7"/>
    </row>
    <row r="90" spans="1:2" x14ac:dyDescent="0.2">
      <c r="A90" s="6" t="s">
        <v>34</v>
      </c>
      <c r="B90" s="7"/>
    </row>
    <row r="91" spans="1:2" x14ac:dyDescent="0.2">
      <c r="A91" s="6" t="s">
        <v>35</v>
      </c>
      <c r="B91" s="7"/>
    </row>
    <row r="92" spans="1:2" x14ac:dyDescent="0.2">
      <c r="A92" s="6" t="s">
        <v>36</v>
      </c>
      <c r="B92" s="7"/>
    </row>
    <row r="93" spans="1:2" x14ac:dyDescent="0.2">
      <c r="A93" s="6" t="s">
        <v>37</v>
      </c>
      <c r="B93" s="7"/>
    </row>
    <row r="94" spans="1:2" x14ac:dyDescent="0.2">
      <c r="A94" s="6" t="s">
        <v>38</v>
      </c>
      <c r="B94" s="7"/>
    </row>
    <row r="95" spans="1:2" x14ac:dyDescent="0.2">
      <c r="A95" s="6" t="s">
        <v>39</v>
      </c>
      <c r="B95" s="7"/>
    </row>
    <row r="96" spans="1:2" x14ac:dyDescent="0.2">
      <c r="A96" s="6" t="s">
        <v>40</v>
      </c>
      <c r="B96" s="7"/>
    </row>
    <row r="97" spans="1:2" x14ac:dyDescent="0.2">
      <c r="A97" s="6" t="s">
        <v>41</v>
      </c>
      <c r="B97" s="7"/>
    </row>
    <row r="98" spans="1:2" x14ac:dyDescent="0.2">
      <c r="A98" s="6" t="s">
        <v>42</v>
      </c>
      <c r="B98" s="7"/>
    </row>
    <row r="99" spans="1:2" x14ac:dyDescent="0.2">
      <c r="A99" s="6" t="s">
        <v>43</v>
      </c>
      <c r="B99" s="7"/>
    </row>
    <row r="100" spans="1:2" x14ac:dyDescent="0.2">
      <c r="A100" s="6" t="s">
        <v>44</v>
      </c>
      <c r="B100" s="7"/>
    </row>
    <row r="101" spans="1:2" x14ac:dyDescent="0.2">
      <c r="A101" s="6" t="s">
        <v>45</v>
      </c>
      <c r="B101" s="7"/>
    </row>
    <row r="102" spans="1:2" x14ac:dyDescent="0.2">
      <c r="A102" s="6" t="s">
        <v>46</v>
      </c>
      <c r="B102" s="7"/>
    </row>
  </sheetData>
  <mergeCells count="2">
    <mergeCell ref="AD31:AE31"/>
    <mergeCell ref="AG31:AH31"/>
  </mergeCells>
  <dataValidations count="2">
    <dataValidation type="list" allowBlank="1" sqref="B73 B29" xr:uid="{00000000-0002-0000-5D00-000000000000}">
      <formula1>"SELF,ALL,BAS,DEP,BASMEMBERS,MEMBERS,NOEXPAND,GDEP"</formula1>
    </dataValidation>
    <dataValidation type="list" allowBlank="1" sqref="B72 B28" xr:uid="{00000000-0002-0000-5D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31">
    <pageSetUpPr fitToPage="1"/>
  </sheetPr>
  <dimension ref="A1:AO89"/>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1" hidden="1" customWidth="1" outlineLevel="1" collapsed="1"/>
    <col min="13" max="13" width="9.6640625" style="1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c r="L1" s="69"/>
      <c r="M1" s="69"/>
      <c r="N1" s="69"/>
    </row>
    <row r="2" spans="1:35" hidden="1" outlineLevel="1" x14ac:dyDescent="0.2">
      <c r="A2" s="8" t="s">
        <v>22</v>
      </c>
      <c r="B2" s="12" t="s">
        <v>554</v>
      </c>
      <c r="C2" s="1" t="e">
        <f ca="1">_xll.EVDES(B2,$B$1)</f>
        <v>#NAME?</v>
      </c>
      <c r="I2" s="1"/>
      <c r="J2" s="1"/>
      <c r="L2" s="69"/>
      <c r="M2" s="69"/>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559</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row>
    <row r="12" spans="1:35" hidden="1" outlineLevel="1" x14ac:dyDescent="0.2">
      <c r="A12" s="1" t="s">
        <v>115</v>
      </c>
      <c r="B12" s="46" t="e">
        <f ca="1">_xll.EVPRO($B$1,$B$10,"YEAR")</f>
        <v>#NAME?</v>
      </c>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_xll.EVRNG(H34:H35,H38:H39,H40:H41,H44:H45)</f>
        <v>#NAME?</v>
      </c>
      <c r="G19" s="16" t="s">
        <v>499</v>
      </c>
      <c r="H19" s="16">
        <v>400000</v>
      </c>
      <c r="I19" s="17"/>
      <c r="J19" s="17"/>
      <c r="K19" s="16"/>
      <c r="L19" s="17"/>
      <c r="M19" s="17"/>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
        <v>749</v>
      </c>
      <c r="H20" s="16">
        <v>904100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row>
    <row r="22" spans="1:40" hidden="1" outlineLevel="1" x14ac:dyDescent="0.2">
      <c r="A22" s="6" t="s">
        <v>7</v>
      </c>
      <c r="B22" s="7" t="e">
        <f ca="1">_xll.EVRNG(A36:F42)</f>
        <v>#NAME?</v>
      </c>
    </row>
    <row r="23" spans="1:40" hidden="1" outlineLevel="1" x14ac:dyDescent="0.2">
      <c r="A23" s="6" t="s">
        <v>47</v>
      </c>
      <c r="B23" s="7" t="e">
        <f ca="1">_xll.EVRNG($A$68:$B$89)</f>
        <v>#NAME?</v>
      </c>
      <c r="K23" s="53"/>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IF(_xll.EVDES(B6,$B$1)="#NODATA","",_xll.EVDES(B6,$B$1)&amp;" Department")</f>
        <v>#NAME?</v>
      </c>
    </row>
    <row r="28" spans="1:40" ht="16" x14ac:dyDescent="0.2">
      <c r="A28" s="6" t="s">
        <v>12</v>
      </c>
      <c r="B28" s="7" t="s">
        <v>22</v>
      </c>
      <c r="N28" s="67" t="e">
        <f ca="1">"For the Period ended"&amp;" "&amp;IF(_xll.EVDES($B$10,$B$1)="#NODATA","",_xll.EVDES($B$10,$B$1))</f>
        <v>#NAME?</v>
      </c>
    </row>
    <row r="29" spans="1:40" ht="15" customHeight="1" x14ac:dyDescent="0.2">
      <c r="A29" s="6" t="s">
        <v>13</v>
      </c>
      <c r="B29" s="14" t="s">
        <v>745</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752</v>
      </c>
      <c r="AK30" s="209"/>
      <c r="AL30" s="210"/>
      <c r="AM30" s="209" t="s">
        <v>750</v>
      </c>
      <c r="AN30" s="209"/>
    </row>
    <row r="31" spans="1:40" x14ac:dyDescent="0.2">
      <c r="A31" s="6" t="s">
        <v>15</v>
      </c>
      <c r="B31" s="7"/>
      <c r="G31" s="13"/>
      <c r="K31" s="52"/>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8" t="e">
        <f ca="1">_xll.EVPRO($B$1,AD$16,"YEAR")</f>
        <v>#NAME?</v>
      </c>
      <c r="AL31" s="238" t="e">
        <f ca="1">_xll.EVPRO($B$1,AG$16,"YEAR")</f>
        <v>#NAME?</v>
      </c>
      <c r="AM31" s="211" t="e">
        <f ca="1">"vs "&amp;AK31</f>
        <v>#NAME?</v>
      </c>
      <c r="AN31" s="211" t="e">
        <f ca="1">"vs "&amp;AL31</f>
        <v>#NAME?</v>
      </c>
    </row>
    <row r="32" spans="1:40" s="232" customFormat="1" ht="30" customHeight="1" x14ac:dyDescent="0.2">
      <c r="A32" s="230" t="s">
        <v>16</v>
      </c>
      <c r="B32" s="231" t="s">
        <v>78</v>
      </c>
      <c r="H32" s="233"/>
      <c r="I32" s="234"/>
      <c r="J32" s="234"/>
      <c r="K32" s="235" t="s">
        <v>117</v>
      </c>
      <c r="L32" s="234"/>
      <c r="M32" s="234"/>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8" t="s">
        <v>58</v>
      </c>
      <c r="AF32" s="237" t="s">
        <v>57</v>
      </c>
      <c r="AG32" s="237" t="e">
        <f ca="1">IF(_xll.EVDES(AG17,$B$1)="#NODATA","",_xll.EVDES(AG17,$B$1))</f>
        <v>#NAME?</v>
      </c>
      <c r="AH32" s="238" t="s">
        <v>58</v>
      </c>
      <c r="AI32" s="237" t="s">
        <v>57</v>
      </c>
      <c r="AJ32" s="237" t="e">
        <f ca="1">Z32</f>
        <v>#NAME?</v>
      </c>
      <c r="AK32" s="238" t="e">
        <f ca="1">AD32</f>
        <v>#NAME?</v>
      </c>
      <c r="AL32" s="237" t="e">
        <f ca="1">AG32</f>
        <v>#NAME?</v>
      </c>
      <c r="AM32" s="211" t="s">
        <v>747</v>
      </c>
      <c r="AN32" s="211" t="s">
        <v>747</v>
      </c>
    </row>
    <row r="33" spans="1:40" x14ac:dyDescent="0.2">
      <c r="A33" s="6" t="s">
        <v>17</v>
      </c>
      <c r="B33" s="7"/>
      <c r="H33" s="189"/>
      <c r="K33" s="63"/>
      <c r="N33" s="62"/>
      <c r="O33" s="50"/>
      <c r="AB33" s="51"/>
      <c r="AD33" s="50"/>
      <c r="AF33" s="51"/>
      <c r="AG33" s="50"/>
      <c r="AI33" s="51"/>
    </row>
    <row r="34" spans="1:40" hidden="1" x14ac:dyDescent="0.2">
      <c r="H34" s="10" t="s">
        <v>667</v>
      </c>
      <c r="I34" s="25" t="e">
        <f ca="1">_xll.EVPRO($B$1,$H34,"STYLE")</f>
        <v>#NAME?</v>
      </c>
      <c r="J34" s="25" t="e">
        <f ca="1">_xll.EVPRO($B$1,$H34,"CALC")</f>
        <v>#NAME?</v>
      </c>
      <c r="K34" s="64" t="e">
        <f ca="1">IF(AND(I34&gt;="T3"),"&gt;","")</f>
        <v>#NAME?</v>
      </c>
      <c r="L34" s="24" t="e">
        <f ca="1">_xll.EVPRO($B$1,H34,"JDEID")</f>
        <v>#NAME?</v>
      </c>
      <c r="M34" s="24" t="e">
        <f ca="1">IF(AND(I34="N",J34="N"),_xll.EVPRO($B$1,H34,"PSFTID"),"")</f>
        <v>#NAME?</v>
      </c>
      <c r="N34" s="24" t="e">
        <f ca="1">IF(_xll.EVDES(H34,$B$1)="#NODATA","",_xll.EVDES(H34,$B$1))</f>
        <v>#NAME?</v>
      </c>
      <c r="O34" s="19"/>
      <c r="P34" s="19"/>
      <c r="Q34" s="19"/>
      <c r="R34" s="19"/>
      <c r="S34" s="19"/>
      <c r="T34" s="19"/>
      <c r="U34" s="19"/>
      <c r="V34" s="19"/>
      <c r="W34" s="19"/>
      <c r="X34" s="19"/>
      <c r="Y34" s="19"/>
      <c r="Z34" s="19"/>
      <c r="AA34" s="19" t="e">
        <f ca="1">IF($I34="B1","",SUM(O34:Z34))</f>
        <v>#NAME?</v>
      </c>
      <c r="AB34" s="15" t="e">
        <f ca="1">IF(AA34=0,"",IFERROR(AA34/AA$19,""))</f>
        <v>#NAME?</v>
      </c>
      <c r="AD34" s="19"/>
      <c r="AE34" s="15" t="str">
        <f>IF(AD34=0,"",IFERROR(AD34/AD$19,""))</f>
        <v/>
      </c>
      <c r="AF34" s="47" t="e">
        <f ca="1">IF(AND($AA34="",AD34=""),"",$AA34-AD34)</f>
        <v>#NAME?</v>
      </c>
      <c r="AG34" s="19"/>
      <c r="AH34" s="15" t="str">
        <f>IF(AG34=0,"",IFERROR(AG34/AG$19,""))</f>
        <v/>
      </c>
      <c r="AI34" s="47" t="e">
        <f ca="1">IF(AND($AA34="",AG34=""),"",$AA34-AG34)</f>
        <v>#NAME?</v>
      </c>
      <c r="AJ34" s="371">
        <f ca="1">IFERROR(AA34/AA$20,0)</f>
        <v>0</v>
      </c>
      <c r="AK34" s="372">
        <f ca="1">IFERROR(AD34/AD$20,0)</f>
        <v>0</v>
      </c>
      <c r="AL34" s="373">
        <f ca="1">IFERROR(AG34/AG$20,0)</f>
        <v>0</v>
      </c>
      <c r="AM34" s="374">
        <f ca="1">+IFERROR(ROUND(($AB34-AE34)*100,2)&amp;" pts.",0)</f>
        <v>0</v>
      </c>
      <c r="AN34" s="375">
        <f ca="1">+IFERROR(ROUND(($AB34-AH34)*100,2)&amp;" pts.",0)</f>
        <v>0</v>
      </c>
    </row>
    <row r="35" spans="1:40" hidden="1" x14ac:dyDescent="0.2">
      <c r="A35" s="20" t="s">
        <v>92</v>
      </c>
      <c r="B35" s="21" t="s">
        <v>93</v>
      </c>
      <c r="C35" s="21" t="s">
        <v>94</v>
      </c>
      <c r="D35" s="21" t="s">
        <v>95</v>
      </c>
      <c r="E35" s="21" t="s">
        <v>96</v>
      </c>
      <c r="F35" s="22" t="s">
        <v>97</v>
      </c>
      <c r="H35" s="10"/>
      <c r="I35" s="25" t="e">
        <f ca="1">_xll.EVPRO($B$1,$H35,"STYLE")</f>
        <v>#NAME?</v>
      </c>
      <c r="J35" s="25" t="e">
        <f ca="1">_xll.EVPRO($B$1,$H35,"CALC")</f>
        <v>#NAME?</v>
      </c>
      <c r="K35" s="64" t="e">
        <f ca="1">IF(AND(I35&gt;="T3"),"&gt;","")</f>
        <v>#NAME?</v>
      </c>
      <c r="L35" s="24" t="e">
        <f ca="1">_xll.EVPRO($B$1,H35,"JDEID")</f>
        <v>#NAME?</v>
      </c>
      <c r="M35" s="24" t="e">
        <f ca="1">IF(AND(I35="N",J35="N"),_xll.EVPRO($B$1,H35,"PSFTID"),"")</f>
        <v>#NAME?</v>
      </c>
      <c r="N35" s="24" t="e">
        <f ca="1">IF(_xll.EVDES(H35,$B$1)="#NODATA","",_xll.EVDES(H35,$B$1))</f>
        <v>#NAME?</v>
      </c>
      <c r="O35" s="19"/>
      <c r="P35" s="19"/>
      <c r="Q35" s="19"/>
      <c r="R35" s="19"/>
      <c r="S35" s="19"/>
      <c r="T35" s="19"/>
      <c r="U35" s="19"/>
      <c r="V35" s="19"/>
      <c r="W35" s="19"/>
      <c r="X35" s="19"/>
      <c r="Y35" s="19"/>
      <c r="Z35" s="19"/>
      <c r="AA35" s="19" t="e">
        <f ca="1">IF($I35="B1","",SUM(O35:Z35))</f>
        <v>#NAME?</v>
      </c>
      <c r="AB35" s="15" t="e">
        <f ca="1">IF(AA35=0,"",IFERROR(AA35/AA$19,""))</f>
        <v>#NAME?</v>
      </c>
      <c r="AD35" s="19"/>
      <c r="AE35" s="15" t="str">
        <f>IF(AD35=0,"",IFERROR(AD35/AD$19,""))</f>
        <v/>
      </c>
      <c r="AF35" s="47" t="e">
        <f ca="1">IF(AND($AA35="",AD35=""),"",$AA35-AD35)</f>
        <v>#NAME?</v>
      </c>
      <c r="AG35" s="19"/>
      <c r="AH35" s="15" t="str">
        <f>IF(AG35=0,"",IFERROR(AG35/AG$19,""))</f>
        <v/>
      </c>
      <c r="AI35" s="47" t="e">
        <f ca="1">IF(AND($AA35="",AG35=""),"",$AA35-AG35)</f>
        <v>#NAME?</v>
      </c>
      <c r="AJ35" s="371">
        <f ca="1">IFERROR(AA35/AA$20,0)</f>
        <v>0</v>
      </c>
      <c r="AK35" s="372">
        <f ca="1">IFERROR(AD35/AD$20,0)</f>
        <v>0</v>
      </c>
      <c r="AL35" s="373">
        <f ca="1">IFERROR(AG35/AG$20,0)</f>
        <v>0</v>
      </c>
      <c r="AM35" s="374">
        <f ca="1">+IFERROR(ROUND(($AB35-AE35)*100,2)&amp;" pts.",0)</f>
        <v>0</v>
      </c>
      <c r="AN35" s="375">
        <f ca="1">+IFERROR(ROUND(($AB35-AH35)*100,2)&amp;" pts.",0)</f>
        <v>0</v>
      </c>
    </row>
    <row r="36" spans="1:40" x14ac:dyDescent="0.2">
      <c r="H36" s="1" t="s">
        <v>73</v>
      </c>
      <c r="I36" s="11" t="e">
        <f ca="1">_xll.EVPRO($B$1,$H36,"STYLE")</f>
        <v>#NAME?</v>
      </c>
      <c r="J36" s="11" t="e">
        <f ca="1">_xll.EVPRO($B$1,$H36,"CALC")</f>
        <v>#NAME?</v>
      </c>
      <c r="N36" s="37" t="e">
        <f ca="1">IF(_xll.EVDES(H36,$B$1)="#NODATA","",_xll.EVDES(H36,$B$1))</f>
        <v>#NAME?</v>
      </c>
      <c r="O36" s="50"/>
      <c r="AB36" s="51"/>
      <c r="AD36" s="50"/>
      <c r="AF36" s="51"/>
      <c r="AG36" s="50"/>
      <c r="AI36" s="51"/>
    </row>
    <row r="37" spans="1:40" x14ac:dyDescent="0.2">
      <c r="A37" s="1" t="s">
        <v>108</v>
      </c>
      <c r="C37" s="24" t="s">
        <v>101</v>
      </c>
      <c r="D37" s="1" t="s">
        <v>106</v>
      </c>
      <c r="F37" s="1" t="s">
        <v>98</v>
      </c>
      <c r="H37" s="1" t="s">
        <v>74</v>
      </c>
      <c r="I37" s="11" t="e">
        <f ca="1">_xll.EVPRO($B$1,$H37,"STYLE")</f>
        <v>#NAME?</v>
      </c>
      <c r="J37" s="11" t="e">
        <f ca="1">_xll.EVPRO($B$1,$H37,"CALC")</f>
        <v>#NAME?</v>
      </c>
      <c r="N37" s="8" t="e">
        <f ca="1">IF(_xll.EVDES(H37,$B$1)="#NODATA","",_xll.EVDES(H37,$B$1))</f>
        <v>#NAME?</v>
      </c>
      <c r="O37" s="40"/>
      <c r="P37" s="43"/>
      <c r="Q37" s="43"/>
      <c r="R37" s="43"/>
      <c r="S37" s="43"/>
      <c r="T37" s="43"/>
      <c r="U37" s="43"/>
      <c r="V37" s="43"/>
      <c r="W37" s="43"/>
      <c r="X37" s="43"/>
      <c r="Y37" s="43"/>
      <c r="Z37" s="43"/>
      <c r="AA37" s="43"/>
      <c r="AB37" s="41"/>
      <c r="AD37" s="40"/>
      <c r="AE37" s="43"/>
      <c r="AF37" s="41"/>
      <c r="AG37" s="40"/>
      <c r="AH37" s="43"/>
      <c r="AI37" s="41"/>
    </row>
    <row r="38" spans="1:40" hidden="1" x14ac:dyDescent="0.2">
      <c r="A38" s="1" t="s">
        <v>100</v>
      </c>
      <c r="C38" s="8" t="s">
        <v>101</v>
      </c>
      <c r="D38" s="1" t="s">
        <v>106</v>
      </c>
      <c r="F38" s="1" t="s">
        <v>98</v>
      </c>
      <c r="H38" s="10" t="s">
        <v>667</v>
      </c>
      <c r="I38" s="25" t="e">
        <f ca="1">_xll.EVPRO($B$1,$H38,"STYLE")</f>
        <v>#NAME?</v>
      </c>
      <c r="J38" s="25" t="e">
        <f ca="1">_xll.EVPRO($B$1,$H38,"CALC")</f>
        <v>#NAME?</v>
      </c>
      <c r="K38" s="64" t="e">
        <f ca="1">IF(AND(I38&gt;="T3"),"&gt;","")</f>
        <v>#NAME?</v>
      </c>
      <c r="L38" s="24" t="e">
        <f ca="1">_xll.EVPRO($B$1,H38,"JDEID")</f>
        <v>#NAME?</v>
      </c>
      <c r="M38" s="24" t="e">
        <f ca="1">IF(AND(I38="N",J38="N"),_xll.EVPRO($B$1,H38,"PSFTID"),"")</f>
        <v>#NAME?</v>
      </c>
      <c r="N38" s="24" t="e">
        <f ca="1">IF(_xll.EVDES(H38,$B$1)="#NODATA","",_xll.EVDES(H38,$B$1))</f>
        <v>#NAME?</v>
      </c>
      <c r="O38" s="44"/>
      <c r="P38" s="44"/>
      <c r="Q38" s="44"/>
      <c r="R38" s="44"/>
      <c r="S38" s="44"/>
      <c r="T38" s="44"/>
      <c r="U38" s="44"/>
      <c r="V38" s="44"/>
      <c r="W38" s="44"/>
      <c r="X38" s="44"/>
      <c r="Y38" s="44"/>
      <c r="Z38" s="44"/>
      <c r="AA38" s="44" t="e">
        <f ca="1">IF($I38="B1","",SUM(O38:Z38))</f>
        <v>#NAME?</v>
      </c>
      <c r="AB38" s="45" t="e">
        <f ca="1">IF(AA38=0,"",IFERROR(AA38/AA$19,""))</f>
        <v>#NAME?</v>
      </c>
      <c r="AD38" s="28"/>
      <c r="AE38" s="29" t="str">
        <f>IF(AD38=0,"",IFERROR(AD38/AD$19,""))</f>
        <v/>
      </c>
      <c r="AF38" s="48" t="e">
        <f ca="1">IF(AND($AA38="",AD38=""),"",$AA38-AD38)</f>
        <v>#NAME?</v>
      </c>
      <c r="AG38" s="28"/>
      <c r="AH38" s="29" t="str">
        <f>IF(AG38=0,"",IFERROR(AG38/AG$19,""))</f>
        <v/>
      </c>
      <c r="AI38" s="48" t="e">
        <f ca="1">IF(AND($AA38="",AG38=""),"",$AA38-AG38)</f>
        <v>#NAME?</v>
      </c>
      <c r="AJ38" s="371">
        <f ca="1">IFERROR(AA38/AA$20,0)</f>
        <v>0</v>
      </c>
      <c r="AK38" s="372">
        <f ca="1">IFERROR(AD38/AD$20,0)</f>
        <v>0</v>
      </c>
      <c r="AL38" s="373">
        <f ca="1">IFERROR(AG38/AG$20,0)</f>
        <v>0</v>
      </c>
      <c r="AM38" s="374">
        <f ca="1">+IFERROR(ROUND(($AB38-AE38)*100,2)&amp;" pts.",0)</f>
        <v>0</v>
      </c>
      <c r="AN38" s="375">
        <f ca="1">+IFERROR(ROUND(($AB38-AH38)*100,2)&amp;" pts.",0)</f>
        <v>0</v>
      </c>
    </row>
    <row r="39" spans="1:40" hidden="1" x14ac:dyDescent="0.2">
      <c r="A39" s="1" t="s">
        <v>109</v>
      </c>
      <c r="C39" s="23" t="s">
        <v>101</v>
      </c>
      <c r="D39" s="1" t="s">
        <v>106</v>
      </c>
      <c r="F39" s="1" t="s">
        <v>98</v>
      </c>
      <c r="H39" s="10"/>
      <c r="I39" s="25" t="e">
        <f ca="1">_xll.EVPRO($B$1,$H39,"STYLE")</f>
        <v>#NAME?</v>
      </c>
      <c r="J39" s="25" t="e">
        <f ca="1">_xll.EVPRO($B$1,$H39,"CALC")</f>
        <v>#NAME?</v>
      </c>
      <c r="K39" s="64" t="e">
        <f ca="1">IF(AND(I39&gt;="T3"),"&gt;","")</f>
        <v>#NAME?</v>
      </c>
      <c r="L39" s="24" t="e">
        <f ca="1">_xll.EVPRO($B$1,H39,"JDEID")</f>
        <v>#NAME?</v>
      </c>
      <c r="M39" s="24" t="e">
        <f ca="1">IF(AND(I39="N",J39="N"),_xll.EVPRO($B$1,H39,"PSFTID"),"")</f>
        <v>#NAME?</v>
      </c>
      <c r="N39" s="24" t="e">
        <f ca="1">IF(_xll.EVDES(H39,$B$1)="#NODATA","",_xll.EVDES(H39,$B$1))</f>
        <v>#NAME?</v>
      </c>
      <c r="O39" s="44"/>
      <c r="P39" s="44"/>
      <c r="Q39" s="44"/>
      <c r="R39" s="44"/>
      <c r="S39" s="44"/>
      <c r="T39" s="44"/>
      <c r="U39" s="44"/>
      <c r="V39" s="44"/>
      <c r="W39" s="44"/>
      <c r="X39" s="44"/>
      <c r="Y39" s="44"/>
      <c r="Z39" s="44"/>
      <c r="AA39" s="44" t="e">
        <f ca="1">IF($I39="B1","",SUM(O39:Z39))</f>
        <v>#NAME?</v>
      </c>
      <c r="AB39" s="45" t="e">
        <f ca="1">IF(AA39=0,"",IFERROR(AA39/AA$19,""))</f>
        <v>#NAME?</v>
      </c>
      <c r="AD39" s="28"/>
      <c r="AE39" s="29" t="str">
        <f>IF(AD39=0,"",IFERROR(AD39/AD$19,""))</f>
        <v/>
      </c>
      <c r="AF39" s="48" t="e">
        <f ca="1">IF(AND($AA39="",AD39=""),"",$AA39-AD39)</f>
        <v>#NAME?</v>
      </c>
      <c r="AG39" s="28"/>
      <c r="AH39" s="29" t="str">
        <f>IF(AG39=0,"",IFERROR(AG39/AG$19,""))</f>
        <v/>
      </c>
      <c r="AI39" s="48" t="e">
        <f ca="1">IF(AND($AA39="",AG39=""),"",$AA39-AG39)</f>
        <v>#NAME?</v>
      </c>
      <c r="AJ39" s="371">
        <f ca="1">IFERROR(AA39/AA$20,0)</f>
        <v>0</v>
      </c>
      <c r="AK39" s="372">
        <f ca="1">IFERROR(AD39/AD$20,0)</f>
        <v>0</v>
      </c>
      <c r="AL39" s="373">
        <f ca="1">IFERROR(AG39/AG$20,0)</f>
        <v>0</v>
      </c>
      <c r="AM39" s="374">
        <f ca="1">+IFERROR(ROUND(($AB39-AE39)*100,2)&amp;" pts.",0)</f>
        <v>0</v>
      </c>
      <c r="AN39" s="375">
        <f ca="1">+IFERROR(ROUND(($AB39-AH39)*100,2)&amp;" pts.",0)</f>
        <v>0</v>
      </c>
    </row>
    <row r="40" spans="1:40" hidden="1" x14ac:dyDescent="0.2">
      <c r="A40" s="1" t="s">
        <v>109</v>
      </c>
      <c r="C40" s="135" t="s">
        <v>101</v>
      </c>
      <c r="D40" s="1" t="s">
        <v>107</v>
      </c>
      <c r="F40" s="1" t="s">
        <v>99</v>
      </c>
      <c r="H40" s="10" t="s">
        <v>667</v>
      </c>
      <c r="I40" s="25" t="e">
        <f ca="1">_xll.EVPRO($B$1,$H40,"STYLE")</f>
        <v>#NAME?</v>
      </c>
      <c r="J40" s="25" t="e">
        <f ca="1">_xll.EVPRO($B$1,$H40,"CALC")</f>
        <v>#NAME?</v>
      </c>
      <c r="K40" s="64" t="e">
        <f ca="1">IF(AND(I40&gt;="T3"),"&gt;","")</f>
        <v>#NAME?</v>
      </c>
      <c r="L40" s="24" t="e">
        <f ca="1">_xll.EVPRO($B$1,H40,"JDEID")</f>
        <v>#NAME?</v>
      </c>
      <c r="M40" s="24" t="e">
        <f ca="1">IF(AND(I40="N",J40="N"),_xll.EVPRO($B$1,H40,"PSFTID"),"")</f>
        <v>#NAME?</v>
      </c>
      <c r="N40" s="24" t="e">
        <f ca="1">IF(_xll.EVDES(H40,$B$1)="#NODATA","",_xll.EVDES(H40,$B$1))</f>
        <v>#NAME?</v>
      </c>
      <c r="O40" s="28"/>
      <c r="P40" s="28"/>
      <c r="Q40" s="28"/>
      <c r="R40" s="28"/>
      <c r="S40" s="28"/>
      <c r="T40" s="28"/>
      <c r="U40" s="28"/>
      <c r="V40" s="28"/>
      <c r="W40" s="28"/>
      <c r="X40" s="28"/>
      <c r="Y40" s="28"/>
      <c r="Z40" s="28"/>
      <c r="AA40" s="28" t="e">
        <f ca="1">IF($I40="B1","",SUM(O40:Z40))</f>
        <v>#NAME?</v>
      </c>
      <c r="AB40" s="29" t="e">
        <f ca="1">IF(AA40=0,"",IFERROR(AA40/AA$19,""))</f>
        <v>#NAME?</v>
      </c>
      <c r="AD40" s="28"/>
      <c r="AE40" s="29" t="str">
        <f>IF(AD40=0,"",IFERROR(AD40/AD$19,""))</f>
        <v/>
      </c>
      <c r="AF40" s="48" t="e">
        <f ca="1">IF(AND($AA40="",AD40=""),"",$AA40-AD40)</f>
        <v>#NAME?</v>
      </c>
      <c r="AG40" s="28"/>
      <c r="AH40" s="29" t="str">
        <f>IF(AG40=0,"",IFERROR(AG40/AG$19,""))</f>
        <v/>
      </c>
      <c r="AI40" s="48" t="e">
        <f ca="1">IF(AND($AA40="",AG40=""),"",$AA40-AG40)</f>
        <v>#NAME?</v>
      </c>
      <c r="AJ40" s="381">
        <f ca="1">IFERROR(AA40/AA$20,0)</f>
        <v>0</v>
      </c>
      <c r="AK40" s="382">
        <f ca="1">IFERROR(AD40/AD$20,0)</f>
        <v>0</v>
      </c>
      <c r="AL40" s="383">
        <f ca="1">IFERROR(AG40/AG$20,0)</f>
        <v>0</v>
      </c>
      <c r="AM40" s="384">
        <f ca="1">+IFERROR(ROUND(($AB40-AE40)*100,2)&amp;" pts.",0)</f>
        <v>0</v>
      </c>
      <c r="AN40" s="385">
        <f ca="1">+IFERROR(ROUND(($AB40-AH40)*100,2)&amp;" pts.",0)</f>
        <v>0</v>
      </c>
    </row>
    <row r="41" spans="1:40" hidden="1" x14ac:dyDescent="0.2">
      <c r="A41" s="1" t="s">
        <v>110</v>
      </c>
      <c r="C41" s="23" t="s">
        <v>101</v>
      </c>
      <c r="D41" s="1" t="s">
        <v>106</v>
      </c>
      <c r="F41" s="1" t="s">
        <v>98</v>
      </c>
      <c r="H41" s="10"/>
      <c r="I41" s="25" t="e">
        <f ca="1">_xll.EVPRO($B$1,$H41,"STYLE")</f>
        <v>#NAME?</v>
      </c>
      <c r="J41" s="25" t="e">
        <f ca="1">_xll.EVPRO($B$1,$H41,"CALC")</f>
        <v>#NAME?</v>
      </c>
      <c r="K41" s="64" t="e">
        <f ca="1">IF(AND(I41&gt;="T3"),"&gt;","")</f>
        <v>#NAME?</v>
      </c>
      <c r="L41" s="24" t="e">
        <f ca="1">_xll.EVPRO($B$1,H41,"JDEID")</f>
        <v>#NAME?</v>
      </c>
      <c r="M41" s="24" t="e">
        <f ca="1">IF(AND(I41="N",J41="N"),_xll.EVPRO($B$1,H41,"PSFTID"),"")</f>
        <v>#NAME?</v>
      </c>
      <c r="N41" s="24" t="e">
        <f ca="1">IF(_xll.EVDES(H41,$B$1)="#NODATA","",_xll.EVDES(H41,$B$1))</f>
        <v>#NAME?</v>
      </c>
      <c r="O41" s="28"/>
      <c r="P41" s="28"/>
      <c r="Q41" s="28"/>
      <c r="R41" s="28"/>
      <c r="S41" s="28"/>
      <c r="T41" s="28"/>
      <c r="U41" s="28"/>
      <c r="V41" s="28"/>
      <c r="W41" s="28"/>
      <c r="X41" s="28"/>
      <c r="Y41" s="28"/>
      <c r="Z41" s="28"/>
      <c r="AA41" s="28" t="e">
        <f ca="1">IF($I41="B1","",SUM(O41:Z41))</f>
        <v>#NAME?</v>
      </c>
      <c r="AB41" s="29" t="e">
        <f ca="1">IF(AA41=0,"",IFERROR(AA41/AA$19,""))</f>
        <v>#NAME?</v>
      </c>
      <c r="AD41" s="28"/>
      <c r="AE41" s="29" t="str">
        <f>IF(AD41=0,"",IFERROR(AD41/AD$19,""))</f>
        <v/>
      </c>
      <c r="AF41" s="48" t="e">
        <f ca="1">IF(AND($AA41="",AD41=""),"",$AA41-AD41)</f>
        <v>#NAME?</v>
      </c>
      <c r="AG41" s="28"/>
      <c r="AH41" s="29" t="str">
        <f>IF(AG41=0,"",IFERROR(AG41/AG$19,""))</f>
        <v/>
      </c>
      <c r="AI41" s="48" t="e">
        <f ca="1">IF(AND($AA41="",AG41=""),"",$AA41-AG41)</f>
        <v>#NAME?</v>
      </c>
      <c r="AJ41" s="381">
        <f ca="1">IFERROR(AA41/AA$20,0)</f>
        <v>0</v>
      </c>
      <c r="AK41" s="382">
        <f ca="1">IFERROR(AD41/AD$20,0)</f>
        <v>0</v>
      </c>
      <c r="AL41" s="383">
        <f ca="1">IFERROR(AG41/AG$20,0)</f>
        <v>0</v>
      </c>
      <c r="AM41" s="384">
        <f ca="1">+IFERROR(ROUND(($AB41-AE41)*100,2)&amp;" pts.",0)</f>
        <v>0</v>
      </c>
      <c r="AN41" s="385">
        <f ca="1">+IFERROR(ROUND(($AB41-AH41)*100,2)&amp;" pts.",0)</f>
        <v>0</v>
      </c>
    </row>
    <row r="42" spans="1:40" x14ac:dyDescent="0.2">
      <c r="A42" s="1" t="s">
        <v>110</v>
      </c>
      <c r="C42" s="27" t="s">
        <v>101</v>
      </c>
      <c r="D42" s="1" t="s">
        <v>107</v>
      </c>
      <c r="F42" s="1" t="s">
        <v>99</v>
      </c>
      <c r="H42" s="23"/>
      <c r="I42" s="23"/>
      <c r="J42" s="23"/>
      <c r="K42" s="23"/>
      <c r="L42" s="23"/>
      <c r="M42" s="23"/>
      <c r="N42" s="23"/>
      <c r="O42" s="38"/>
      <c r="P42" s="42"/>
      <c r="Q42" s="42"/>
      <c r="R42" s="42"/>
      <c r="S42" s="42"/>
      <c r="T42" s="42"/>
      <c r="U42" s="42"/>
      <c r="V42" s="42"/>
      <c r="W42" s="42"/>
      <c r="X42" s="42"/>
      <c r="Y42" s="42"/>
      <c r="Z42" s="42"/>
      <c r="AA42" s="42"/>
      <c r="AB42" s="39"/>
      <c r="AD42" s="38"/>
      <c r="AE42" s="42"/>
      <c r="AF42" s="39"/>
      <c r="AG42" s="38"/>
      <c r="AH42" s="42"/>
      <c r="AI42" s="39"/>
    </row>
    <row r="43" spans="1:40" x14ac:dyDescent="0.2">
      <c r="C43" s="23"/>
      <c r="H43" s="1" t="s">
        <v>82</v>
      </c>
      <c r="I43" s="11" t="e">
        <f ca="1">_xll.EVPRO($B$1,$H43,"STYLE")</f>
        <v>#NAME?</v>
      </c>
      <c r="J43" s="11" t="e">
        <f ca="1">_xll.EVPRO($B$1,$H43,"CALC")</f>
        <v>#NAME?</v>
      </c>
      <c r="L43" s="1"/>
      <c r="M43" s="1"/>
      <c r="N43" s="37" t="e">
        <f ca="1">IF(_xll.EVDES(H43,$B$1)="#NODATA","",_xll.EVDES(H43,$B$1))</f>
        <v>#NAME?</v>
      </c>
      <c r="O43" s="40"/>
      <c r="P43" s="43"/>
      <c r="Q43" s="43"/>
      <c r="R43" s="43"/>
      <c r="S43" s="43"/>
      <c r="T43" s="43"/>
      <c r="U43" s="43"/>
      <c r="V43" s="43"/>
      <c r="W43" s="43"/>
      <c r="X43" s="43"/>
      <c r="Y43" s="43"/>
      <c r="Z43" s="43"/>
      <c r="AA43" s="43"/>
      <c r="AB43" s="41"/>
      <c r="AD43" s="40"/>
      <c r="AE43" s="43"/>
      <c r="AF43" s="41"/>
      <c r="AG43" s="40"/>
      <c r="AH43" s="43"/>
      <c r="AI43" s="41"/>
    </row>
    <row r="44" spans="1:40" hidden="1" x14ac:dyDescent="0.2">
      <c r="C44" s="23"/>
      <c r="H44" s="10" t="s">
        <v>667</v>
      </c>
      <c r="I44" s="25" t="e">
        <f ca="1">_xll.EVPRO($B$1,$H44,"STYLE")</f>
        <v>#NAME?</v>
      </c>
      <c r="J44" s="25" t="e">
        <f ca="1">_xll.EVPRO($B$1,$H44,"CALC")</f>
        <v>#NAME?</v>
      </c>
      <c r="K44" s="64" t="e">
        <f ca="1">IF(AND(I44&gt;="T3"),"&gt;","")</f>
        <v>#NAME?</v>
      </c>
      <c r="L44" s="24" t="e">
        <f ca="1">_xll.EVPRO($B$1,H44,"JDEID")</f>
        <v>#NAME?</v>
      </c>
      <c r="M44" s="24" t="e">
        <f ca="1">IF(AND(I44="N",J44="N"),_xll.EVPRO($B$1,H44,"PSFTID"),"")</f>
        <v>#NAME?</v>
      </c>
      <c r="N44" s="24" t="e">
        <f ca="1">IF(_xll.EVDES(H44,$B$1)="#NODATA","",_xll.EVDES(H44,$B$1))</f>
        <v>#NAME?</v>
      </c>
      <c r="O44" s="19"/>
      <c r="P44" s="19"/>
      <c r="Q44" s="19"/>
      <c r="R44" s="19"/>
      <c r="S44" s="19"/>
      <c r="T44" s="19"/>
      <c r="U44" s="19"/>
      <c r="V44" s="19"/>
      <c r="W44" s="19"/>
      <c r="X44" s="19"/>
      <c r="Y44" s="19"/>
      <c r="Z44" s="19"/>
      <c r="AA44" s="19" t="e">
        <f ca="1">IF($I44="B1","",SUM(O44:Z44))</f>
        <v>#NAME?</v>
      </c>
      <c r="AB44" s="15" t="e">
        <f ca="1">IF(AA44=0,"",IFERROR(AA44/AA$19,""))</f>
        <v>#NAME?</v>
      </c>
      <c r="AD44" s="19"/>
      <c r="AE44" s="15" t="str">
        <f>IF(AD44=0,"",IFERROR(AD44/AD$19,""))</f>
        <v/>
      </c>
      <c r="AF44" s="47" t="e">
        <f ca="1">IF(AND($AA44="",AD44=""),"",$AA44-AD44)</f>
        <v>#NAME?</v>
      </c>
      <c r="AG44" s="19"/>
      <c r="AH44" s="15" t="str">
        <f>IF(AG44=0,"",IFERROR(AG44/AG$19,""))</f>
        <v/>
      </c>
      <c r="AI44" s="47" t="e">
        <f ca="1">IF(AND($AA44="",AG44=""),"",$AA44-AG44)</f>
        <v>#NAME?</v>
      </c>
      <c r="AJ44" s="371">
        <f ca="1">IFERROR(AA44/AA$20,0)</f>
        <v>0</v>
      </c>
      <c r="AK44" s="372">
        <f ca="1">IFERROR(AD44/AD$20,0)</f>
        <v>0</v>
      </c>
      <c r="AL44" s="373">
        <f ca="1">IFERROR(AG44/AG$20,0)</f>
        <v>0</v>
      </c>
      <c r="AM44" s="374">
        <f ca="1">+IFERROR(ROUND(($AB44-AE44)*100,2)&amp;" pts.",0)</f>
        <v>0</v>
      </c>
      <c r="AN44" s="375">
        <f ca="1">+IFERROR(ROUND(($AB44-AH44)*100,2)&amp;" pts.",0)</f>
        <v>0</v>
      </c>
    </row>
    <row r="45" spans="1:40" hidden="1" x14ac:dyDescent="0.2">
      <c r="A45" s="4" t="e">
        <f ca="1">_xll.EVDRE($B$1,A48:B55,A58:B64)</f>
        <v>#NAME?</v>
      </c>
      <c r="C45" s="23"/>
      <c r="H45" s="10"/>
      <c r="I45" s="25" t="e">
        <f ca="1">_xll.EVPRO($B$1,$H45,"STYLE")</f>
        <v>#NAME?</v>
      </c>
      <c r="J45" s="25" t="e">
        <f ca="1">_xll.EVPRO($B$1,$H45,"CALC")</f>
        <v>#NAME?</v>
      </c>
      <c r="K45" s="64" t="e">
        <f ca="1">IF(AND(I45&gt;="T3"),"&gt;","")</f>
        <v>#NAME?</v>
      </c>
      <c r="L45" s="24" t="e">
        <f ca="1">_xll.EVPRO($B$1,H45,"JDEID")</f>
        <v>#NAME?</v>
      </c>
      <c r="M45" s="24" t="e">
        <f ca="1">IF(AND(I45="N",J45="N"),_xll.EVPRO($B$1,H45,"PSFTID"),"")</f>
        <v>#NAME?</v>
      </c>
      <c r="N45" s="24" t="e">
        <f ca="1">IF(_xll.EVDES(H45,$B$1)="#NODATA","",_xll.EVDES(H45,$B$1))</f>
        <v>#NAME?</v>
      </c>
      <c r="O45" s="19"/>
      <c r="P45" s="19"/>
      <c r="Q45" s="19"/>
      <c r="R45" s="19"/>
      <c r="S45" s="19"/>
      <c r="T45" s="19"/>
      <c r="U45" s="19"/>
      <c r="V45" s="19"/>
      <c r="W45" s="19"/>
      <c r="X45" s="19"/>
      <c r="Y45" s="19"/>
      <c r="Z45" s="19"/>
      <c r="AA45" s="19" t="e">
        <f ca="1">IF($I45="B1","",SUM(O45:Z45))</f>
        <v>#NAME?</v>
      </c>
      <c r="AB45" s="15" t="e">
        <f ca="1">IF(AA45=0,"",IFERROR(AA45/AA$19,""))</f>
        <v>#NAME?</v>
      </c>
      <c r="AD45" s="19"/>
      <c r="AE45" s="15" t="str">
        <f>IF(AD45=0,"",IFERROR(AD45/AD$19,""))</f>
        <v/>
      </c>
      <c r="AF45" s="47" t="e">
        <f ca="1">IF(AND($AA45="",AD45=""),"",$AA45-AD45)</f>
        <v>#NAME?</v>
      </c>
      <c r="AG45" s="19"/>
      <c r="AH45" s="15" t="str">
        <f>IF(AG45=0,"",IFERROR(AG45/AG$19,""))</f>
        <v/>
      </c>
      <c r="AI45" s="47" t="e">
        <f ca="1">IF(AND($AA45="",AG45=""),"",$AA45-AG45)</f>
        <v>#NAME?</v>
      </c>
      <c r="AJ45" s="371">
        <f ca="1">IFERROR(AA45/AA$20,0)</f>
        <v>0</v>
      </c>
      <c r="AK45" s="372">
        <f ca="1">IFERROR(AD45/AD$20,0)</f>
        <v>0</v>
      </c>
      <c r="AL45" s="373">
        <f ca="1">IFERROR(AG45/AG$20,0)</f>
        <v>0</v>
      </c>
      <c r="AM45" s="374">
        <f ca="1">+IFERROR(ROUND(($AB45-AE45)*100,2)&amp;" pts.",0)</f>
        <v>0</v>
      </c>
      <c r="AN45" s="375">
        <f ca="1">+IFERROR(ROUND(($AB45-AH45)*100,2)&amp;" pts.",0)</f>
        <v>0</v>
      </c>
    </row>
    <row r="46" spans="1:40" x14ac:dyDescent="0.2">
      <c r="C46" s="23"/>
      <c r="H46" s="10" t="s">
        <v>79</v>
      </c>
      <c r="I46" s="25" t="e">
        <f ca="1">_xll.EVPRO($B$1,$H46,"STYLE")</f>
        <v>#NAME?</v>
      </c>
      <c r="J46" s="25" t="e">
        <f ca="1">_xll.EVPRO($B$1,$H46,"CALC")</f>
        <v>#NAME?</v>
      </c>
      <c r="K46" s="24"/>
      <c r="N46" s="23" t="e">
        <f ca="1">IF(_xll.EVDES(H46,$B$1)="#NODATA","",_xll.EVDES(H46,$B$1))</f>
        <v>#NAME?</v>
      </c>
      <c r="O46" s="30">
        <f t="shared" ref="O46:Z46" si="0">SUM(O44:O45)</f>
        <v>0</v>
      </c>
      <c r="P46" s="30">
        <f t="shared" si="0"/>
        <v>0</v>
      </c>
      <c r="Q46" s="30">
        <f t="shared" si="0"/>
        <v>0</v>
      </c>
      <c r="R46" s="30">
        <f t="shared" si="0"/>
        <v>0</v>
      </c>
      <c r="S46" s="30">
        <f t="shared" si="0"/>
        <v>0</v>
      </c>
      <c r="T46" s="30">
        <f t="shared" si="0"/>
        <v>0</v>
      </c>
      <c r="U46" s="30">
        <f t="shared" si="0"/>
        <v>0</v>
      </c>
      <c r="V46" s="30">
        <f t="shared" si="0"/>
        <v>0</v>
      </c>
      <c r="W46" s="30">
        <f t="shared" si="0"/>
        <v>0</v>
      </c>
      <c r="X46" s="30">
        <f t="shared" si="0"/>
        <v>0</v>
      </c>
      <c r="Y46" s="30">
        <f t="shared" si="0"/>
        <v>0</v>
      </c>
      <c r="Z46" s="30">
        <f t="shared" si="0"/>
        <v>0</v>
      </c>
      <c r="AA46" s="30" t="e">
        <f t="shared" ref="AA46:AA52" ca="1" si="1">IF($I46="B1","",SUM(O46:Z46))</f>
        <v>#NAME?</v>
      </c>
      <c r="AB46" s="31" t="e">
        <f ca="1">IF(AA46=0,"",IFERROR(AA46/AA$19,""))</f>
        <v>#NAME?</v>
      </c>
      <c r="AD46" s="30">
        <f>SUM(AD44:AD45)</f>
        <v>0</v>
      </c>
      <c r="AE46" s="31" t="str">
        <f>IF(AD46=0,"",IFERROR(AD46/AD$19,""))</f>
        <v/>
      </c>
      <c r="AF46" s="49" t="e">
        <f ca="1">IF(AND($AA46="",AD46=""),"",$AA46-AD46)</f>
        <v>#NAME?</v>
      </c>
      <c r="AG46" s="30">
        <f>SUM(AG44:AG45)</f>
        <v>0</v>
      </c>
      <c r="AH46" s="31" t="str">
        <f>IF(AG46=0,"",IFERROR(AG46/AG$19,""))</f>
        <v/>
      </c>
      <c r="AI46" s="49" t="e">
        <f ca="1">IF(AND($AA46="",AG46=""),"",$AA46-AG46)</f>
        <v>#NAME?</v>
      </c>
      <c r="AJ46" s="387">
        <f ca="1">IFERROR(AA46/AA$20,0)</f>
        <v>0</v>
      </c>
      <c r="AK46" s="388">
        <f ca="1">IFERROR(AD46/AD$20,0)</f>
        <v>0</v>
      </c>
      <c r="AL46" s="389">
        <f ca="1">IFERROR(AG46/AG$20,0)</f>
        <v>0</v>
      </c>
      <c r="AM46" s="390">
        <f ca="1">+IFERROR(ROUND(($AB46-AE46)*100,2)&amp;" pts.",0)</f>
        <v>0</v>
      </c>
      <c r="AN46" s="408">
        <f ca="1">+IFERROR(ROUND(($AB46-AH46)*100,2)&amp;" pts.",0)</f>
        <v>0</v>
      </c>
    </row>
    <row r="47" spans="1:40" x14ac:dyDescent="0.2">
      <c r="A47" s="3" t="s">
        <v>0</v>
      </c>
      <c r="B47" s="5" t="s">
        <v>1</v>
      </c>
      <c r="C47" s="23"/>
    </row>
    <row r="48" spans="1:40" x14ac:dyDescent="0.2">
      <c r="A48" s="6" t="s">
        <v>2</v>
      </c>
      <c r="B48" s="7" t="e">
        <f ca="1">_xll.EVRNG($B$2:$B$10)</f>
        <v>#NAME?</v>
      </c>
      <c r="C48" s="23"/>
      <c r="H48" s="10" t="s">
        <v>80</v>
      </c>
      <c r="I48" s="25" t="e">
        <f ca="1">_xll.EVPRO($B$1,$H48,"STYLE")</f>
        <v>#NAME?</v>
      </c>
      <c r="J48" s="25" t="e">
        <f ca="1">_xll.EVPRO($B$1,$H48,"CALC")</f>
        <v>#NAME?</v>
      </c>
      <c r="K48" s="23"/>
      <c r="N48" s="23" t="e">
        <f ca="1">IF(_xll.EVDES(H48,$B$1)="#NODATA","",_xll.EVDES(H48,$B$1))</f>
        <v>#NAME?</v>
      </c>
      <c r="O48" s="145">
        <f t="shared" ref="O48:Z48" si="2">SUMIF($H$34:$H$47,"561100",O$34:O$47)+SUMIF($H$34:$H$47,"600000",O$34:O$47)+SUMIF($H$34:$H$47,"700000",O$34:O$47)</f>
        <v>0</v>
      </c>
      <c r="P48" s="145">
        <f t="shared" si="2"/>
        <v>0</v>
      </c>
      <c r="Q48" s="145">
        <f t="shared" si="2"/>
        <v>0</v>
      </c>
      <c r="R48" s="145">
        <f t="shared" si="2"/>
        <v>0</v>
      </c>
      <c r="S48" s="145">
        <f t="shared" si="2"/>
        <v>0</v>
      </c>
      <c r="T48" s="145">
        <f t="shared" si="2"/>
        <v>0</v>
      </c>
      <c r="U48" s="145">
        <f t="shared" si="2"/>
        <v>0</v>
      </c>
      <c r="V48" s="145">
        <f t="shared" si="2"/>
        <v>0</v>
      </c>
      <c r="W48" s="145">
        <f t="shared" si="2"/>
        <v>0</v>
      </c>
      <c r="X48" s="145">
        <f t="shared" si="2"/>
        <v>0</v>
      </c>
      <c r="Y48" s="145">
        <f t="shared" si="2"/>
        <v>0</v>
      </c>
      <c r="Z48" s="145">
        <f t="shared" si="2"/>
        <v>0</v>
      </c>
      <c r="AA48" s="145" t="e">
        <f t="shared" ca="1" si="1"/>
        <v>#NAME?</v>
      </c>
      <c r="AB48" s="156" t="e">
        <f ca="1">IF(AA48=0,"",IFERROR(AA48/AA$19,""))</f>
        <v>#NAME?</v>
      </c>
      <c r="AD48" s="145">
        <f>SUMIF($H$34:$H$47,"561100",AD$34:AD$47)+SUMIF($H$34:$H$47,"600000",AD$34:AD$47)+SUMIF($H$34:$H$47,"700000",AD$34:AD$47)</f>
        <v>0</v>
      </c>
      <c r="AE48" s="156" t="str">
        <f>IF(AD48=0,"",IFERROR(AD48/AD$19,""))</f>
        <v/>
      </c>
      <c r="AF48" s="146" t="e">
        <f ca="1">IF(AND($AA48="",AD48=""),"",$AA48-AD48)</f>
        <v>#NAME?</v>
      </c>
      <c r="AG48" s="145">
        <f>SUMIF($H$34:$H$47,"561100",AG$34:AG$47)+SUMIF($H$34:$H$47,"600000",AG$34:AG$47)+SUMIF($H$34:$H$47,"700000",AG$34:AG$47)</f>
        <v>0</v>
      </c>
      <c r="AH48" s="156" t="str">
        <f>IF(AG48=0,"",IFERROR(AG48/AG$19,""))</f>
        <v/>
      </c>
      <c r="AI48" s="146" t="e">
        <f ca="1">IF(AND($AA48="",AG48=""),"",$AA48-AG48)</f>
        <v>#NAME?</v>
      </c>
      <c r="AJ48" s="364">
        <f ca="1">IFERROR(AA48/AA$20,0)</f>
        <v>0</v>
      </c>
      <c r="AK48" s="365">
        <f ca="1">IFERROR(AD48/AD$20,0)</f>
        <v>0</v>
      </c>
      <c r="AL48" s="366">
        <f ca="1">IFERROR(AG48/AG$20,0)</f>
        <v>0</v>
      </c>
      <c r="AM48" s="367">
        <f ca="1">+IFERROR(ROUND(($AB48-AE48)*100,2)&amp;" pts.",0)</f>
        <v>0</v>
      </c>
      <c r="AN48" s="409">
        <f ca="1">+IFERROR(ROUND(($AB48-AH48)*100,2)&amp;" pts.",0)</f>
        <v>0</v>
      </c>
    </row>
    <row r="49" spans="1:40" x14ac:dyDescent="0.2">
      <c r="A49" s="6" t="s">
        <v>3</v>
      </c>
      <c r="B49" s="7" t="e">
        <f ca="1">_xll.EVRNG($O$16:$AN$18)</f>
        <v>#NAME?</v>
      </c>
      <c r="C49" s="23"/>
      <c r="N49" s="23"/>
    </row>
    <row r="50" spans="1:40" x14ac:dyDescent="0.2">
      <c r="A50" s="6" t="s">
        <v>4</v>
      </c>
      <c r="B50" s="7" t="e">
        <f ca="1">_xll.EVRNG(H55:H56)</f>
        <v>#NAME?</v>
      </c>
      <c r="C50" s="23"/>
      <c r="H50" s="10" t="s">
        <v>280</v>
      </c>
      <c r="I50" s="25" t="e">
        <f ca="1">_xll.EVPRO($B$1,$H50,"STYLE")</f>
        <v>#NAME?</v>
      </c>
      <c r="J50" s="25" t="e">
        <f ca="1">_xll.EVPRO($B$1,$H50,"CALC")</f>
        <v>#NAME?</v>
      </c>
      <c r="K50" s="64" t="e">
        <f ca="1">IF(AND(I50&gt;="T3"),"&gt;","")</f>
        <v>#NAME?</v>
      </c>
      <c r="L50" s="24" t="e">
        <f ca="1">_xll.EVPRO($B$1,H50,"JDEID")</f>
        <v>#NAME?</v>
      </c>
      <c r="M50" s="24" t="e">
        <f ca="1">IF(AND(I50="N",J50="N"),_xll.EVPRO($B$1,H50,"PSFTID"),"")</f>
        <v>#NAME?</v>
      </c>
      <c r="N50" s="151" t="e">
        <f ca="1">IF(_xll.EVDES(H50,$B$1)="#NODATA","",_xll.EVDES(H50,$B$1))</f>
        <v>#NAME?</v>
      </c>
      <c r="O50" s="145" t="e">
        <f ca="1">_xll.EVGTS($B$1,1,$B$3,$B$5,$B$7,$B$9,O$16,O$17,O$18,$B$6,$H$50)</f>
        <v>#NAME?</v>
      </c>
      <c r="P50" s="145" t="e">
        <f ca="1">_xll.EVGTS($B$1,1,$B$3,$B$5,$B$7,$B$9,P$16,P$17,P$18,$B$6,$H$50)</f>
        <v>#NAME?</v>
      </c>
      <c r="Q50" s="145" t="e">
        <f ca="1">_xll.EVGTS($B$1,1,$B$3,$B$5,$B$7,$B$9,Q$16,Q$17,Q$18,$B$6,$H$50)</f>
        <v>#NAME?</v>
      </c>
      <c r="R50" s="145" t="e">
        <f ca="1">_xll.EVGTS($B$1,1,$B$3,$B$5,$B$7,$B$9,R$16,R$17,R$18,$B$6,$H$50)</f>
        <v>#NAME?</v>
      </c>
      <c r="S50" s="145" t="e">
        <f ca="1">_xll.EVGTS($B$1,1,$B$3,$B$5,$B$7,$B$9,S$16,S$17,S$18,$B$6,$H$50)</f>
        <v>#NAME?</v>
      </c>
      <c r="T50" s="145" t="e">
        <f ca="1">_xll.EVGTS($B$1,1,$B$3,$B$5,$B$7,$B$9,T$16,T$17,T$18,$B$6,$H$50)</f>
        <v>#NAME?</v>
      </c>
      <c r="U50" s="145" t="e">
        <f ca="1">_xll.EVGTS($B$1,1,$B$3,$B$5,$B$7,$B$9,U$16,U$17,U$18,$B$6,$H$50)</f>
        <v>#NAME?</v>
      </c>
      <c r="V50" s="145" t="e">
        <f ca="1">_xll.EVGTS($B$1,1,$B$3,$B$5,$B$7,$B$9,V$16,V$17,V$18,$B$6,$H$50)</f>
        <v>#NAME?</v>
      </c>
      <c r="W50" s="145" t="e">
        <f ca="1">_xll.EVGTS($B$1,1,$B$3,$B$5,$B$7,$B$9,W$16,W$17,W$18,$B$6,$H$50)</f>
        <v>#NAME?</v>
      </c>
      <c r="X50" s="145" t="e">
        <f ca="1">_xll.EVGTS($B$1,1,$B$3,$B$5,$B$7,$B$9,X$16,X$17,X$18,$B$6,$H$50)</f>
        <v>#NAME?</v>
      </c>
      <c r="Y50" s="145" t="e">
        <f ca="1">_xll.EVGTS($B$1,1,$B$3,$B$5,$B$7,$B$9,Y$16,Y$17,Y$18,$B$6,$H$50)</f>
        <v>#NAME?</v>
      </c>
      <c r="Z50" s="145" t="e">
        <f ca="1">_xll.EVGTS($B$1,1,$B$3,$B$5,$B$7,$B$9,Z$16,Z$17,Z$18,$B$6,$H$50)</f>
        <v>#NAME?</v>
      </c>
      <c r="AA50" s="145" t="e">
        <f ca="1">IF($I50="B1","",SUM(O50:Z50))</f>
        <v>#NAME?</v>
      </c>
      <c r="AB50" s="156" t="e">
        <f ca="1">IF(AA50=0,"",IFERROR(AA50/AA$19,""))</f>
        <v>#NAME?</v>
      </c>
      <c r="AD50" s="145" t="e">
        <f ca="1">_xll.EVGTS($B$1,1,$B$3,$B$5,$B$7,$B$9,AD$16,AD$17,AD$18,$B$6,$H$50)</f>
        <v>#NAME?</v>
      </c>
      <c r="AE50" s="156" t="e">
        <f ca="1">IF(AD50=0,"",IFERROR(AD50/AD$19,""))</f>
        <v>#NAME?</v>
      </c>
      <c r="AF50" s="146" t="e">
        <f ca="1">IF(AND($AA50="",AD50=""),"",$AA50-AD50)</f>
        <v>#NAME?</v>
      </c>
      <c r="AG50" s="145" t="e">
        <f ca="1">_xll.EVGTS($B$1,1,$B$3,$B$5,$B$7,$B$9,AG$16,AG$17,AG$18,$B$6,$H$50)</f>
        <v>#NAME?</v>
      </c>
      <c r="AH50" s="156" t="e">
        <f ca="1">IF(AG50=0,"",IFERROR(AG50/AG$19,""))</f>
        <v>#NAME?</v>
      </c>
      <c r="AI50" s="146" t="e">
        <f ca="1">IF(AND($AA50="",AG50=""),"",$AA50-AG50)</f>
        <v>#NAME?</v>
      </c>
      <c r="AJ50" s="364">
        <f ca="1">IFERROR(AA50/AA$20,0)</f>
        <v>0</v>
      </c>
      <c r="AK50" s="365">
        <f ca="1">IFERROR(AD50/AD$20,0)</f>
        <v>0</v>
      </c>
      <c r="AL50" s="366">
        <f ca="1">IFERROR(AG50/AG$20,0)</f>
        <v>0</v>
      </c>
      <c r="AM50" s="367">
        <f ca="1">+IFERROR(ROUND(($AB50-AE50)*100,2)&amp;" pts.",0)</f>
        <v>0</v>
      </c>
      <c r="AN50" s="409">
        <f ca="1">+IFERROR(ROUND(($AB50-AH50)*100,2)&amp;" pts.",0)</f>
        <v>0</v>
      </c>
    </row>
    <row r="51" spans="1:40" x14ac:dyDescent="0.2">
      <c r="A51" s="6" t="s">
        <v>5</v>
      </c>
      <c r="B51" s="7"/>
      <c r="C51" s="23"/>
      <c r="I51" s="1"/>
      <c r="J51" s="1"/>
      <c r="L51" s="1"/>
      <c r="M51" s="1"/>
    </row>
    <row r="52" spans="1:40" ht="16" thickBot="1" x14ac:dyDescent="0.25">
      <c r="A52" s="6" t="s">
        <v>6</v>
      </c>
      <c r="B52" s="7"/>
      <c r="C52" s="23"/>
      <c r="N52" s="23" t="s">
        <v>665</v>
      </c>
      <c r="O52" s="58" t="e">
        <f ca="1">O48-O50</f>
        <v>#NAME?</v>
      </c>
      <c r="P52" s="58" t="e">
        <f ca="1">P48-P50</f>
        <v>#NAME?</v>
      </c>
      <c r="Q52" s="58" t="e">
        <f ca="1">Q48-Q50</f>
        <v>#NAME?</v>
      </c>
      <c r="R52" s="58" t="e">
        <f t="shared" ref="R52:Z52" ca="1" si="3">R48-R50</f>
        <v>#NAME?</v>
      </c>
      <c r="S52" s="58" t="e">
        <f t="shared" ca="1" si="3"/>
        <v>#NAME?</v>
      </c>
      <c r="T52" s="58" t="e">
        <f t="shared" ca="1" si="3"/>
        <v>#NAME?</v>
      </c>
      <c r="U52" s="58" t="e">
        <f t="shared" ca="1" si="3"/>
        <v>#NAME?</v>
      </c>
      <c r="V52" s="58" t="e">
        <f t="shared" ca="1" si="3"/>
        <v>#NAME?</v>
      </c>
      <c r="W52" s="58" t="e">
        <f t="shared" ca="1" si="3"/>
        <v>#NAME?</v>
      </c>
      <c r="X52" s="58" t="e">
        <f t="shared" ca="1" si="3"/>
        <v>#NAME?</v>
      </c>
      <c r="Y52" s="58" t="e">
        <f t="shared" ca="1" si="3"/>
        <v>#NAME?</v>
      </c>
      <c r="Z52" s="58" t="e">
        <f t="shared" ca="1" si="3"/>
        <v>#NAME?</v>
      </c>
      <c r="AA52" s="58" t="e">
        <f t="shared" ca="1" si="1"/>
        <v>#NAME?</v>
      </c>
      <c r="AB52" s="59" t="e">
        <f ca="1">IF(AA52=0,"",IFERROR(AA52/AA$19,""))</f>
        <v>#NAME?</v>
      </c>
      <c r="AD52" s="58" t="e">
        <f ca="1">AD48-AD50</f>
        <v>#NAME?</v>
      </c>
      <c r="AE52" s="59" t="e">
        <f ca="1">IF(AD52=0,"",IFERROR(AD52/AD$19,""))</f>
        <v>#NAME?</v>
      </c>
      <c r="AF52" s="60" t="e">
        <f ca="1">IF(AND($AA52="",AD52=""),"",$AA52-AD52)</f>
        <v>#NAME?</v>
      </c>
      <c r="AG52" s="58" t="e">
        <f ca="1">AG48-AG50</f>
        <v>#NAME?</v>
      </c>
      <c r="AH52" s="59" t="e">
        <f ca="1">IF(AG52=0,"",IFERROR(AG52/AG$19,""))</f>
        <v>#NAME?</v>
      </c>
      <c r="AI52" s="60" t="e">
        <f ca="1">IF(AND($AA52="",AG52=""),"",$AA52-AG52)</f>
        <v>#NAME?</v>
      </c>
      <c r="AJ52" s="402">
        <f ca="1">IFERROR(AA52/AA$20,0)</f>
        <v>0</v>
      </c>
      <c r="AK52" s="403">
        <f ca="1">IFERROR(AD52/AD$20,0)</f>
        <v>0</v>
      </c>
      <c r="AL52" s="404">
        <f ca="1">IFERROR(AG52/AG$20,0)</f>
        <v>0</v>
      </c>
      <c r="AM52" s="405">
        <f ca="1">+IFERROR(ROUND(($AB52-AE52)*100,2)&amp;" pts.",0)</f>
        <v>0</v>
      </c>
      <c r="AN52" s="410">
        <f ca="1">+IFERROR(ROUND(($AB52-AH52)*100,2)&amp;" pts.",0)</f>
        <v>0</v>
      </c>
    </row>
    <row r="53" spans="1:40" ht="16" thickTop="1" x14ac:dyDescent="0.2">
      <c r="A53" s="6" t="s">
        <v>7</v>
      </c>
      <c r="B53" s="7"/>
      <c r="C53" s="23"/>
    </row>
    <row r="54" spans="1:40" x14ac:dyDescent="0.2">
      <c r="A54" s="6" t="s">
        <v>47</v>
      </c>
      <c r="B54" s="7" t="e">
        <f ca="1">_xll.EVRNG($A$68:$B$89)</f>
        <v>#NAME?</v>
      </c>
      <c r="C54" s="23"/>
      <c r="N54" s="37" t="s">
        <v>595</v>
      </c>
    </row>
    <row r="55" spans="1:40" hidden="1" x14ac:dyDescent="0.2">
      <c r="A55" s="6" t="s">
        <v>8</v>
      </c>
      <c r="B55" s="7"/>
      <c r="C55" s="23"/>
      <c r="H55" s="133" t="s">
        <v>667</v>
      </c>
      <c r="I55" s="25" t="e">
        <f ca="1">_xll.EVPRO($B$1,$H55,"STYLE")</f>
        <v>#NAME?</v>
      </c>
      <c r="J55" s="25" t="e">
        <f ca="1">_xll.EVPRO($B$1,$H55,"CALC")</f>
        <v>#NAME?</v>
      </c>
      <c r="K55" s="24"/>
      <c r="L55" s="24"/>
      <c r="M55" s="24"/>
      <c r="N55" s="24" t="e">
        <f ca="1">IF(_xll.EVDES(H55,$B$1)="#NODATA","",_xll.EVDES(H55,$B$1))</f>
        <v>#NAME?</v>
      </c>
      <c r="O55" s="19"/>
      <c r="P55" s="19"/>
      <c r="Q55" s="19"/>
      <c r="R55" s="19"/>
      <c r="S55" s="19"/>
      <c r="T55" s="19"/>
      <c r="U55" s="19"/>
      <c r="V55" s="19"/>
      <c r="W55" s="19"/>
      <c r="X55" s="19"/>
      <c r="Y55" s="19"/>
      <c r="Z55" s="19"/>
      <c r="AA55" s="19" t="e">
        <f ca="1">IF($I55="B1","",SUM(O55:Z55))</f>
        <v>#NAME?</v>
      </c>
      <c r="AB55" s="15" t="e">
        <f ca="1">IF(AA55=0,"",IFERROR(AA55/AA$19,""))</f>
        <v>#NAME?</v>
      </c>
      <c r="AD55" s="19"/>
      <c r="AE55" s="15" t="str">
        <f>IF(AD55=0,"",IFERROR(AD55/AD$19,""))</f>
        <v/>
      </c>
      <c r="AF55" s="47" t="e">
        <f ca="1">IF(AND($AA55="",AD55=""),"",$AA55-AD55)</f>
        <v>#NAME?</v>
      </c>
      <c r="AG55" s="19"/>
      <c r="AH55" s="15" t="str">
        <f>IF(AG55=0,"",IFERROR(AG55/AG$19,""))</f>
        <v/>
      </c>
      <c r="AI55" s="47" t="e">
        <f ca="1">IF(AND($AA55="",AG55=""),"",$AA55-AG55)</f>
        <v>#NAME?</v>
      </c>
      <c r="AJ55" s="371">
        <f ca="1">IFERROR(AA55/AA$20,0)</f>
        <v>0</v>
      </c>
      <c r="AK55" s="372">
        <f ca="1">IFERROR(AD55/AD$20,0)</f>
        <v>0</v>
      </c>
      <c r="AL55" s="373">
        <f ca="1">IFERROR(AG55/AG$20,0)</f>
        <v>0</v>
      </c>
      <c r="AM55" s="374">
        <f ca="1">+IFERROR(ROUND(($AB55-AE55)*100,2)&amp;" pts.",0)</f>
        <v>0</v>
      </c>
      <c r="AN55" s="375">
        <f ca="1">+IFERROR(ROUND(($AB55-AH55)*100,2)&amp;" pts.",0)</f>
        <v>0</v>
      </c>
    </row>
    <row r="56" spans="1:40" hidden="1" x14ac:dyDescent="0.2">
      <c r="C56" s="23"/>
      <c r="H56" s="133"/>
      <c r="I56" s="25" t="e">
        <f ca="1">_xll.EVPRO($B$1,$H56,"STYLE")</f>
        <v>#NAME?</v>
      </c>
      <c r="J56" s="25" t="e">
        <f ca="1">_xll.EVPRO($B$1,$H56,"CALC")</f>
        <v>#NAME?</v>
      </c>
      <c r="K56" s="24"/>
      <c r="L56" s="24"/>
      <c r="M56" s="24"/>
      <c r="N56" s="24" t="e">
        <f ca="1">IF(_xll.EVDES(H56,$B$1)="#NODATA","",_xll.EVDES(H56,$B$1))</f>
        <v>#NAME?</v>
      </c>
      <c r="O56" s="19"/>
      <c r="P56" s="19"/>
      <c r="Q56" s="19"/>
      <c r="R56" s="19"/>
      <c r="S56" s="19"/>
      <c r="T56" s="19"/>
      <c r="U56" s="19"/>
      <c r="V56" s="19"/>
      <c r="W56" s="19"/>
      <c r="X56" s="19"/>
      <c r="Y56" s="19"/>
      <c r="Z56" s="19"/>
      <c r="AA56" s="19" t="e">
        <f ca="1">IF($I56="B1","",SUM(O56:Z56))</f>
        <v>#NAME?</v>
      </c>
      <c r="AB56" s="15" t="e">
        <f ca="1">IF(AA56=0,"",IFERROR(AA56/AA$19,""))</f>
        <v>#NAME?</v>
      </c>
      <c r="AD56" s="19"/>
      <c r="AE56" s="15" t="str">
        <f>IF(AD56=0,"",IFERROR(AD56/AD$19,""))</f>
        <v/>
      </c>
      <c r="AF56" s="47" t="e">
        <f ca="1">IF(AND($AA56="",AD56=""),"",$AA56-AD56)</f>
        <v>#NAME?</v>
      </c>
      <c r="AG56" s="19"/>
      <c r="AH56" s="15" t="str">
        <f>IF(AG56=0,"",IFERROR(AG56/AG$19,""))</f>
        <v/>
      </c>
      <c r="AI56" s="47" t="e">
        <f ca="1">IF(AND($AA56="",AG56=""),"",$AA56-AG56)</f>
        <v>#NAME?</v>
      </c>
      <c r="AJ56" s="371">
        <f ca="1">IFERROR(AA56/AA$20,0)</f>
        <v>0</v>
      </c>
      <c r="AK56" s="372">
        <f ca="1">IFERROR(AD56/AD$20,0)</f>
        <v>0</v>
      </c>
      <c r="AL56" s="373">
        <f ca="1">IFERROR(AG56/AG$20,0)</f>
        <v>0</v>
      </c>
      <c r="AM56" s="374">
        <f ca="1">+IFERROR(ROUND(($AB56-AE56)*100,2)&amp;" pts.",0)</f>
        <v>0</v>
      </c>
      <c r="AN56" s="375">
        <f ca="1">+IFERROR(ROUND(($AB56-AH56)*100,2)&amp;" pts.",0)</f>
        <v>0</v>
      </c>
    </row>
    <row r="57" spans="1:40" x14ac:dyDescent="0.2">
      <c r="A57" s="3" t="s">
        <v>9</v>
      </c>
      <c r="B57" s="5" t="s">
        <v>10</v>
      </c>
      <c r="C57" s="23"/>
      <c r="H57" s="11"/>
      <c r="J57" s="1"/>
      <c r="N57" s="23" t="s">
        <v>555</v>
      </c>
      <c r="O57" s="30">
        <f t="shared" ref="O57:Z57" si="4">SUM(O55:O56)</f>
        <v>0</v>
      </c>
      <c r="P57" s="30">
        <f t="shared" si="4"/>
        <v>0</v>
      </c>
      <c r="Q57" s="30">
        <f t="shared" si="4"/>
        <v>0</v>
      </c>
      <c r="R57" s="30">
        <f t="shared" si="4"/>
        <v>0</v>
      </c>
      <c r="S57" s="30">
        <f t="shared" si="4"/>
        <v>0</v>
      </c>
      <c r="T57" s="30">
        <f t="shared" si="4"/>
        <v>0</v>
      </c>
      <c r="U57" s="30">
        <f t="shared" si="4"/>
        <v>0</v>
      </c>
      <c r="V57" s="30">
        <f t="shared" si="4"/>
        <v>0</v>
      </c>
      <c r="W57" s="30">
        <f t="shared" si="4"/>
        <v>0</v>
      </c>
      <c r="X57" s="30">
        <f t="shared" si="4"/>
        <v>0</v>
      </c>
      <c r="Y57" s="30">
        <f t="shared" si="4"/>
        <v>0</v>
      </c>
      <c r="Z57" s="30">
        <f t="shared" si="4"/>
        <v>0</v>
      </c>
      <c r="AA57" s="30">
        <f>IF($I57="B1","",SUM(O57:Z57))</f>
        <v>0</v>
      </c>
      <c r="AB57" s="31" t="str">
        <f>IF(AA57=0,"",IFERROR(AA57/AA$19,""))</f>
        <v/>
      </c>
      <c r="AD57" s="30">
        <f>SUM(AD55:AD56)</f>
        <v>0</v>
      </c>
      <c r="AE57" s="31" t="str">
        <f>IF(AD57=0,"",IFERROR(AD57/AD$19,""))</f>
        <v/>
      </c>
      <c r="AF57" s="49">
        <f>IF(AND($AA57="",AD57=""),"",$AA57-AD57)</f>
        <v>0</v>
      </c>
      <c r="AG57" s="30">
        <f>SUM(AG55:AG56)</f>
        <v>0</v>
      </c>
      <c r="AH57" s="31" t="str">
        <f>IF(AG57=0,"",IFERROR(AG57/AG$19,""))</f>
        <v/>
      </c>
      <c r="AI57" s="49">
        <f>IF(AND($AA57="",AG57=""),"",$AA57-AG57)</f>
        <v>0</v>
      </c>
      <c r="AJ57" s="387">
        <f ca="1">IFERROR(AA57/AA$20,0)</f>
        <v>0</v>
      </c>
      <c r="AK57" s="388">
        <f ca="1">IFERROR(AD57/AD$20,0)</f>
        <v>0</v>
      </c>
      <c r="AL57" s="389">
        <f ca="1">IFERROR(AG57/AG$20,0)</f>
        <v>0</v>
      </c>
      <c r="AM57" s="390">
        <f>+IFERROR(ROUND(($AB57-AE57)*100,2)&amp;" pts.",0)</f>
        <v>0</v>
      </c>
      <c r="AN57" s="408">
        <f>+IFERROR(ROUND(($AB57-AH57)*100,2)&amp;" pts.",0)</f>
        <v>0</v>
      </c>
    </row>
    <row r="58" spans="1:40" x14ac:dyDescent="0.2">
      <c r="A58" s="6" t="s">
        <v>11</v>
      </c>
      <c r="B58" s="7" t="s">
        <v>21</v>
      </c>
      <c r="C58" s="23"/>
      <c r="H58" s="11"/>
      <c r="J58" s="1"/>
    </row>
    <row r="59" spans="1:40" ht="16" thickBot="1" x14ac:dyDescent="0.25">
      <c r="A59" s="6" t="s">
        <v>12</v>
      </c>
      <c r="B59" s="7" t="s">
        <v>22</v>
      </c>
      <c r="H59" s="11"/>
      <c r="J59" s="1"/>
      <c r="N59" s="23" t="s">
        <v>558</v>
      </c>
      <c r="O59" s="58" t="e">
        <f t="shared" ref="O59:Z59" ca="1" si="5">O52+O57</f>
        <v>#NAME?</v>
      </c>
      <c r="P59" s="58" t="e">
        <f t="shared" ca="1" si="5"/>
        <v>#NAME?</v>
      </c>
      <c r="Q59" s="58" t="e">
        <f t="shared" ca="1" si="5"/>
        <v>#NAME?</v>
      </c>
      <c r="R59" s="58" t="e">
        <f t="shared" ca="1" si="5"/>
        <v>#NAME?</v>
      </c>
      <c r="S59" s="58" t="e">
        <f t="shared" ca="1" si="5"/>
        <v>#NAME?</v>
      </c>
      <c r="T59" s="58" t="e">
        <f t="shared" ca="1" si="5"/>
        <v>#NAME?</v>
      </c>
      <c r="U59" s="58" t="e">
        <f t="shared" ca="1" si="5"/>
        <v>#NAME?</v>
      </c>
      <c r="V59" s="58" t="e">
        <f t="shared" ca="1" si="5"/>
        <v>#NAME?</v>
      </c>
      <c r="W59" s="58" t="e">
        <f t="shared" ca="1" si="5"/>
        <v>#NAME?</v>
      </c>
      <c r="X59" s="58" t="e">
        <f t="shared" ca="1" si="5"/>
        <v>#NAME?</v>
      </c>
      <c r="Y59" s="58" t="e">
        <f t="shared" ca="1" si="5"/>
        <v>#NAME?</v>
      </c>
      <c r="Z59" s="58" t="e">
        <f t="shared" ca="1" si="5"/>
        <v>#NAME?</v>
      </c>
      <c r="AA59" s="58" t="e">
        <f ca="1">IF($I59="B1","",SUM(O59:Z59))</f>
        <v>#NAME?</v>
      </c>
      <c r="AB59" s="59" t="e">
        <f ca="1">IF(AA59=0,"",IFERROR(AA59/AA$19,""))</f>
        <v>#NAME?</v>
      </c>
      <c r="AD59" s="58" t="e">
        <f ca="1">AD52+AD57</f>
        <v>#NAME?</v>
      </c>
      <c r="AE59" s="59" t="e">
        <f ca="1">IF(AD59=0,"",IFERROR(AD59/AD$19,""))</f>
        <v>#NAME?</v>
      </c>
      <c r="AF59" s="60" t="e">
        <f ca="1">IF(AND($AA59="",AD59=""),"",$AA59-AD59)</f>
        <v>#NAME?</v>
      </c>
      <c r="AG59" s="58" t="e">
        <f ca="1">AG52+AG57</f>
        <v>#NAME?</v>
      </c>
      <c r="AH59" s="59" t="e">
        <f ca="1">IF(AG59=0,"",IFERROR(AG59/AG$19,""))</f>
        <v>#NAME?</v>
      </c>
      <c r="AI59" s="60" t="e">
        <f ca="1">IF(AND($AA59="",AG59=""),"",$AA59-AG59)</f>
        <v>#NAME?</v>
      </c>
    </row>
    <row r="60" spans="1:40" ht="16" thickTop="1" x14ac:dyDescent="0.2">
      <c r="A60" s="6" t="s">
        <v>13</v>
      </c>
      <c r="B60" s="7" t="s">
        <v>594</v>
      </c>
      <c r="H60" s="11"/>
      <c r="J60" s="1"/>
    </row>
    <row r="61" spans="1:40" x14ac:dyDescent="0.2">
      <c r="A61" s="6" t="s">
        <v>14</v>
      </c>
      <c r="B61" s="14"/>
      <c r="H61" s="11"/>
      <c r="J61" s="1"/>
    </row>
    <row r="62" spans="1:40" x14ac:dyDescent="0.2">
      <c r="A62" s="6" t="s">
        <v>15</v>
      </c>
      <c r="B62" s="7"/>
      <c r="H62" s="10" t="s">
        <v>56</v>
      </c>
      <c r="I62" s="25" t="e">
        <f ca="1">_xll.EVPRO($B$1,$H62,"STYLE")</f>
        <v>#NAME?</v>
      </c>
      <c r="J62" s="25" t="e">
        <f ca="1">_xll.EVPRO($B$1,$H62,"CALC")</f>
        <v>#NAME?</v>
      </c>
      <c r="K62" s="23"/>
      <c r="N62" s="23" t="s">
        <v>666</v>
      </c>
      <c r="O62" s="124" t="e">
        <f ca="1">_xll.EVGTS($B$1,1,$B$3,$B$5,$B$7,$B$9,O$16,O$17,O$18,$B$6,$H62)</f>
        <v>#NAME?</v>
      </c>
      <c r="P62" s="124" t="e">
        <f ca="1">_xll.EVGTS($B$1,1,$B$3,$B$5,$B$7,$B$9,P$16,P$17,P$18,$B$6,$H62)</f>
        <v>#NAME?</v>
      </c>
      <c r="Q62" s="124" t="e">
        <f ca="1">_xll.EVGTS($B$1,1,$B$3,$B$5,$B$7,$B$9,Q$16,Q$17,Q$18,$B$6,$H62)</f>
        <v>#NAME?</v>
      </c>
      <c r="R62" s="124" t="e">
        <f ca="1">_xll.EVGTS($B$1,1,$B$3,$B$5,$B$7,$B$9,R$16,R$17,R$18,$B$6,$H62)</f>
        <v>#NAME?</v>
      </c>
      <c r="S62" s="124" t="e">
        <f ca="1">_xll.EVGTS($B$1,1,$B$3,$B$5,$B$7,$B$9,S$16,S$17,S$18,$B$6,$H62)</f>
        <v>#NAME?</v>
      </c>
      <c r="T62" s="124" t="e">
        <f ca="1">_xll.EVGTS($B$1,1,$B$3,$B$5,$B$7,$B$9,T$16,T$17,T$18,$B$6,$H62)</f>
        <v>#NAME?</v>
      </c>
      <c r="U62" s="124" t="e">
        <f ca="1">_xll.EVGTS($B$1,1,$B$3,$B$5,$B$7,$B$9,U$16,U$17,U$18,$B$6,$H62)</f>
        <v>#NAME?</v>
      </c>
      <c r="V62" s="124" t="e">
        <f ca="1">_xll.EVGTS($B$1,1,$B$3,$B$5,$B$7,$B$9,V$16,V$17,V$18,$B$6,$H62)</f>
        <v>#NAME?</v>
      </c>
      <c r="W62" s="124" t="e">
        <f ca="1">_xll.EVGTS($B$1,1,$B$3,$B$5,$B$7,$B$9,W$16,W$17,W$18,$B$6,$H62)</f>
        <v>#NAME?</v>
      </c>
      <c r="X62" s="124" t="e">
        <f ca="1">_xll.EVGTS($B$1,1,$B$3,$B$5,$B$7,$B$9,X$16,X$17,X$18,$B$6,$H62)</f>
        <v>#NAME?</v>
      </c>
      <c r="Y62" s="124" t="e">
        <f ca="1">_xll.EVGTS($B$1,1,$B$3,$B$5,$B$7,$B$9,Y$16,Y$17,Y$18,$B$6,$H62)</f>
        <v>#NAME?</v>
      </c>
      <c r="Z62" s="124" t="e">
        <f ca="1">_xll.EVGTS($B$1,1,$B$3,$B$5,$B$7,$B$9,Z$16,Z$17,Z$18,$B$6,$H62)</f>
        <v>#NAME?</v>
      </c>
      <c r="AA62" s="19" t="e">
        <f ca="1">IF($I62="B1","",SUM(O62:Z62))</f>
        <v>#NAME?</v>
      </c>
      <c r="AB62" s="124"/>
      <c r="AD62" s="124" t="e">
        <f ca="1">_xll.EVGTS($B$1,1,$B$3,$B$5,$B$7,$B$9,AD$16,AD$17,AD$18,$B$6,$H62)</f>
        <v>#NAME?</v>
      </c>
      <c r="AE62" s="124"/>
      <c r="AF62" s="124"/>
      <c r="AG62" s="124" t="e">
        <f ca="1">_xll.EVGTS($B$1,1,$B$3,$B$5,$B$7,$B$9,AG$16,AG$17,AG$18,$B$6,$H62)</f>
        <v>#NAME?</v>
      </c>
      <c r="AH62" s="124"/>
      <c r="AI62" s="124"/>
    </row>
    <row r="63" spans="1:40" x14ac:dyDescent="0.2">
      <c r="A63" s="6" t="s">
        <v>16</v>
      </c>
      <c r="B63" s="7" t="s">
        <v>78</v>
      </c>
      <c r="H63" s="11"/>
      <c r="J63" s="1"/>
    </row>
    <row r="64" spans="1:40" x14ac:dyDescent="0.2">
      <c r="A64" s="6" t="s">
        <v>17</v>
      </c>
      <c r="B64" s="7"/>
      <c r="H64" s="11"/>
      <c r="J64" s="1"/>
    </row>
    <row r="65" spans="1:10" x14ac:dyDescent="0.2">
      <c r="H65" s="11"/>
      <c r="J65" s="1"/>
    </row>
    <row r="66" spans="1:10" x14ac:dyDescent="0.2">
      <c r="H66" s="11"/>
      <c r="J66" s="1"/>
    </row>
    <row r="67" spans="1:10" x14ac:dyDescent="0.2">
      <c r="A67" s="3" t="s">
        <v>23</v>
      </c>
      <c r="B67" s="5" t="s">
        <v>24</v>
      </c>
      <c r="H67" s="11"/>
      <c r="J67" s="1"/>
    </row>
    <row r="68" spans="1:10" x14ac:dyDescent="0.2">
      <c r="A68" s="6" t="s">
        <v>25</v>
      </c>
      <c r="B68" s="7"/>
    </row>
    <row r="69" spans="1:10" x14ac:dyDescent="0.2">
      <c r="A69" s="6" t="s">
        <v>26</v>
      </c>
      <c r="B69" s="7"/>
    </row>
    <row r="70" spans="1:10" x14ac:dyDescent="0.2">
      <c r="A70" s="6" t="s">
        <v>27</v>
      </c>
      <c r="B70" s="7"/>
    </row>
    <row r="71" spans="1:10" x14ac:dyDescent="0.2">
      <c r="A71" s="6" t="s">
        <v>28</v>
      </c>
      <c r="B71" s="7"/>
    </row>
    <row r="72" spans="1:10" x14ac:dyDescent="0.2">
      <c r="A72" s="6" t="s">
        <v>29</v>
      </c>
      <c r="B72" s="7"/>
    </row>
    <row r="73" spans="1:10" x14ac:dyDescent="0.2">
      <c r="A73" s="6" t="s">
        <v>30</v>
      </c>
      <c r="B73" s="7" t="s">
        <v>78</v>
      </c>
    </row>
    <row r="74" spans="1:10" x14ac:dyDescent="0.2">
      <c r="A74" s="6" t="s">
        <v>31</v>
      </c>
      <c r="B74" s="7" t="s">
        <v>78</v>
      </c>
    </row>
    <row r="75" spans="1:10" x14ac:dyDescent="0.2">
      <c r="A75" s="6" t="s">
        <v>32</v>
      </c>
      <c r="B75" s="7"/>
    </row>
    <row r="76" spans="1:10" x14ac:dyDescent="0.2">
      <c r="A76" s="6" t="s">
        <v>33</v>
      </c>
      <c r="B76" s="7"/>
    </row>
    <row r="77" spans="1:10" x14ac:dyDescent="0.2">
      <c r="A77" s="6" t="s">
        <v>34</v>
      </c>
      <c r="B77" s="7"/>
    </row>
    <row r="78" spans="1:10" x14ac:dyDescent="0.2">
      <c r="A78" s="6" t="s">
        <v>35</v>
      </c>
      <c r="B78" s="7"/>
    </row>
    <row r="79" spans="1:10" x14ac:dyDescent="0.2">
      <c r="A79" s="6" t="s">
        <v>36</v>
      </c>
      <c r="B79" s="7"/>
      <c r="C79" s="23"/>
    </row>
    <row r="80" spans="1:10" x14ac:dyDescent="0.2">
      <c r="A80" s="6" t="s">
        <v>37</v>
      </c>
      <c r="B80" s="7"/>
    </row>
    <row r="81" spans="1:2" x14ac:dyDescent="0.2">
      <c r="A81" s="6" t="s">
        <v>38</v>
      </c>
      <c r="B81" s="7"/>
    </row>
    <row r="82" spans="1:2" x14ac:dyDescent="0.2">
      <c r="A82" s="6" t="s">
        <v>39</v>
      </c>
      <c r="B82" s="7"/>
    </row>
    <row r="83" spans="1:2" x14ac:dyDescent="0.2">
      <c r="A83" s="6" t="s">
        <v>40</v>
      </c>
      <c r="B83" s="7"/>
    </row>
    <row r="84" spans="1:2" x14ac:dyDescent="0.2">
      <c r="A84" s="6" t="s">
        <v>41</v>
      </c>
      <c r="B84" s="7"/>
    </row>
    <row r="85" spans="1:2" x14ac:dyDescent="0.2">
      <c r="A85" s="6" t="s">
        <v>42</v>
      </c>
      <c r="B85" s="7"/>
    </row>
    <row r="86" spans="1:2" x14ac:dyDescent="0.2">
      <c r="A86" s="6" t="s">
        <v>43</v>
      </c>
      <c r="B86" s="7"/>
    </row>
    <row r="87" spans="1:2" x14ac:dyDescent="0.2">
      <c r="A87" s="6" t="s">
        <v>44</v>
      </c>
      <c r="B87" s="7"/>
    </row>
    <row r="88" spans="1:2" x14ac:dyDescent="0.2">
      <c r="A88" s="6" t="s">
        <v>45</v>
      </c>
      <c r="B88" s="7"/>
    </row>
    <row r="89" spans="1:2" x14ac:dyDescent="0.2">
      <c r="A89" s="6" t="s">
        <v>46</v>
      </c>
      <c r="B89" s="7"/>
    </row>
  </sheetData>
  <mergeCells count="2">
    <mergeCell ref="AD31:AE31"/>
    <mergeCell ref="AG31:AH31"/>
  </mergeCells>
  <dataValidations disablePrompts="1" count="2">
    <dataValidation type="list" allowBlank="1" sqref="B60 B29" xr:uid="{00000000-0002-0000-5E00-000000000000}">
      <formula1>"SELF,ALL,BAS,DEP,BASMEMBERS,MEMBERS,NOEXPAND,GDEP"</formula1>
    </dataValidation>
    <dataValidation type="list" allowBlank="1" sqref="B59 B28" xr:uid="{00000000-0002-0000-5E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97">
    <pageSetUpPr fitToPage="1"/>
  </sheetPr>
  <dimension ref="A1:AO89"/>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1" hidden="1" customWidth="1" outlineLevel="1" collapsed="1"/>
    <col min="13" max="13" width="9.6640625" style="1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9.1640625" style="1" hidden="1" customWidth="1" outlineLevel="1"/>
    <col min="41" max="41" width="9.1640625" style="1" collapsed="1"/>
    <col min="42" max="16384" width="9.1640625" style="1"/>
  </cols>
  <sheetData>
    <row r="1" spans="1:35" hidden="1" outlineLevel="1" x14ac:dyDescent="0.2">
      <c r="A1" s="8" t="s">
        <v>48</v>
      </c>
      <c r="B1" s="2" t="s">
        <v>49</v>
      </c>
      <c r="C1" s="8" t="s">
        <v>980</v>
      </c>
      <c r="I1" s="1"/>
      <c r="J1" s="1"/>
      <c r="L1" s="69"/>
      <c r="M1" s="69"/>
      <c r="N1" s="69"/>
    </row>
    <row r="2" spans="1:35" hidden="1" outlineLevel="1" x14ac:dyDescent="0.2">
      <c r="A2" s="8" t="s">
        <v>22</v>
      </c>
      <c r="B2" s="12" t="s">
        <v>554</v>
      </c>
      <c r="C2" s="1" t="s">
        <v>1520</v>
      </c>
      <c r="I2" s="1"/>
      <c r="J2" s="1"/>
      <c r="L2" s="69"/>
      <c r="M2" s="69"/>
    </row>
    <row r="3" spans="1:35" hidden="1" outlineLevel="1" x14ac:dyDescent="0.2">
      <c r="A3" s="8" t="s">
        <v>50</v>
      </c>
      <c r="B3" s="9" t="s">
        <v>979</v>
      </c>
      <c r="C3" s="1" t="s">
        <v>982</v>
      </c>
      <c r="I3" s="1"/>
      <c r="J3" s="1"/>
    </row>
    <row r="4" spans="1:35" hidden="1" outlineLevel="1" x14ac:dyDescent="0.2">
      <c r="A4" s="8" t="s">
        <v>19</v>
      </c>
      <c r="B4" s="9" t="str">
        <f>SetUp!$D$6</f>
        <v>CURRENT</v>
      </c>
      <c r="C4" s="1" t="s">
        <v>960</v>
      </c>
      <c r="E4" s="46">
        <v>20250100</v>
      </c>
      <c r="F4" s="46">
        <v>20250100</v>
      </c>
    </row>
    <row r="5" spans="1:35" hidden="1" outlineLevel="1" x14ac:dyDescent="0.2">
      <c r="A5" s="8" t="s">
        <v>51</v>
      </c>
      <c r="B5" s="12" t="s">
        <v>59</v>
      </c>
      <c r="C5" s="1" t="s">
        <v>59</v>
      </c>
    </row>
    <row r="6" spans="1:35" hidden="1" outlineLevel="1" x14ac:dyDescent="0.2">
      <c r="A6" s="8" t="s">
        <v>52</v>
      </c>
      <c r="B6" s="12" t="s">
        <v>559</v>
      </c>
      <c r="C6" s="1" t="s">
        <v>1532</v>
      </c>
      <c r="E6" s="46" t="s">
        <v>559</v>
      </c>
      <c r="F6" s="1" t="s">
        <v>278</v>
      </c>
    </row>
    <row r="7" spans="1:35" hidden="1" outlineLevel="1" x14ac:dyDescent="0.2">
      <c r="A7" s="8" t="s">
        <v>53</v>
      </c>
      <c r="B7" s="12" t="s">
        <v>61</v>
      </c>
      <c r="C7" s="1" t="s">
        <v>984</v>
      </c>
    </row>
    <row r="8" spans="1:35" hidden="1" outlineLevel="1" x14ac:dyDescent="0.2">
      <c r="A8" s="8" t="s">
        <v>20</v>
      </c>
      <c r="B8" s="12" t="s">
        <v>63</v>
      </c>
      <c r="C8" s="1" t="s">
        <v>985</v>
      </c>
    </row>
    <row r="9" spans="1:35" hidden="1" outlineLevel="1" x14ac:dyDescent="0.2">
      <c r="A9" s="8" t="s">
        <v>54</v>
      </c>
      <c r="B9" s="9" t="str">
        <f>SetUp!$D$10</f>
        <v>LC</v>
      </c>
      <c r="C9" s="1" t="s">
        <v>986</v>
      </c>
    </row>
    <row r="10" spans="1:35" hidden="1" outlineLevel="1" x14ac:dyDescent="0.2">
      <c r="A10" s="8" t="s">
        <v>18</v>
      </c>
      <c r="B10" s="9" t="str">
        <f>SetUp!$D$7</f>
        <v>2024.TOTAL</v>
      </c>
      <c r="C10" s="1" t="s">
        <v>987</v>
      </c>
      <c r="D10" s="212" t="s">
        <v>988</v>
      </c>
    </row>
    <row r="11" spans="1:35" hidden="1" outlineLevel="1" x14ac:dyDescent="0.2">
      <c r="B11" s="8"/>
      <c r="M11" s="46" t="str">
        <f>IF(LEFT(SetUp!$D$6,3)="ALT","Y","N")</f>
        <v>N</v>
      </c>
      <c r="N11" s="1" t="s">
        <v>800</v>
      </c>
      <c r="O11" s="2" t="s">
        <v>682</v>
      </c>
      <c r="P11" s="2" t="s">
        <v>682</v>
      </c>
      <c r="Q11" s="2" t="s">
        <v>682</v>
      </c>
      <c r="R11" s="2" t="s">
        <v>682</v>
      </c>
      <c r="S11" s="2" t="s">
        <v>682</v>
      </c>
      <c r="T11" s="2" t="s">
        <v>682</v>
      </c>
      <c r="U11" s="2" t="s">
        <v>682</v>
      </c>
      <c r="V11" s="2" t="s">
        <v>682</v>
      </c>
      <c r="W11" s="2" t="s">
        <v>682</v>
      </c>
      <c r="X11" s="2" t="s">
        <v>682</v>
      </c>
      <c r="Y11" s="2" t="s">
        <v>682</v>
      </c>
      <c r="Z11" s="2" t="s">
        <v>682</v>
      </c>
    </row>
    <row r="12" spans="1:35" hidden="1" outlineLevel="1" x14ac:dyDescent="0.2">
      <c r="A12" s="1" t="s">
        <v>115</v>
      </c>
      <c r="B12" s="46">
        <v>2024</v>
      </c>
      <c r="N12" s="1" t="s">
        <v>597</v>
      </c>
      <c r="O12" s="213" t="s">
        <v>78</v>
      </c>
      <c r="P12" s="213" t="s">
        <v>78</v>
      </c>
      <c r="Q12" s="213" t="s">
        <v>78</v>
      </c>
      <c r="R12" s="213" t="s">
        <v>78</v>
      </c>
      <c r="S12" s="213" t="s">
        <v>78</v>
      </c>
      <c r="T12" s="213" t="s">
        <v>78</v>
      </c>
      <c r="U12" s="213" t="s">
        <v>78</v>
      </c>
      <c r="V12" s="213" t="s">
        <v>78</v>
      </c>
      <c r="W12" s="213" t="s">
        <v>78</v>
      </c>
      <c r="X12" s="213" t="s">
        <v>78</v>
      </c>
      <c r="Y12" s="213" t="s">
        <v>78</v>
      </c>
      <c r="Z12" s="213" t="s">
        <v>78</v>
      </c>
      <c r="AA12" s="213"/>
      <c r="AD12" s="213"/>
      <c r="AG12" s="213"/>
    </row>
    <row r="13" spans="1:35" hidden="1" outlineLevel="1" x14ac:dyDescent="0.2">
      <c r="A13" s="1" t="s">
        <v>602</v>
      </c>
      <c r="B13" s="46">
        <v>2024</v>
      </c>
      <c r="N13" s="1" t="s">
        <v>598</v>
      </c>
      <c r="O13" s="53">
        <v>20240100</v>
      </c>
      <c r="P13" s="53">
        <v>20240200</v>
      </c>
      <c r="Q13" s="53">
        <v>20240300</v>
      </c>
      <c r="R13" s="53">
        <v>20240400</v>
      </c>
      <c r="S13" s="53">
        <v>20240500</v>
      </c>
      <c r="T13" s="53">
        <v>20240600</v>
      </c>
      <c r="U13" s="53">
        <v>20240700</v>
      </c>
      <c r="V13" s="53">
        <v>20240800</v>
      </c>
      <c r="W13" s="53">
        <v>20240900</v>
      </c>
      <c r="X13" s="53">
        <v>20241000</v>
      </c>
      <c r="Y13" s="53">
        <v>20241100</v>
      </c>
      <c r="Z13" s="53">
        <v>20241200</v>
      </c>
      <c r="AA13" s="53">
        <v>10000193</v>
      </c>
      <c r="AD13" s="53">
        <v>10000193</v>
      </c>
      <c r="AG13" s="53">
        <v>10000183</v>
      </c>
    </row>
    <row r="14" spans="1:35" hidden="1" outlineLevel="1" x14ac:dyDescent="0.2">
      <c r="A14" s="4" t="s">
        <v>989</v>
      </c>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N16" s="1" t="s">
        <v>18</v>
      </c>
      <c r="O16" s="2" t="s">
        <v>990</v>
      </c>
      <c r="P16" s="2" t="s">
        <v>991</v>
      </c>
      <c r="Q16" s="2" t="s">
        <v>992</v>
      </c>
      <c r="R16" s="2" t="s">
        <v>993</v>
      </c>
      <c r="S16" s="2" t="s">
        <v>994</v>
      </c>
      <c r="T16" s="2" t="s">
        <v>995</v>
      </c>
      <c r="U16" s="2" t="s">
        <v>996</v>
      </c>
      <c r="V16" s="2" t="s">
        <v>997</v>
      </c>
      <c r="W16" s="2" t="s">
        <v>998</v>
      </c>
      <c r="X16" s="2" t="s">
        <v>999</v>
      </c>
      <c r="Y16" s="2" t="s">
        <v>1000</v>
      </c>
      <c r="Z16" s="2" t="str">
        <f>IF(SetUp!$O$1=TRUE,SetUp!$Q$6,IF($D$10="FY",LEFT($B$10,6)&amp;"."&amp;Z15,$B$12&amp;"."&amp;Z14))</f>
        <v>2024.DEC</v>
      </c>
      <c r="AA16" s="2" t="str">
        <f>IF($D$10="FY",LEFT($B$10,6)&amp;"."&amp;AA15,$B$12&amp;"."&amp;AA14)</f>
        <v>2024.TOTAL</v>
      </c>
      <c r="AB16" s="10"/>
      <c r="AC16" s="10"/>
      <c r="AD16" s="2" t="str">
        <f>IF(SetUp!$O$1=TRUE,SetUp!$Q$6,SetUp!$G$7)</f>
        <v>2024.TOTAL</v>
      </c>
      <c r="AE16" s="10"/>
      <c r="AF16" s="10"/>
      <c r="AG16" s="2" t="s">
        <v>955</v>
      </c>
      <c r="AH16" s="10"/>
      <c r="AI16" s="10"/>
    </row>
    <row r="17" spans="1:40" hidden="1" outlineLevel="1" x14ac:dyDescent="0.2">
      <c r="A17" s="6" t="s">
        <v>2</v>
      </c>
      <c r="B17" s="14" t="s">
        <v>1533</v>
      </c>
      <c r="N17" s="1" t="s">
        <v>19</v>
      </c>
      <c r="O17" s="2" t="s">
        <v>682</v>
      </c>
      <c r="P17" s="2" t="s">
        <v>682</v>
      </c>
      <c r="Q17" s="2" t="s">
        <v>682</v>
      </c>
      <c r="R17" s="2" t="s">
        <v>682</v>
      </c>
      <c r="S17" s="2" t="s">
        <v>682</v>
      </c>
      <c r="T17" s="2" t="s">
        <v>682</v>
      </c>
      <c r="U17" s="2" t="s">
        <v>682</v>
      </c>
      <c r="V17" s="2" t="s">
        <v>682</v>
      </c>
      <c r="W17" s="2" t="s">
        <v>682</v>
      </c>
      <c r="X17" s="2" t="s">
        <v>682</v>
      </c>
      <c r="Y17" s="2" t="s">
        <v>682</v>
      </c>
      <c r="Z17" s="2" t="s">
        <v>682</v>
      </c>
      <c r="AA17" s="2"/>
      <c r="AB17" s="10"/>
      <c r="AC17" s="10"/>
      <c r="AD17" s="2" t="str">
        <f>SetUp!$G$6</f>
        <v>BUDGET</v>
      </c>
      <c r="AE17" s="10"/>
      <c r="AF17" s="10"/>
      <c r="AG17" s="2" t="str">
        <f>SetUp!$J$6</f>
        <v>ACTUAL_CON</v>
      </c>
      <c r="AH17" s="10"/>
      <c r="AI17" s="10"/>
    </row>
    <row r="18" spans="1:40" hidden="1" outlineLevel="1" x14ac:dyDescent="0.2">
      <c r="A18" s="6" t="s">
        <v>3</v>
      </c>
      <c r="B18" s="14" t="s">
        <v>1534</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str">
        <f>IF(SetUp!$O$1=TRUE,"TRAILING12",IF(AD17="CURRENT","ROLLINGFORECAST","PERIODIC"))</f>
        <v>PERIODIC</v>
      </c>
      <c r="AE18" s="10"/>
      <c r="AF18" s="10"/>
      <c r="AG18" s="2" t="str">
        <f>IF(SetUp!$O$1=TRUE,"TRAILING12",IF(AG17="CURRENT","ROLLINGFORECAST","PERIODIC"))</f>
        <v>PERIODIC</v>
      </c>
      <c r="AH18" s="10"/>
      <c r="AI18" s="10"/>
    </row>
    <row r="19" spans="1:40" hidden="1" outlineLevel="1" x14ac:dyDescent="0.2">
      <c r="A19" s="6" t="s">
        <v>4</v>
      </c>
      <c r="B19" s="14" t="s">
        <v>1535</v>
      </c>
      <c r="G19" s="16" t="s">
        <v>499</v>
      </c>
      <c r="H19" s="16">
        <v>400000</v>
      </c>
      <c r="I19" s="17"/>
      <c r="J19" s="17"/>
      <c r="K19" s="16"/>
      <c r="L19" s="17"/>
      <c r="M19" s="17"/>
      <c r="N19" s="16" t="s">
        <v>1001</v>
      </c>
      <c r="O19" s="18">
        <v>1176929.01</v>
      </c>
      <c r="P19" s="18">
        <v>1356809.16</v>
      </c>
      <c r="Q19" s="18">
        <v>1295733.29</v>
      </c>
      <c r="R19" s="18">
        <v>1074347.0900000001</v>
      </c>
      <c r="S19" s="18">
        <v>894357.51</v>
      </c>
      <c r="T19" s="18">
        <v>630684.44999999995</v>
      </c>
      <c r="U19" s="18">
        <v>649800.93000000005</v>
      </c>
      <c r="V19" s="18">
        <v>589394.93999999994</v>
      </c>
      <c r="W19" s="18">
        <v>502527.81</v>
      </c>
      <c r="X19" s="18">
        <v>718138.97</v>
      </c>
      <c r="Y19" s="18">
        <v>816401.49</v>
      </c>
      <c r="Z19" s="18">
        <v>1134093.05</v>
      </c>
      <c r="AA19" s="18">
        <f>SUM(O19:Z19)</f>
        <v>10839217.699999999</v>
      </c>
      <c r="AB19" s="16"/>
      <c r="AC19" s="16"/>
      <c r="AD19" s="18">
        <v>11239182.24</v>
      </c>
      <c r="AE19" s="16"/>
      <c r="AF19" s="16"/>
      <c r="AG19" s="18">
        <v>12940207.16</v>
      </c>
      <c r="AH19" s="16"/>
      <c r="AI19" s="16"/>
    </row>
    <row r="20" spans="1:40" hidden="1" outlineLevel="1" x14ac:dyDescent="0.2">
      <c r="A20" s="6" t="s">
        <v>5</v>
      </c>
      <c r="B20" s="7"/>
      <c r="G20" s="16" t="s">
        <v>749</v>
      </c>
      <c r="H20" s="16">
        <v>904100</v>
      </c>
      <c r="I20" s="17"/>
      <c r="J20" s="17"/>
      <c r="K20" s="16"/>
      <c r="L20" s="17"/>
      <c r="M20" s="17"/>
      <c r="N20" s="16" t="s">
        <v>1008</v>
      </c>
      <c r="O20" s="18">
        <v>4092</v>
      </c>
      <c r="P20" s="18">
        <v>3828</v>
      </c>
      <c r="Q20" s="18">
        <v>4092</v>
      </c>
      <c r="R20" s="18">
        <v>3960</v>
      </c>
      <c r="S20" s="18">
        <v>4092</v>
      </c>
      <c r="T20" s="18">
        <v>3960</v>
      </c>
      <c r="U20" s="18">
        <v>4092</v>
      </c>
      <c r="V20" s="18">
        <v>4092</v>
      </c>
      <c r="W20" s="18">
        <v>3960</v>
      </c>
      <c r="X20" s="18">
        <v>4092</v>
      </c>
      <c r="Y20" s="18">
        <v>3960</v>
      </c>
      <c r="Z20" s="18">
        <v>4092</v>
      </c>
      <c r="AA20" s="18">
        <f>SUM(O20:Z20)</f>
        <v>48312</v>
      </c>
      <c r="AB20" s="16"/>
      <c r="AC20" s="16"/>
      <c r="AD20" s="18">
        <v>48312</v>
      </c>
      <c r="AE20" s="16"/>
      <c r="AF20" s="16"/>
      <c r="AG20" s="18">
        <v>48180</v>
      </c>
      <c r="AH20" s="16"/>
      <c r="AI20" s="16"/>
    </row>
    <row r="21" spans="1:40" hidden="1" outlineLevel="1" x14ac:dyDescent="0.2">
      <c r="A21" s="6" t="s">
        <v>6</v>
      </c>
      <c r="B21" s="7"/>
    </row>
    <row r="22" spans="1:40" hidden="1" outlineLevel="1" x14ac:dyDescent="0.2">
      <c r="A22" s="6" t="s">
        <v>7</v>
      </c>
      <c r="B22" s="14" t="s">
        <v>1536</v>
      </c>
    </row>
    <row r="23" spans="1:40" hidden="1" outlineLevel="1" x14ac:dyDescent="0.2">
      <c r="A23" s="6" t="s">
        <v>47</v>
      </c>
      <c r="B23" s="14" t="s">
        <v>1537</v>
      </c>
      <c r="K23" s="53"/>
    </row>
    <row r="24" spans="1:40" hidden="1" outlineLevel="1" x14ac:dyDescent="0.2">
      <c r="A24" s="6" t="s">
        <v>8</v>
      </c>
      <c r="B24" s="7"/>
    </row>
    <row r="25" spans="1:40" collapsed="1" x14ac:dyDescent="0.2"/>
    <row r="26" spans="1:40" ht="23" x14ac:dyDescent="0.25">
      <c r="A26" s="3" t="s">
        <v>9</v>
      </c>
      <c r="B26" s="5" t="s">
        <v>10</v>
      </c>
      <c r="N26" s="61" t="s">
        <v>982</v>
      </c>
    </row>
    <row r="27" spans="1:40" ht="18" x14ac:dyDescent="0.2">
      <c r="A27" s="6" t="s">
        <v>11</v>
      </c>
      <c r="B27" s="7" t="s">
        <v>21</v>
      </c>
      <c r="N27" s="66" t="s">
        <v>1538</v>
      </c>
    </row>
    <row r="28" spans="1:40" ht="16" x14ac:dyDescent="0.2">
      <c r="A28" s="6" t="s">
        <v>12</v>
      </c>
      <c r="B28" s="7" t="s">
        <v>22</v>
      </c>
      <c r="N28" s="67" t="s">
        <v>1002</v>
      </c>
    </row>
    <row r="29" spans="1:40" ht="15" customHeight="1" x14ac:dyDescent="0.2">
      <c r="A29" s="6" t="s">
        <v>13</v>
      </c>
      <c r="B29" s="14" t="s">
        <v>745</v>
      </c>
      <c r="N29" s="67" t="s">
        <v>986</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752</v>
      </c>
      <c r="AK30" s="209"/>
      <c r="AL30" s="210"/>
      <c r="AM30" s="209" t="s">
        <v>750</v>
      </c>
      <c r="AN30" s="209"/>
    </row>
    <row r="31" spans="1:40" x14ac:dyDescent="0.2">
      <c r="A31" s="6" t="s">
        <v>15</v>
      </c>
      <c r="B31" s="7"/>
      <c r="G31" s="13"/>
      <c r="K31" s="52"/>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tr">
        <f>AA14</f>
        <v>TOTAL</v>
      </c>
      <c r="AB31" s="207"/>
      <c r="AD31" s="540" t="s">
        <v>987</v>
      </c>
      <c r="AE31" s="541"/>
      <c r="AF31" s="211" t="s">
        <v>631</v>
      </c>
      <c r="AG31" s="540" t="s">
        <v>1003</v>
      </c>
      <c r="AH31" s="541"/>
      <c r="AI31" s="211" t="s">
        <v>631</v>
      </c>
      <c r="AJ31" s="211">
        <v>2024</v>
      </c>
      <c r="AK31" s="238">
        <v>2024</v>
      </c>
      <c r="AL31" s="238">
        <v>2023</v>
      </c>
      <c r="AM31" s="211" t="str">
        <f>"vs "&amp;AK31</f>
        <v>vs 2024</v>
      </c>
      <c r="AN31" s="211" t="str">
        <f>"vs "&amp;AL31</f>
        <v>vs 2023</v>
      </c>
    </row>
    <row r="32" spans="1:40" s="232" customFormat="1" ht="30" customHeight="1" x14ac:dyDescent="0.2">
      <c r="A32" s="230" t="s">
        <v>16</v>
      </c>
      <c r="B32" s="231" t="s">
        <v>78</v>
      </c>
      <c r="H32" s="233"/>
      <c r="I32" s="234"/>
      <c r="J32" s="234"/>
      <c r="K32" s="235" t="s">
        <v>117</v>
      </c>
      <c r="L32" s="234"/>
      <c r="M32" s="234"/>
      <c r="N32" s="236" t="s">
        <v>120</v>
      </c>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c r="AD32" s="237" t="s">
        <v>959</v>
      </c>
      <c r="AE32" s="238" t="s">
        <v>58</v>
      </c>
      <c r="AF32" s="237" t="s">
        <v>57</v>
      </c>
      <c r="AG32" s="237" t="s">
        <v>957</v>
      </c>
      <c r="AH32" s="238" t="s">
        <v>58</v>
      </c>
      <c r="AI32" s="237" t="s">
        <v>57</v>
      </c>
      <c r="AJ32" s="237" t="str">
        <f>Z32</f>
        <v>Actual</v>
      </c>
      <c r="AK32" s="238" t="str">
        <f>AD32</f>
        <v>Budget</v>
      </c>
      <c r="AL32" s="237" t="str">
        <f>AG32</f>
        <v>Actual</v>
      </c>
      <c r="AM32" s="211" t="s">
        <v>747</v>
      </c>
      <c r="AN32" s="211" t="s">
        <v>747</v>
      </c>
    </row>
    <row r="33" spans="1:40" x14ac:dyDescent="0.2">
      <c r="A33" s="6" t="s">
        <v>17</v>
      </c>
      <c r="B33" s="7"/>
      <c r="H33" s="189"/>
      <c r="K33" s="63"/>
      <c r="N33" s="62"/>
      <c r="O33" s="50"/>
      <c r="AB33" s="51"/>
      <c r="AD33" s="50"/>
      <c r="AF33" s="51"/>
      <c r="AG33" s="50"/>
      <c r="AI33" s="51"/>
    </row>
    <row r="34" spans="1:40" hidden="1" x14ac:dyDescent="0.2">
      <c r="H34" s="10" t="s">
        <v>667</v>
      </c>
      <c r="I34" s="25"/>
      <c r="J34" s="25"/>
      <c r="K34" s="64" t="str">
        <f>IF(AND(I34&gt;="T3"),"&gt;","")</f>
        <v/>
      </c>
      <c r="L34" s="24"/>
      <c r="M34" s="24"/>
      <c r="N34" s="24"/>
      <c r="O34" s="19"/>
      <c r="P34" s="19"/>
      <c r="Q34" s="19"/>
      <c r="R34" s="19"/>
      <c r="S34" s="19"/>
      <c r="T34" s="19"/>
      <c r="U34" s="19"/>
      <c r="V34" s="19"/>
      <c r="W34" s="19"/>
      <c r="X34" s="19"/>
      <c r="Y34" s="19"/>
      <c r="Z34" s="19"/>
      <c r="AA34" s="19">
        <f>IF($I34="B1","",SUM(O34:Z34))</f>
        <v>0</v>
      </c>
      <c r="AB34" s="15" t="str">
        <f>IF(AA34=0,"",IFERROR(AA34/AA$19,""))</f>
        <v/>
      </c>
      <c r="AD34" s="19"/>
      <c r="AE34" s="15" t="str">
        <f>IF(AD34=0,"",IFERROR(AD34/AD$19,""))</f>
        <v/>
      </c>
      <c r="AF34" s="47">
        <f>IF(AND($AA34="",AD34=""),"",$AA34-AD34)</f>
        <v>0</v>
      </c>
      <c r="AG34" s="19"/>
      <c r="AH34" s="15" t="str">
        <f>IF(AG34=0,"",IFERROR(AG34/AG$19,""))</f>
        <v/>
      </c>
      <c r="AI34" s="47">
        <f>IF(AND($AA34="",AG34=""),"",$AA34-AG34)</f>
        <v>0</v>
      </c>
      <c r="AJ34" s="371">
        <f>IFERROR(AA34/AA$20,0)</f>
        <v>0</v>
      </c>
      <c r="AK34" s="372">
        <f>IFERROR(AD34/AD$20,0)</f>
        <v>0</v>
      </c>
      <c r="AL34" s="373">
        <f>IFERROR(AG34/AG$20,0)</f>
        <v>0</v>
      </c>
      <c r="AM34" s="374">
        <f>+IFERROR(ROUND(($AB34-AE34)*100,2)&amp;" pts.",0)</f>
        <v>0</v>
      </c>
      <c r="AN34" s="375">
        <f>+IFERROR(ROUND(($AB34-AH34)*100,2)&amp;" pts.",0)</f>
        <v>0</v>
      </c>
    </row>
    <row r="35" spans="1:40" hidden="1" x14ac:dyDescent="0.2">
      <c r="A35" s="20" t="s">
        <v>92</v>
      </c>
      <c r="B35" s="21" t="s">
        <v>93</v>
      </c>
      <c r="C35" s="21" t="s">
        <v>94</v>
      </c>
      <c r="D35" s="21" t="s">
        <v>95</v>
      </c>
      <c r="E35" s="21" t="s">
        <v>96</v>
      </c>
      <c r="F35" s="22" t="s">
        <v>97</v>
      </c>
      <c r="H35" s="10"/>
      <c r="I35" s="25"/>
      <c r="J35" s="25"/>
      <c r="K35" s="64" t="str">
        <f>IF(AND(I35&gt;="T3"),"&gt;","")</f>
        <v/>
      </c>
      <c r="L35" s="24"/>
      <c r="M35" s="24"/>
      <c r="N35" s="24"/>
      <c r="O35" s="19"/>
      <c r="P35" s="19"/>
      <c r="Q35" s="19"/>
      <c r="R35" s="19"/>
      <c r="S35" s="19"/>
      <c r="T35" s="19"/>
      <c r="U35" s="19"/>
      <c r="V35" s="19"/>
      <c r="W35" s="19"/>
      <c r="X35" s="19"/>
      <c r="Y35" s="19"/>
      <c r="Z35" s="19"/>
      <c r="AA35" s="19">
        <f>IF($I35="B1","",SUM(O35:Z35))</f>
        <v>0</v>
      </c>
      <c r="AB35" s="15" t="str">
        <f>IF(AA35=0,"",IFERROR(AA35/AA$19,""))</f>
        <v/>
      </c>
      <c r="AD35" s="19"/>
      <c r="AE35" s="15" t="str">
        <f>IF(AD35=0,"",IFERROR(AD35/AD$19,""))</f>
        <v/>
      </c>
      <c r="AF35" s="47">
        <f>IF(AND($AA35="",AD35=""),"",$AA35-AD35)</f>
        <v>0</v>
      </c>
      <c r="AG35" s="19"/>
      <c r="AH35" s="15" t="str">
        <f>IF(AG35=0,"",IFERROR(AG35/AG$19,""))</f>
        <v/>
      </c>
      <c r="AI35" s="47">
        <f>IF(AND($AA35="",AG35=""),"",$AA35-AG35)</f>
        <v>0</v>
      </c>
      <c r="AJ35" s="371">
        <f>IFERROR(AA35/AA$20,0)</f>
        <v>0</v>
      </c>
      <c r="AK35" s="372">
        <f>IFERROR(AD35/AD$20,0)</f>
        <v>0</v>
      </c>
      <c r="AL35" s="373">
        <f>IFERROR(AG35/AG$20,0)</f>
        <v>0</v>
      </c>
      <c r="AM35" s="374">
        <f>+IFERROR(ROUND(($AB35-AE35)*100,2)&amp;" pts.",0)</f>
        <v>0</v>
      </c>
      <c r="AN35" s="375">
        <f>+IFERROR(ROUND(($AB35-AH35)*100,2)&amp;" pts.",0)</f>
        <v>0</v>
      </c>
    </row>
    <row r="36" spans="1:40" x14ac:dyDescent="0.2">
      <c r="H36" s="1" t="s">
        <v>73</v>
      </c>
      <c r="I36" s="11" t="s">
        <v>1006</v>
      </c>
      <c r="J36" s="11" t="s">
        <v>78</v>
      </c>
      <c r="N36" s="37" t="s">
        <v>1073</v>
      </c>
      <c r="O36" s="50"/>
      <c r="AB36" s="51"/>
      <c r="AD36" s="50"/>
      <c r="AF36" s="51"/>
      <c r="AG36" s="50"/>
      <c r="AI36" s="51"/>
    </row>
    <row r="37" spans="1:40" x14ac:dyDescent="0.2">
      <c r="A37" s="1" t="s">
        <v>108</v>
      </c>
      <c r="C37" s="24" t="s">
        <v>101</v>
      </c>
      <c r="D37" s="1" t="s">
        <v>106</v>
      </c>
      <c r="F37" s="1" t="s">
        <v>98</v>
      </c>
      <c r="H37" s="1" t="s">
        <v>74</v>
      </c>
      <c r="I37" s="11" t="s">
        <v>1006</v>
      </c>
      <c r="J37" s="11" t="s">
        <v>78</v>
      </c>
      <c r="N37" s="8" t="s">
        <v>1074</v>
      </c>
      <c r="O37" s="40"/>
      <c r="P37" s="43"/>
      <c r="Q37" s="43"/>
      <c r="R37" s="43"/>
      <c r="S37" s="43"/>
      <c r="T37" s="43"/>
      <c r="U37" s="43"/>
      <c r="V37" s="43"/>
      <c r="W37" s="43"/>
      <c r="X37" s="43"/>
      <c r="Y37" s="43"/>
      <c r="Z37" s="43"/>
      <c r="AA37" s="43"/>
      <c r="AB37" s="41"/>
      <c r="AD37" s="40"/>
      <c r="AE37" s="43"/>
      <c r="AF37" s="41"/>
      <c r="AG37" s="40"/>
      <c r="AH37" s="43"/>
      <c r="AI37" s="41"/>
    </row>
    <row r="38" spans="1:40" hidden="1" x14ac:dyDescent="0.2">
      <c r="A38" s="1" t="s">
        <v>100</v>
      </c>
      <c r="C38" s="8" t="s">
        <v>101</v>
      </c>
      <c r="D38" s="1" t="s">
        <v>106</v>
      </c>
      <c r="F38" s="1" t="s">
        <v>98</v>
      </c>
      <c r="H38" s="10" t="s">
        <v>667</v>
      </c>
      <c r="I38" s="25"/>
      <c r="J38" s="25"/>
      <c r="K38" s="64" t="str">
        <f>IF(AND(I38&gt;="T3"),"&gt;","")</f>
        <v/>
      </c>
      <c r="L38" s="24"/>
      <c r="M38" s="24"/>
      <c r="N38" s="24"/>
      <c r="O38" s="44"/>
      <c r="P38" s="44"/>
      <c r="Q38" s="44"/>
      <c r="R38" s="44"/>
      <c r="S38" s="44"/>
      <c r="T38" s="44"/>
      <c r="U38" s="44"/>
      <c r="V38" s="44"/>
      <c r="W38" s="44"/>
      <c r="X38" s="44"/>
      <c r="Y38" s="44"/>
      <c r="Z38" s="44"/>
      <c r="AA38" s="44">
        <f>IF($I38="B1","",SUM(O38:Z38))</f>
        <v>0</v>
      </c>
      <c r="AB38" s="45" t="str">
        <f>IF(AA38=0,"",IFERROR(AA38/AA$19,""))</f>
        <v/>
      </c>
      <c r="AD38" s="28"/>
      <c r="AE38" s="29" t="str">
        <f>IF(AD38=0,"",IFERROR(AD38/AD$19,""))</f>
        <v/>
      </c>
      <c r="AF38" s="48">
        <f>IF(AND($AA38="",AD38=""),"",$AA38-AD38)</f>
        <v>0</v>
      </c>
      <c r="AG38" s="28"/>
      <c r="AH38" s="29" t="str">
        <f>IF(AG38=0,"",IFERROR(AG38/AG$19,""))</f>
        <v/>
      </c>
      <c r="AI38" s="48">
        <f>IF(AND($AA38="",AG38=""),"",$AA38-AG38)</f>
        <v>0</v>
      </c>
      <c r="AJ38" s="371">
        <f>IFERROR(AA38/AA$20,0)</f>
        <v>0</v>
      </c>
      <c r="AK38" s="372">
        <f>IFERROR(AD38/AD$20,0)</f>
        <v>0</v>
      </c>
      <c r="AL38" s="373">
        <f>IFERROR(AG38/AG$20,0)</f>
        <v>0</v>
      </c>
      <c r="AM38" s="374">
        <f>+IFERROR(ROUND(($AB38-AE38)*100,2)&amp;" pts.",0)</f>
        <v>0</v>
      </c>
      <c r="AN38" s="375">
        <f>+IFERROR(ROUND(($AB38-AH38)*100,2)&amp;" pts.",0)</f>
        <v>0</v>
      </c>
    </row>
    <row r="39" spans="1:40" hidden="1" x14ac:dyDescent="0.2">
      <c r="A39" s="1" t="s">
        <v>109</v>
      </c>
      <c r="C39" s="23" t="s">
        <v>101</v>
      </c>
      <c r="D39" s="1" t="s">
        <v>106</v>
      </c>
      <c r="F39" s="1" t="s">
        <v>98</v>
      </c>
      <c r="H39" s="10"/>
      <c r="I39" s="25"/>
      <c r="J39" s="25"/>
      <c r="K39" s="64" t="str">
        <f>IF(AND(I39&gt;="T3"),"&gt;","")</f>
        <v/>
      </c>
      <c r="L39" s="24"/>
      <c r="M39" s="24"/>
      <c r="N39" s="24"/>
      <c r="O39" s="44"/>
      <c r="P39" s="44"/>
      <c r="Q39" s="44"/>
      <c r="R39" s="44"/>
      <c r="S39" s="44"/>
      <c r="T39" s="44"/>
      <c r="U39" s="44"/>
      <c r="V39" s="44"/>
      <c r="W39" s="44"/>
      <c r="X39" s="44"/>
      <c r="Y39" s="44"/>
      <c r="Z39" s="44"/>
      <c r="AA39" s="44">
        <f>IF($I39="B1","",SUM(O39:Z39))</f>
        <v>0</v>
      </c>
      <c r="AB39" s="45" t="str">
        <f>IF(AA39=0,"",IFERROR(AA39/AA$19,""))</f>
        <v/>
      </c>
      <c r="AD39" s="28"/>
      <c r="AE39" s="29" t="str">
        <f>IF(AD39=0,"",IFERROR(AD39/AD$19,""))</f>
        <v/>
      </c>
      <c r="AF39" s="48">
        <f>IF(AND($AA39="",AD39=""),"",$AA39-AD39)</f>
        <v>0</v>
      </c>
      <c r="AG39" s="28"/>
      <c r="AH39" s="29" t="str">
        <f>IF(AG39=0,"",IFERROR(AG39/AG$19,""))</f>
        <v/>
      </c>
      <c r="AI39" s="48">
        <f>IF(AND($AA39="",AG39=""),"",$AA39-AG39)</f>
        <v>0</v>
      </c>
      <c r="AJ39" s="371">
        <f>IFERROR(AA39/AA$20,0)</f>
        <v>0</v>
      </c>
      <c r="AK39" s="372">
        <f>IFERROR(AD39/AD$20,0)</f>
        <v>0</v>
      </c>
      <c r="AL39" s="373">
        <f>IFERROR(AG39/AG$20,0)</f>
        <v>0</v>
      </c>
      <c r="AM39" s="374">
        <f>+IFERROR(ROUND(($AB39-AE39)*100,2)&amp;" pts.",0)</f>
        <v>0</v>
      </c>
      <c r="AN39" s="375">
        <f>+IFERROR(ROUND(($AB39-AH39)*100,2)&amp;" pts.",0)</f>
        <v>0</v>
      </c>
    </row>
    <row r="40" spans="1:40" hidden="1" x14ac:dyDescent="0.2">
      <c r="A40" s="1" t="s">
        <v>109</v>
      </c>
      <c r="C40" s="135" t="s">
        <v>101</v>
      </c>
      <c r="D40" s="1" t="s">
        <v>107</v>
      </c>
      <c r="F40" s="1" t="s">
        <v>99</v>
      </c>
      <c r="H40" s="10" t="s">
        <v>667</v>
      </c>
      <c r="I40" s="25"/>
      <c r="J40" s="25"/>
      <c r="K40" s="64" t="str">
        <f>IF(AND(I40&gt;="T3"),"&gt;","")</f>
        <v/>
      </c>
      <c r="L40" s="24"/>
      <c r="M40" s="24"/>
      <c r="N40" s="24"/>
      <c r="O40" s="28"/>
      <c r="P40" s="28"/>
      <c r="Q40" s="28"/>
      <c r="R40" s="28"/>
      <c r="S40" s="28"/>
      <c r="T40" s="28"/>
      <c r="U40" s="28"/>
      <c r="V40" s="28"/>
      <c r="W40" s="28"/>
      <c r="X40" s="28"/>
      <c r="Y40" s="28"/>
      <c r="Z40" s="28"/>
      <c r="AA40" s="28">
        <f>IF($I40="B1","",SUM(O40:Z40))</f>
        <v>0</v>
      </c>
      <c r="AB40" s="29" t="str">
        <f>IF(AA40=0,"",IFERROR(AA40/AA$19,""))</f>
        <v/>
      </c>
      <c r="AD40" s="28"/>
      <c r="AE40" s="29" t="str">
        <f>IF(AD40=0,"",IFERROR(AD40/AD$19,""))</f>
        <v/>
      </c>
      <c r="AF40" s="48">
        <f>IF(AND($AA40="",AD40=""),"",$AA40-AD40)</f>
        <v>0</v>
      </c>
      <c r="AG40" s="28"/>
      <c r="AH40" s="29" t="str">
        <f>IF(AG40=0,"",IFERROR(AG40/AG$19,""))</f>
        <v/>
      </c>
      <c r="AI40" s="48">
        <f>IF(AND($AA40="",AG40=""),"",$AA40-AG40)</f>
        <v>0</v>
      </c>
      <c r="AJ40" s="381">
        <f>IFERROR(AA40/AA$20,0)</f>
        <v>0</v>
      </c>
      <c r="AK40" s="382">
        <f>IFERROR(AD40/AD$20,0)</f>
        <v>0</v>
      </c>
      <c r="AL40" s="383">
        <f>IFERROR(AG40/AG$20,0)</f>
        <v>0</v>
      </c>
      <c r="AM40" s="384">
        <f>+IFERROR(ROUND(($AB40-AE40)*100,2)&amp;" pts.",0)</f>
        <v>0</v>
      </c>
      <c r="AN40" s="385">
        <f>+IFERROR(ROUND(($AB40-AH40)*100,2)&amp;" pts.",0)</f>
        <v>0</v>
      </c>
    </row>
    <row r="41" spans="1:40" hidden="1" x14ac:dyDescent="0.2">
      <c r="A41" s="1" t="s">
        <v>110</v>
      </c>
      <c r="C41" s="23" t="s">
        <v>101</v>
      </c>
      <c r="D41" s="1" t="s">
        <v>106</v>
      </c>
      <c r="F41" s="1" t="s">
        <v>98</v>
      </c>
      <c r="H41" s="10"/>
      <c r="I41" s="25"/>
      <c r="J41" s="25"/>
      <c r="K41" s="64" t="str">
        <f>IF(AND(I41&gt;="T3"),"&gt;","")</f>
        <v/>
      </c>
      <c r="L41" s="24"/>
      <c r="M41" s="24"/>
      <c r="N41" s="24"/>
      <c r="O41" s="28"/>
      <c r="P41" s="28"/>
      <c r="Q41" s="28"/>
      <c r="R41" s="28"/>
      <c r="S41" s="28"/>
      <c r="T41" s="28"/>
      <c r="U41" s="28"/>
      <c r="V41" s="28"/>
      <c r="W41" s="28"/>
      <c r="X41" s="28"/>
      <c r="Y41" s="28"/>
      <c r="Z41" s="28"/>
      <c r="AA41" s="28">
        <f>IF($I41="B1","",SUM(O41:Z41))</f>
        <v>0</v>
      </c>
      <c r="AB41" s="29" t="str">
        <f>IF(AA41=0,"",IFERROR(AA41/AA$19,""))</f>
        <v/>
      </c>
      <c r="AD41" s="28"/>
      <c r="AE41" s="29" t="str">
        <f>IF(AD41=0,"",IFERROR(AD41/AD$19,""))</f>
        <v/>
      </c>
      <c r="AF41" s="48">
        <f>IF(AND($AA41="",AD41=""),"",$AA41-AD41)</f>
        <v>0</v>
      </c>
      <c r="AG41" s="28"/>
      <c r="AH41" s="29" t="str">
        <f>IF(AG41=0,"",IFERROR(AG41/AG$19,""))</f>
        <v/>
      </c>
      <c r="AI41" s="48">
        <f>IF(AND($AA41="",AG41=""),"",$AA41-AG41)</f>
        <v>0</v>
      </c>
      <c r="AJ41" s="381">
        <f>IFERROR(AA41/AA$20,0)</f>
        <v>0</v>
      </c>
      <c r="AK41" s="382">
        <f>IFERROR(AD41/AD$20,0)</f>
        <v>0</v>
      </c>
      <c r="AL41" s="383">
        <f>IFERROR(AG41/AG$20,0)</f>
        <v>0</v>
      </c>
      <c r="AM41" s="384">
        <f>+IFERROR(ROUND(($AB41-AE41)*100,2)&amp;" pts.",0)</f>
        <v>0</v>
      </c>
      <c r="AN41" s="385">
        <f>+IFERROR(ROUND(($AB41-AH41)*100,2)&amp;" pts.",0)</f>
        <v>0</v>
      </c>
    </row>
    <row r="42" spans="1:40" x14ac:dyDescent="0.2">
      <c r="A42" s="1" t="s">
        <v>110</v>
      </c>
      <c r="C42" s="27" t="s">
        <v>101</v>
      </c>
      <c r="D42" s="1" t="s">
        <v>107</v>
      </c>
      <c r="F42" s="1" t="s">
        <v>99</v>
      </c>
      <c r="H42" s="23"/>
      <c r="I42" s="23"/>
      <c r="J42" s="23"/>
      <c r="K42" s="23"/>
      <c r="L42" s="23"/>
      <c r="M42" s="23"/>
      <c r="N42" s="23"/>
      <c r="O42" s="38"/>
      <c r="P42" s="42"/>
      <c r="Q42" s="42"/>
      <c r="R42" s="42"/>
      <c r="S42" s="42"/>
      <c r="T42" s="42"/>
      <c r="U42" s="42"/>
      <c r="V42" s="42"/>
      <c r="W42" s="42"/>
      <c r="X42" s="42"/>
      <c r="Y42" s="42"/>
      <c r="Z42" s="42"/>
      <c r="AA42" s="42"/>
      <c r="AB42" s="39"/>
      <c r="AD42" s="38"/>
      <c r="AE42" s="42"/>
      <c r="AF42" s="39"/>
      <c r="AG42" s="38"/>
      <c r="AH42" s="42"/>
      <c r="AI42" s="39"/>
    </row>
    <row r="43" spans="1:40" x14ac:dyDescent="0.2">
      <c r="C43" s="23"/>
      <c r="H43" s="1" t="s">
        <v>82</v>
      </c>
      <c r="I43" s="11" t="s">
        <v>1006</v>
      </c>
      <c r="J43" s="11" t="s">
        <v>78</v>
      </c>
      <c r="L43" s="1"/>
      <c r="M43" s="1"/>
      <c r="N43" s="37" t="s">
        <v>1087</v>
      </c>
      <c r="O43" s="40"/>
      <c r="P43" s="43"/>
      <c r="Q43" s="43"/>
      <c r="R43" s="43"/>
      <c r="S43" s="43"/>
      <c r="T43" s="43"/>
      <c r="U43" s="43"/>
      <c r="V43" s="43"/>
      <c r="W43" s="43"/>
      <c r="X43" s="43"/>
      <c r="Y43" s="43"/>
      <c r="Z43" s="43"/>
      <c r="AA43" s="43"/>
      <c r="AB43" s="41"/>
      <c r="AD43" s="40"/>
      <c r="AE43" s="43"/>
      <c r="AF43" s="41"/>
      <c r="AG43" s="40"/>
      <c r="AH43" s="43"/>
      <c r="AI43" s="41"/>
    </row>
    <row r="44" spans="1:40" hidden="1" x14ac:dyDescent="0.2">
      <c r="C44" s="23"/>
      <c r="H44" s="10" t="s">
        <v>667</v>
      </c>
      <c r="I44" s="25"/>
      <c r="J44" s="25"/>
      <c r="K44" s="64" t="str">
        <f>IF(AND(I44&gt;="T3"),"&gt;","")</f>
        <v/>
      </c>
      <c r="L44" s="24"/>
      <c r="M44" s="24"/>
      <c r="N44" s="24"/>
      <c r="O44" s="19"/>
      <c r="P44" s="19"/>
      <c r="Q44" s="19"/>
      <c r="R44" s="19"/>
      <c r="S44" s="19"/>
      <c r="T44" s="19"/>
      <c r="U44" s="19"/>
      <c r="V44" s="19"/>
      <c r="W44" s="19"/>
      <c r="X44" s="19"/>
      <c r="Y44" s="19"/>
      <c r="Z44" s="19"/>
      <c r="AA44" s="19">
        <f>IF($I44="B1","",SUM(O44:Z44))</f>
        <v>0</v>
      </c>
      <c r="AB44" s="15" t="str">
        <f>IF(AA44=0,"",IFERROR(AA44/AA$19,""))</f>
        <v/>
      </c>
      <c r="AD44" s="19"/>
      <c r="AE44" s="15" t="str">
        <f>IF(AD44=0,"",IFERROR(AD44/AD$19,""))</f>
        <v/>
      </c>
      <c r="AF44" s="47">
        <f>IF(AND($AA44="",AD44=""),"",$AA44-AD44)</f>
        <v>0</v>
      </c>
      <c r="AG44" s="19"/>
      <c r="AH44" s="15" t="str">
        <f>IF(AG44=0,"",IFERROR(AG44/AG$19,""))</f>
        <v/>
      </c>
      <c r="AI44" s="47">
        <f>IF(AND($AA44="",AG44=""),"",$AA44-AG44)</f>
        <v>0</v>
      </c>
      <c r="AJ44" s="371">
        <f>IFERROR(AA44/AA$20,0)</f>
        <v>0</v>
      </c>
      <c r="AK44" s="372">
        <f>IFERROR(AD44/AD$20,0)</f>
        <v>0</v>
      </c>
      <c r="AL44" s="373">
        <f>IFERROR(AG44/AG$20,0)</f>
        <v>0</v>
      </c>
      <c r="AM44" s="374">
        <f>+IFERROR(ROUND(($AB44-AE44)*100,2)&amp;" pts.",0)</f>
        <v>0</v>
      </c>
      <c r="AN44" s="375">
        <f>+IFERROR(ROUND(($AB44-AH44)*100,2)&amp;" pts.",0)</f>
        <v>0</v>
      </c>
    </row>
    <row r="45" spans="1:40" hidden="1" x14ac:dyDescent="0.2">
      <c r="A45" s="4" t="s">
        <v>989</v>
      </c>
      <c r="C45" s="23"/>
      <c r="H45" s="10"/>
      <c r="I45" s="25"/>
      <c r="J45" s="25"/>
      <c r="K45" s="64" t="str">
        <f>IF(AND(I45&gt;="T3"),"&gt;","")</f>
        <v/>
      </c>
      <c r="L45" s="24"/>
      <c r="M45" s="24"/>
      <c r="N45" s="24"/>
      <c r="O45" s="19"/>
      <c r="P45" s="19"/>
      <c r="Q45" s="19"/>
      <c r="R45" s="19"/>
      <c r="S45" s="19"/>
      <c r="T45" s="19"/>
      <c r="U45" s="19"/>
      <c r="V45" s="19"/>
      <c r="W45" s="19"/>
      <c r="X45" s="19"/>
      <c r="Y45" s="19"/>
      <c r="Z45" s="19"/>
      <c r="AA45" s="19">
        <f>IF($I45="B1","",SUM(O45:Z45))</f>
        <v>0</v>
      </c>
      <c r="AB45" s="15" t="str">
        <f>IF(AA45=0,"",IFERROR(AA45/AA$19,""))</f>
        <v/>
      </c>
      <c r="AD45" s="19"/>
      <c r="AE45" s="15" t="str">
        <f>IF(AD45=0,"",IFERROR(AD45/AD$19,""))</f>
        <v/>
      </c>
      <c r="AF45" s="47">
        <f>IF(AND($AA45="",AD45=""),"",$AA45-AD45)</f>
        <v>0</v>
      </c>
      <c r="AG45" s="19"/>
      <c r="AH45" s="15" t="str">
        <f>IF(AG45=0,"",IFERROR(AG45/AG$19,""))</f>
        <v/>
      </c>
      <c r="AI45" s="47">
        <f>IF(AND($AA45="",AG45=""),"",$AA45-AG45)</f>
        <v>0</v>
      </c>
      <c r="AJ45" s="371">
        <f>IFERROR(AA45/AA$20,0)</f>
        <v>0</v>
      </c>
      <c r="AK45" s="372">
        <f>IFERROR(AD45/AD$20,0)</f>
        <v>0</v>
      </c>
      <c r="AL45" s="373">
        <f>IFERROR(AG45/AG$20,0)</f>
        <v>0</v>
      </c>
      <c r="AM45" s="374">
        <f>+IFERROR(ROUND(($AB45-AE45)*100,2)&amp;" pts.",0)</f>
        <v>0</v>
      </c>
      <c r="AN45" s="375">
        <f>+IFERROR(ROUND(($AB45-AH45)*100,2)&amp;" pts.",0)</f>
        <v>0</v>
      </c>
    </row>
    <row r="46" spans="1:40" x14ac:dyDescent="0.2">
      <c r="C46" s="23"/>
      <c r="H46" s="10" t="s">
        <v>79</v>
      </c>
      <c r="I46" s="25" t="s">
        <v>1007</v>
      </c>
      <c r="J46" s="25" t="s">
        <v>78</v>
      </c>
      <c r="K46" s="24"/>
      <c r="N46" s="23" t="s">
        <v>1111</v>
      </c>
      <c r="O46" s="30">
        <f t="shared" ref="O46:Z46" si="0">SUM(O44:O45)</f>
        <v>0</v>
      </c>
      <c r="P46" s="30">
        <f t="shared" si="0"/>
        <v>0</v>
      </c>
      <c r="Q46" s="30">
        <f t="shared" si="0"/>
        <v>0</v>
      </c>
      <c r="R46" s="30">
        <f t="shared" si="0"/>
        <v>0</v>
      </c>
      <c r="S46" s="30">
        <f t="shared" si="0"/>
        <v>0</v>
      </c>
      <c r="T46" s="30">
        <f t="shared" si="0"/>
        <v>0</v>
      </c>
      <c r="U46" s="30">
        <f t="shared" si="0"/>
        <v>0</v>
      </c>
      <c r="V46" s="30">
        <f t="shared" si="0"/>
        <v>0</v>
      </c>
      <c r="W46" s="30">
        <f t="shared" si="0"/>
        <v>0</v>
      </c>
      <c r="X46" s="30">
        <f t="shared" si="0"/>
        <v>0</v>
      </c>
      <c r="Y46" s="30">
        <f t="shared" si="0"/>
        <v>0</v>
      </c>
      <c r="Z46" s="30">
        <f t="shared" si="0"/>
        <v>0</v>
      </c>
      <c r="AA46" s="30">
        <f>IF($I46="B1","",SUM(O46:Z46))</f>
        <v>0</v>
      </c>
      <c r="AB46" s="31" t="str">
        <f>IF(AA46=0,"",IFERROR(AA46/AA$19,""))</f>
        <v/>
      </c>
      <c r="AD46" s="30">
        <f>SUM(AD44:AD45)</f>
        <v>0</v>
      </c>
      <c r="AE46" s="31" t="str">
        <f>IF(AD46=0,"",IFERROR(AD46/AD$19,""))</f>
        <v/>
      </c>
      <c r="AF46" s="49">
        <f>IF(AND($AA46="",AD46=""),"",$AA46-AD46)</f>
        <v>0</v>
      </c>
      <c r="AG46" s="30">
        <f>SUM(AG44:AG45)</f>
        <v>0</v>
      </c>
      <c r="AH46" s="31" t="str">
        <f>IF(AG46=0,"",IFERROR(AG46/AG$19,""))</f>
        <v/>
      </c>
      <c r="AI46" s="49">
        <f>IF(AND($AA46="",AG46=""),"",$AA46-AG46)</f>
        <v>0</v>
      </c>
      <c r="AJ46" s="387">
        <f>IFERROR(AA46/AA$20,0)</f>
        <v>0</v>
      </c>
      <c r="AK46" s="388">
        <f>IFERROR(AD46/AD$20,0)</f>
        <v>0</v>
      </c>
      <c r="AL46" s="389">
        <f>IFERROR(AG46/AG$20,0)</f>
        <v>0</v>
      </c>
      <c r="AM46" s="390">
        <f>+IFERROR(ROUND(($AB46-AE46)*100,2)&amp;" pts.",0)</f>
        <v>0</v>
      </c>
      <c r="AN46" s="408">
        <f>+IFERROR(ROUND(($AB46-AH46)*100,2)&amp;" pts.",0)</f>
        <v>0</v>
      </c>
    </row>
    <row r="47" spans="1:40" x14ac:dyDescent="0.2">
      <c r="A47" s="3" t="s">
        <v>0</v>
      </c>
      <c r="B47" s="5" t="s">
        <v>1</v>
      </c>
      <c r="C47" s="23"/>
    </row>
    <row r="48" spans="1:40" x14ac:dyDescent="0.2">
      <c r="A48" s="6" t="s">
        <v>2</v>
      </c>
      <c r="B48" s="14" t="s">
        <v>1533</v>
      </c>
      <c r="C48" s="23"/>
      <c r="H48" s="10" t="s">
        <v>80</v>
      </c>
      <c r="I48" s="25" t="s">
        <v>1007</v>
      </c>
      <c r="J48" s="25" t="s">
        <v>78</v>
      </c>
      <c r="K48" s="23"/>
      <c r="N48" s="23" t="s">
        <v>1112</v>
      </c>
      <c r="O48" s="145">
        <f t="shared" ref="O48:Z48" si="1">SUMIF($H$34:$H$47,"561100",O$34:O$47)+SUMIF($H$34:$H$47,"600000",O$34:O$47)+SUMIF($H$34:$H$47,"700000",O$34:O$47)</f>
        <v>0</v>
      </c>
      <c r="P48" s="145">
        <f t="shared" si="1"/>
        <v>0</v>
      </c>
      <c r="Q48" s="145">
        <f t="shared" si="1"/>
        <v>0</v>
      </c>
      <c r="R48" s="145">
        <f t="shared" si="1"/>
        <v>0</v>
      </c>
      <c r="S48" s="145">
        <f t="shared" si="1"/>
        <v>0</v>
      </c>
      <c r="T48" s="145">
        <f t="shared" si="1"/>
        <v>0</v>
      </c>
      <c r="U48" s="145">
        <f t="shared" si="1"/>
        <v>0</v>
      </c>
      <c r="V48" s="145">
        <f t="shared" si="1"/>
        <v>0</v>
      </c>
      <c r="W48" s="145">
        <f t="shared" si="1"/>
        <v>0</v>
      </c>
      <c r="X48" s="145">
        <f t="shared" si="1"/>
        <v>0</v>
      </c>
      <c r="Y48" s="145">
        <f t="shared" si="1"/>
        <v>0</v>
      </c>
      <c r="Z48" s="145">
        <f t="shared" si="1"/>
        <v>0</v>
      </c>
      <c r="AA48" s="145">
        <f>IF($I48="B1","",SUM(O48:Z48))</f>
        <v>0</v>
      </c>
      <c r="AB48" s="156" t="str">
        <f>IF(AA48=0,"",IFERROR(AA48/AA$19,""))</f>
        <v/>
      </c>
      <c r="AD48" s="145">
        <f>SUMIF($H$34:$H$47,"561100",AD$34:AD$47)+SUMIF($H$34:$H$47,"600000",AD$34:AD$47)+SUMIF($H$34:$H$47,"700000",AD$34:AD$47)</f>
        <v>0</v>
      </c>
      <c r="AE48" s="156" t="str">
        <f>IF(AD48=0,"",IFERROR(AD48/AD$19,""))</f>
        <v/>
      </c>
      <c r="AF48" s="146">
        <f>IF(AND($AA48="",AD48=""),"",$AA48-AD48)</f>
        <v>0</v>
      </c>
      <c r="AG48" s="145">
        <f>SUMIF($H$34:$H$47,"561100",AG$34:AG$47)+SUMIF($H$34:$H$47,"600000",AG$34:AG$47)+SUMIF($H$34:$H$47,"700000",AG$34:AG$47)</f>
        <v>0</v>
      </c>
      <c r="AH48" s="156" t="str">
        <f>IF(AG48=0,"",IFERROR(AG48/AG$19,""))</f>
        <v/>
      </c>
      <c r="AI48" s="146">
        <f>IF(AND($AA48="",AG48=""),"",$AA48-AG48)</f>
        <v>0</v>
      </c>
      <c r="AJ48" s="364">
        <f>IFERROR(AA48/AA$20,0)</f>
        <v>0</v>
      </c>
      <c r="AK48" s="365">
        <f>IFERROR(AD48/AD$20,0)</f>
        <v>0</v>
      </c>
      <c r="AL48" s="366">
        <f>IFERROR(AG48/AG$20,0)</f>
        <v>0</v>
      </c>
      <c r="AM48" s="367">
        <f>+IFERROR(ROUND(($AB48-AE48)*100,2)&amp;" pts.",0)</f>
        <v>0</v>
      </c>
      <c r="AN48" s="409">
        <f>+IFERROR(ROUND(($AB48-AH48)*100,2)&amp;" pts.",0)</f>
        <v>0</v>
      </c>
    </row>
    <row r="49" spans="1:40" x14ac:dyDescent="0.2">
      <c r="A49" s="6" t="s">
        <v>3</v>
      </c>
      <c r="B49" s="14" t="s">
        <v>1534</v>
      </c>
      <c r="C49" s="23"/>
      <c r="N49" s="23"/>
    </row>
    <row r="50" spans="1:40" x14ac:dyDescent="0.2">
      <c r="A50" s="6" t="s">
        <v>4</v>
      </c>
      <c r="B50" s="14" t="s">
        <v>1539</v>
      </c>
      <c r="C50" s="23"/>
      <c r="H50" s="10" t="s">
        <v>280</v>
      </c>
      <c r="I50" s="25" t="s">
        <v>1007</v>
      </c>
      <c r="J50" s="25" t="s">
        <v>78</v>
      </c>
      <c r="K50" s="64" t="str">
        <f>IF(AND(I50&gt;="T3"),"&gt;","")</f>
        <v>&gt;</v>
      </c>
      <c r="L50" s="24">
        <v>400000</v>
      </c>
      <c r="M50" s="24"/>
      <c r="N50" s="151" t="s">
        <v>1001</v>
      </c>
      <c r="O50" s="145">
        <v>0</v>
      </c>
      <c r="P50" s="145">
        <v>0</v>
      </c>
      <c r="Q50" s="145">
        <v>0</v>
      </c>
      <c r="R50" s="145">
        <v>0</v>
      </c>
      <c r="S50" s="145">
        <v>0</v>
      </c>
      <c r="T50" s="145">
        <v>0</v>
      </c>
      <c r="U50" s="145">
        <v>0</v>
      </c>
      <c r="V50" s="145">
        <v>0</v>
      </c>
      <c r="W50" s="145">
        <v>0</v>
      </c>
      <c r="X50" s="145">
        <v>0</v>
      </c>
      <c r="Y50" s="145">
        <v>0</v>
      </c>
      <c r="Z50" s="145">
        <v>0</v>
      </c>
      <c r="AA50" s="145">
        <f>IF($I50="B1","",SUM(O50:Z50))</f>
        <v>0</v>
      </c>
      <c r="AB50" s="156" t="str">
        <f>IF(AA50=0,"",IFERROR(AA50/AA$19,""))</f>
        <v/>
      </c>
      <c r="AD50" s="145">
        <v>0</v>
      </c>
      <c r="AE50" s="156" t="str">
        <f>IF(AD50=0,"",IFERROR(AD50/AD$19,""))</f>
        <v/>
      </c>
      <c r="AF50" s="146">
        <f>IF(AND($AA50="",AD50=""),"",$AA50-AD50)</f>
        <v>0</v>
      </c>
      <c r="AG50" s="145">
        <v>0</v>
      </c>
      <c r="AH50" s="156" t="str">
        <f>IF(AG50=0,"",IFERROR(AG50/AG$19,""))</f>
        <v/>
      </c>
      <c r="AI50" s="146">
        <f>IF(AND($AA50="",AG50=""),"",$AA50-AG50)</f>
        <v>0</v>
      </c>
      <c r="AJ50" s="364">
        <f>IFERROR(AA50/AA$20,0)</f>
        <v>0</v>
      </c>
      <c r="AK50" s="365">
        <f>IFERROR(AD50/AD$20,0)</f>
        <v>0</v>
      </c>
      <c r="AL50" s="366">
        <f>IFERROR(AG50/AG$20,0)</f>
        <v>0</v>
      </c>
      <c r="AM50" s="367">
        <f>+IFERROR(ROUND(($AB50-AE50)*100,2)&amp;" pts.",0)</f>
        <v>0</v>
      </c>
      <c r="AN50" s="409">
        <f>+IFERROR(ROUND(($AB50-AH50)*100,2)&amp;" pts.",0)</f>
        <v>0</v>
      </c>
    </row>
    <row r="51" spans="1:40" x14ac:dyDescent="0.2">
      <c r="A51" s="6" t="s">
        <v>5</v>
      </c>
      <c r="B51" s="7"/>
      <c r="C51" s="23"/>
      <c r="I51" s="1"/>
      <c r="J51" s="1"/>
      <c r="L51" s="1"/>
      <c r="M51" s="1"/>
    </row>
    <row r="52" spans="1:40" ht="16" thickBot="1" x14ac:dyDescent="0.25">
      <c r="A52" s="6" t="s">
        <v>6</v>
      </c>
      <c r="B52" s="7"/>
      <c r="C52" s="23"/>
      <c r="N52" s="23" t="s">
        <v>665</v>
      </c>
      <c r="O52" s="58">
        <f t="shared" ref="O52:Z52" si="2">O48-O50</f>
        <v>0</v>
      </c>
      <c r="P52" s="58">
        <f t="shared" si="2"/>
        <v>0</v>
      </c>
      <c r="Q52" s="58">
        <f t="shared" si="2"/>
        <v>0</v>
      </c>
      <c r="R52" s="58">
        <f t="shared" si="2"/>
        <v>0</v>
      </c>
      <c r="S52" s="58">
        <f t="shared" si="2"/>
        <v>0</v>
      </c>
      <c r="T52" s="58">
        <f t="shared" si="2"/>
        <v>0</v>
      </c>
      <c r="U52" s="58">
        <f t="shared" si="2"/>
        <v>0</v>
      </c>
      <c r="V52" s="58">
        <f t="shared" si="2"/>
        <v>0</v>
      </c>
      <c r="W52" s="58">
        <f t="shared" si="2"/>
        <v>0</v>
      </c>
      <c r="X52" s="58">
        <f t="shared" si="2"/>
        <v>0</v>
      </c>
      <c r="Y52" s="58">
        <f t="shared" si="2"/>
        <v>0</v>
      </c>
      <c r="Z52" s="58">
        <f t="shared" si="2"/>
        <v>0</v>
      </c>
      <c r="AA52" s="58">
        <f>IF($I52="B1","",SUM(O52:Z52))</f>
        <v>0</v>
      </c>
      <c r="AB52" s="59" t="str">
        <f>IF(AA52=0,"",IFERROR(AA52/AA$19,""))</f>
        <v/>
      </c>
      <c r="AD52" s="58">
        <f>AD48-AD50</f>
        <v>0</v>
      </c>
      <c r="AE52" s="59" t="str">
        <f>IF(AD52=0,"",IFERROR(AD52/AD$19,""))</f>
        <v/>
      </c>
      <c r="AF52" s="60">
        <f>IF(AND($AA52="",AD52=""),"",$AA52-AD52)</f>
        <v>0</v>
      </c>
      <c r="AG52" s="58">
        <f>AG48-AG50</f>
        <v>0</v>
      </c>
      <c r="AH52" s="59" t="str">
        <f>IF(AG52=0,"",IFERROR(AG52/AG$19,""))</f>
        <v/>
      </c>
      <c r="AI52" s="60">
        <f>IF(AND($AA52="",AG52=""),"",$AA52-AG52)</f>
        <v>0</v>
      </c>
      <c r="AJ52" s="402">
        <f>IFERROR(AA52/AA$20,0)</f>
        <v>0</v>
      </c>
      <c r="AK52" s="403">
        <f>IFERROR(AD52/AD$20,0)</f>
        <v>0</v>
      </c>
      <c r="AL52" s="404">
        <f>IFERROR(AG52/AG$20,0)</f>
        <v>0</v>
      </c>
      <c r="AM52" s="405">
        <f>+IFERROR(ROUND(($AB52-AE52)*100,2)&amp;" pts.",0)</f>
        <v>0</v>
      </c>
      <c r="AN52" s="410">
        <f>+IFERROR(ROUND(($AB52-AH52)*100,2)&amp;" pts.",0)</f>
        <v>0</v>
      </c>
    </row>
    <row r="53" spans="1:40" ht="16" thickTop="1" x14ac:dyDescent="0.2">
      <c r="A53" s="6" t="s">
        <v>7</v>
      </c>
      <c r="B53" s="7"/>
      <c r="C53" s="23"/>
    </row>
    <row r="54" spans="1:40" x14ac:dyDescent="0.2">
      <c r="A54" s="6" t="s">
        <v>47</v>
      </c>
      <c r="B54" s="14" t="s">
        <v>1537</v>
      </c>
      <c r="C54" s="23"/>
      <c r="N54" s="37" t="s">
        <v>595</v>
      </c>
    </row>
    <row r="55" spans="1:40" hidden="1" x14ac:dyDescent="0.2">
      <c r="A55" s="6" t="s">
        <v>8</v>
      </c>
      <c r="B55" s="7"/>
      <c r="C55" s="23"/>
      <c r="H55" s="133" t="s">
        <v>667</v>
      </c>
      <c r="I55" s="25"/>
      <c r="J55" s="25"/>
      <c r="K55" s="24"/>
      <c r="L55" s="24"/>
      <c r="M55" s="24"/>
      <c r="N55" s="24"/>
      <c r="O55" s="19"/>
      <c r="P55" s="19"/>
      <c r="Q55" s="19"/>
      <c r="R55" s="19"/>
      <c r="S55" s="19"/>
      <c r="T55" s="19"/>
      <c r="U55" s="19"/>
      <c r="V55" s="19"/>
      <c r="W55" s="19"/>
      <c r="X55" s="19"/>
      <c r="Y55" s="19"/>
      <c r="Z55" s="19"/>
      <c r="AA55" s="19">
        <f>IF($I55="B1","",SUM(O55:Z55))</f>
        <v>0</v>
      </c>
      <c r="AB55" s="15" t="str">
        <f>IF(AA55=0,"",IFERROR(AA55/AA$19,""))</f>
        <v/>
      </c>
      <c r="AD55" s="19"/>
      <c r="AE55" s="15" t="str">
        <f>IF(AD55=0,"",IFERROR(AD55/AD$19,""))</f>
        <v/>
      </c>
      <c r="AF55" s="47">
        <f>IF(AND($AA55="",AD55=""),"",$AA55-AD55)</f>
        <v>0</v>
      </c>
      <c r="AG55" s="19"/>
      <c r="AH55" s="15" t="str">
        <f>IF(AG55=0,"",IFERROR(AG55/AG$19,""))</f>
        <v/>
      </c>
      <c r="AI55" s="47">
        <f>IF(AND($AA55="",AG55=""),"",$AA55-AG55)</f>
        <v>0</v>
      </c>
      <c r="AJ55" s="371">
        <f>IFERROR(AA55/AA$20,0)</f>
        <v>0</v>
      </c>
      <c r="AK55" s="372">
        <f>IFERROR(AD55/AD$20,0)</f>
        <v>0</v>
      </c>
      <c r="AL55" s="373">
        <f>IFERROR(AG55/AG$20,0)</f>
        <v>0</v>
      </c>
      <c r="AM55" s="374">
        <f>+IFERROR(ROUND(($AB55-AE55)*100,2)&amp;" pts.",0)</f>
        <v>0</v>
      </c>
      <c r="AN55" s="375">
        <f>+IFERROR(ROUND(($AB55-AH55)*100,2)&amp;" pts.",0)</f>
        <v>0</v>
      </c>
    </row>
    <row r="56" spans="1:40" hidden="1" x14ac:dyDescent="0.2">
      <c r="C56" s="23"/>
      <c r="H56" s="133"/>
      <c r="I56" s="25"/>
      <c r="J56" s="25"/>
      <c r="K56" s="24"/>
      <c r="L56" s="24"/>
      <c r="M56" s="24"/>
      <c r="N56" s="24"/>
      <c r="O56" s="19"/>
      <c r="P56" s="19"/>
      <c r="Q56" s="19"/>
      <c r="R56" s="19"/>
      <c r="S56" s="19"/>
      <c r="T56" s="19"/>
      <c r="U56" s="19"/>
      <c r="V56" s="19"/>
      <c r="W56" s="19"/>
      <c r="X56" s="19"/>
      <c r="Y56" s="19"/>
      <c r="Z56" s="19"/>
      <c r="AA56" s="19">
        <f>IF($I56="B1","",SUM(O56:Z56))</f>
        <v>0</v>
      </c>
      <c r="AB56" s="15" t="str">
        <f>IF(AA56=0,"",IFERROR(AA56/AA$19,""))</f>
        <v/>
      </c>
      <c r="AD56" s="19"/>
      <c r="AE56" s="15" t="str">
        <f>IF(AD56=0,"",IFERROR(AD56/AD$19,""))</f>
        <v/>
      </c>
      <c r="AF56" s="47">
        <f>IF(AND($AA56="",AD56=""),"",$AA56-AD56)</f>
        <v>0</v>
      </c>
      <c r="AG56" s="19"/>
      <c r="AH56" s="15" t="str">
        <f>IF(AG56=0,"",IFERROR(AG56/AG$19,""))</f>
        <v/>
      </c>
      <c r="AI56" s="47">
        <f>IF(AND($AA56="",AG56=""),"",$AA56-AG56)</f>
        <v>0</v>
      </c>
      <c r="AJ56" s="371">
        <f>IFERROR(AA56/AA$20,0)</f>
        <v>0</v>
      </c>
      <c r="AK56" s="372">
        <f>IFERROR(AD56/AD$20,0)</f>
        <v>0</v>
      </c>
      <c r="AL56" s="373">
        <f>IFERROR(AG56/AG$20,0)</f>
        <v>0</v>
      </c>
      <c r="AM56" s="374">
        <f>+IFERROR(ROUND(($AB56-AE56)*100,2)&amp;" pts.",0)</f>
        <v>0</v>
      </c>
      <c r="AN56" s="375">
        <f>+IFERROR(ROUND(($AB56-AH56)*100,2)&amp;" pts.",0)</f>
        <v>0</v>
      </c>
    </row>
    <row r="57" spans="1:40" x14ac:dyDescent="0.2">
      <c r="A57" s="3" t="s">
        <v>9</v>
      </c>
      <c r="B57" s="5" t="s">
        <v>10</v>
      </c>
      <c r="C57" s="23"/>
      <c r="H57" s="11"/>
      <c r="J57" s="1"/>
      <c r="N57" s="23" t="s">
        <v>555</v>
      </c>
      <c r="O57" s="30">
        <f t="shared" ref="O57:Z57" si="3">SUM(O55:O56)</f>
        <v>0</v>
      </c>
      <c r="P57" s="30">
        <f t="shared" si="3"/>
        <v>0</v>
      </c>
      <c r="Q57" s="30">
        <f t="shared" si="3"/>
        <v>0</v>
      </c>
      <c r="R57" s="30">
        <f t="shared" si="3"/>
        <v>0</v>
      </c>
      <c r="S57" s="30">
        <f t="shared" si="3"/>
        <v>0</v>
      </c>
      <c r="T57" s="30">
        <f t="shared" si="3"/>
        <v>0</v>
      </c>
      <c r="U57" s="30">
        <f t="shared" si="3"/>
        <v>0</v>
      </c>
      <c r="V57" s="30">
        <f t="shared" si="3"/>
        <v>0</v>
      </c>
      <c r="W57" s="30">
        <f t="shared" si="3"/>
        <v>0</v>
      </c>
      <c r="X57" s="30">
        <f t="shared" si="3"/>
        <v>0</v>
      </c>
      <c r="Y57" s="30">
        <f t="shared" si="3"/>
        <v>0</v>
      </c>
      <c r="Z57" s="30">
        <f t="shared" si="3"/>
        <v>0</v>
      </c>
      <c r="AA57" s="30">
        <f>IF($I57="B1","",SUM(O57:Z57))</f>
        <v>0</v>
      </c>
      <c r="AB57" s="31" t="str">
        <f>IF(AA57=0,"",IFERROR(AA57/AA$19,""))</f>
        <v/>
      </c>
      <c r="AD57" s="30">
        <f>SUM(AD55:AD56)</f>
        <v>0</v>
      </c>
      <c r="AE57" s="31" t="str">
        <f>IF(AD57=0,"",IFERROR(AD57/AD$19,""))</f>
        <v/>
      </c>
      <c r="AF57" s="49">
        <f>IF(AND($AA57="",AD57=""),"",$AA57-AD57)</f>
        <v>0</v>
      </c>
      <c r="AG57" s="30">
        <f>SUM(AG55:AG56)</f>
        <v>0</v>
      </c>
      <c r="AH57" s="31" t="str">
        <f>IF(AG57=0,"",IFERROR(AG57/AG$19,""))</f>
        <v/>
      </c>
      <c r="AI57" s="49">
        <f>IF(AND($AA57="",AG57=""),"",$AA57-AG57)</f>
        <v>0</v>
      </c>
      <c r="AJ57" s="387">
        <f>IFERROR(AA57/AA$20,0)</f>
        <v>0</v>
      </c>
      <c r="AK57" s="388">
        <f>IFERROR(AD57/AD$20,0)</f>
        <v>0</v>
      </c>
      <c r="AL57" s="389">
        <f>IFERROR(AG57/AG$20,0)</f>
        <v>0</v>
      </c>
      <c r="AM57" s="390">
        <f>+IFERROR(ROUND(($AB57-AE57)*100,2)&amp;" pts.",0)</f>
        <v>0</v>
      </c>
      <c r="AN57" s="408">
        <f>+IFERROR(ROUND(($AB57-AH57)*100,2)&amp;" pts.",0)</f>
        <v>0</v>
      </c>
    </row>
    <row r="58" spans="1:40" x14ac:dyDescent="0.2">
      <c r="A58" s="6" t="s">
        <v>11</v>
      </c>
      <c r="B58" s="7" t="s">
        <v>21</v>
      </c>
      <c r="C58" s="23"/>
      <c r="H58" s="11"/>
      <c r="J58" s="1"/>
    </row>
    <row r="59" spans="1:40" ht="16" thickBot="1" x14ac:dyDescent="0.25">
      <c r="A59" s="6" t="s">
        <v>12</v>
      </c>
      <c r="B59" s="7" t="s">
        <v>22</v>
      </c>
      <c r="H59" s="11"/>
      <c r="J59" s="1"/>
      <c r="N59" s="23" t="s">
        <v>558</v>
      </c>
      <c r="O59" s="58">
        <f t="shared" ref="O59:Z59" si="4">O52+O57</f>
        <v>0</v>
      </c>
      <c r="P59" s="58">
        <f t="shared" si="4"/>
        <v>0</v>
      </c>
      <c r="Q59" s="58">
        <f t="shared" si="4"/>
        <v>0</v>
      </c>
      <c r="R59" s="58">
        <f t="shared" si="4"/>
        <v>0</v>
      </c>
      <c r="S59" s="58">
        <f t="shared" si="4"/>
        <v>0</v>
      </c>
      <c r="T59" s="58">
        <f t="shared" si="4"/>
        <v>0</v>
      </c>
      <c r="U59" s="58">
        <f t="shared" si="4"/>
        <v>0</v>
      </c>
      <c r="V59" s="58">
        <f t="shared" si="4"/>
        <v>0</v>
      </c>
      <c r="W59" s="58">
        <f t="shared" si="4"/>
        <v>0</v>
      </c>
      <c r="X59" s="58">
        <f t="shared" si="4"/>
        <v>0</v>
      </c>
      <c r="Y59" s="58">
        <f t="shared" si="4"/>
        <v>0</v>
      </c>
      <c r="Z59" s="58">
        <f t="shared" si="4"/>
        <v>0</v>
      </c>
      <c r="AA59" s="58">
        <f>IF($I59="B1","",SUM(O59:Z59))</f>
        <v>0</v>
      </c>
      <c r="AB59" s="59" t="str">
        <f>IF(AA59=0,"",IFERROR(AA59/AA$19,""))</f>
        <v/>
      </c>
      <c r="AD59" s="58">
        <f>AD52+AD57</f>
        <v>0</v>
      </c>
      <c r="AE59" s="59" t="str">
        <f>IF(AD59=0,"",IFERROR(AD59/AD$19,""))</f>
        <v/>
      </c>
      <c r="AF59" s="60">
        <f>IF(AND($AA59="",AD59=""),"",$AA59-AD59)</f>
        <v>0</v>
      </c>
      <c r="AG59" s="58">
        <f>AG52+AG57</f>
        <v>0</v>
      </c>
      <c r="AH59" s="59" t="str">
        <f>IF(AG59=0,"",IFERROR(AG59/AG$19,""))</f>
        <v/>
      </c>
      <c r="AI59" s="60">
        <f>IF(AND($AA59="",AG59=""),"",$AA59-AG59)</f>
        <v>0</v>
      </c>
    </row>
    <row r="60" spans="1:40" ht="16" thickTop="1" x14ac:dyDescent="0.2">
      <c r="A60" s="6" t="s">
        <v>13</v>
      </c>
      <c r="B60" s="7" t="s">
        <v>594</v>
      </c>
      <c r="H60" s="11"/>
      <c r="J60" s="1"/>
    </row>
    <row r="61" spans="1:40" x14ac:dyDescent="0.2">
      <c r="A61" s="6" t="s">
        <v>14</v>
      </c>
      <c r="B61" s="14"/>
      <c r="H61" s="11"/>
      <c r="J61" s="1"/>
    </row>
    <row r="62" spans="1:40" x14ac:dyDescent="0.2">
      <c r="A62" s="6" t="s">
        <v>15</v>
      </c>
      <c r="B62" s="7"/>
      <c r="H62" s="10" t="s">
        <v>56</v>
      </c>
      <c r="I62" s="25" t="s">
        <v>1005</v>
      </c>
      <c r="J62" s="25" t="s">
        <v>78</v>
      </c>
      <c r="K62" s="23"/>
      <c r="N62" s="23" t="s">
        <v>666</v>
      </c>
      <c r="O62" s="124">
        <v>0</v>
      </c>
      <c r="P62" s="124">
        <v>0</v>
      </c>
      <c r="Q62" s="124">
        <v>0</v>
      </c>
      <c r="R62" s="124">
        <v>0</v>
      </c>
      <c r="S62" s="124">
        <v>0</v>
      </c>
      <c r="T62" s="124">
        <v>0</v>
      </c>
      <c r="U62" s="124">
        <v>0</v>
      </c>
      <c r="V62" s="124">
        <v>0</v>
      </c>
      <c r="W62" s="124">
        <v>0</v>
      </c>
      <c r="X62" s="124">
        <v>0</v>
      </c>
      <c r="Y62" s="124">
        <v>0</v>
      </c>
      <c r="Z62" s="124">
        <v>0</v>
      </c>
      <c r="AA62" s="19">
        <f>IF($I62="B1","",SUM(O62:Z62))</f>
        <v>0</v>
      </c>
      <c r="AB62" s="124"/>
      <c r="AD62" s="124">
        <v>0</v>
      </c>
      <c r="AE62" s="124"/>
      <c r="AF62" s="124"/>
      <c r="AG62" s="124">
        <v>0</v>
      </c>
      <c r="AH62" s="124"/>
      <c r="AI62" s="124"/>
    </row>
    <row r="63" spans="1:40" x14ac:dyDescent="0.2">
      <c r="A63" s="6" t="s">
        <v>16</v>
      </c>
      <c r="B63" s="7" t="s">
        <v>78</v>
      </c>
      <c r="H63" s="11"/>
      <c r="J63" s="1"/>
    </row>
    <row r="64" spans="1:40" x14ac:dyDescent="0.2">
      <c r="A64" s="6" t="s">
        <v>17</v>
      </c>
      <c r="B64" s="7"/>
      <c r="H64" s="11"/>
      <c r="J64" s="1"/>
    </row>
    <row r="65" spans="1:10" x14ac:dyDescent="0.2">
      <c r="H65" s="11"/>
      <c r="J65" s="1"/>
    </row>
    <row r="66" spans="1:10" x14ac:dyDescent="0.2">
      <c r="H66" s="11"/>
      <c r="J66" s="1"/>
    </row>
    <row r="67" spans="1:10" x14ac:dyDescent="0.2">
      <c r="A67" s="3" t="s">
        <v>23</v>
      </c>
      <c r="B67" s="5" t="s">
        <v>24</v>
      </c>
      <c r="H67" s="11"/>
      <c r="J67" s="1"/>
    </row>
    <row r="68" spans="1:10" x14ac:dyDescent="0.2">
      <c r="A68" s="6" t="s">
        <v>25</v>
      </c>
      <c r="B68" s="7"/>
    </row>
    <row r="69" spans="1:10" x14ac:dyDescent="0.2">
      <c r="A69" s="6" t="s">
        <v>26</v>
      </c>
      <c r="B69" s="7"/>
    </row>
    <row r="70" spans="1:10" x14ac:dyDescent="0.2">
      <c r="A70" s="6" t="s">
        <v>27</v>
      </c>
      <c r="B70" s="7"/>
    </row>
    <row r="71" spans="1:10" x14ac:dyDescent="0.2">
      <c r="A71" s="6" t="s">
        <v>28</v>
      </c>
      <c r="B71" s="7"/>
    </row>
    <row r="72" spans="1:10" x14ac:dyDescent="0.2">
      <c r="A72" s="6" t="s">
        <v>29</v>
      </c>
      <c r="B72" s="7"/>
    </row>
    <row r="73" spans="1:10" x14ac:dyDescent="0.2">
      <c r="A73" s="6" t="s">
        <v>30</v>
      </c>
      <c r="B73" s="7" t="s">
        <v>78</v>
      </c>
    </row>
    <row r="74" spans="1:10" x14ac:dyDescent="0.2">
      <c r="A74" s="6" t="s">
        <v>31</v>
      </c>
      <c r="B74" s="7" t="s">
        <v>78</v>
      </c>
    </row>
    <row r="75" spans="1:10" x14ac:dyDescent="0.2">
      <c r="A75" s="6" t="s">
        <v>32</v>
      </c>
      <c r="B75" s="7"/>
    </row>
    <row r="76" spans="1:10" x14ac:dyDescent="0.2">
      <c r="A76" s="6" t="s">
        <v>33</v>
      </c>
      <c r="B76" s="7"/>
    </row>
    <row r="77" spans="1:10" x14ac:dyDescent="0.2">
      <c r="A77" s="6" t="s">
        <v>34</v>
      </c>
      <c r="B77" s="7"/>
    </row>
    <row r="78" spans="1:10" x14ac:dyDescent="0.2">
      <c r="A78" s="6" t="s">
        <v>35</v>
      </c>
      <c r="B78" s="7"/>
    </row>
    <row r="79" spans="1:10" x14ac:dyDescent="0.2">
      <c r="A79" s="6" t="s">
        <v>36</v>
      </c>
      <c r="B79" s="7"/>
      <c r="C79" s="23"/>
    </row>
    <row r="80" spans="1:10" x14ac:dyDescent="0.2">
      <c r="A80" s="6" t="s">
        <v>37</v>
      </c>
      <c r="B80" s="7"/>
    </row>
    <row r="81" spans="1:2" x14ac:dyDescent="0.2">
      <c r="A81" s="6" t="s">
        <v>38</v>
      </c>
      <c r="B81" s="7"/>
    </row>
    <row r="82" spans="1:2" x14ac:dyDescent="0.2">
      <c r="A82" s="6" t="s">
        <v>39</v>
      </c>
      <c r="B82" s="7"/>
    </row>
    <row r="83" spans="1:2" x14ac:dyDescent="0.2">
      <c r="A83" s="6" t="s">
        <v>40</v>
      </c>
      <c r="B83" s="7"/>
    </row>
    <row r="84" spans="1:2" x14ac:dyDescent="0.2">
      <c r="A84" s="6" t="s">
        <v>41</v>
      </c>
      <c r="B84" s="7"/>
    </row>
    <row r="85" spans="1:2" x14ac:dyDescent="0.2">
      <c r="A85" s="6" t="s">
        <v>42</v>
      </c>
      <c r="B85" s="7"/>
    </row>
    <row r="86" spans="1:2" x14ac:dyDescent="0.2">
      <c r="A86" s="6" t="s">
        <v>43</v>
      </c>
      <c r="B86" s="7"/>
    </row>
    <row r="87" spans="1:2" x14ac:dyDescent="0.2">
      <c r="A87" s="6" t="s">
        <v>44</v>
      </c>
      <c r="B87" s="7"/>
    </row>
    <row r="88" spans="1:2" x14ac:dyDescent="0.2">
      <c r="A88" s="6" t="s">
        <v>45</v>
      </c>
      <c r="B88" s="7"/>
    </row>
    <row r="89" spans="1:2" x14ac:dyDescent="0.2">
      <c r="A89" s="6" t="s">
        <v>46</v>
      </c>
      <c r="B89" s="7"/>
    </row>
  </sheetData>
  <mergeCells count="2">
    <mergeCell ref="AD31:AE31"/>
    <mergeCell ref="AG31:AH31"/>
  </mergeCells>
  <dataValidations count="2">
    <dataValidation type="list" allowBlank="1" sqref="B59 B28" xr:uid="{00000000-0002-0000-5F00-000000000000}">
      <formula1>"ACCOUNT,BUSINESSUNIT,CATEGORY,DATASRC,DEPARTMENT,INTCO,MEASURES,RPTCURRENCY,TIME"</formula1>
    </dataValidation>
    <dataValidation type="list" allowBlank="1" sqref="B60 B29" xr:uid="{00000000-0002-0000-5F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32">
    <pageSetUpPr fitToPage="1"/>
  </sheetPr>
  <dimension ref="A1:AO97"/>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1" hidden="1" customWidth="1" outlineLevel="1" collapsed="1"/>
    <col min="13" max="13" width="9.6640625" style="1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0" style="1" hidden="1" customWidth="1" outlineLevel="1"/>
    <col min="41" max="41" width="9.1640625" style="1" collapsed="1"/>
    <col min="42" max="16384" width="9.1640625" style="1"/>
  </cols>
  <sheetData>
    <row r="1" spans="1:35" hidden="1" outlineLevel="1" x14ac:dyDescent="0.2">
      <c r="A1" s="8" t="s">
        <v>48</v>
      </c>
      <c r="B1" s="2" t="s">
        <v>49</v>
      </c>
      <c r="C1" s="8" t="e">
        <f ca="1">_xll.EVAPD($B$1)</f>
        <v>#NAME?</v>
      </c>
      <c r="I1" s="1"/>
      <c r="J1" s="1"/>
      <c r="L1" s="69"/>
      <c r="M1" s="69"/>
      <c r="N1" s="69"/>
    </row>
    <row r="2" spans="1:35" hidden="1" outlineLevel="1" x14ac:dyDescent="0.2">
      <c r="A2" s="8" t="s">
        <v>22</v>
      </c>
      <c r="B2" s="12" t="s">
        <v>56</v>
      </c>
      <c r="C2" s="1" t="e">
        <f ca="1">_xll.EVDES(B2,$B$1)</f>
        <v>#NAME?</v>
      </c>
      <c r="I2" s="1"/>
      <c r="J2" s="1"/>
      <c r="L2" s="69"/>
      <c r="M2" s="69"/>
    </row>
    <row r="3" spans="1:35" hidden="1" outlineLevel="1" x14ac:dyDescent="0.2">
      <c r="A3" s="8" t="s">
        <v>50</v>
      </c>
      <c r="B3" s="9" t="e">
        <f ca="1">_xll.EVCVW($B$1,A3)</f>
        <v>#NAME?</v>
      </c>
      <c r="C3" s="1" t="e">
        <f ca="1">_xll.EVDES(B3,$B$1)</f>
        <v>#NAME?</v>
      </c>
      <c r="I3" s="1"/>
      <c r="J3" s="1"/>
    </row>
    <row r="4" spans="1:35" hidden="1" outlineLevel="1" x14ac:dyDescent="0.2">
      <c r="A4" s="8" t="s">
        <v>19</v>
      </c>
      <c r="B4" s="9" t="e">
        <f ca="1">'29kbtUVTfkeuWbdEUFpQfA=='!$D$6</f>
        <v>#NAME?</v>
      </c>
      <c r="C4" s="1" t="e">
        <f ca="1">_xll.EVDES(B4,$B$1)</f>
        <v>#NAME?</v>
      </c>
      <c r="E4" s="46" t="e">
        <f ca="1">_xll.EVPRO($B$1,$B$4,"STARTMTH")</f>
        <v>#NAME?</v>
      </c>
      <c r="F4" s="46" t="e">
        <f ca="1">IF('29kbtUVTfkeuWbdEUFpQfA=='!$D$8="FCST",_xll.EVPRO($B$1,"CURRENT","STARTMTH"),IF('29kbtUVTfkeuWbdEUFpQfA=='!$D$8="BUD",_xll.EVPRO($B$1,"BUDGET","STARTMTH")))</f>
        <v>#NAME?</v>
      </c>
    </row>
    <row r="5" spans="1:35" hidden="1" outlineLevel="1" x14ac:dyDescent="0.2">
      <c r="A5" s="8" t="s">
        <v>51</v>
      </c>
      <c r="B5" s="12" t="s">
        <v>59</v>
      </c>
      <c r="C5" s="1" t="e">
        <f ca="1">_xll.EVDES(B5,$B$1)</f>
        <v>#NAME?</v>
      </c>
    </row>
    <row r="6" spans="1:35" hidden="1" outlineLevel="1" x14ac:dyDescent="0.2">
      <c r="A6" s="8" t="s">
        <v>52</v>
      </c>
      <c r="B6" s="12" t="s">
        <v>499</v>
      </c>
      <c r="C6" s="1" t="e">
        <f ca="1">_xll.EVDES(B6,$B$1)</f>
        <v>#NAME?</v>
      </c>
      <c r="E6" s="46" t="e">
        <f ca="1">_xll.EVPRO($B$1,$B$6,$F$6)</f>
        <v>#NAME?</v>
      </c>
      <c r="F6" s="1" t="s">
        <v>278</v>
      </c>
    </row>
    <row r="7" spans="1:35" hidden="1" outlineLevel="1" x14ac:dyDescent="0.2">
      <c r="A7" s="8" t="s">
        <v>53</v>
      </c>
      <c r="B7" s="12" t="s">
        <v>61</v>
      </c>
      <c r="C7" s="1" t="e">
        <f ca="1">_xll.EVDES(B7,$B$1)</f>
        <v>#NAME?</v>
      </c>
    </row>
    <row r="8" spans="1:35" hidden="1" outlineLevel="1" x14ac:dyDescent="0.2">
      <c r="A8" s="8" t="s">
        <v>20</v>
      </c>
      <c r="B8" s="12" t="s">
        <v>63</v>
      </c>
      <c r="C8" s="1" t="e">
        <f ca="1">_xll.EVDES(B8,$B$1)</f>
        <v>#NAME?</v>
      </c>
    </row>
    <row r="9" spans="1:35" hidden="1" outlineLevel="1" x14ac:dyDescent="0.2">
      <c r="A9" s="8" t="s">
        <v>54</v>
      </c>
      <c r="B9" s="9" t="e">
        <f ca="1">'29kbtUVTfkeuWbdEUFpQfA=='!$D$10</f>
        <v>#NAME?</v>
      </c>
      <c r="C9" s="1" t="e">
        <f ca="1">_xll.EVDES(B9,$B$1)</f>
        <v>#NAME?</v>
      </c>
    </row>
    <row r="10" spans="1:35" hidden="1" outlineLevel="1" x14ac:dyDescent="0.2">
      <c r="A10" s="8" t="s">
        <v>18</v>
      </c>
      <c r="B10" s="9" t="e">
        <f ca="1">'29kbtUVTfkeuWbdEUFpQfA=='!$D$7</f>
        <v>#NAME?</v>
      </c>
      <c r="C10" s="1" t="e">
        <f ca="1">_xll.EVDES(B10,$B$1)</f>
        <v>#NAME?</v>
      </c>
      <c r="D10" s="212" t="e">
        <f ca="1">_xll.EVPRO($B$1,$B$10,"Group")</f>
        <v>#NAME?</v>
      </c>
    </row>
    <row r="11" spans="1:35" hidden="1" outlineLevel="1" x14ac:dyDescent="0.2">
      <c r="B11" s="8"/>
      <c r="M11" s="46" t="e">
        <f ca="1">IF(LEFT('29kbtUVTfkeuWbdEUFpQfA=='!$D$6,3)="ALT","Y","N")</f>
        <v>#NAME?</v>
      </c>
      <c r="N11" s="1" t="s">
        <v>800</v>
      </c>
      <c r="O11" s="2" t="e">
        <f ca="1">IF(O13&lt;$F$4,_xll.EVPRO($B$1,$B$4,"COMPARISON"),$B$4)</f>
        <v>#NAME?</v>
      </c>
      <c r="P11" s="2" t="e">
        <f ca="1">IF(P13&lt;$F$4,_xll.EVPRO($B$1,$B$4,"COMPARISON"),$B$4)</f>
        <v>#NAME?</v>
      </c>
      <c r="Q11" s="2" t="e">
        <f ca="1">IF(Q13&lt;$F$4,_xll.EVPRO($B$1,$B$4,"COMPARISON"),$B$4)</f>
        <v>#NAME?</v>
      </c>
      <c r="R11" s="2" t="e">
        <f ca="1">IF(R13&lt;$F$4,_xll.EVPRO($B$1,$B$4,"COMPARISON"),$B$4)</f>
        <v>#NAME?</v>
      </c>
      <c r="S11" s="2" t="e">
        <f ca="1">IF(S13&lt;$F$4,_xll.EVPRO($B$1,$B$4,"COMPARISON"),$B$4)</f>
        <v>#NAME?</v>
      </c>
      <c r="T11" s="2" t="e">
        <f ca="1">IF(T13&lt;$F$4,_xll.EVPRO($B$1,$B$4,"COMPARISON"),$B$4)</f>
        <v>#NAME?</v>
      </c>
      <c r="U11" s="2" t="e">
        <f ca="1">IF(U13&lt;$F$4,_xll.EVPRO($B$1,$B$4,"COMPARISON"),$B$4)</f>
        <v>#NAME?</v>
      </c>
      <c r="V11" s="2" t="e">
        <f ca="1">IF(V13&lt;$F$4,_xll.EVPRO($B$1,$B$4,"COMPARISON"),$B$4)</f>
        <v>#NAME?</v>
      </c>
      <c r="W11" s="2" t="e">
        <f ca="1">IF(W13&lt;$F$4,_xll.EVPRO($B$1,$B$4,"COMPARISON"),$B$4)</f>
        <v>#NAME?</v>
      </c>
      <c r="X11" s="2" t="e">
        <f ca="1">IF(X13&lt;$F$4,_xll.EVPRO($B$1,$B$4,"COMPARISON"),$B$4)</f>
        <v>#NAME?</v>
      </c>
      <c r="Y11" s="2" t="e">
        <f ca="1">IF(Y13&lt;$F$4,_xll.EVPRO($B$1,$B$4,"COMPARISON"),$B$4)</f>
        <v>#NAME?</v>
      </c>
      <c r="Z11" s="2" t="e">
        <f ca="1">IF(Z13&lt;$F$4,_xll.EVPRO($B$1,$B$4,"COMPARISON"),$B$4)</f>
        <v>#NAME?</v>
      </c>
    </row>
    <row r="12" spans="1:35" hidden="1" outlineLevel="1" x14ac:dyDescent="0.2">
      <c r="A12" s="1" t="s">
        <v>115</v>
      </c>
      <c r="B12" s="46" t="e">
        <f ca="1">_xll.EVPRO($B$1,$B$10,"YEAR")</f>
        <v>#NAME?</v>
      </c>
      <c r="N12" s="1" t="s">
        <v>597</v>
      </c>
      <c r="O12" s="213" t="e">
        <f ca="1">_xll.EVPRO($B$1,O$16,$N$12)</f>
        <v>#NAME?</v>
      </c>
      <c r="P12" s="213" t="e">
        <f ca="1">_xll.EVPRO($B$1,P$16,$N$12)</f>
        <v>#NAME?</v>
      </c>
      <c r="Q12" s="213" t="e">
        <f ca="1">_xll.EVPRO($B$1,Q$16,$N$12)</f>
        <v>#NAME?</v>
      </c>
      <c r="R12" s="213" t="e">
        <f ca="1">_xll.EVPRO($B$1,R$16,$N$12)</f>
        <v>#NAME?</v>
      </c>
      <c r="S12" s="213" t="e">
        <f ca="1">_xll.EVPRO($B$1,S$16,$N$12)</f>
        <v>#NAME?</v>
      </c>
      <c r="T12" s="213" t="e">
        <f ca="1">_xll.EVPRO($B$1,T$16,$N$12)</f>
        <v>#NAME?</v>
      </c>
      <c r="U12" s="213" t="e">
        <f ca="1">_xll.EVPRO($B$1,U$16,$N$12)</f>
        <v>#NAME?</v>
      </c>
      <c r="V12" s="213" t="e">
        <f ca="1">_xll.EVPRO($B$1,V$16,$N$12)</f>
        <v>#NAME?</v>
      </c>
      <c r="W12" s="213" t="e">
        <f ca="1">_xll.EVPRO($B$1,W$16,$N$12)</f>
        <v>#NAME?</v>
      </c>
      <c r="X12" s="213" t="e">
        <f ca="1">_xll.EVPRO($B$1,X$16,$N$12)</f>
        <v>#NAME?</v>
      </c>
      <c r="Y12" s="213" t="e">
        <f ca="1">_xll.EVPRO($B$1,Y$16,$N$12)</f>
        <v>#NAME?</v>
      </c>
      <c r="Z12" s="213" t="e">
        <f ca="1">_xll.EVPRO($B$1,Z$16,$N$12)</f>
        <v>#NAME?</v>
      </c>
      <c r="AA12" s="213" t="e">
        <f ca="1">_xll.EVPRO($B$1,AA$16,$N$12)</f>
        <v>#NAME?</v>
      </c>
      <c r="AD12" s="213" t="e">
        <f ca="1">_xll.EVPRO($B$1,AD$16,$N$12)</f>
        <v>#NAME?</v>
      </c>
      <c r="AG12" s="213" t="e">
        <f ca="1">_xll.EVPRO($B$1,AG$16,$N$12)</f>
        <v>#NAME?</v>
      </c>
    </row>
    <row r="13" spans="1:35" hidden="1" outlineLevel="1" x14ac:dyDescent="0.2">
      <c r="A13" s="1" t="s">
        <v>602</v>
      </c>
      <c r="B13" s="46" t="e">
        <f ca="1">IF($D$10="FY",_xll.EVPRO($B$1,$D$10&amp;$B$12&amp;".TOTAL","Current"),_xll.EVPRO($B$1,$B$12&amp;".TOTAL","Current"))</f>
        <v>#NAME?</v>
      </c>
      <c r="N13" s="1" t="s">
        <v>598</v>
      </c>
      <c r="O13" s="53" t="e">
        <f ca="1">_xll.EVPRO($B$1,O16,"TIMEID")</f>
        <v>#NAME?</v>
      </c>
      <c r="P13" s="53" t="e">
        <f ca="1">_xll.EVPRO($B$1,P16,"TIMEID")</f>
        <v>#NAME?</v>
      </c>
      <c r="Q13" s="53" t="e">
        <f ca="1">_xll.EVPRO($B$1,Q16,"TIMEID")</f>
        <v>#NAME?</v>
      </c>
      <c r="R13" s="53" t="e">
        <f ca="1">_xll.EVPRO($B$1,R16,"TIMEID")</f>
        <v>#NAME?</v>
      </c>
      <c r="S13" s="53" t="e">
        <f ca="1">_xll.EVPRO($B$1,S16,"TIMEID")</f>
        <v>#NAME?</v>
      </c>
      <c r="T13" s="53" t="e">
        <f ca="1">_xll.EVPRO($B$1,T16,"TIMEID")</f>
        <v>#NAME?</v>
      </c>
      <c r="U13" s="53" t="e">
        <f ca="1">_xll.EVPRO($B$1,U16,"TIMEID")</f>
        <v>#NAME?</v>
      </c>
      <c r="V13" s="53" t="e">
        <f ca="1">_xll.EVPRO($B$1,V16,"TIMEID")</f>
        <v>#NAME?</v>
      </c>
      <c r="W13" s="53" t="e">
        <f ca="1">_xll.EVPRO($B$1,W16,"TIMEID")</f>
        <v>#NAME?</v>
      </c>
      <c r="X13" s="53" t="e">
        <f ca="1">_xll.EVPRO($B$1,X16,"TIMEID")</f>
        <v>#NAME?</v>
      </c>
      <c r="Y13" s="53" t="e">
        <f ca="1">_xll.EVPRO($B$1,Y16,"TIMEID")</f>
        <v>#NAME?</v>
      </c>
      <c r="Z13" s="53" t="e">
        <f ca="1">_xll.EVPRO($B$1,Z16,"TIMEID")</f>
        <v>#NAME?</v>
      </c>
      <c r="AA13" s="53" t="e">
        <f ca="1">_xll.EVPRO($B$1,AA16,"TIMEID")</f>
        <v>#NAME?</v>
      </c>
      <c r="AD13" s="53" t="e">
        <f ca="1">_xll.EVPRO($B$1,AD16,"TIMEID")</f>
        <v>#NAME?</v>
      </c>
      <c r="AG13" s="53" t="e">
        <f ca="1">_xll.EVPRO($B$1,AG16,"TIMEID")</f>
        <v>#NAME?</v>
      </c>
    </row>
    <row r="14" spans="1:35" hidden="1" outlineLevel="1" x14ac:dyDescent="0.2">
      <c r="A14" s="4" t="e">
        <f ca="1">_xll.EVDRE($B$1,A17:B24,A27:B33)</f>
        <v>#NAME?</v>
      </c>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N16" s="1" t="s">
        <v>18</v>
      </c>
      <c r="O16" s="2" t="e">
        <f ca="1">IF('29kbtUVTfkeuWbdEUFpQfA=='!$O$1=TRUE,_xll.EVTIM($B$1,P16,-1),IF($D$10="FY",LEFT($B$10,6)&amp;"."&amp;O15,$B$12&amp;"."&amp;O14))</f>
        <v>#NAME?</v>
      </c>
      <c r="P16" s="2" t="e">
        <f ca="1">IF('29kbtUVTfkeuWbdEUFpQfA=='!$O$1=TRUE,_xll.EVTIM($B$1,Q16,-1),IF($D$10="FY",LEFT($B$10,6)&amp;"."&amp;P15,$B$12&amp;"."&amp;P14))</f>
        <v>#NAME?</v>
      </c>
      <c r="Q16" s="2" t="e">
        <f ca="1">IF('29kbtUVTfkeuWbdEUFpQfA=='!$O$1=TRUE,_xll.EVTIM($B$1,R16,-1),IF($D$10="FY",LEFT($B$10,6)&amp;"."&amp;Q15,$B$12&amp;"."&amp;Q14))</f>
        <v>#NAME?</v>
      </c>
      <c r="R16" s="2" t="e">
        <f ca="1">IF('29kbtUVTfkeuWbdEUFpQfA=='!$O$1=TRUE,_xll.EVTIM($B$1,S16,-1),IF($D$10="FY",LEFT($B$10,6)&amp;"."&amp;R15,$B$12&amp;"."&amp;R14))</f>
        <v>#NAME?</v>
      </c>
      <c r="S16" s="2" t="e">
        <f ca="1">IF('29kbtUVTfkeuWbdEUFpQfA=='!$O$1=TRUE,_xll.EVTIM($B$1,T16,-1),IF($D$10="FY",LEFT($B$10,6)&amp;"."&amp;S15,$B$12&amp;"."&amp;S14))</f>
        <v>#NAME?</v>
      </c>
      <c r="T16" s="2" t="e">
        <f ca="1">IF('29kbtUVTfkeuWbdEUFpQfA=='!$O$1=TRUE,_xll.EVTIM($B$1,U16,-1),IF($D$10="FY",LEFT($B$10,6)&amp;"."&amp;T15,$B$12&amp;"."&amp;T14))</f>
        <v>#NAME?</v>
      </c>
      <c r="U16" s="2" t="e">
        <f ca="1">IF('29kbtUVTfkeuWbdEUFpQfA=='!$O$1=TRUE,_xll.EVTIM($B$1,V16,-1),IF($D$10="FY",LEFT($B$10,6)&amp;"."&amp;U15,$B$12&amp;"."&amp;U14))</f>
        <v>#NAME?</v>
      </c>
      <c r="V16" s="2" t="e">
        <f ca="1">IF('29kbtUVTfkeuWbdEUFpQfA=='!$O$1=TRUE,_xll.EVTIM($B$1,W16,-1),IF($D$10="FY",LEFT($B$10,6)&amp;"."&amp;V15,$B$12&amp;"."&amp;V14))</f>
        <v>#NAME?</v>
      </c>
      <c r="W16" s="2" t="e">
        <f ca="1">IF('29kbtUVTfkeuWbdEUFpQfA=='!$O$1=TRUE,_xll.EVTIM($B$1,X16,-1),IF($D$10="FY",LEFT($B$10,6)&amp;"."&amp;W15,$B$12&amp;"."&amp;W14))</f>
        <v>#NAME?</v>
      </c>
      <c r="X16" s="2" t="e">
        <f ca="1">IF('29kbtUVTfkeuWbdEUFpQfA=='!$O$1=TRUE,_xll.EVTIM($B$1,Y16,-1),IF($D$10="FY",LEFT($B$10,6)&amp;"."&amp;X15,$B$12&amp;"."&amp;X14))</f>
        <v>#NAME?</v>
      </c>
      <c r="Y16" s="2" t="e">
        <f ca="1">IF('29kbtUVTfkeuWbdEUFpQfA=='!$O$1=TRUE,_xll.EVTIM($B$1,Z16,-1),IF($D$10="FY",LEFT($B$10,6)&amp;"."&amp;Y15,$B$12&amp;"."&amp;Y14))</f>
        <v>#NAME?</v>
      </c>
      <c r="Z16" s="2" t="e">
        <f ca="1">IF('29kbtUVTfkeuWbdEUFpQfA=='!$O$1=TRUE,'29kbtUVTfkeuWbdEUFpQfA=='!$Q$6,IF($D$10="FY",LEFT($B$10,6)&amp;"."&amp;Z15,$B$12&amp;"."&amp;Z14))</f>
        <v>#NAME?</v>
      </c>
      <c r="AA16" s="2" t="e">
        <f ca="1">IF($D$10="FY",LEFT($B$10,6)&amp;"."&amp;AA15,$B$12&amp;"."&amp;AA14)</f>
        <v>#NAME?</v>
      </c>
      <c r="AB16" s="10"/>
      <c r="AC16" s="10"/>
      <c r="AD16" s="2" t="e">
        <f ca="1">IF('29kbtUVTfkeuWbdEUFpQfA=='!$O$1=TRUE,'29kbtUVTfkeuWbdEUFpQfA=='!$Q$6,'29kbtUVTfkeuWbdEUFpQfA=='!$G$7)</f>
        <v>#NAME?</v>
      </c>
      <c r="AE16" s="10"/>
      <c r="AF16" s="10"/>
      <c r="AG16" s="2" t="e">
        <f ca="1">IF('29kbtUVTfkeuWbdEUFpQfA=='!$O$1=TRUE,_xll.EVTIM($B$1,AD16,-1,"YEAR"),'29kbtUVTfkeuWbdEUFpQfA=='!$J$7)</f>
        <v>#NAME?</v>
      </c>
      <c r="AH16" s="10"/>
      <c r="AI16" s="10"/>
    </row>
    <row r="17" spans="1:40" hidden="1" outlineLevel="1" x14ac:dyDescent="0.2">
      <c r="A17" s="6" t="s">
        <v>2</v>
      </c>
      <c r="B17" s="7" t="e">
        <f ca="1">_xll.EVRNG($B$2:$B$10)</f>
        <v>#NAME?</v>
      </c>
      <c r="N17" s="1" t="s">
        <v>19</v>
      </c>
      <c r="O17" s="2" t="e">
        <f ca="1">IF($M$11="Y",O11,IF(O13&lt;$E$4,_xll.EVPRO($B$1,$B$4,"COMPARISON"),$B$4))</f>
        <v>#NAME?</v>
      </c>
      <c r="P17" s="2" t="e">
        <f ca="1">IF($M$11="Y",P11,IF(P13&lt;$E$4,_xll.EVPRO($B$1,$B$4,"COMPARISON"),$B$4))</f>
        <v>#NAME?</v>
      </c>
      <c r="Q17" s="2" t="e">
        <f ca="1">IF($M$11="Y",Q11,IF(Q13&lt;$E$4,_xll.EVPRO($B$1,$B$4,"COMPARISON"),$B$4))</f>
        <v>#NAME?</v>
      </c>
      <c r="R17" s="2" t="e">
        <f ca="1">IF($M$11="Y",R11,IF(R13&lt;$E$4,_xll.EVPRO($B$1,$B$4,"COMPARISON"),$B$4))</f>
        <v>#NAME?</v>
      </c>
      <c r="S17" s="2" t="e">
        <f ca="1">IF($M$11="Y",S11,IF(S13&lt;$E$4,_xll.EVPRO($B$1,$B$4,"COMPARISON"),$B$4))</f>
        <v>#NAME?</v>
      </c>
      <c r="T17" s="2" t="e">
        <f ca="1">IF($M$11="Y",T11,IF(T13&lt;$E$4,_xll.EVPRO($B$1,$B$4,"COMPARISON"),$B$4))</f>
        <v>#NAME?</v>
      </c>
      <c r="U17" s="2" t="e">
        <f ca="1">IF($M$11="Y",U11,IF(U13&lt;$E$4,_xll.EVPRO($B$1,$B$4,"COMPARISON"),$B$4))</f>
        <v>#NAME?</v>
      </c>
      <c r="V17" s="2" t="e">
        <f ca="1">IF($M$11="Y",V11,IF(V13&lt;$E$4,_xll.EVPRO($B$1,$B$4,"COMPARISON"),$B$4))</f>
        <v>#NAME?</v>
      </c>
      <c r="W17" s="2" t="e">
        <f ca="1">IF($M$11="Y",W11,IF(W13&lt;$E$4,_xll.EVPRO($B$1,$B$4,"COMPARISON"),$B$4))</f>
        <v>#NAME?</v>
      </c>
      <c r="X17" s="2" t="e">
        <f ca="1">IF($M$11="Y",X11,IF(X13&lt;$E$4,_xll.EVPRO($B$1,$B$4,"COMPARISON"),$B$4))</f>
        <v>#NAME?</v>
      </c>
      <c r="Y17" s="2" t="e">
        <f ca="1">IF($M$11="Y",Y11,IF(Y13&lt;$E$4,_xll.EVPRO($B$1,$B$4,"COMPARISON"),$B$4))</f>
        <v>#NAME?</v>
      </c>
      <c r="Z17" s="2" t="e">
        <f ca="1">IF($M$11="Y",Z11,IF(Z13&lt;$E$4,_xll.EVPRO($B$1,$B$4,"COMPARISON"),$B$4))</f>
        <v>#NAME?</v>
      </c>
      <c r="AA17" s="2"/>
      <c r="AB17" s="10"/>
      <c r="AC17" s="10"/>
      <c r="AD17" s="2" t="e">
        <f ca="1">'29kbtUVTfkeuWbdEUFpQfA=='!$G$6</f>
        <v>#NAME?</v>
      </c>
      <c r="AE17" s="10"/>
      <c r="AF17" s="10"/>
      <c r="AG17" s="2" t="e">
        <f ca="1">'29kbtUVTfkeuWbdEUFpQfA=='!$J$6</f>
        <v>#NAME?</v>
      </c>
      <c r="AH17" s="10"/>
      <c r="AI17" s="10"/>
    </row>
    <row r="18" spans="1:40" hidden="1" outlineLevel="1" x14ac:dyDescent="0.2">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e">
        <f ca="1">IF('29kbtUVTfkeuWbdEUFpQfA=='!$O$1=TRUE,"TRAILING12",IF(AD17="CURRENT","ROLLINGFORECAST","PERIODIC"))</f>
        <v>#NAME?</v>
      </c>
      <c r="AE18" s="10"/>
      <c r="AF18" s="10"/>
      <c r="AG18" s="2" t="e">
        <f ca="1">IF('29kbtUVTfkeuWbdEUFpQfA=='!$O$1=TRUE,"TRAILING12",IF(AG17="CURRENT","ROLLINGFORECAST","PERIODIC"))</f>
        <v>#NAME?</v>
      </c>
      <c r="AH18" s="10"/>
      <c r="AI18" s="10"/>
    </row>
    <row r="19" spans="1:40" hidden="1" outlineLevel="1" x14ac:dyDescent="0.2">
      <c r="A19" s="6" t="s">
        <v>4</v>
      </c>
      <c r="B19" s="7" t="e">
        <f ca="1">_xll.EVRNG(H35:H41,H44:H50,H53:H62,H64:H65)</f>
        <v>#NAME?</v>
      </c>
      <c r="G19" s="16" t="s">
        <v>499</v>
      </c>
      <c r="H19" s="16">
        <v>400000</v>
      </c>
      <c r="I19" s="17"/>
      <c r="J19" s="17"/>
      <c r="K19" s="16"/>
      <c r="L19" s="17"/>
      <c r="M19" s="17"/>
      <c r="N19" s="16" t="e">
        <f ca="1">_xll.EVDES(H19)</f>
        <v>#NAME?</v>
      </c>
      <c r="O19" s="18" t="e">
        <f ca="1">_xll.EVGTS($B$1,1,$B$3,$B$5,$B$7,$B$9,O$16,O$17,O$18,$G$19,$H$19)</f>
        <v>#NAME?</v>
      </c>
      <c r="P19" s="18" t="e">
        <f ca="1">_xll.EVGTS($B$1,1,$B$3,$B$5,$B$7,$B$9,P$16,P$17,P$18,$G$19,$H$19)</f>
        <v>#NAME?</v>
      </c>
      <c r="Q19" s="18" t="e">
        <f ca="1">_xll.EVGTS($B$1,1,$B$3,$B$5,$B$7,$B$9,Q$16,Q$17,Q$18,$G$19,$H$19)</f>
        <v>#NAME?</v>
      </c>
      <c r="R19" s="18" t="e">
        <f ca="1">_xll.EVGTS($B$1,1,$B$3,$B$5,$B$7,$B$9,R$16,R$17,R$18,$G$19,$H$19)</f>
        <v>#NAME?</v>
      </c>
      <c r="S19" s="18" t="e">
        <f ca="1">_xll.EVGTS($B$1,1,$B$3,$B$5,$B$7,$B$9,S$16,S$17,S$18,$G$19,$H$19)</f>
        <v>#NAME?</v>
      </c>
      <c r="T19" s="18" t="e">
        <f ca="1">_xll.EVGTS($B$1,1,$B$3,$B$5,$B$7,$B$9,T$16,T$17,T$18,$G$19,$H$19)</f>
        <v>#NAME?</v>
      </c>
      <c r="U19" s="18" t="e">
        <f ca="1">_xll.EVGTS($B$1,1,$B$3,$B$5,$B$7,$B$9,U$16,U$17,U$18,$G$19,$H$19)</f>
        <v>#NAME?</v>
      </c>
      <c r="V19" s="18" t="e">
        <f ca="1">_xll.EVGTS($B$1,1,$B$3,$B$5,$B$7,$B$9,V$16,V$17,V$18,$G$19,$H$19)</f>
        <v>#NAME?</v>
      </c>
      <c r="W19" s="18" t="e">
        <f ca="1">_xll.EVGTS($B$1,1,$B$3,$B$5,$B$7,$B$9,W$16,W$17,W$18,$G$19,$H$19)</f>
        <v>#NAME?</v>
      </c>
      <c r="X19" s="18" t="e">
        <f ca="1">_xll.EVGTS($B$1,1,$B$3,$B$5,$B$7,$B$9,X$16,X$17,X$18,$G$19,$H$19)</f>
        <v>#NAME?</v>
      </c>
      <c r="Y19" s="18" t="e">
        <f ca="1">_xll.EVGTS($B$1,1,$B$3,$B$5,$B$7,$B$9,Y$16,Y$17,Y$18,$G$19,$H$19)</f>
        <v>#NAME?</v>
      </c>
      <c r="Z19" s="18" t="e">
        <f ca="1">_xll.EVGTS($B$1,1,$B$3,$B$5,$B$7,$B$9,Z$16,Z$17,Z$18,$G$19,$H$19)</f>
        <v>#NAME?</v>
      </c>
      <c r="AA19" s="18" t="e">
        <f ca="1">SUM(O19:Z19)</f>
        <v>#NAME?</v>
      </c>
      <c r="AB19" s="16"/>
      <c r="AC19" s="16"/>
      <c r="AD19" s="18" t="e">
        <f ca="1">_xll.EVGTS($B$1,1,$B$3,$B$5,$B$7,$B$9,AD$16,AD$17,AD$18,$G$19,$H$19)</f>
        <v>#NAME?</v>
      </c>
      <c r="AE19" s="16"/>
      <c r="AF19" s="16"/>
      <c r="AG19" s="18" t="e">
        <f ca="1">_xll.EVGTS($B$1,1,$B$3,$B$5,$B$7,$B$9,AG$16,AG$17,AG$18,$G$19,$H$19)</f>
        <v>#NAME?</v>
      </c>
      <c r="AH19" s="16"/>
      <c r="AI19" s="16"/>
    </row>
    <row r="20" spans="1:40" hidden="1" outlineLevel="1" x14ac:dyDescent="0.2">
      <c r="A20" s="6" t="s">
        <v>5</v>
      </c>
      <c r="B20" s="7"/>
      <c r="G20" s="16" t="s">
        <v>749</v>
      </c>
      <c r="H20" s="16">
        <v>904100</v>
      </c>
      <c r="I20" s="17"/>
      <c r="J20" s="17"/>
      <c r="K20" s="16"/>
      <c r="L20" s="17"/>
      <c r="M20" s="17"/>
      <c r="N20" s="16" t="e">
        <f ca="1">_xll.EVDES(H20)</f>
        <v>#NAME?</v>
      </c>
      <c r="O20" s="18" t="e">
        <f ca="1">_xll.EVGTS($B$1,1,$B$3,$B$5,$B$7,$B$9,O$16,O$17,O$18,$G$20,$H$20)</f>
        <v>#NAME?</v>
      </c>
      <c r="P20" s="18" t="e">
        <f ca="1">_xll.EVGTS($B$1,1,$B$3,$B$5,$B$7,$B$9,P$16,P$17,P$18,$G$20,$H$20)</f>
        <v>#NAME?</v>
      </c>
      <c r="Q20" s="18" t="e">
        <f ca="1">_xll.EVGTS($B$1,1,$B$3,$B$5,$B$7,$B$9,Q$16,Q$17,Q$18,$G$20,$H$20)</f>
        <v>#NAME?</v>
      </c>
      <c r="R20" s="18" t="e">
        <f ca="1">_xll.EVGTS($B$1,1,$B$3,$B$5,$B$7,$B$9,R$16,R$17,R$18,$G$20,$H$20)</f>
        <v>#NAME?</v>
      </c>
      <c r="S20" s="18" t="e">
        <f ca="1">_xll.EVGTS($B$1,1,$B$3,$B$5,$B$7,$B$9,S$16,S$17,S$18,$G$20,$H$20)</f>
        <v>#NAME?</v>
      </c>
      <c r="T20" s="18" t="e">
        <f ca="1">_xll.EVGTS($B$1,1,$B$3,$B$5,$B$7,$B$9,T$16,T$17,T$18,$G$20,$H$20)</f>
        <v>#NAME?</v>
      </c>
      <c r="U20" s="18" t="e">
        <f ca="1">_xll.EVGTS($B$1,1,$B$3,$B$5,$B$7,$B$9,U$16,U$17,U$18,$G$20,$H$20)</f>
        <v>#NAME?</v>
      </c>
      <c r="V20" s="18" t="e">
        <f ca="1">_xll.EVGTS($B$1,1,$B$3,$B$5,$B$7,$B$9,V$16,V$17,V$18,$G$20,$H$20)</f>
        <v>#NAME?</v>
      </c>
      <c r="W20" s="18" t="e">
        <f ca="1">_xll.EVGTS($B$1,1,$B$3,$B$5,$B$7,$B$9,W$16,W$17,W$18,$G$20,$H$20)</f>
        <v>#NAME?</v>
      </c>
      <c r="X20" s="18" t="e">
        <f ca="1">_xll.EVGTS($B$1,1,$B$3,$B$5,$B$7,$B$9,X$16,X$17,X$18,$G$20,$H$20)</f>
        <v>#NAME?</v>
      </c>
      <c r="Y20" s="18" t="e">
        <f ca="1">_xll.EVGTS($B$1,1,$B$3,$B$5,$B$7,$B$9,Y$16,Y$17,Y$18,$G$20,$H$20)</f>
        <v>#NAME?</v>
      </c>
      <c r="Z20" s="18" t="e">
        <f ca="1">_xll.EVGTS($B$1,1,$B$3,$B$5,$B$7,$B$9,Z$16,Z$17,Z$18,$G$20,$H$20)</f>
        <v>#NAME?</v>
      </c>
      <c r="AA20" s="18" t="e">
        <f ca="1">SUM(O20:Z20)</f>
        <v>#NAME?</v>
      </c>
      <c r="AB20" s="16"/>
      <c r="AC20" s="16"/>
      <c r="AD20" s="18" t="e">
        <f ca="1">_xll.EVGTS($B$1,1,$B$3,$B$5,$B$7,$B$9,AD$16,AD$17,AD$18,$G$20,$H$20)</f>
        <v>#NAME?</v>
      </c>
      <c r="AE20" s="16"/>
      <c r="AF20" s="16"/>
      <c r="AG20" s="18" t="e">
        <f ca="1">_xll.EVGTS($B$1,1,$B$3,$B$5,$B$7,$B$9,AG$16,AG$17,AG$18,$G$20,$H$20)</f>
        <v>#NAME?</v>
      </c>
      <c r="AH20" s="16"/>
      <c r="AI20" s="16"/>
    </row>
    <row r="21" spans="1:40" hidden="1" outlineLevel="1" x14ac:dyDescent="0.2">
      <c r="A21" s="6" t="s">
        <v>6</v>
      </c>
      <c r="B21" s="7"/>
    </row>
    <row r="22" spans="1:40" hidden="1" outlineLevel="1" x14ac:dyDescent="0.2">
      <c r="A22" s="6" t="s">
        <v>7</v>
      </c>
      <c r="B22" s="7" t="e">
        <f ca="1">_xll.EVRNG(A36:F40)</f>
        <v>#NAME?</v>
      </c>
    </row>
    <row r="23" spans="1:40" hidden="1" outlineLevel="1" x14ac:dyDescent="0.2">
      <c r="A23" s="6" t="s">
        <v>47</v>
      </c>
      <c r="B23" s="7" t="e">
        <f ca="1">_xll.EVRNG($A$44:$B$65)</f>
        <v>#NAME?</v>
      </c>
      <c r="K23" s="53"/>
    </row>
    <row r="24" spans="1:40" hidden="1" outlineLevel="1" x14ac:dyDescent="0.2">
      <c r="A24" s="6" t="s">
        <v>8</v>
      </c>
      <c r="B24" s="7"/>
    </row>
    <row r="25" spans="1:40" collapsed="1" x14ac:dyDescent="0.2"/>
    <row r="26" spans="1:40" ht="23" x14ac:dyDescent="0.25">
      <c r="A26" s="3" t="s">
        <v>9</v>
      </c>
      <c r="B26" s="5" t="s">
        <v>10</v>
      </c>
      <c r="N26" s="61" t="e">
        <f ca="1">IF(_xll.EVDES(B3,$B$1)="#NODATA","",_xll.EVDES(B3,$B$1))</f>
        <v>#NAME?</v>
      </c>
    </row>
    <row r="27" spans="1:40" ht="18" x14ac:dyDescent="0.2">
      <c r="A27" s="6" t="s">
        <v>11</v>
      </c>
      <c r="B27" s="7" t="s">
        <v>21</v>
      </c>
      <c r="N27" s="66" t="e">
        <f ca="1">IF(_xll.EVDES(B6,$B$1)="#NODATA","",_xll.EVDES(B6,$B$1))</f>
        <v>#NAME?</v>
      </c>
    </row>
    <row r="28" spans="1:40" ht="16" x14ac:dyDescent="0.2">
      <c r="A28" s="6" t="s">
        <v>12</v>
      </c>
      <c r="B28" s="7" t="s">
        <v>22</v>
      </c>
      <c r="N28" s="67" t="e">
        <f ca="1">"For the Period ended"&amp;" "&amp;IF(_xll.EVDES($B$10,$B$1)="#NODATA","",_xll.EVDES($B$10,$B$1))</f>
        <v>#NAME?</v>
      </c>
    </row>
    <row r="29" spans="1:40" ht="15" customHeight="1" x14ac:dyDescent="0.2">
      <c r="A29" s="6" t="s">
        <v>13</v>
      </c>
      <c r="B29" s="7" t="s">
        <v>741</v>
      </c>
      <c r="N29" s="67" t="e">
        <f ca="1">_xll.EVDES(B9,B1)</f>
        <v>#NAME?</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752</v>
      </c>
      <c r="AK30" s="209"/>
      <c r="AL30" s="210"/>
      <c r="AM30" s="209" t="s">
        <v>750</v>
      </c>
      <c r="AN30" s="209"/>
    </row>
    <row r="31" spans="1:40" x14ac:dyDescent="0.2">
      <c r="A31" s="6" t="s">
        <v>15</v>
      </c>
      <c r="B31" s="7"/>
      <c r="G31" s="13"/>
      <c r="K31" s="52"/>
      <c r="O31" s="211" t="e">
        <f ca="1">IF($D$10="FY",_xll.EVPRO($B$1,O$16,"PERIOD")&amp;" "&amp;LEFT(O$13,4),_xll.EVPRO($B$1,O$16,"PERIOD"))</f>
        <v>#NAME?</v>
      </c>
      <c r="P31" s="211" t="e">
        <f ca="1">IF($D$10="FY",_xll.EVPRO($B$1,P$16,"PERIOD")&amp;" "&amp;LEFT(P$13,4),_xll.EVPRO($B$1,P$16,"PERIOD"))</f>
        <v>#NAME?</v>
      </c>
      <c r="Q31" s="211" t="e">
        <f ca="1">IF($D$10="FY",_xll.EVPRO($B$1,Q$16,"PERIOD")&amp;" "&amp;LEFT(Q$13,4),_xll.EVPRO($B$1,Q$16,"PERIOD"))</f>
        <v>#NAME?</v>
      </c>
      <c r="R31" s="211" t="e">
        <f ca="1">IF($D$10="FY",_xll.EVPRO($B$1,R$16,"PERIOD")&amp;" "&amp;LEFT(R$13,4),_xll.EVPRO($B$1,R$16,"PERIOD"))</f>
        <v>#NAME?</v>
      </c>
      <c r="S31" s="211" t="e">
        <f ca="1">IF($D$10="FY",_xll.EVPRO($B$1,S$16,"PERIOD")&amp;" "&amp;LEFT(S$13,4),_xll.EVPRO($B$1,S$16,"PERIOD"))</f>
        <v>#NAME?</v>
      </c>
      <c r="T31" s="211" t="e">
        <f ca="1">IF($D$10="FY",_xll.EVPRO($B$1,T$16,"PERIOD")&amp;" "&amp;LEFT(T$13,4),_xll.EVPRO($B$1,T$16,"PERIOD"))</f>
        <v>#NAME?</v>
      </c>
      <c r="U31" s="211" t="e">
        <f ca="1">IF($D$10="FY",_xll.EVPRO($B$1,U$16,"PERIOD")&amp;" "&amp;LEFT(U$13,4),_xll.EVPRO($B$1,U$16,"PERIOD"))</f>
        <v>#NAME?</v>
      </c>
      <c r="V31" s="211" t="e">
        <f ca="1">IF($D$10="FY",_xll.EVPRO($B$1,V$16,"PERIOD")&amp;" "&amp;LEFT(V$13,4),_xll.EVPRO($B$1,V$16,"PERIOD"))</f>
        <v>#NAME?</v>
      </c>
      <c r="W31" s="211" t="e">
        <f ca="1">IF($D$10="FY",_xll.EVPRO($B$1,W$16,"PERIOD")&amp;" "&amp;LEFT(W$13,4),_xll.EVPRO($B$1,W$16,"PERIOD"))</f>
        <v>#NAME?</v>
      </c>
      <c r="X31" s="211" t="e">
        <f ca="1">IF($D$10="FY",_xll.EVPRO($B$1,X$16,"PERIOD")&amp;" "&amp;LEFT(X$13,4),_xll.EVPRO($B$1,X$16,"PERIOD"))</f>
        <v>#NAME?</v>
      </c>
      <c r="Y31" s="211" t="e">
        <f ca="1">IF($D$10="FY",_xll.EVPRO($B$1,Y$16,"PERIOD")&amp;" "&amp;LEFT(Y$13,4),_xll.EVPRO($B$1,Y$16,"PERIOD"))</f>
        <v>#NAME?</v>
      </c>
      <c r="Z31" s="211" t="e">
        <f ca="1">IF($D$10="FY",_xll.EVPRO($B$1,Z$16,"PERIOD")&amp;" "&amp;LEFT(Z$13,4),_xll.EVPRO($B$1,Z$16,"PERIOD"))</f>
        <v>#NAME?</v>
      </c>
      <c r="AA31" s="211" t="str">
        <f>AA14</f>
        <v>TOTAL</v>
      </c>
      <c r="AB31" s="207"/>
      <c r="AD31" s="540" t="e">
        <f ca="1">IF(_xll.EVDES(AD16,$B$1)="#NODATA","",_xll.EVDES(AD16,$B$1))</f>
        <v>#NAME?</v>
      </c>
      <c r="AE31" s="541"/>
      <c r="AF31" s="211" t="s">
        <v>631</v>
      </c>
      <c r="AG31" s="540" t="e">
        <f ca="1">IF(_xll.EVDES(AG16,$B$1)="#NODATA","",_xll.EVDES(AG16,$B$1))</f>
        <v>#NAME?</v>
      </c>
      <c r="AH31" s="541"/>
      <c r="AI31" s="211" t="s">
        <v>631</v>
      </c>
      <c r="AJ31" s="211" t="e">
        <f ca="1">_xll.EVPRO($B$1,AA$16,"YEAR")</f>
        <v>#NAME?</v>
      </c>
      <c r="AK31" s="237" t="e">
        <f ca="1">_xll.EVPRO($B$1,AD$16,"YEAR")</f>
        <v>#NAME?</v>
      </c>
      <c r="AL31" s="237" t="e">
        <f ca="1">_xll.EVPRO($B$1,AG$16,"YEAR")</f>
        <v>#NAME?</v>
      </c>
      <c r="AM31" s="211" t="e">
        <f ca="1">"vs "&amp;AK31</f>
        <v>#NAME?</v>
      </c>
      <c r="AN31" s="211" t="e">
        <f ca="1">"vs "&amp;AL31</f>
        <v>#NAME?</v>
      </c>
    </row>
    <row r="32" spans="1:40" s="232" customFormat="1" ht="30" customHeight="1" x14ac:dyDescent="0.2">
      <c r="A32" s="230" t="s">
        <v>16</v>
      </c>
      <c r="B32" s="231" t="s">
        <v>78</v>
      </c>
      <c r="H32" s="233"/>
      <c r="I32" s="234"/>
      <c r="J32" s="234"/>
      <c r="K32" s="235" t="s">
        <v>117</v>
      </c>
      <c r="L32" s="234"/>
      <c r="M32" s="234"/>
      <c r="N32" s="236" t="s">
        <v>120</v>
      </c>
      <c r="O32" s="237" t="e">
        <f ca="1">IF(_xll.EVDES(O17,$B$1)="#NODATA","",_xll.EVDES(O17,$B$1))</f>
        <v>#NAME?</v>
      </c>
      <c r="P32" s="237" t="e">
        <f ca="1">IF(_xll.EVDES(P17,$B$1)="#NODATA","",_xll.EVDES(P17,$B$1))</f>
        <v>#NAME?</v>
      </c>
      <c r="Q32" s="237" t="e">
        <f ca="1">IF(_xll.EVDES(Q17,$B$1)="#NODATA","",_xll.EVDES(Q17,$B$1))</f>
        <v>#NAME?</v>
      </c>
      <c r="R32" s="237" t="e">
        <f ca="1">IF(_xll.EVDES(R17,$B$1)="#NODATA","",_xll.EVDES(R17,$B$1))</f>
        <v>#NAME?</v>
      </c>
      <c r="S32" s="237" t="e">
        <f ca="1">IF(_xll.EVDES(S17,$B$1)="#NODATA","",_xll.EVDES(S17,$B$1))</f>
        <v>#NAME?</v>
      </c>
      <c r="T32" s="237" t="e">
        <f ca="1">IF(_xll.EVDES(T17,$B$1)="#NODATA","",_xll.EVDES(T17,$B$1))</f>
        <v>#NAME?</v>
      </c>
      <c r="U32" s="237" t="e">
        <f ca="1">IF(_xll.EVDES(U17,$B$1)="#NODATA","",_xll.EVDES(U17,$B$1))</f>
        <v>#NAME?</v>
      </c>
      <c r="V32" s="237" t="e">
        <f ca="1">IF(_xll.EVDES(V17,$B$1)="#NODATA","",_xll.EVDES(V17,$B$1))</f>
        <v>#NAME?</v>
      </c>
      <c r="W32" s="237" t="e">
        <f ca="1">IF(_xll.EVDES(W17,$B$1)="#NODATA","",_xll.EVDES(W17,$B$1))</f>
        <v>#NAME?</v>
      </c>
      <c r="X32" s="237" t="e">
        <f ca="1">IF(_xll.EVDES(X17,$B$1)="#NODATA","",_xll.EVDES(X17,$B$1))</f>
        <v>#NAME?</v>
      </c>
      <c r="Y32" s="237" t="e">
        <f ca="1">IF(_xll.EVDES(Y17,$B$1)="#NODATA","",_xll.EVDES(Y17,$B$1))</f>
        <v>#NAME?</v>
      </c>
      <c r="Z32" s="237" t="e">
        <f ca="1">IF(_xll.EVDES(Z17,$B$1)="#NODATA","",_xll.EVDES(Z17,$B$1))</f>
        <v>#NAME?</v>
      </c>
      <c r="AA32" s="238"/>
      <c r="AB32" s="238" t="s">
        <v>58</v>
      </c>
      <c r="AD32" s="237" t="e">
        <f ca="1">IF(_xll.EVDES(AD17,$B$1)="#NODATA","",_xll.EVDES(AD17,$B$1))</f>
        <v>#NAME?</v>
      </c>
      <c r="AE32" s="237" t="s">
        <v>58</v>
      </c>
      <c r="AF32" s="237" t="s">
        <v>57</v>
      </c>
      <c r="AG32" s="237" t="e">
        <f ca="1">IF(_xll.EVDES(AG17,$B$1)="#NODATA","",_xll.EVDES(AG17,$B$1))</f>
        <v>#NAME?</v>
      </c>
      <c r="AH32" s="237" t="s">
        <v>58</v>
      </c>
      <c r="AI32" s="237" t="s">
        <v>57</v>
      </c>
      <c r="AJ32" s="237" t="e">
        <f ca="1">Z32</f>
        <v>#NAME?</v>
      </c>
      <c r="AK32" s="237" t="e">
        <f ca="1">AD32</f>
        <v>#NAME?</v>
      </c>
      <c r="AL32" s="237" t="e">
        <f ca="1">AG32</f>
        <v>#NAME?</v>
      </c>
      <c r="AM32" s="211" t="s">
        <v>747</v>
      </c>
      <c r="AN32" s="211" t="s">
        <v>747</v>
      </c>
    </row>
    <row r="33" spans="1:40" x14ac:dyDescent="0.2">
      <c r="A33" s="6" t="s">
        <v>17</v>
      </c>
      <c r="B33" s="7"/>
      <c r="H33" s="1" t="s">
        <v>553</v>
      </c>
      <c r="I33" s="11" t="e">
        <f ca="1">_xll.EVPRO($B$1,$H33,"STYLE")</f>
        <v>#NAME?</v>
      </c>
      <c r="J33" s="11" t="e">
        <f ca="1">_xll.EVPRO($B$1,$H33,"CALC")</f>
        <v>#NAME?</v>
      </c>
      <c r="N33" s="37" t="e">
        <f ca="1">IF(_xll.EVDES(H33,$B$1)="#NODATA","",_xll.EVDES(H33,$B$1))</f>
        <v>#NAME?</v>
      </c>
      <c r="O33" s="50"/>
      <c r="AB33" s="51"/>
      <c r="AD33" s="50"/>
      <c r="AF33" s="51"/>
      <c r="AG33" s="50"/>
      <c r="AI33" s="51"/>
    </row>
    <row r="34" spans="1:40" x14ac:dyDescent="0.2">
      <c r="N34" s="8" t="s">
        <v>561</v>
      </c>
      <c r="O34" s="40"/>
      <c r="P34" s="43"/>
      <c r="Q34" s="43"/>
      <c r="R34" s="43"/>
      <c r="S34" s="43"/>
      <c r="T34" s="43"/>
      <c r="U34" s="43"/>
      <c r="V34" s="43"/>
      <c r="W34" s="43"/>
      <c r="X34" s="43"/>
      <c r="Y34" s="43"/>
      <c r="Z34" s="43"/>
      <c r="AA34" s="43"/>
      <c r="AB34" s="41"/>
      <c r="AD34" s="40"/>
      <c r="AE34" s="43"/>
      <c r="AF34" s="41"/>
      <c r="AG34" s="40"/>
      <c r="AH34" s="43"/>
      <c r="AI34" s="41"/>
    </row>
    <row r="35" spans="1:40" x14ac:dyDescent="0.2">
      <c r="A35" s="20" t="s">
        <v>92</v>
      </c>
      <c r="B35" s="21" t="s">
        <v>93</v>
      </c>
      <c r="C35" s="21" t="s">
        <v>94</v>
      </c>
      <c r="D35" s="21" t="s">
        <v>95</v>
      </c>
      <c r="E35" s="21" t="s">
        <v>96</v>
      </c>
      <c r="F35" s="22" t="s">
        <v>97</v>
      </c>
      <c r="H35" s="10" t="s">
        <v>926</v>
      </c>
      <c r="I35" s="25" t="e">
        <f ca="1">_xll.EVPRO($B$1,$H35,"STYLE")</f>
        <v>#NAME?</v>
      </c>
      <c r="J35" s="25" t="e">
        <f ca="1">_xll.EVPRO($B$1,$H35,"CALC")</f>
        <v>#NAME?</v>
      </c>
      <c r="K35" s="64" t="e">
        <f ca="1">IF(AND(I35&gt;="T4"),"&gt;","")</f>
        <v>#NAME?</v>
      </c>
      <c r="L35" s="24" t="e">
        <f ca="1">_xll.EVPRO($B$1,H35,"JDEID")</f>
        <v>#NAME?</v>
      </c>
      <c r="M35" s="24" t="e">
        <f ca="1">IF(AND(I35="N",J35="N"),_xll.EVPRO($B$1,H35,"PSFTID"),"")</f>
        <v>#NAME?</v>
      </c>
      <c r="N35" s="24" t="e">
        <f ca="1">IF(_xll.EVDES(H35,$B$1)="#NODATA","",_xll.EVDES(H35,$B$1))</f>
        <v>#NAME?</v>
      </c>
      <c r="O35" s="19"/>
      <c r="P35" s="19"/>
      <c r="Q35" s="19"/>
      <c r="R35" s="19"/>
      <c r="S35" s="19"/>
      <c r="T35" s="19"/>
      <c r="U35" s="19"/>
      <c r="V35" s="19"/>
      <c r="W35" s="19"/>
      <c r="X35" s="19"/>
      <c r="Y35" s="19"/>
      <c r="Z35" s="19">
        <v>501.42</v>
      </c>
      <c r="AA35" s="35" t="e">
        <f t="shared" ref="AA35:AA41" ca="1" si="0">IF($I35="B1","",SUM(O35:Z35))</f>
        <v>#NAME?</v>
      </c>
      <c r="AB35" s="15" t="e">
        <f t="shared" ref="AB35:AB41" ca="1" si="1">IF(AA35=0,"",IFERROR(AA35/AA$19,""))</f>
        <v>#NAME?</v>
      </c>
      <c r="AD35" s="19"/>
      <c r="AE35" s="15" t="str">
        <f t="shared" ref="AE35:AE41" si="2">IF(AD35=0,"",IFERROR(AD35/AD$19,""))</f>
        <v/>
      </c>
      <c r="AF35" s="47" t="e">
        <f t="shared" ref="AF35:AF41" ca="1" si="3">IF(AND($AA35="",AD35=""),"",$AA35-AD35)</f>
        <v>#NAME?</v>
      </c>
      <c r="AG35" s="19"/>
      <c r="AH35" s="15" t="str">
        <f>IF(AG35=0,"",IFERROR(AG35/AG$19,""))</f>
        <v/>
      </c>
      <c r="AI35" s="47" t="e">
        <f ca="1">IF(AND($AA35="",AG35=""),"",$AA35-AG35)</f>
        <v>#NAME?</v>
      </c>
      <c r="AJ35" s="371">
        <f ca="1">IFERROR(AA35/AA$20,0)</f>
        <v>0</v>
      </c>
      <c r="AK35" s="372">
        <f ca="1">IFERROR(AD35/AD$20,0)</f>
        <v>0</v>
      </c>
      <c r="AL35" s="373">
        <f ca="1">IFERROR(AG35/AG$20,0)</f>
        <v>0</v>
      </c>
      <c r="AM35" s="374">
        <f ca="1">+IFERROR(ROUND(($AB35-AE35)*100,2)&amp;" pts.",0)</f>
        <v>0</v>
      </c>
      <c r="AN35" s="375">
        <f ca="1">+IFERROR(ROUND(($AB35-AH35)*100,2)&amp;" pts.",0)</f>
        <v>0</v>
      </c>
    </row>
    <row r="36" spans="1:40" x14ac:dyDescent="0.2">
      <c r="H36" s="10" t="s">
        <v>927</v>
      </c>
      <c r="I36" s="25" t="e">
        <f ca="1">_xll.EVPRO($B$1,$H36,"STYLE")</f>
        <v>#NAME?</v>
      </c>
      <c r="J36" s="25" t="e">
        <f ca="1">_xll.EVPRO($B$1,$H36,"CALC")</f>
        <v>#NAME?</v>
      </c>
      <c r="K36" s="64" t="e">
        <f t="shared" ref="K36:K41" ca="1" si="4">IF(AND(I36&gt;="T4"),"&gt;","")</f>
        <v>#NAME?</v>
      </c>
      <c r="L36" s="24" t="e">
        <f ca="1">_xll.EVPRO($B$1,H36,"JDEID")</f>
        <v>#NAME?</v>
      </c>
      <c r="M36" s="24" t="e">
        <f ca="1">IF(AND(I36="N",J36="N"),_xll.EVPRO($B$1,H36,"PSFTID"),"")</f>
        <v>#NAME?</v>
      </c>
      <c r="N36" s="24" t="e">
        <f ca="1">IF(_xll.EVDES(H36,$B$1)="#NODATA","",_xll.EVDES(H36,$B$1))</f>
        <v>#NAME?</v>
      </c>
      <c r="O36" s="19">
        <v>2241.73</v>
      </c>
      <c r="P36" s="19">
        <v>2032.86</v>
      </c>
      <c r="Q36" s="19">
        <v>2466.65</v>
      </c>
      <c r="R36" s="19">
        <v>2620.02</v>
      </c>
      <c r="S36" s="19">
        <v>2237.4499999999998</v>
      </c>
      <c r="T36" s="19">
        <v>2020.16</v>
      </c>
      <c r="U36" s="19">
        <v>2051.7399999999998</v>
      </c>
      <c r="V36" s="19">
        <v>2226.17</v>
      </c>
      <c r="W36" s="19">
        <v>2019.98</v>
      </c>
      <c r="X36" s="19">
        <v>2182.27</v>
      </c>
      <c r="Y36" s="19">
        <v>2310.16</v>
      </c>
      <c r="Z36" s="19">
        <v>2519.9499999999998</v>
      </c>
      <c r="AA36" s="35" t="e">
        <f t="shared" ca="1" si="0"/>
        <v>#NAME?</v>
      </c>
      <c r="AB36" s="15" t="e">
        <f t="shared" ca="1" si="1"/>
        <v>#NAME?</v>
      </c>
      <c r="AD36" s="19">
        <v>28846.7522107201</v>
      </c>
      <c r="AE36" s="15" t="str">
        <f t="shared" ca="1" si="2"/>
        <v/>
      </c>
      <c r="AF36" s="47" t="e">
        <f t="shared" ca="1" si="3"/>
        <v>#NAME?</v>
      </c>
      <c r="AG36" s="19">
        <v>32294.95</v>
      </c>
      <c r="AH36" s="15" t="str">
        <f t="shared" ref="AH36:AH41" ca="1" si="5">IF(AG36=0,"",IFERROR(AG36/AG$19,""))</f>
        <v/>
      </c>
      <c r="AI36" s="47" t="e">
        <f t="shared" ref="AI36:AI41" ca="1" si="6">IF(AND($AA36="",AG36=""),"",$AA36-AG36)</f>
        <v>#NAME?</v>
      </c>
      <c r="AJ36" s="371">
        <f t="shared" ref="AJ36:AJ41" ca="1" si="7">IFERROR(AA36/AA$20,0)</f>
        <v>0</v>
      </c>
      <c r="AK36" s="372">
        <f t="shared" ref="AK36:AK41" ca="1" si="8">IFERROR(AD36/AD$20,0)</f>
        <v>0</v>
      </c>
      <c r="AL36" s="373">
        <f t="shared" ref="AL36:AL41" ca="1" si="9">IFERROR(AG36/AG$20,0)</f>
        <v>0</v>
      </c>
      <c r="AM36" s="374">
        <f t="shared" ref="AM36:AM41" ca="1" si="10">+IFERROR(ROUND(($AB36-AE36)*100,2)&amp;" pts.",0)</f>
        <v>0</v>
      </c>
      <c r="AN36" s="375">
        <f t="shared" ref="AN36:AN41" ca="1" si="11">+IFERROR(ROUND(($AB36-AH36)*100,2)&amp;" pts.",0)</f>
        <v>0</v>
      </c>
    </row>
    <row r="37" spans="1:40" x14ac:dyDescent="0.2">
      <c r="A37" s="1" t="s">
        <v>105</v>
      </c>
      <c r="C37" s="24" t="s">
        <v>101</v>
      </c>
      <c r="D37" s="1" t="s">
        <v>106</v>
      </c>
      <c r="F37" s="1" t="s">
        <v>98</v>
      </c>
      <c r="H37" s="10" t="s">
        <v>928</v>
      </c>
      <c r="I37" s="25" t="e">
        <f ca="1">_xll.EVPRO($B$1,$H37,"STYLE")</f>
        <v>#NAME?</v>
      </c>
      <c r="J37" s="25" t="e">
        <f ca="1">_xll.EVPRO($B$1,$H37,"CALC")</f>
        <v>#NAME?</v>
      </c>
      <c r="K37" s="64" t="e">
        <f t="shared" ca="1" si="4"/>
        <v>#NAME?</v>
      </c>
      <c r="L37" s="24" t="e">
        <f ca="1">_xll.EVPRO($B$1,H37,"JDEID")</f>
        <v>#NAME?</v>
      </c>
      <c r="M37" s="24" t="e">
        <f ca="1">IF(AND(I37="N",J37="N"),_xll.EVPRO($B$1,H37,"PSFTID"),"")</f>
        <v>#NAME?</v>
      </c>
      <c r="N37" s="24" t="e">
        <f ca="1">IF(_xll.EVDES(H37,$B$1)="#NODATA","",_xll.EVDES(H37,$B$1))</f>
        <v>#NAME?</v>
      </c>
      <c r="O37" s="19">
        <v>9585.25</v>
      </c>
      <c r="P37" s="19">
        <v>10093.32</v>
      </c>
      <c r="Q37" s="19">
        <v>10174.19</v>
      </c>
      <c r="R37" s="19">
        <v>11185.22</v>
      </c>
      <c r="S37" s="19">
        <v>9514.94</v>
      </c>
      <c r="T37" s="19">
        <v>8554.68</v>
      </c>
      <c r="U37" s="19">
        <v>8596.83</v>
      </c>
      <c r="V37" s="19">
        <v>9279.1299999999992</v>
      </c>
      <c r="W37" s="19">
        <v>8333.52</v>
      </c>
      <c r="X37" s="19">
        <v>9027.5300000000007</v>
      </c>
      <c r="Y37" s="19">
        <v>9793.26</v>
      </c>
      <c r="Z37" s="19">
        <v>9510.6200000000008</v>
      </c>
      <c r="AA37" s="35" t="e">
        <f t="shared" ca="1" si="0"/>
        <v>#NAME?</v>
      </c>
      <c r="AB37" s="15" t="e">
        <f t="shared" ca="1" si="1"/>
        <v>#NAME?</v>
      </c>
      <c r="AD37" s="19">
        <v>73588.3015643869</v>
      </c>
      <c r="AE37" s="15" t="str">
        <f t="shared" ca="1" si="2"/>
        <v/>
      </c>
      <c r="AF37" s="47" t="e">
        <f t="shared" ca="1" si="3"/>
        <v>#NAME?</v>
      </c>
      <c r="AG37" s="19">
        <v>129692.05</v>
      </c>
      <c r="AH37" s="15" t="str">
        <f t="shared" ca="1" si="5"/>
        <v/>
      </c>
      <c r="AI37" s="47" t="e">
        <f t="shared" ca="1" si="6"/>
        <v>#NAME?</v>
      </c>
      <c r="AJ37" s="371">
        <f t="shared" ca="1" si="7"/>
        <v>0</v>
      </c>
      <c r="AK37" s="372">
        <f t="shared" ca="1" si="8"/>
        <v>0</v>
      </c>
      <c r="AL37" s="373">
        <f t="shared" ca="1" si="9"/>
        <v>0</v>
      </c>
      <c r="AM37" s="374">
        <f t="shared" ca="1" si="10"/>
        <v>0</v>
      </c>
      <c r="AN37" s="375">
        <f t="shared" ca="1" si="11"/>
        <v>0</v>
      </c>
    </row>
    <row r="38" spans="1:40" x14ac:dyDescent="0.2">
      <c r="A38" s="1" t="s">
        <v>102</v>
      </c>
      <c r="C38" s="24" t="s">
        <v>101</v>
      </c>
      <c r="D38" s="1" t="s">
        <v>106</v>
      </c>
      <c r="F38" s="1" t="s">
        <v>98</v>
      </c>
      <c r="H38" s="10" t="s">
        <v>929</v>
      </c>
      <c r="I38" s="25" t="e">
        <f ca="1">_xll.EVPRO($B$1,$H38,"STYLE")</f>
        <v>#NAME?</v>
      </c>
      <c r="J38" s="25" t="e">
        <f ca="1">_xll.EVPRO($B$1,$H38,"CALC")</f>
        <v>#NAME?</v>
      </c>
      <c r="K38" s="64" t="e">
        <f t="shared" ca="1" si="4"/>
        <v>#NAME?</v>
      </c>
      <c r="L38" s="24" t="e">
        <f ca="1">_xll.EVPRO($B$1,H38,"JDEID")</f>
        <v>#NAME?</v>
      </c>
      <c r="M38" s="24" t="e">
        <f ca="1">IF(AND(I38="N",J38="N"),_xll.EVPRO($B$1,H38,"PSFTID"),"")</f>
        <v>#NAME?</v>
      </c>
      <c r="N38" s="24" t="e">
        <f ca="1">IF(_xll.EVDES(H38,$B$1)="#NODATA","",_xll.EVDES(H38,$B$1))</f>
        <v>#NAME?</v>
      </c>
      <c r="O38" s="19">
        <v>635.05999999999995</v>
      </c>
      <c r="P38" s="19">
        <v>270.24</v>
      </c>
      <c r="Q38" s="19">
        <v>145.25</v>
      </c>
      <c r="R38" s="19">
        <v>152.9</v>
      </c>
      <c r="S38" s="19">
        <v>111.55</v>
      </c>
      <c r="T38" s="19">
        <v>49.55</v>
      </c>
      <c r="U38" s="19">
        <v>23.38</v>
      </c>
      <c r="V38" s="19">
        <v>18.52</v>
      </c>
      <c r="W38" s="19">
        <v>12.46</v>
      </c>
      <c r="X38" s="19">
        <v>65.75</v>
      </c>
      <c r="Y38" s="19">
        <v>46.11</v>
      </c>
      <c r="Z38" s="19">
        <v>534.13</v>
      </c>
      <c r="AA38" s="35" t="e">
        <f t="shared" ca="1" si="0"/>
        <v>#NAME?</v>
      </c>
      <c r="AB38" s="15" t="e">
        <f t="shared" ca="1" si="1"/>
        <v>#NAME?</v>
      </c>
      <c r="AD38" s="19">
        <v>14783.319675131501</v>
      </c>
      <c r="AE38" s="15" t="str">
        <f t="shared" ca="1" si="2"/>
        <v/>
      </c>
      <c r="AF38" s="47" t="e">
        <f t="shared" ca="1" si="3"/>
        <v>#NAME?</v>
      </c>
      <c r="AG38" s="19">
        <v>1337.09</v>
      </c>
      <c r="AH38" s="15" t="str">
        <f t="shared" ca="1" si="5"/>
        <v/>
      </c>
      <c r="AI38" s="47" t="e">
        <f t="shared" ca="1" si="6"/>
        <v>#NAME?</v>
      </c>
      <c r="AJ38" s="371">
        <f t="shared" ca="1" si="7"/>
        <v>0</v>
      </c>
      <c r="AK38" s="372">
        <f t="shared" ca="1" si="8"/>
        <v>0</v>
      </c>
      <c r="AL38" s="373">
        <f t="shared" ca="1" si="9"/>
        <v>0</v>
      </c>
      <c r="AM38" s="374">
        <f t="shared" ca="1" si="10"/>
        <v>0</v>
      </c>
      <c r="AN38" s="375">
        <f t="shared" ca="1" si="11"/>
        <v>0</v>
      </c>
    </row>
    <row r="39" spans="1:40" x14ac:dyDescent="0.2">
      <c r="A39" s="1" t="s">
        <v>108</v>
      </c>
      <c r="C39" s="23" t="s">
        <v>101</v>
      </c>
      <c r="D39" s="1" t="s">
        <v>106</v>
      </c>
      <c r="F39" s="1" t="s">
        <v>98</v>
      </c>
      <c r="H39" s="10" t="s">
        <v>930</v>
      </c>
      <c r="I39" s="25" t="e">
        <f ca="1">_xll.EVPRO($B$1,$H39,"STYLE")</f>
        <v>#NAME?</v>
      </c>
      <c r="J39" s="25" t="e">
        <f ca="1">_xll.EVPRO($B$1,$H39,"CALC")</f>
        <v>#NAME?</v>
      </c>
      <c r="K39" s="64" t="e">
        <f t="shared" ca="1" si="4"/>
        <v>#NAME?</v>
      </c>
      <c r="L39" s="24" t="e">
        <f ca="1">_xll.EVPRO($B$1,H39,"JDEID")</f>
        <v>#NAME?</v>
      </c>
      <c r="M39" s="24" t="e">
        <f ca="1">IF(AND(I39="N",J39="N"),_xll.EVPRO($B$1,H39,"PSFTID"),"")</f>
        <v>#NAME?</v>
      </c>
      <c r="N39" s="24" t="e">
        <f ca="1">IF(_xll.EVDES(H39,$B$1)="#NODATA","",_xll.EVDES(H39,$B$1))</f>
        <v>#NAME?</v>
      </c>
      <c r="O39" s="19">
        <v>170.31</v>
      </c>
      <c r="P39" s="19">
        <v>49.5</v>
      </c>
      <c r="Q39" s="19">
        <v>24.2</v>
      </c>
      <c r="R39" s="19">
        <v>25.51</v>
      </c>
      <c r="S39" s="19">
        <v>18.59</v>
      </c>
      <c r="T39" s="19">
        <v>8.26</v>
      </c>
      <c r="U39" s="19">
        <v>3.89</v>
      </c>
      <c r="V39" s="19">
        <v>3.09</v>
      </c>
      <c r="W39" s="19">
        <v>2.0699999999999998</v>
      </c>
      <c r="X39" s="19">
        <v>10.95</v>
      </c>
      <c r="Y39" s="19">
        <v>7.68</v>
      </c>
      <c r="Z39" s="19">
        <v>147.52000000000001</v>
      </c>
      <c r="AA39" s="35" t="e">
        <f t="shared" ca="1" si="0"/>
        <v>#NAME?</v>
      </c>
      <c r="AB39" s="15" t="e">
        <f t="shared" ca="1" si="1"/>
        <v>#NAME?</v>
      </c>
      <c r="AD39" s="19">
        <v>16060.495094076399</v>
      </c>
      <c r="AE39" s="15" t="str">
        <f t="shared" ca="1" si="2"/>
        <v/>
      </c>
      <c r="AF39" s="47" t="e">
        <f t="shared" ca="1" si="3"/>
        <v>#NAME?</v>
      </c>
      <c r="AG39" s="19">
        <v>531.45000000000005</v>
      </c>
      <c r="AH39" s="15" t="str">
        <f t="shared" ca="1" si="5"/>
        <v/>
      </c>
      <c r="AI39" s="47" t="e">
        <f t="shared" ca="1" si="6"/>
        <v>#NAME?</v>
      </c>
      <c r="AJ39" s="371">
        <f t="shared" ca="1" si="7"/>
        <v>0</v>
      </c>
      <c r="AK39" s="372">
        <f t="shared" ca="1" si="8"/>
        <v>0</v>
      </c>
      <c r="AL39" s="373">
        <f t="shared" ca="1" si="9"/>
        <v>0</v>
      </c>
      <c r="AM39" s="374">
        <f t="shared" ca="1" si="10"/>
        <v>0</v>
      </c>
      <c r="AN39" s="375">
        <f t="shared" ca="1" si="11"/>
        <v>0</v>
      </c>
    </row>
    <row r="40" spans="1:40" x14ac:dyDescent="0.2">
      <c r="A40" s="1" t="s">
        <v>108</v>
      </c>
      <c r="C40" s="27" t="s">
        <v>101</v>
      </c>
      <c r="D40" s="1" t="s">
        <v>107</v>
      </c>
      <c r="F40" s="1" t="s">
        <v>99</v>
      </c>
      <c r="H40" s="10" t="s">
        <v>931</v>
      </c>
      <c r="I40" s="25" t="e">
        <f ca="1">_xll.EVPRO($B$1,$H40,"STYLE")</f>
        <v>#NAME?</v>
      </c>
      <c r="J40" s="25" t="e">
        <f ca="1">_xll.EVPRO($B$1,$H40,"CALC")</f>
        <v>#NAME?</v>
      </c>
      <c r="K40" s="64" t="e">
        <f t="shared" ca="1" si="4"/>
        <v>#NAME?</v>
      </c>
      <c r="L40" s="24" t="e">
        <f ca="1">_xll.EVPRO($B$1,H40,"JDEID")</f>
        <v>#NAME?</v>
      </c>
      <c r="M40" s="24" t="e">
        <f ca="1">IF(AND(I40="N",J40="N"),_xll.EVPRO($B$1,H40,"PSFTID"),"")</f>
        <v>#NAME?</v>
      </c>
      <c r="N40" s="24" t="e">
        <f ca="1">IF(_xll.EVDES(H40,$B$1)="#NODATA","",_xll.EVDES(H40,$B$1))</f>
        <v>#NAME?</v>
      </c>
      <c r="O40" s="28">
        <v>15.24</v>
      </c>
      <c r="P40" s="28"/>
      <c r="Q40" s="28"/>
      <c r="R40" s="28"/>
      <c r="S40" s="28"/>
      <c r="T40" s="28"/>
      <c r="U40" s="28"/>
      <c r="V40" s="28"/>
      <c r="W40" s="28"/>
      <c r="X40" s="28"/>
      <c r="Y40" s="28"/>
      <c r="Z40" s="28"/>
      <c r="AA40" s="44" t="e">
        <f t="shared" ca="1" si="0"/>
        <v>#NAME?</v>
      </c>
      <c r="AB40" s="29" t="e">
        <f t="shared" ca="1" si="1"/>
        <v>#NAME?</v>
      </c>
      <c r="AD40" s="28"/>
      <c r="AE40" s="29" t="str">
        <f t="shared" si="2"/>
        <v/>
      </c>
      <c r="AF40" s="48" t="e">
        <f t="shared" ca="1" si="3"/>
        <v>#NAME?</v>
      </c>
      <c r="AG40" s="28">
        <v>34.24</v>
      </c>
      <c r="AH40" s="29" t="str">
        <f t="shared" ca="1" si="5"/>
        <v/>
      </c>
      <c r="AI40" s="48" t="e">
        <f t="shared" ca="1" si="6"/>
        <v>#NAME?</v>
      </c>
      <c r="AJ40" s="381">
        <f t="shared" ca="1" si="7"/>
        <v>0</v>
      </c>
      <c r="AK40" s="382">
        <f t="shared" ca="1" si="8"/>
        <v>0</v>
      </c>
      <c r="AL40" s="383">
        <f t="shared" ca="1" si="9"/>
        <v>0</v>
      </c>
      <c r="AM40" s="384">
        <f t="shared" ca="1" si="10"/>
        <v>0</v>
      </c>
      <c r="AN40" s="385">
        <f t="shared" ca="1" si="11"/>
        <v>0</v>
      </c>
    </row>
    <row r="41" spans="1:40" x14ac:dyDescent="0.2">
      <c r="H41" s="10" t="s">
        <v>852</v>
      </c>
      <c r="I41" s="447" t="e">
        <f ca="1">_xll.EVPRO($B$1,$H41,"STYLE")</f>
        <v>#NAME?</v>
      </c>
      <c r="J41" s="447" t="e">
        <f ca="1">_xll.EVPRO($B$1,$H41,"CALC")</f>
        <v>#NAME?</v>
      </c>
      <c r="K41" s="448" t="e">
        <f t="shared" ca="1" si="4"/>
        <v>#NAME?</v>
      </c>
      <c r="L41" s="151" t="e">
        <f ca="1">_xll.EVPRO($B$1,H41,"JDEID")</f>
        <v>#NAME?</v>
      </c>
      <c r="M41" s="151" t="e">
        <f ca="1">IF(AND(I41="N",J41="N"),_xll.EVPRO($B$1,H41,"PSFTID"),"")</f>
        <v>#NAME?</v>
      </c>
      <c r="N41" s="151" t="e">
        <f ca="1">IF(_xll.EVDES(H41,$B$1)="#NODATA","",_xll.EVDES(H41,$B$1))</f>
        <v>#NAME?</v>
      </c>
      <c r="O41" s="30">
        <v>12647.59</v>
      </c>
      <c r="P41" s="30">
        <v>12445.92</v>
      </c>
      <c r="Q41" s="30">
        <v>12810.29</v>
      </c>
      <c r="R41" s="30">
        <v>13983.65</v>
      </c>
      <c r="S41" s="30">
        <v>11882.53</v>
      </c>
      <c r="T41" s="30">
        <v>10632.65</v>
      </c>
      <c r="U41" s="30">
        <v>10675.84</v>
      </c>
      <c r="V41" s="30">
        <v>11526.91</v>
      </c>
      <c r="W41" s="30">
        <v>10368.030000000001</v>
      </c>
      <c r="X41" s="30">
        <v>11286.5</v>
      </c>
      <c r="Y41" s="30">
        <v>12157.21</v>
      </c>
      <c r="Z41" s="30">
        <v>13213.64</v>
      </c>
      <c r="AA41" s="30" t="e">
        <f t="shared" ca="1" si="0"/>
        <v>#NAME?</v>
      </c>
      <c r="AB41" s="31" t="e">
        <f t="shared" ca="1" si="1"/>
        <v>#NAME?</v>
      </c>
      <c r="AC41" s="32"/>
      <c r="AD41" s="30">
        <v>133278.86854431499</v>
      </c>
      <c r="AE41" s="31" t="str">
        <f t="shared" ca="1" si="2"/>
        <v/>
      </c>
      <c r="AF41" s="49" t="e">
        <f t="shared" ca="1" si="3"/>
        <v>#NAME?</v>
      </c>
      <c r="AG41" s="30">
        <v>163889.78</v>
      </c>
      <c r="AH41" s="31" t="str">
        <f t="shared" ca="1" si="5"/>
        <v/>
      </c>
      <c r="AI41" s="49" t="e">
        <f t="shared" ca="1" si="6"/>
        <v>#NAME?</v>
      </c>
      <c r="AJ41" s="336">
        <f t="shared" ca="1" si="7"/>
        <v>0</v>
      </c>
      <c r="AK41" s="337">
        <f t="shared" ca="1" si="8"/>
        <v>0</v>
      </c>
      <c r="AL41" s="339">
        <f t="shared" ca="1" si="9"/>
        <v>0</v>
      </c>
      <c r="AM41" s="386">
        <f t="shared" ca="1" si="10"/>
        <v>0</v>
      </c>
      <c r="AN41" s="407">
        <f t="shared" ca="1" si="11"/>
        <v>0</v>
      </c>
    </row>
    <row r="42" spans="1:40" x14ac:dyDescent="0.2">
      <c r="I42" s="1"/>
      <c r="J42" s="1"/>
      <c r="L42" s="24"/>
      <c r="M42" s="24"/>
      <c r="N42" s="24"/>
      <c r="O42" s="38"/>
      <c r="P42" s="42"/>
      <c r="Q42" s="42"/>
      <c r="R42" s="42"/>
      <c r="S42" s="42"/>
      <c r="T42" s="42"/>
      <c r="U42" s="42"/>
      <c r="V42" s="42"/>
      <c r="W42" s="42"/>
      <c r="X42" s="42"/>
      <c r="Y42" s="42"/>
      <c r="Z42" s="42"/>
      <c r="AA42" s="42"/>
      <c r="AB42" s="39"/>
      <c r="AD42" s="38"/>
      <c r="AE42" s="42"/>
      <c r="AF42" s="39"/>
      <c r="AG42" s="38"/>
      <c r="AH42" s="42"/>
      <c r="AI42" s="39"/>
    </row>
    <row r="43" spans="1:40" x14ac:dyDescent="0.2">
      <c r="A43" s="3" t="s">
        <v>23</v>
      </c>
      <c r="B43" s="5" t="s">
        <v>24</v>
      </c>
      <c r="N43" s="8" t="s">
        <v>560</v>
      </c>
      <c r="O43" s="40"/>
      <c r="P43" s="43"/>
      <c r="Q43" s="43"/>
      <c r="R43" s="43"/>
      <c r="S43" s="43"/>
      <c r="T43" s="43"/>
      <c r="U43" s="43"/>
      <c r="V43" s="43"/>
      <c r="W43" s="43"/>
      <c r="X43" s="43"/>
      <c r="Y43" s="43"/>
      <c r="Z43" s="43"/>
      <c r="AA43" s="43"/>
      <c r="AB43" s="41"/>
      <c r="AD43" s="40"/>
      <c r="AE43" s="43"/>
      <c r="AF43" s="41"/>
      <c r="AG43" s="40"/>
      <c r="AH43" s="43"/>
      <c r="AI43" s="41"/>
    </row>
    <row r="44" spans="1:40" x14ac:dyDescent="0.2">
      <c r="A44" s="6" t="s">
        <v>25</v>
      </c>
      <c r="B44" s="7"/>
      <c r="H44" s="10" t="s">
        <v>920</v>
      </c>
      <c r="I44" s="25" t="e">
        <f ca="1">_xll.EVPRO($B$1,$H44,"STYLE")</f>
        <v>#NAME?</v>
      </c>
      <c r="J44" s="25" t="e">
        <f ca="1">_xll.EVPRO($B$1,$H44,"CALC")</f>
        <v>#NAME?</v>
      </c>
      <c r="K44" s="64" t="e">
        <f ca="1">IF(AND(I44&gt;="T4"),"&gt;","")</f>
        <v>#NAME?</v>
      </c>
      <c r="L44" s="24" t="e">
        <f ca="1">_xll.EVPRO($B$1,H44,"JDEID")</f>
        <v>#NAME?</v>
      </c>
      <c r="M44" s="24" t="e">
        <f ca="1">IF(AND(I44="N",J44="N"),_xll.EVPRO($B$1,H44,"PSFTID"),"")</f>
        <v>#NAME?</v>
      </c>
      <c r="N44" s="24" t="e">
        <f ca="1">IF(_xll.EVDES(H44,$B$1)="#NODATA","",_xll.EVDES(H44,$B$1))</f>
        <v>#NAME?</v>
      </c>
      <c r="O44" s="19"/>
      <c r="P44" s="19"/>
      <c r="Q44" s="19"/>
      <c r="R44" s="19"/>
      <c r="S44" s="19"/>
      <c r="T44" s="19"/>
      <c r="U44" s="19"/>
      <c r="V44" s="19"/>
      <c r="W44" s="19">
        <v>155.47</v>
      </c>
      <c r="X44" s="19"/>
      <c r="Y44" s="19"/>
      <c r="Z44" s="19">
        <v>356.54</v>
      </c>
      <c r="AA44" s="19" t="e">
        <f t="shared" ref="AA44:AA50" ca="1" si="12">IF($I44="B1","",SUM(O44:Z44))</f>
        <v>#NAME?</v>
      </c>
      <c r="AB44" s="15" t="e">
        <f t="shared" ref="AB44:AB50" ca="1" si="13">IF(AA44=0,"",IFERROR(AA44/AA$19,""))</f>
        <v>#NAME?</v>
      </c>
      <c r="AD44" s="19"/>
      <c r="AE44" s="15" t="str">
        <f t="shared" ref="AE44:AE50" si="14">IF(AD44=0,"",IFERROR(AD44/AD$19,""))</f>
        <v/>
      </c>
      <c r="AF44" s="47" t="e">
        <f t="shared" ref="AF44:AF50" ca="1" si="15">IF(AND($AA44="",AD44=""),"",$AA44-AD44)</f>
        <v>#NAME?</v>
      </c>
      <c r="AG44" s="19">
        <v>809.08</v>
      </c>
      <c r="AH44" s="15" t="str">
        <f ca="1">IF(AG44=0,"",IFERROR(AG44/AG$19,""))</f>
        <v/>
      </c>
      <c r="AI44" s="47" t="e">
        <f ca="1">IF(AND($AA44="",AG44=""),"",$AA44-AG44)</f>
        <v>#NAME?</v>
      </c>
      <c r="AJ44" s="371">
        <f ca="1">IFERROR(AA44/AA$20,0)</f>
        <v>0</v>
      </c>
      <c r="AK44" s="372">
        <f ca="1">IFERROR(AD44/AD$20,0)</f>
        <v>0</v>
      </c>
      <c r="AL44" s="373">
        <f ca="1">IFERROR(AG44/AG$20,0)</f>
        <v>0</v>
      </c>
      <c r="AM44" s="374">
        <f ca="1">+IFERROR(ROUND(($AB44-AE44)*100,2)&amp;" pts.",0)</f>
        <v>0</v>
      </c>
      <c r="AN44" s="375">
        <f ca="1">+IFERROR(ROUND(($AB44-AH44)*100,2)&amp;" pts.",0)</f>
        <v>0</v>
      </c>
    </row>
    <row r="45" spans="1:40" x14ac:dyDescent="0.2">
      <c r="A45" s="6" t="s">
        <v>26</v>
      </c>
      <c r="B45" s="7"/>
      <c r="H45" s="10" t="s">
        <v>921</v>
      </c>
      <c r="I45" s="25" t="e">
        <f ca="1">_xll.EVPRO($B$1,$H45,"STYLE")</f>
        <v>#NAME?</v>
      </c>
      <c r="J45" s="25" t="e">
        <f ca="1">_xll.EVPRO($B$1,$H45,"CALC")</f>
        <v>#NAME?</v>
      </c>
      <c r="K45" s="64" t="e">
        <f t="shared" ref="K45:K50" ca="1" si="16">IF(AND(I45&gt;="T4"),"&gt;","")</f>
        <v>#NAME?</v>
      </c>
      <c r="L45" s="24" t="e">
        <f ca="1">_xll.EVPRO($B$1,H45,"JDEID")</f>
        <v>#NAME?</v>
      </c>
      <c r="M45" s="24" t="e">
        <f ca="1">IF(AND(I45="N",J45="N"),_xll.EVPRO($B$1,H45,"PSFTID"),"")</f>
        <v>#NAME?</v>
      </c>
      <c r="N45" s="24" t="e">
        <f ca="1">IF(_xll.EVDES(H45,$B$1)="#NODATA","",_xll.EVDES(H45,$B$1))</f>
        <v>#NAME?</v>
      </c>
      <c r="O45" s="19"/>
      <c r="P45" s="19"/>
      <c r="Q45" s="19"/>
      <c r="R45" s="19"/>
      <c r="S45" s="19"/>
      <c r="T45" s="19">
        <v>556.32000000000005</v>
      </c>
      <c r="U45" s="19"/>
      <c r="V45" s="19"/>
      <c r="W45" s="19"/>
      <c r="X45" s="19">
        <v>342</v>
      </c>
      <c r="Y45" s="19">
        <v>1542.39</v>
      </c>
      <c r="Z45" s="19">
        <v>283.14</v>
      </c>
      <c r="AA45" s="19" t="e">
        <f t="shared" ca="1" si="12"/>
        <v>#NAME?</v>
      </c>
      <c r="AB45" s="15" t="e">
        <f t="shared" ca="1" si="13"/>
        <v>#NAME?</v>
      </c>
      <c r="AD45" s="19"/>
      <c r="AE45" s="15" t="str">
        <f t="shared" si="14"/>
        <v/>
      </c>
      <c r="AF45" s="47" t="e">
        <f t="shared" ca="1" si="15"/>
        <v>#NAME?</v>
      </c>
      <c r="AG45" s="19">
        <v>4226.28</v>
      </c>
      <c r="AH45" s="15" t="str">
        <f t="shared" ref="AH45:AH50" ca="1" si="17">IF(AG45=0,"",IFERROR(AG45/AG$19,""))</f>
        <v/>
      </c>
      <c r="AI45" s="47" t="e">
        <f t="shared" ref="AI45:AI50" ca="1" si="18">IF(AND($AA45="",AG45=""),"",$AA45-AG45)</f>
        <v>#NAME?</v>
      </c>
      <c r="AJ45" s="371">
        <f t="shared" ref="AJ45:AJ50" ca="1" si="19">IFERROR(AA45/AA$20,0)</f>
        <v>0</v>
      </c>
      <c r="AK45" s="372">
        <f t="shared" ref="AK45:AK50" ca="1" si="20">IFERROR(AD45/AD$20,0)</f>
        <v>0</v>
      </c>
      <c r="AL45" s="373">
        <f t="shared" ref="AL45:AL50" ca="1" si="21">IFERROR(AG45/AG$20,0)</f>
        <v>0</v>
      </c>
      <c r="AM45" s="374">
        <f t="shared" ref="AM45:AM50" ca="1" si="22">+IFERROR(ROUND(($AB45-AE45)*100,2)&amp;" pts.",0)</f>
        <v>0</v>
      </c>
      <c r="AN45" s="375">
        <f t="shared" ref="AN45:AN50" ca="1" si="23">+IFERROR(ROUND(($AB45-AH45)*100,2)&amp;" pts.",0)</f>
        <v>0</v>
      </c>
    </row>
    <row r="46" spans="1:40" x14ac:dyDescent="0.2">
      <c r="A46" s="6" t="s">
        <v>27</v>
      </c>
      <c r="B46" s="7"/>
      <c r="H46" s="10" t="s">
        <v>922</v>
      </c>
      <c r="I46" s="25" t="e">
        <f ca="1">_xll.EVPRO($B$1,$H46,"STYLE")</f>
        <v>#NAME?</v>
      </c>
      <c r="J46" s="25" t="e">
        <f ca="1">_xll.EVPRO($B$1,$H46,"CALC")</f>
        <v>#NAME?</v>
      </c>
      <c r="K46" s="64" t="e">
        <f t="shared" ca="1" si="16"/>
        <v>#NAME?</v>
      </c>
      <c r="L46" s="24" t="e">
        <f ca="1">_xll.EVPRO($B$1,H46,"JDEID")</f>
        <v>#NAME?</v>
      </c>
      <c r="M46" s="24" t="e">
        <f ca="1">IF(AND(I46="N",J46="N"),_xll.EVPRO($B$1,H46,"PSFTID"),"")</f>
        <v>#NAME?</v>
      </c>
      <c r="N46" s="24" t="e">
        <f ca="1">IF(_xll.EVDES(H46,$B$1)="#NODATA","",_xll.EVDES(H46,$B$1))</f>
        <v>#NAME?</v>
      </c>
      <c r="O46" s="19">
        <v>880</v>
      </c>
      <c r="P46" s="19">
        <v>1800</v>
      </c>
      <c r="Q46" s="19"/>
      <c r="R46" s="19"/>
      <c r="S46" s="19"/>
      <c r="T46" s="19"/>
      <c r="U46" s="19"/>
      <c r="V46" s="19"/>
      <c r="W46" s="19"/>
      <c r="X46" s="19"/>
      <c r="Y46" s="19"/>
      <c r="Z46" s="19"/>
      <c r="AA46" s="19" t="e">
        <f t="shared" ca="1" si="12"/>
        <v>#NAME?</v>
      </c>
      <c r="AB46" s="15" t="e">
        <f t="shared" ca="1" si="13"/>
        <v>#NAME?</v>
      </c>
      <c r="AD46" s="19"/>
      <c r="AE46" s="15" t="str">
        <f t="shared" si="14"/>
        <v/>
      </c>
      <c r="AF46" s="47" t="e">
        <f t="shared" ca="1" si="15"/>
        <v>#NAME?</v>
      </c>
      <c r="AG46" s="19">
        <v>961.6</v>
      </c>
      <c r="AH46" s="15" t="str">
        <f t="shared" ca="1" si="17"/>
        <v/>
      </c>
      <c r="AI46" s="47" t="e">
        <f t="shared" ca="1" si="18"/>
        <v>#NAME?</v>
      </c>
      <c r="AJ46" s="371">
        <f t="shared" ca="1" si="19"/>
        <v>0</v>
      </c>
      <c r="AK46" s="372">
        <f t="shared" ca="1" si="20"/>
        <v>0</v>
      </c>
      <c r="AL46" s="373">
        <f t="shared" ca="1" si="21"/>
        <v>0</v>
      </c>
      <c r="AM46" s="374">
        <f t="shared" ca="1" si="22"/>
        <v>0</v>
      </c>
      <c r="AN46" s="375">
        <f t="shared" ca="1" si="23"/>
        <v>0</v>
      </c>
    </row>
    <row r="47" spans="1:40" x14ac:dyDescent="0.2">
      <c r="A47" s="6" t="s">
        <v>28</v>
      </c>
      <c r="B47" s="7"/>
      <c r="H47" s="10" t="s">
        <v>923</v>
      </c>
      <c r="I47" s="25" t="e">
        <f ca="1">_xll.EVPRO($B$1,$H47,"STYLE")</f>
        <v>#NAME?</v>
      </c>
      <c r="J47" s="25" t="e">
        <f ca="1">_xll.EVPRO($B$1,$H47,"CALC")</f>
        <v>#NAME?</v>
      </c>
      <c r="K47" s="64" t="e">
        <f t="shared" ca="1" si="16"/>
        <v>#NAME?</v>
      </c>
      <c r="L47" s="24" t="e">
        <f ca="1">_xll.EVPRO($B$1,H47,"JDEID")</f>
        <v>#NAME?</v>
      </c>
      <c r="M47" s="24" t="e">
        <f ca="1">IF(AND(I47="N",J47="N"),_xll.EVPRO($B$1,H47,"PSFTID"),"")</f>
        <v>#NAME?</v>
      </c>
      <c r="N47" s="24" t="e">
        <f ca="1">IF(_xll.EVDES(H47,$B$1)="#NODATA","",_xll.EVDES(H47,$B$1))</f>
        <v>#NAME?</v>
      </c>
      <c r="O47" s="19">
        <v>2786.09</v>
      </c>
      <c r="P47" s="19">
        <v>3453.97</v>
      </c>
      <c r="Q47" s="19">
        <v>816.44</v>
      </c>
      <c r="R47" s="19">
        <v>2587.17</v>
      </c>
      <c r="S47" s="19">
        <v>3292.95</v>
      </c>
      <c r="T47" s="19">
        <v>1927.89</v>
      </c>
      <c r="U47" s="19">
        <v>3145.2</v>
      </c>
      <c r="V47" s="19">
        <v>6071.4</v>
      </c>
      <c r="W47" s="19">
        <v>2981.91</v>
      </c>
      <c r="X47" s="19">
        <v>1093.48</v>
      </c>
      <c r="Y47" s="19"/>
      <c r="Z47" s="19">
        <v>8870.02</v>
      </c>
      <c r="AA47" s="19" t="e">
        <f t="shared" ca="1" si="12"/>
        <v>#NAME?</v>
      </c>
      <c r="AB47" s="15" t="e">
        <f t="shared" ca="1" si="13"/>
        <v>#NAME?</v>
      </c>
      <c r="AD47" s="19">
        <v>37152.452351223597</v>
      </c>
      <c r="AE47" s="15" t="str">
        <f t="shared" ca="1" si="14"/>
        <v/>
      </c>
      <c r="AF47" s="47" t="e">
        <f t="shared" ca="1" si="15"/>
        <v>#NAME?</v>
      </c>
      <c r="AG47" s="19">
        <v>29234.12</v>
      </c>
      <c r="AH47" s="15" t="str">
        <f t="shared" ca="1" si="17"/>
        <v/>
      </c>
      <c r="AI47" s="47" t="e">
        <f t="shared" ca="1" si="18"/>
        <v>#NAME?</v>
      </c>
      <c r="AJ47" s="371">
        <f t="shared" ca="1" si="19"/>
        <v>0</v>
      </c>
      <c r="AK47" s="372">
        <f t="shared" ca="1" si="20"/>
        <v>0</v>
      </c>
      <c r="AL47" s="373">
        <f t="shared" ca="1" si="21"/>
        <v>0</v>
      </c>
      <c r="AM47" s="374">
        <f t="shared" ca="1" si="22"/>
        <v>0</v>
      </c>
      <c r="AN47" s="375">
        <f t="shared" ca="1" si="23"/>
        <v>0</v>
      </c>
    </row>
    <row r="48" spans="1:40" x14ac:dyDescent="0.2">
      <c r="A48" s="6" t="s">
        <v>29</v>
      </c>
      <c r="B48" s="7"/>
      <c r="H48" s="10" t="s">
        <v>924</v>
      </c>
      <c r="I48" s="25" t="e">
        <f ca="1">_xll.EVPRO($B$1,$H48,"STYLE")</f>
        <v>#NAME?</v>
      </c>
      <c r="J48" s="25" t="e">
        <f ca="1">_xll.EVPRO($B$1,$H48,"CALC")</f>
        <v>#NAME?</v>
      </c>
      <c r="K48" s="64" t="e">
        <f t="shared" ca="1" si="16"/>
        <v>#NAME?</v>
      </c>
      <c r="L48" s="24" t="e">
        <f ca="1">_xll.EVPRO($B$1,H48,"JDEID")</f>
        <v>#NAME?</v>
      </c>
      <c r="M48" s="24" t="e">
        <f ca="1">IF(AND(I48="N",J48="N"),_xll.EVPRO($B$1,H48,"PSFTID"),"")</f>
        <v>#NAME?</v>
      </c>
      <c r="N48" s="24" t="e">
        <f ca="1">IF(_xll.EVDES(H48,$B$1)="#NODATA","",_xll.EVDES(H48,$B$1))</f>
        <v>#NAME?</v>
      </c>
      <c r="O48" s="19">
        <v>13356.81</v>
      </c>
      <c r="P48" s="19">
        <v>983.23</v>
      </c>
      <c r="Q48" s="19">
        <v>613.99</v>
      </c>
      <c r="R48" s="19">
        <v>117.44</v>
      </c>
      <c r="S48" s="19">
        <v>6753.87</v>
      </c>
      <c r="T48" s="19"/>
      <c r="U48" s="19">
        <v>7040.35</v>
      </c>
      <c r="V48" s="19">
        <v>426</v>
      </c>
      <c r="W48" s="19">
        <v>7696.49</v>
      </c>
      <c r="X48" s="19">
        <v>114</v>
      </c>
      <c r="Y48" s="19">
        <v>7112.57</v>
      </c>
      <c r="Z48" s="19">
        <v>6963.52</v>
      </c>
      <c r="AA48" s="19" t="e">
        <f t="shared" ca="1" si="12"/>
        <v>#NAME?</v>
      </c>
      <c r="AB48" s="15" t="e">
        <f t="shared" ca="1" si="13"/>
        <v>#NAME?</v>
      </c>
      <c r="AD48" s="19">
        <v>44068.410350762599</v>
      </c>
      <c r="AE48" s="15" t="str">
        <f t="shared" ca="1" si="14"/>
        <v/>
      </c>
      <c r="AF48" s="47" t="e">
        <f t="shared" ca="1" si="15"/>
        <v>#NAME?</v>
      </c>
      <c r="AG48" s="19">
        <v>51719.96</v>
      </c>
      <c r="AH48" s="15" t="str">
        <f t="shared" ca="1" si="17"/>
        <v/>
      </c>
      <c r="AI48" s="47" t="e">
        <f t="shared" ca="1" si="18"/>
        <v>#NAME?</v>
      </c>
      <c r="AJ48" s="371">
        <f t="shared" ca="1" si="19"/>
        <v>0</v>
      </c>
      <c r="AK48" s="372">
        <f t="shared" ca="1" si="20"/>
        <v>0</v>
      </c>
      <c r="AL48" s="373">
        <f t="shared" ca="1" si="21"/>
        <v>0</v>
      </c>
      <c r="AM48" s="374">
        <f t="shared" ca="1" si="22"/>
        <v>0</v>
      </c>
      <c r="AN48" s="375">
        <f t="shared" ca="1" si="23"/>
        <v>0</v>
      </c>
    </row>
    <row r="49" spans="1:40" x14ac:dyDescent="0.2">
      <c r="A49" s="6" t="s">
        <v>30</v>
      </c>
      <c r="B49" s="7" t="s">
        <v>78</v>
      </c>
      <c r="H49" s="10" t="s">
        <v>925</v>
      </c>
      <c r="I49" s="25" t="e">
        <f ca="1">_xll.EVPRO($B$1,$H49,"STYLE")</f>
        <v>#NAME?</v>
      </c>
      <c r="J49" s="25" t="e">
        <f ca="1">_xll.EVPRO($B$1,$H49,"CALC")</f>
        <v>#NAME?</v>
      </c>
      <c r="K49" s="64" t="e">
        <f t="shared" ca="1" si="16"/>
        <v>#NAME?</v>
      </c>
      <c r="L49" s="24" t="e">
        <f ca="1">_xll.EVPRO($B$1,H49,"JDEID")</f>
        <v>#NAME?</v>
      </c>
      <c r="M49" s="24" t="e">
        <f ca="1">IF(AND(I49="N",J49="N"),_xll.EVPRO($B$1,H49,"PSFTID"),"")</f>
        <v>#NAME?</v>
      </c>
      <c r="N49" s="24" t="e">
        <f ca="1">IF(_xll.EVDES(H49,$B$1)="#NODATA","",_xll.EVDES(H49,$B$1))</f>
        <v>#NAME?</v>
      </c>
      <c r="O49" s="28">
        <v>880.85</v>
      </c>
      <c r="P49" s="28">
        <v>8101.51</v>
      </c>
      <c r="Q49" s="28">
        <v>7650.67</v>
      </c>
      <c r="R49" s="28">
        <v>8915.01</v>
      </c>
      <c r="S49" s="28">
        <v>11026.84</v>
      </c>
      <c r="T49" s="28">
        <v>8110.61</v>
      </c>
      <c r="U49" s="28">
        <v>11678.84</v>
      </c>
      <c r="V49" s="28">
        <v>8084.55</v>
      </c>
      <c r="W49" s="28">
        <v>9410.52</v>
      </c>
      <c r="X49" s="28">
        <v>9051.85</v>
      </c>
      <c r="Y49" s="28"/>
      <c r="Z49" s="28">
        <v>-19030.98</v>
      </c>
      <c r="AA49" s="28" t="e">
        <f t="shared" ca="1" si="12"/>
        <v>#NAME?</v>
      </c>
      <c r="AB49" s="29" t="e">
        <f t="shared" ca="1" si="13"/>
        <v>#NAME?</v>
      </c>
      <c r="AD49" s="28">
        <v>84559.806440826898</v>
      </c>
      <c r="AE49" s="29" t="str">
        <f t="shared" ca="1" si="14"/>
        <v/>
      </c>
      <c r="AF49" s="48" t="e">
        <f t="shared" ca="1" si="15"/>
        <v>#NAME?</v>
      </c>
      <c r="AG49" s="28">
        <v>108891.96</v>
      </c>
      <c r="AH49" s="29" t="str">
        <f t="shared" ca="1" si="17"/>
        <v/>
      </c>
      <c r="AI49" s="48" t="e">
        <f t="shared" ca="1" si="18"/>
        <v>#NAME?</v>
      </c>
      <c r="AJ49" s="381">
        <f t="shared" ca="1" si="19"/>
        <v>0</v>
      </c>
      <c r="AK49" s="382">
        <f t="shared" ca="1" si="20"/>
        <v>0</v>
      </c>
      <c r="AL49" s="383">
        <f t="shared" ca="1" si="21"/>
        <v>0</v>
      </c>
      <c r="AM49" s="384">
        <f t="shared" ca="1" si="22"/>
        <v>0</v>
      </c>
      <c r="AN49" s="385">
        <f t="shared" ca="1" si="23"/>
        <v>0</v>
      </c>
    </row>
    <row r="50" spans="1:40" x14ac:dyDescent="0.2">
      <c r="A50" s="6" t="s">
        <v>31</v>
      </c>
      <c r="B50" s="7" t="s">
        <v>78</v>
      </c>
      <c r="H50" s="10" t="s">
        <v>853</v>
      </c>
      <c r="I50" s="447" t="e">
        <f ca="1">_xll.EVPRO($B$1,$H50,"STYLE")</f>
        <v>#NAME?</v>
      </c>
      <c r="J50" s="447" t="e">
        <f ca="1">_xll.EVPRO($B$1,$H50,"CALC")</f>
        <v>#NAME?</v>
      </c>
      <c r="K50" s="448" t="e">
        <f t="shared" ca="1" si="16"/>
        <v>#NAME?</v>
      </c>
      <c r="L50" s="151" t="e">
        <f ca="1">_xll.EVPRO($B$1,H50,"JDEID")</f>
        <v>#NAME?</v>
      </c>
      <c r="M50" s="151" t="e">
        <f ca="1">IF(AND(I50="N",J50="N"),_xll.EVPRO($B$1,H50,"PSFTID"),"")</f>
        <v>#NAME?</v>
      </c>
      <c r="N50" s="151" t="e">
        <f ca="1">IF(_xll.EVDES(H50,$B$1)="#NODATA","",_xll.EVDES(H50,$B$1))</f>
        <v>#NAME?</v>
      </c>
      <c r="O50" s="30">
        <v>17903.75</v>
      </c>
      <c r="P50" s="30">
        <v>14338.71</v>
      </c>
      <c r="Q50" s="30">
        <v>9081.1</v>
      </c>
      <c r="R50" s="30">
        <v>11619.62</v>
      </c>
      <c r="S50" s="30">
        <v>21073.66</v>
      </c>
      <c r="T50" s="30">
        <v>10594.82</v>
      </c>
      <c r="U50" s="30">
        <v>21864.39</v>
      </c>
      <c r="V50" s="30">
        <v>14581.95</v>
      </c>
      <c r="W50" s="30">
        <v>20244.39</v>
      </c>
      <c r="X50" s="30">
        <v>10601.33</v>
      </c>
      <c r="Y50" s="30">
        <v>8654.9599999999991</v>
      </c>
      <c r="Z50" s="30">
        <v>-2557.7600000000002</v>
      </c>
      <c r="AA50" s="30" t="e">
        <f t="shared" ca="1" si="12"/>
        <v>#NAME?</v>
      </c>
      <c r="AB50" s="31" t="e">
        <f t="shared" ca="1" si="13"/>
        <v>#NAME?</v>
      </c>
      <c r="AC50" s="32"/>
      <c r="AD50" s="30">
        <v>165780.66914281301</v>
      </c>
      <c r="AE50" s="31" t="str">
        <f t="shared" ca="1" si="14"/>
        <v/>
      </c>
      <c r="AF50" s="49" t="e">
        <f t="shared" ca="1" si="15"/>
        <v>#NAME?</v>
      </c>
      <c r="AG50" s="30">
        <v>195843</v>
      </c>
      <c r="AH50" s="31" t="str">
        <f t="shared" ca="1" si="17"/>
        <v/>
      </c>
      <c r="AI50" s="49" t="e">
        <f t="shared" ca="1" si="18"/>
        <v>#NAME?</v>
      </c>
      <c r="AJ50" s="336">
        <f t="shared" ca="1" si="19"/>
        <v>0</v>
      </c>
      <c r="AK50" s="337">
        <f t="shared" ca="1" si="20"/>
        <v>0</v>
      </c>
      <c r="AL50" s="339">
        <f t="shared" ca="1" si="21"/>
        <v>0</v>
      </c>
      <c r="AM50" s="386">
        <f t="shared" ca="1" si="22"/>
        <v>0</v>
      </c>
      <c r="AN50" s="407">
        <f t="shared" ca="1" si="23"/>
        <v>0</v>
      </c>
    </row>
    <row r="51" spans="1:40" x14ac:dyDescent="0.2">
      <c r="A51" s="6" t="s">
        <v>32</v>
      </c>
      <c r="B51" s="7"/>
      <c r="I51" s="1"/>
      <c r="J51" s="1"/>
      <c r="L51" s="1"/>
      <c r="M51" s="1"/>
      <c r="N51" s="24"/>
      <c r="O51" s="38"/>
      <c r="P51" s="42"/>
      <c r="Q51" s="42"/>
      <c r="R51" s="42"/>
      <c r="S51" s="42"/>
      <c r="T51" s="42"/>
      <c r="U51" s="42"/>
      <c r="V51" s="42"/>
      <c r="W51" s="42"/>
      <c r="X51" s="42"/>
      <c r="Y51" s="42"/>
      <c r="Z51" s="42"/>
      <c r="AA51" s="42"/>
      <c r="AB51" s="39"/>
      <c r="AD51" s="38"/>
      <c r="AE51" s="42"/>
      <c r="AF51" s="39"/>
      <c r="AG51" s="38"/>
      <c r="AH51" s="42"/>
      <c r="AI51" s="39"/>
    </row>
    <row r="52" spans="1:40" x14ac:dyDescent="0.2">
      <c r="A52" s="6" t="s">
        <v>33</v>
      </c>
      <c r="B52" s="7"/>
      <c r="N52" s="8" t="s">
        <v>562</v>
      </c>
      <c r="O52" s="40"/>
      <c r="P52" s="43"/>
      <c r="Q52" s="43"/>
      <c r="R52" s="43"/>
      <c r="S52" s="43"/>
      <c r="T52" s="43"/>
      <c r="U52" s="43"/>
      <c r="V52" s="43"/>
      <c r="W52" s="43"/>
      <c r="X52" s="43"/>
      <c r="Y52" s="43"/>
      <c r="Z52" s="43"/>
      <c r="AA52" s="43"/>
      <c r="AB52" s="41"/>
      <c r="AD52" s="40"/>
      <c r="AE52" s="43"/>
      <c r="AF52" s="41"/>
      <c r="AG52" s="40"/>
      <c r="AH52" s="43"/>
      <c r="AI52" s="41"/>
    </row>
    <row r="53" spans="1:40" x14ac:dyDescent="0.2">
      <c r="A53" s="6" t="s">
        <v>34</v>
      </c>
      <c r="B53" s="7"/>
      <c r="H53" s="10" t="s">
        <v>911</v>
      </c>
      <c r="I53" s="25" t="e">
        <f ca="1">_xll.EVPRO($B$1,$H53,"STYLE")</f>
        <v>#NAME?</v>
      </c>
      <c r="J53" s="25" t="e">
        <f ca="1">_xll.EVPRO($B$1,$H53,"CALC")</f>
        <v>#NAME?</v>
      </c>
      <c r="K53" s="64" t="e">
        <f ca="1">IF(AND(I53&gt;="T4"),"&gt;","")</f>
        <v>#NAME?</v>
      </c>
      <c r="L53" s="24" t="e">
        <f ca="1">_xll.EVPRO($B$1,H53,"JDEID")</f>
        <v>#NAME?</v>
      </c>
      <c r="M53" s="24" t="e">
        <f ca="1">IF(AND(I53="N",J53="N"),_xll.EVPRO($B$1,H53,"PSFTID"),"")</f>
        <v>#NAME?</v>
      </c>
      <c r="N53" s="24" t="e">
        <f ca="1">IF(_xll.EVDES(H53,$B$1)="#NODATA","",_xll.EVDES(H53,$B$1))</f>
        <v>#NAME?</v>
      </c>
      <c r="O53" s="19"/>
      <c r="P53" s="19"/>
      <c r="Q53" s="19"/>
      <c r="R53" s="19"/>
      <c r="S53" s="19"/>
      <c r="T53" s="19"/>
      <c r="U53" s="19"/>
      <c r="V53" s="19"/>
      <c r="W53" s="19"/>
      <c r="X53" s="19"/>
      <c r="Y53" s="19"/>
      <c r="Z53" s="19"/>
      <c r="AA53" s="19" t="e">
        <f t="shared" ref="AA53:AA62" ca="1" si="24">IF($I53="B1","",SUM(O53:Z53))</f>
        <v>#NAME?</v>
      </c>
      <c r="AB53" s="15" t="e">
        <f t="shared" ref="AB53:AB62" ca="1" si="25">IF(AA53=0,"",IFERROR(AA53/AA$19,""))</f>
        <v>#NAME?</v>
      </c>
      <c r="AD53" s="19"/>
      <c r="AE53" s="15" t="str">
        <f t="shared" ref="AE53:AE62" si="26">IF(AD53=0,"",IFERROR(AD53/AD$19,""))</f>
        <v/>
      </c>
      <c r="AF53" s="47" t="e">
        <f t="shared" ref="AF53:AF62" ca="1" si="27">IF(AND($AA53="",AD53=""),"",$AA53-AD53)</f>
        <v>#NAME?</v>
      </c>
      <c r="AG53" s="19">
        <v>20.46</v>
      </c>
      <c r="AH53" s="15" t="str">
        <f ca="1">IF(AG53=0,"",IFERROR(AG53/AG$19,""))</f>
        <v/>
      </c>
      <c r="AI53" s="47" t="e">
        <f ca="1">IF(AND($AA53="",AG53=""),"",$AA53-AG53)</f>
        <v>#NAME?</v>
      </c>
      <c r="AJ53" s="371">
        <f ca="1">IFERROR(AA53/AA$20,0)</f>
        <v>0</v>
      </c>
      <c r="AK53" s="372">
        <f ca="1">IFERROR(AD53/AD$20,0)</f>
        <v>0</v>
      </c>
      <c r="AL53" s="373">
        <f ca="1">IFERROR(AG53/AG$20,0)</f>
        <v>0</v>
      </c>
      <c r="AM53" s="374">
        <f ca="1">+IFERROR(ROUND(($AB53-AE53)*100,2)&amp;" pts.",0)</f>
        <v>0</v>
      </c>
      <c r="AN53" s="375">
        <f ca="1">+IFERROR(ROUND(($AB53-AH53)*100,2)&amp;" pts.",0)</f>
        <v>0</v>
      </c>
    </row>
    <row r="54" spans="1:40" x14ac:dyDescent="0.2">
      <c r="A54" s="6" t="s">
        <v>35</v>
      </c>
      <c r="B54" s="7"/>
      <c r="H54" s="10" t="s">
        <v>912</v>
      </c>
      <c r="I54" s="25" t="e">
        <f ca="1">_xll.EVPRO($B$1,$H54,"STYLE")</f>
        <v>#NAME?</v>
      </c>
      <c r="J54" s="25" t="e">
        <f ca="1">_xll.EVPRO($B$1,$H54,"CALC")</f>
        <v>#NAME?</v>
      </c>
      <c r="K54" s="64" t="e">
        <f t="shared" ref="K54:K62" ca="1" si="28">IF(AND(I54&gt;="T4"),"&gt;","")</f>
        <v>#NAME?</v>
      </c>
      <c r="L54" s="24" t="e">
        <f ca="1">_xll.EVPRO($B$1,H54,"JDEID")</f>
        <v>#NAME?</v>
      </c>
      <c r="M54" s="24" t="e">
        <f ca="1">IF(AND(I54="N",J54="N"),_xll.EVPRO($B$1,H54,"PSFTID"),"")</f>
        <v>#NAME?</v>
      </c>
      <c r="N54" s="24" t="e">
        <f ca="1">IF(_xll.EVDES(H54,$B$1)="#NODATA","",_xll.EVDES(H54,$B$1))</f>
        <v>#NAME?</v>
      </c>
      <c r="O54" s="19">
        <v>6650.21</v>
      </c>
      <c r="P54" s="19">
        <v>6529.34</v>
      </c>
      <c r="Q54" s="19">
        <v>2808.59</v>
      </c>
      <c r="R54" s="19">
        <v>3112.01</v>
      </c>
      <c r="S54" s="19">
        <v>2684.89</v>
      </c>
      <c r="T54" s="19">
        <v>2439.02</v>
      </c>
      <c r="U54" s="19">
        <v>2552.64</v>
      </c>
      <c r="V54" s="19">
        <v>2608.59</v>
      </c>
      <c r="W54" s="19">
        <v>2109.87</v>
      </c>
      <c r="X54" s="19">
        <v>2328.6799999999998</v>
      </c>
      <c r="Y54" s="19">
        <v>2500.86</v>
      </c>
      <c r="Z54" s="19">
        <v>2719.74</v>
      </c>
      <c r="AA54" s="19" t="e">
        <f t="shared" ca="1" si="24"/>
        <v>#NAME?</v>
      </c>
      <c r="AB54" s="15" t="e">
        <f t="shared" ca="1" si="25"/>
        <v>#NAME?</v>
      </c>
      <c r="AD54" s="19">
        <v>17061.6585594401</v>
      </c>
      <c r="AE54" s="15" t="str">
        <f t="shared" ca="1" si="26"/>
        <v/>
      </c>
      <c r="AF54" s="47" t="e">
        <f t="shared" ca="1" si="27"/>
        <v>#NAME?</v>
      </c>
      <c r="AG54" s="19">
        <v>70290.59</v>
      </c>
      <c r="AH54" s="15" t="str">
        <f t="shared" ref="AH54:AH62" ca="1" si="29">IF(AG54=0,"",IFERROR(AG54/AG$19,""))</f>
        <v/>
      </c>
      <c r="AI54" s="47" t="e">
        <f t="shared" ref="AI54:AI62" ca="1" si="30">IF(AND($AA54="",AG54=""),"",$AA54-AG54)</f>
        <v>#NAME?</v>
      </c>
      <c r="AJ54" s="371">
        <f t="shared" ref="AJ54:AJ62" ca="1" si="31">IFERROR(AA54/AA$20,0)</f>
        <v>0</v>
      </c>
      <c r="AK54" s="372">
        <f t="shared" ref="AK54:AK62" ca="1" si="32">IFERROR(AD54/AD$20,0)</f>
        <v>0</v>
      </c>
      <c r="AL54" s="373">
        <f t="shared" ref="AL54:AL62" ca="1" si="33">IFERROR(AG54/AG$20,0)</f>
        <v>0</v>
      </c>
      <c r="AM54" s="374">
        <f t="shared" ref="AM54:AM62" ca="1" si="34">+IFERROR(ROUND(($AB54-AE54)*100,2)&amp;" pts.",0)</f>
        <v>0</v>
      </c>
      <c r="AN54" s="375">
        <f t="shared" ref="AN54:AN62" ca="1" si="35">+IFERROR(ROUND(($AB54-AH54)*100,2)&amp;" pts.",0)</f>
        <v>0</v>
      </c>
    </row>
    <row r="55" spans="1:40" x14ac:dyDescent="0.2">
      <c r="A55" s="6" t="s">
        <v>36</v>
      </c>
      <c r="B55" s="7"/>
      <c r="H55" s="10" t="s">
        <v>913</v>
      </c>
      <c r="I55" s="25" t="e">
        <f ca="1">_xll.EVPRO($B$1,$H55,"STYLE")</f>
        <v>#NAME?</v>
      </c>
      <c r="J55" s="25" t="e">
        <f ca="1">_xll.EVPRO($B$1,$H55,"CALC")</f>
        <v>#NAME?</v>
      </c>
      <c r="K55" s="64" t="e">
        <f t="shared" ca="1" si="28"/>
        <v>#NAME?</v>
      </c>
      <c r="L55" s="24" t="e">
        <f ca="1">_xll.EVPRO($B$1,H55,"JDEID")</f>
        <v>#NAME?</v>
      </c>
      <c r="M55" s="24" t="e">
        <f ca="1">IF(AND(I55="N",J55="N"),_xll.EVPRO($B$1,H55,"PSFTID"),"")</f>
        <v>#NAME?</v>
      </c>
      <c r="N55" s="24" t="e">
        <f ca="1">IF(_xll.EVDES(H55,$B$1)="#NODATA","",_xll.EVDES(H55,$B$1))</f>
        <v>#NAME?</v>
      </c>
      <c r="O55" s="19">
        <v>625.23</v>
      </c>
      <c r="P55" s="19">
        <v>278.83999999999997</v>
      </c>
      <c r="Q55" s="19">
        <v>300.57</v>
      </c>
      <c r="R55" s="19">
        <v>310.64</v>
      </c>
      <c r="S55" s="19">
        <v>402.01</v>
      </c>
      <c r="T55" s="19">
        <v>194.23</v>
      </c>
      <c r="U55" s="19">
        <v>236.23</v>
      </c>
      <c r="V55" s="19">
        <v>194.17</v>
      </c>
      <c r="W55" s="19">
        <v>273.68</v>
      </c>
      <c r="X55" s="19">
        <v>241.39</v>
      </c>
      <c r="Y55" s="19">
        <v>239.3</v>
      </c>
      <c r="Z55" s="19">
        <v>264.45</v>
      </c>
      <c r="AA55" s="19" t="e">
        <f t="shared" ca="1" si="24"/>
        <v>#NAME?</v>
      </c>
      <c r="AB55" s="15" t="e">
        <f t="shared" ca="1" si="25"/>
        <v>#NAME?</v>
      </c>
      <c r="AD55" s="19">
        <v>7512</v>
      </c>
      <c r="AE55" s="15" t="str">
        <f t="shared" ca="1" si="26"/>
        <v/>
      </c>
      <c r="AF55" s="47" t="e">
        <f t="shared" ca="1" si="27"/>
        <v>#NAME?</v>
      </c>
      <c r="AG55" s="19">
        <v>7418.59</v>
      </c>
      <c r="AH55" s="15" t="str">
        <f t="shared" ca="1" si="29"/>
        <v/>
      </c>
      <c r="AI55" s="47" t="e">
        <f t="shared" ca="1" si="30"/>
        <v>#NAME?</v>
      </c>
      <c r="AJ55" s="371">
        <f t="shared" ca="1" si="31"/>
        <v>0</v>
      </c>
      <c r="AK55" s="372">
        <f t="shared" ca="1" si="32"/>
        <v>0</v>
      </c>
      <c r="AL55" s="373">
        <f t="shared" ca="1" si="33"/>
        <v>0</v>
      </c>
      <c r="AM55" s="374">
        <f t="shared" ca="1" si="34"/>
        <v>0</v>
      </c>
      <c r="AN55" s="375">
        <f t="shared" ca="1" si="35"/>
        <v>0</v>
      </c>
    </row>
    <row r="56" spans="1:40" x14ac:dyDescent="0.2">
      <c r="A56" s="6" t="s">
        <v>37</v>
      </c>
      <c r="B56" s="7"/>
      <c r="H56" s="10" t="s">
        <v>914</v>
      </c>
      <c r="I56" s="25" t="e">
        <f ca="1">_xll.EVPRO($B$1,$H56,"STYLE")</f>
        <v>#NAME?</v>
      </c>
      <c r="J56" s="25" t="e">
        <f ca="1">_xll.EVPRO($B$1,$H56,"CALC")</f>
        <v>#NAME?</v>
      </c>
      <c r="K56" s="64" t="e">
        <f t="shared" ca="1" si="28"/>
        <v>#NAME?</v>
      </c>
      <c r="L56" s="24" t="e">
        <f ca="1">_xll.EVPRO($B$1,H56,"JDEID")</f>
        <v>#NAME?</v>
      </c>
      <c r="M56" s="24" t="e">
        <f ca="1">IF(AND(I56="N",J56="N"),_xll.EVPRO($B$1,H56,"PSFTID"),"")</f>
        <v>#NAME?</v>
      </c>
      <c r="N56" s="24" t="e">
        <f ca="1">IF(_xll.EVDES(H56,$B$1)="#NODATA","",_xll.EVDES(H56,$B$1))</f>
        <v>#NAME?</v>
      </c>
      <c r="O56" s="19">
        <v>698.51</v>
      </c>
      <c r="P56" s="19">
        <v>339.53</v>
      </c>
      <c r="Q56" s="19">
        <v>368.02</v>
      </c>
      <c r="R56" s="19">
        <v>376.53</v>
      </c>
      <c r="S56" s="19">
        <v>369.5</v>
      </c>
      <c r="T56" s="19">
        <v>311.83999999999997</v>
      </c>
      <c r="U56" s="19">
        <v>294.22000000000003</v>
      </c>
      <c r="V56" s="19">
        <v>255.05</v>
      </c>
      <c r="W56" s="19">
        <v>260.44</v>
      </c>
      <c r="X56" s="19">
        <v>227.17</v>
      </c>
      <c r="Y56" s="19">
        <v>212.11</v>
      </c>
      <c r="Z56" s="19">
        <v>158.06</v>
      </c>
      <c r="AA56" s="19" t="e">
        <f t="shared" ca="1" si="24"/>
        <v>#NAME?</v>
      </c>
      <c r="AB56" s="15" t="e">
        <f t="shared" ca="1" si="25"/>
        <v>#NAME?</v>
      </c>
      <c r="AD56" s="19"/>
      <c r="AE56" s="15" t="str">
        <f t="shared" si="26"/>
        <v/>
      </c>
      <c r="AF56" s="47" t="e">
        <f t="shared" ca="1" si="27"/>
        <v>#NAME?</v>
      </c>
      <c r="AG56" s="19">
        <v>7575.16</v>
      </c>
      <c r="AH56" s="15" t="str">
        <f t="shared" ca="1" si="29"/>
        <v/>
      </c>
      <c r="AI56" s="47" t="e">
        <f t="shared" ca="1" si="30"/>
        <v>#NAME?</v>
      </c>
      <c r="AJ56" s="371">
        <f t="shared" ca="1" si="31"/>
        <v>0</v>
      </c>
      <c r="AK56" s="372">
        <f t="shared" ca="1" si="32"/>
        <v>0</v>
      </c>
      <c r="AL56" s="373">
        <f t="shared" ca="1" si="33"/>
        <v>0</v>
      </c>
      <c r="AM56" s="374">
        <f t="shared" ca="1" si="34"/>
        <v>0</v>
      </c>
      <c r="AN56" s="375">
        <f t="shared" ca="1" si="35"/>
        <v>0</v>
      </c>
    </row>
    <row r="57" spans="1:40" x14ac:dyDescent="0.2">
      <c r="A57" s="6" t="s">
        <v>38</v>
      </c>
      <c r="B57" s="7"/>
      <c r="H57" s="10" t="s">
        <v>915</v>
      </c>
      <c r="I57" s="25" t="e">
        <f ca="1">_xll.EVPRO($B$1,$H57,"STYLE")</f>
        <v>#NAME?</v>
      </c>
      <c r="J57" s="25" t="e">
        <f ca="1">_xll.EVPRO($B$1,$H57,"CALC")</f>
        <v>#NAME?</v>
      </c>
      <c r="K57" s="64" t="e">
        <f t="shared" ca="1" si="28"/>
        <v>#NAME?</v>
      </c>
      <c r="L57" s="24" t="e">
        <f ca="1">_xll.EVPRO($B$1,H57,"JDEID")</f>
        <v>#NAME?</v>
      </c>
      <c r="M57" s="24" t="e">
        <f ca="1">IF(AND(I57="N",J57="N"),_xll.EVPRO($B$1,H57,"PSFTID"),"")</f>
        <v>#NAME?</v>
      </c>
      <c r="N57" s="24" t="e">
        <f ca="1">IF(_xll.EVDES(H57,$B$1)="#NODATA","",_xll.EVDES(H57,$B$1))</f>
        <v>#NAME?</v>
      </c>
      <c r="O57" s="19">
        <v>280.77999999999997</v>
      </c>
      <c r="P57" s="19">
        <v>187.15</v>
      </c>
      <c r="Q57" s="19">
        <v>188.53</v>
      </c>
      <c r="R57" s="19">
        <v>188.52</v>
      </c>
      <c r="S57" s="19">
        <v>187.27</v>
      </c>
      <c r="T57" s="19">
        <v>140.5</v>
      </c>
      <c r="U57" s="19">
        <v>140.5</v>
      </c>
      <c r="V57" s="19">
        <v>138.74</v>
      </c>
      <c r="W57" s="19">
        <v>158.84</v>
      </c>
      <c r="X57" s="19">
        <v>176.88</v>
      </c>
      <c r="Y57" s="19">
        <v>176.88</v>
      </c>
      <c r="Z57" s="19">
        <v>180.3</v>
      </c>
      <c r="AA57" s="19" t="e">
        <f t="shared" ca="1" si="24"/>
        <v>#NAME?</v>
      </c>
      <c r="AB57" s="15" t="e">
        <f t="shared" ca="1" si="25"/>
        <v>#NAME?</v>
      </c>
      <c r="AD57" s="19">
        <v>889.56</v>
      </c>
      <c r="AE57" s="15" t="str">
        <f t="shared" ca="1" si="26"/>
        <v/>
      </c>
      <c r="AF57" s="47" t="e">
        <f t="shared" ca="1" si="27"/>
        <v>#NAME?</v>
      </c>
      <c r="AG57" s="19">
        <v>3674.62</v>
      </c>
      <c r="AH57" s="15" t="str">
        <f t="shared" ca="1" si="29"/>
        <v/>
      </c>
      <c r="AI57" s="47" t="e">
        <f t="shared" ca="1" si="30"/>
        <v>#NAME?</v>
      </c>
      <c r="AJ57" s="371">
        <f t="shared" ca="1" si="31"/>
        <v>0</v>
      </c>
      <c r="AK57" s="372">
        <f t="shared" ca="1" si="32"/>
        <v>0</v>
      </c>
      <c r="AL57" s="373">
        <f t="shared" ca="1" si="33"/>
        <v>0</v>
      </c>
      <c r="AM57" s="374">
        <f t="shared" ca="1" si="34"/>
        <v>0</v>
      </c>
      <c r="AN57" s="375">
        <f t="shared" ca="1" si="35"/>
        <v>0</v>
      </c>
    </row>
    <row r="58" spans="1:40" x14ac:dyDescent="0.2">
      <c r="A58" s="6" t="s">
        <v>39</v>
      </c>
      <c r="B58" s="7"/>
      <c r="H58" s="10" t="s">
        <v>916</v>
      </c>
      <c r="I58" s="25" t="e">
        <f ca="1">_xll.EVPRO($B$1,$H58,"STYLE")</f>
        <v>#NAME?</v>
      </c>
      <c r="J58" s="25" t="e">
        <f ca="1">_xll.EVPRO($B$1,$H58,"CALC")</f>
        <v>#NAME?</v>
      </c>
      <c r="K58" s="64" t="e">
        <f t="shared" ca="1" si="28"/>
        <v>#NAME?</v>
      </c>
      <c r="L58" s="24" t="e">
        <f ca="1">_xll.EVPRO($B$1,H58,"JDEID")</f>
        <v>#NAME?</v>
      </c>
      <c r="M58" s="24" t="e">
        <f ca="1">IF(AND(I58="N",J58="N"),_xll.EVPRO($B$1,H58,"PSFTID"),"")</f>
        <v>#NAME?</v>
      </c>
      <c r="N58" s="24" t="e">
        <f ca="1">IF(_xll.EVDES(H58,$B$1)="#NODATA","",_xll.EVDES(H58,$B$1))</f>
        <v>#NAME?</v>
      </c>
      <c r="O58" s="19">
        <v>16926.099999999999</v>
      </c>
      <c r="P58" s="19">
        <v>12870.88</v>
      </c>
      <c r="Q58" s="19">
        <v>14974.43</v>
      </c>
      <c r="R58" s="19">
        <v>12023</v>
      </c>
      <c r="S58" s="19">
        <v>12620</v>
      </c>
      <c r="T58" s="19">
        <v>6577.44</v>
      </c>
      <c r="U58" s="19">
        <v>10133.629999999999</v>
      </c>
      <c r="V58" s="19">
        <v>10095.99</v>
      </c>
      <c r="W58" s="19">
        <v>10201.040000000001</v>
      </c>
      <c r="X58" s="19">
        <v>11709.3</v>
      </c>
      <c r="Y58" s="19">
        <v>11689.11</v>
      </c>
      <c r="Z58" s="19">
        <v>13078.73</v>
      </c>
      <c r="AA58" s="19" t="e">
        <f t="shared" ca="1" si="24"/>
        <v>#NAME?</v>
      </c>
      <c r="AB58" s="15" t="e">
        <f t="shared" ca="1" si="25"/>
        <v>#NAME?</v>
      </c>
      <c r="AD58" s="19">
        <v>244093.92</v>
      </c>
      <c r="AE58" s="15" t="str">
        <f t="shared" ca="1" si="26"/>
        <v/>
      </c>
      <c r="AF58" s="47" t="e">
        <f t="shared" ca="1" si="27"/>
        <v>#NAME?</v>
      </c>
      <c r="AG58" s="19">
        <v>219691.83</v>
      </c>
      <c r="AH58" s="15" t="str">
        <f t="shared" ca="1" si="29"/>
        <v/>
      </c>
      <c r="AI58" s="47" t="e">
        <f t="shared" ca="1" si="30"/>
        <v>#NAME?</v>
      </c>
      <c r="AJ58" s="371">
        <f t="shared" ca="1" si="31"/>
        <v>0</v>
      </c>
      <c r="AK58" s="372">
        <f t="shared" ca="1" si="32"/>
        <v>0</v>
      </c>
      <c r="AL58" s="373">
        <f t="shared" ca="1" si="33"/>
        <v>0</v>
      </c>
      <c r="AM58" s="374">
        <f t="shared" ca="1" si="34"/>
        <v>0</v>
      </c>
      <c r="AN58" s="375">
        <f t="shared" ca="1" si="35"/>
        <v>0</v>
      </c>
    </row>
    <row r="59" spans="1:40" x14ac:dyDescent="0.2">
      <c r="A59" s="6" t="s">
        <v>40</v>
      </c>
      <c r="B59" s="7"/>
      <c r="H59" s="10" t="s">
        <v>917</v>
      </c>
      <c r="I59" s="25" t="e">
        <f ca="1">_xll.EVPRO($B$1,$H59,"STYLE")</f>
        <v>#NAME?</v>
      </c>
      <c r="J59" s="25" t="e">
        <f ca="1">_xll.EVPRO($B$1,$H59,"CALC")</f>
        <v>#NAME?</v>
      </c>
      <c r="K59" s="64" t="e">
        <f t="shared" ca="1" si="28"/>
        <v>#NAME?</v>
      </c>
      <c r="L59" s="24" t="e">
        <f ca="1">_xll.EVPRO($B$1,H59,"JDEID")</f>
        <v>#NAME?</v>
      </c>
      <c r="M59" s="24" t="e">
        <f ca="1">IF(AND(I59="N",J59="N"),_xll.EVPRO($B$1,H59,"PSFTID"),"")</f>
        <v>#NAME?</v>
      </c>
      <c r="N59" s="24" t="e">
        <f ca="1">IF(_xll.EVDES(H59,$B$1)="#NODATA","",_xll.EVDES(H59,$B$1))</f>
        <v>#NAME?</v>
      </c>
      <c r="O59" s="19">
        <v>4000</v>
      </c>
      <c r="P59" s="19">
        <v>4900</v>
      </c>
      <c r="Q59" s="19">
        <v>5270</v>
      </c>
      <c r="R59" s="19">
        <v>5100</v>
      </c>
      <c r="S59" s="19">
        <v>5100</v>
      </c>
      <c r="T59" s="19">
        <v>5100</v>
      </c>
      <c r="U59" s="19">
        <v>5270</v>
      </c>
      <c r="V59" s="19">
        <v>5270</v>
      </c>
      <c r="W59" s="19">
        <v>5100</v>
      </c>
      <c r="X59" s="19">
        <v>5200</v>
      </c>
      <c r="Y59" s="19">
        <v>5100</v>
      </c>
      <c r="Z59" s="19">
        <v>5305</v>
      </c>
      <c r="AA59" s="19" t="e">
        <f t="shared" ca="1" si="24"/>
        <v>#NAME?</v>
      </c>
      <c r="AB59" s="15" t="e">
        <f t="shared" ca="1" si="25"/>
        <v>#NAME?</v>
      </c>
      <c r="AD59" s="19">
        <v>23791.6623591141</v>
      </c>
      <c r="AE59" s="15" t="str">
        <f t="shared" ca="1" si="26"/>
        <v/>
      </c>
      <c r="AF59" s="47" t="e">
        <f t="shared" ca="1" si="27"/>
        <v>#NAME?</v>
      </c>
      <c r="AG59" s="19">
        <v>49468.6</v>
      </c>
      <c r="AH59" s="15" t="str">
        <f t="shared" ca="1" si="29"/>
        <v/>
      </c>
      <c r="AI59" s="47" t="e">
        <f t="shared" ca="1" si="30"/>
        <v>#NAME?</v>
      </c>
      <c r="AJ59" s="371">
        <f t="shared" ca="1" si="31"/>
        <v>0</v>
      </c>
      <c r="AK59" s="372">
        <f t="shared" ca="1" si="32"/>
        <v>0</v>
      </c>
      <c r="AL59" s="373">
        <f t="shared" ca="1" si="33"/>
        <v>0</v>
      </c>
      <c r="AM59" s="374">
        <f t="shared" ca="1" si="34"/>
        <v>0</v>
      </c>
      <c r="AN59" s="375">
        <f t="shared" ca="1" si="35"/>
        <v>0</v>
      </c>
    </row>
    <row r="60" spans="1:40" x14ac:dyDescent="0.2">
      <c r="A60" s="6" t="s">
        <v>41</v>
      </c>
      <c r="B60" s="7"/>
      <c r="H60" s="10" t="s">
        <v>918</v>
      </c>
      <c r="I60" s="25" t="e">
        <f ca="1">_xll.EVPRO($B$1,$H60,"STYLE")</f>
        <v>#NAME?</v>
      </c>
      <c r="J60" s="25" t="e">
        <f ca="1">_xll.EVPRO($B$1,$H60,"CALC")</f>
        <v>#NAME?</v>
      </c>
      <c r="K60" s="64" t="e">
        <f t="shared" ca="1" si="28"/>
        <v>#NAME?</v>
      </c>
      <c r="L60" s="24" t="e">
        <f ca="1">_xll.EVPRO($B$1,H60,"JDEID")</f>
        <v>#NAME?</v>
      </c>
      <c r="M60" s="24" t="e">
        <f ca="1">IF(AND(I60="N",J60="N"),_xll.EVPRO($B$1,H60,"PSFTID"),"")</f>
        <v>#NAME?</v>
      </c>
      <c r="N60" s="24" t="e">
        <f ca="1">IF(_xll.EVDES(H60,$B$1)="#NODATA","",_xll.EVDES(H60,$B$1))</f>
        <v>#NAME?</v>
      </c>
      <c r="O60" s="19">
        <v>3.71</v>
      </c>
      <c r="P60" s="19">
        <v>379.31</v>
      </c>
      <c r="Q60" s="19">
        <v>-4.32</v>
      </c>
      <c r="R60" s="19">
        <v>9.14</v>
      </c>
      <c r="S60" s="19">
        <v>27.78</v>
      </c>
      <c r="T60" s="19">
        <v>-6.51</v>
      </c>
      <c r="U60" s="19">
        <v>-15.37</v>
      </c>
      <c r="V60" s="19">
        <v>-35.49</v>
      </c>
      <c r="W60" s="19">
        <v>-15.37</v>
      </c>
      <c r="X60" s="19">
        <v>-45.41</v>
      </c>
      <c r="Y60" s="19">
        <v>-44.35</v>
      </c>
      <c r="Z60" s="19">
        <v>-35.97</v>
      </c>
      <c r="AA60" s="19" t="e">
        <f t="shared" ca="1" si="24"/>
        <v>#NAME?</v>
      </c>
      <c r="AB60" s="15" t="e">
        <f t="shared" ca="1" si="25"/>
        <v>#NAME?</v>
      </c>
      <c r="AD60" s="19">
        <v>-30576</v>
      </c>
      <c r="AE60" s="15" t="str">
        <f t="shared" ca="1" si="26"/>
        <v/>
      </c>
      <c r="AF60" s="47" t="e">
        <f t="shared" ca="1" si="27"/>
        <v>#NAME?</v>
      </c>
      <c r="AG60" s="19">
        <v>2079.48</v>
      </c>
      <c r="AH60" s="15" t="str">
        <f t="shared" ca="1" si="29"/>
        <v/>
      </c>
      <c r="AI60" s="47" t="e">
        <f t="shared" ca="1" si="30"/>
        <v>#NAME?</v>
      </c>
      <c r="AJ60" s="371">
        <f t="shared" ca="1" si="31"/>
        <v>0</v>
      </c>
      <c r="AK60" s="372">
        <f t="shared" ca="1" si="32"/>
        <v>0</v>
      </c>
      <c r="AL60" s="373">
        <f t="shared" ca="1" si="33"/>
        <v>0</v>
      </c>
      <c r="AM60" s="374">
        <f t="shared" ca="1" si="34"/>
        <v>0</v>
      </c>
      <c r="AN60" s="375">
        <f t="shared" ca="1" si="35"/>
        <v>0</v>
      </c>
    </row>
    <row r="61" spans="1:40" x14ac:dyDescent="0.2">
      <c r="A61" s="6" t="s">
        <v>42</v>
      </c>
      <c r="B61" s="7"/>
      <c r="H61" s="10" t="s">
        <v>919</v>
      </c>
      <c r="I61" s="25" t="e">
        <f ca="1">_xll.EVPRO($B$1,$H61,"STYLE")</f>
        <v>#NAME?</v>
      </c>
      <c r="J61" s="25" t="e">
        <f ca="1">_xll.EVPRO($B$1,$H61,"CALC")</f>
        <v>#NAME?</v>
      </c>
      <c r="K61" s="64" t="e">
        <f t="shared" ca="1" si="28"/>
        <v>#NAME?</v>
      </c>
      <c r="L61" s="24" t="e">
        <f ca="1">_xll.EVPRO($B$1,H61,"JDEID")</f>
        <v>#NAME?</v>
      </c>
      <c r="M61" s="24" t="e">
        <f ca="1">IF(AND(I61="N",J61="N"),_xll.EVPRO($B$1,H61,"PSFTID"),"")</f>
        <v>#NAME?</v>
      </c>
      <c r="N61" s="24" t="e">
        <f ca="1">IF(_xll.EVDES(H61,$B$1)="#NODATA","",_xll.EVDES(H61,$B$1))</f>
        <v>#NAME?</v>
      </c>
      <c r="O61" s="28">
        <v>1813</v>
      </c>
      <c r="P61" s="28">
        <v>2803.11</v>
      </c>
      <c r="Q61" s="28">
        <v>3945.33</v>
      </c>
      <c r="R61" s="28">
        <v>3945.33</v>
      </c>
      <c r="S61" s="28">
        <v>3951.79</v>
      </c>
      <c r="T61" s="28">
        <v>3951.79</v>
      </c>
      <c r="U61" s="28">
        <v>3951.79</v>
      </c>
      <c r="V61" s="28">
        <v>2733.22</v>
      </c>
      <c r="W61" s="28">
        <v>2733.22</v>
      </c>
      <c r="X61" s="28">
        <v>2733.22</v>
      </c>
      <c r="Y61" s="28">
        <v>2733.22</v>
      </c>
      <c r="Z61" s="28">
        <v>2304</v>
      </c>
      <c r="AA61" s="28" t="e">
        <f t="shared" ca="1" si="24"/>
        <v>#NAME?</v>
      </c>
      <c r="AB61" s="29" t="e">
        <f t="shared" ca="1" si="25"/>
        <v>#NAME?</v>
      </c>
      <c r="AD61" s="28">
        <v>38325.1399148126</v>
      </c>
      <c r="AE61" s="29" t="str">
        <f t="shared" ca="1" si="26"/>
        <v/>
      </c>
      <c r="AF61" s="48" t="e">
        <f t="shared" ca="1" si="27"/>
        <v>#NAME?</v>
      </c>
      <c r="AG61" s="28">
        <v>50013.98</v>
      </c>
      <c r="AH61" s="29" t="str">
        <f t="shared" ca="1" si="29"/>
        <v/>
      </c>
      <c r="AI61" s="48" t="e">
        <f t="shared" ca="1" si="30"/>
        <v>#NAME?</v>
      </c>
      <c r="AJ61" s="381">
        <f t="shared" ca="1" si="31"/>
        <v>0</v>
      </c>
      <c r="AK61" s="382">
        <f t="shared" ca="1" si="32"/>
        <v>0</v>
      </c>
      <c r="AL61" s="383">
        <f t="shared" ca="1" si="33"/>
        <v>0</v>
      </c>
      <c r="AM61" s="384">
        <f t="shared" ca="1" si="34"/>
        <v>0</v>
      </c>
      <c r="AN61" s="385">
        <f t="shared" ca="1" si="35"/>
        <v>0</v>
      </c>
    </row>
    <row r="62" spans="1:40" x14ac:dyDescent="0.2">
      <c r="A62" s="6" t="s">
        <v>43</v>
      </c>
      <c r="B62" s="7"/>
      <c r="H62" s="10" t="s">
        <v>854</v>
      </c>
      <c r="I62" s="447" t="e">
        <f ca="1">_xll.EVPRO($B$1,$H62,"STYLE")</f>
        <v>#NAME?</v>
      </c>
      <c r="J62" s="447" t="e">
        <f ca="1">_xll.EVPRO($B$1,$H62,"CALC")</f>
        <v>#NAME?</v>
      </c>
      <c r="K62" s="448" t="e">
        <f t="shared" ca="1" si="28"/>
        <v>#NAME?</v>
      </c>
      <c r="L62" s="151" t="e">
        <f ca="1">_xll.EVPRO($B$1,H62,"JDEID")</f>
        <v>#NAME?</v>
      </c>
      <c r="M62" s="151" t="e">
        <f ca="1">IF(AND(I62="N",J62="N"),_xll.EVPRO($B$1,H62,"PSFTID"),"")</f>
        <v>#NAME?</v>
      </c>
      <c r="N62" s="151" t="e">
        <f ca="1">IF(_xll.EVDES(H62,$B$1)="#NODATA","",_xll.EVDES(H62,$B$1))</f>
        <v>#NAME?</v>
      </c>
      <c r="O62" s="30">
        <v>30997.54</v>
      </c>
      <c r="P62" s="30">
        <v>28288.16</v>
      </c>
      <c r="Q62" s="30">
        <v>27851.15</v>
      </c>
      <c r="R62" s="30">
        <v>25065.17</v>
      </c>
      <c r="S62" s="30">
        <v>25343.24</v>
      </c>
      <c r="T62" s="30">
        <v>18708.310000000001</v>
      </c>
      <c r="U62" s="30">
        <v>22563.64</v>
      </c>
      <c r="V62" s="30">
        <v>21260.27</v>
      </c>
      <c r="W62" s="30">
        <v>20821.72</v>
      </c>
      <c r="X62" s="30">
        <v>22571.23</v>
      </c>
      <c r="Y62" s="30">
        <v>22607.13</v>
      </c>
      <c r="Z62" s="30">
        <v>23974.31</v>
      </c>
      <c r="AA62" s="30" t="e">
        <f t="shared" ca="1" si="24"/>
        <v>#NAME?</v>
      </c>
      <c r="AB62" s="31" t="e">
        <f t="shared" ca="1" si="25"/>
        <v>#NAME?</v>
      </c>
      <c r="AC62" s="32"/>
      <c r="AD62" s="30">
        <v>301097.940833367</v>
      </c>
      <c r="AE62" s="31" t="str">
        <f t="shared" ca="1" si="26"/>
        <v/>
      </c>
      <c r="AF62" s="49" t="e">
        <f t="shared" ca="1" si="27"/>
        <v>#NAME?</v>
      </c>
      <c r="AG62" s="30">
        <v>410233.31</v>
      </c>
      <c r="AH62" s="31" t="str">
        <f t="shared" ca="1" si="29"/>
        <v/>
      </c>
      <c r="AI62" s="49" t="e">
        <f t="shared" ca="1" si="30"/>
        <v>#NAME?</v>
      </c>
      <c r="AJ62" s="336">
        <f t="shared" ca="1" si="31"/>
        <v>0</v>
      </c>
      <c r="AK62" s="337">
        <f t="shared" ca="1" si="32"/>
        <v>0</v>
      </c>
      <c r="AL62" s="339">
        <f t="shared" ca="1" si="33"/>
        <v>0</v>
      </c>
      <c r="AM62" s="386">
        <f t="shared" ca="1" si="34"/>
        <v>0</v>
      </c>
      <c r="AN62" s="407">
        <f t="shared" ca="1" si="35"/>
        <v>0</v>
      </c>
    </row>
    <row r="63" spans="1:40" x14ac:dyDescent="0.2">
      <c r="A63" s="6" t="s">
        <v>44</v>
      </c>
      <c r="B63" s="7"/>
      <c r="H63" s="23"/>
      <c r="I63" s="23"/>
      <c r="J63" s="23"/>
      <c r="K63" s="23"/>
      <c r="L63" s="23"/>
      <c r="M63" s="23"/>
      <c r="N63" s="23"/>
      <c r="O63" s="50"/>
      <c r="AB63" s="51"/>
      <c r="AD63" s="50"/>
      <c r="AF63" s="51"/>
      <c r="AG63" s="50"/>
      <c r="AI63" s="51"/>
    </row>
    <row r="64" spans="1:40" ht="16" thickBot="1" x14ac:dyDescent="0.25">
      <c r="A64" s="6" t="s">
        <v>45</v>
      </c>
      <c r="B64" s="7"/>
      <c r="H64" s="10" t="s">
        <v>855</v>
      </c>
      <c r="I64" s="25" t="e">
        <f ca="1">_xll.EVPRO($B$1,$H64,"STYLE")</f>
        <v>#NAME?</v>
      </c>
      <c r="J64" s="25" t="e">
        <f ca="1">_xll.EVPRO($B$1,$H64,"CALC")</f>
        <v>#NAME?</v>
      </c>
      <c r="K64" s="23"/>
      <c r="N64" s="23" t="e">
        <f ca="1">IF(_xll.EVDES(H64,$B$1)="#NODATA","",_xll.EVDES(H64,$B$1))</f>
        <v>#NAME?</v>
      </c>
      <c r="O64" s="58">
        <v>61548.88</v>
      </c>
      <c r="P64" s="58">
        <v>55072.79</v>
      </c>
      <c r="Q64" s="58">
        <v>49742.54</v>
      </c>
      <c r="R64" s="58">
        <v>50668.44</v>
      </c>
      <c r="S64" s="58">
        <v>58299.43</v>
      </c>
      <c r="T64" s="58">
        <v>39935.78</v>
      </c>
      <c r="U64" s="58">
        <v>55103.87</v>
      </c>
      <c r="V64" s="58">
        <v>47369.13</v>
      </c>
      <c r="W64" s="58">
        <v>51434.14</v>
      </c>
      <c r="X64" s="58">
        <v>44459.06</v>
      </c>
      <c r="Y64" s="58">
        <v>43419.3</v>
      </c>
      <c r="Z64" s="58">
        <v>34630.19</v>
      </c>
      <c r="AA64" s="58" t="e">
        <f ca="1">IF($I64="B1","",SUM(O64:Z64))</f>
        <v>#NAME?</v>
      </c>
      <c r="AB64" s="59" t="e">
        <f ca="1">IF(AA64=0,"",IFERROR(AA64/AA$19,""))</f>
        <v>#NAME?</v>
      </c>
      <c r="AD64" s="58">
        <v>600157.47852049395</v>
      </c>
      <c r="AE64" s="59" t="str">
        <f ca="1">IF(AD64=0,"",IFERROR(AD64/AD$19,""))</f>
        <v/>
      </c>
      <c r="AF64" s="60" t="e">
        <f ca="1">IF(AND($AA64="",AD64=""),"",$AA64-AD64)</f>
        <v>#NAME?</v>
      </c>
      <c r="AG64" s="58">
        <v>769966.09000000102</v>
      </c>
      <c r="AH64" s="59" t="str">
        <f ca="1">IF(AG64=0,"",IFERROR(AG64/AG$19,""))</f>
        <v/>
      </c>
      <c r="AI64" s="60" t="e">
        <f ca="1">IF(AND($AA64="",AG64=""),"",$AA64-AG64)</f>
        <v>#NAME?</v>
      </c>
      <c r="AJ64" s="402">
        <f ca="1">IFERROR(AA64/AA$20,0)</f>
        <v>0</v>
      </c>
      <c r="AK64" s="403">
        <f ca="1">IFERROR(AD64/AD$20,0)</f>
        <v>0</v>
      </c>
      <c r="AL64" s="404">
        <f ca="1">IFERROR(AG64/AG$20,0)</f>
        <v>0</v>
      </c>
      <c r="AM64" s="405">
        <f ca="1">+IFERROR(ROUND(($AB64-AE64)*100,2)&amp;" pts.",0)</f>
        <v>0</v>
      </c>
      <c r="AN64" s="410">
        <f ca="1">+IFERROR(ROUND(($AB64-AH64)*100,2)&amp;" pts.",0)</f>
        <v>0</v>
      </c>
    </row>
    <row r="65" spans="1:40" ht="17" hidden="1" thickTop="1" thickBot="1" x14ac:dyDescent="0.25">
      <c r="A65" s="6" t="s">
        <v>46</v>
      </c>
      <c r="B65" s="7"/>
      <c r="H65" s="10"/>
      <c r="I65" s="25" t="e">
        <f ca="1">_xll.EVPRO($B$1,$H65,"STYLE")</f>
        <v>#NAME?</v>
      </c>
      <c r="J65" s="25" t="e">
        <f ca="1">_xll.EVPRO($B$1,$H65,"CALC")</f>
        <v>#NAME?</v>
      </c>
      <c r="K65" s="23"/>
      <c r="N65" s="23" t="e">
        <f ca="1">IF(_xll.EVDES(H65,$B$1)="#NODATA","",_xll.EVDES(H65,$B$1))</f>
        <v>#NAME?</v>
      </c>
      <c r="O65" s="58"/>
      <c r="P65" s="58"/>
      <c r="Q65" s="58"/>
      <c r="R65" s="58"/>
      <c r="S65" s="58"/>
      <c r="T65" s="58"/>
      <c r="U65" s="58"/>
      <c r="V65" s="58"/>
      <c r="W65" s="58"/>
      <c r="X65" s="58"/>
      <c r="Y65" s="58"/>
      <c r="Z65" s="58"/>
      <c r="AA65" s="58" t="e">
        <f ca="1">IF($I65="B1","",SUM(O65:Z65))</f>
        <v>#NAME?</v>
      </c>
      <c r="AB65" s="59" t="e">
        <f ca="1">IF(AA65=0,"",IFERROR(AA65/AA$19,""))</f>
        <v>#NAME?</v>
      </c>
      <c r="AD65" s="58"/>
      <c r="AE65" s="59" t="str">
        <f>IF(AD65=0,"",IFERROR(AD65/AD$19,""))</f>
        <v/>
      </c>
      <c r="AF65" s="60" t="e">
        <f ca="1">IF(AND($AA65="",AD65=""),"",$AA65-AD65)</f>
        <v>#NAME?</v>
      </c>
      <c r="AG65" s="58"/>
      <c r="AH65" s="59" t="str">
        <f>IF(AG65=0,"",IFERROR(AG65/AG$19,""))</f>
        <v/>
      </c>
      <c r="AI65" s="60" t="e">
        <f ca="1">IF(AND($AA65="",AG65=""),"",$AA65-AG65)</f>
        <v>#NAME?</v>
      </c>
      <c r="AJ65" s="402">
        <f ca="1">IFERROR(AA65/AA$20,0)</f>
        <v>0</v>
      </c>
      <c r="AK65" s="403">
        <f ca="1">IFERROR(AD65/AD$20,0)</f>
        <v>0</v>
      </c>
      <c r="AL65" s="404">
        <f ca="1">IFERROR(AG65/AG$20,0)</f>
        <v>0</v>
      </c>
      <c r="AM65" s="405">
        <f ca="1">+IFERROR(ROUND(($AB65-AE65)*100,2)&amp;" pts.",0)</f>
        <v>0</v>
      </c>
      <c r="AN65" s="410">
        <f ca="1">+IFERROR(ROUND(($AB65-AH65)*100,2)&amp;" pts.",0)</f>
        <v>0</v>
      </c>
    </row>
    <row r="66" spans="1:40" ht="16" thickTop="1" x14ac:dyDescent="0.2">
      <c r="I66" s="1"/>
      <c r="J66" s="1"/>
      <c r="L66" s="1"/>
      <c r="M66" s="1"/>
    </row>
    <row r="67" spans="1:40" x14ac:dyDescent="0.2">
      <c r="N67" s="24" t="e">
        <f ca="1">N64&amp;" - Check"</f>
        <v>#NAME?</v>
      </c>
      <c r="O67" s="124">
        <f t="shared" ref="O67:AA67" si="36">SUMIF($H$35:$H$64,"PAY_TAXES",O$35:O$64)+SUMIF($H$35:$H$64,"SUP_PAY",O$35:O$64)+SUMIF($H$35:$H$64,"EMP_BEN",O$35:O$64)-SUMIF($H$35:$H$64,"PAY_RELATED",O$35:O$64)</f>
        <v>0</v>
      </c>
      <c r="P67" s="124">
        <f t="shared" si="36"/>
        <v>0</v>
      </c>
      <c r="Q67" s="124">
        <f t="shared" si="36"/>
        <v>0</v>
      </c>
      <c r="R67" s="124">
        <f t="shared" si="36"/>
        <v>0</v>
      </c>
      <c r="S67" s="124">
        <f t="shared" si="36"/>
        <v>0</v>
      </c>
      <c r="T67" s="124">
        <f t="shared" si="36"/>
        <v>0</v>
      </c>
      <c r="U67" s="124">
        <f t="shared" si="36"/>
        <v>0</v>
      </c>
      <c r="V67" s="124">
        <f t="shared" si="36"/>
        <v>0</v>
      </c>
      <c r="W67" s="124">
        <f t="shared" si="36"/>
        <v>0</v>
      </c>
      <c r="X67" s="124">
        <f t="shared" si="36"/>
        <v>0</v>
      </c>
      <c r="Y67" s="124">
        <f t="shared" si="36"/>
        <v>0</v>
      </c>
      <c r="Z67" s="124">
        <f t="shared" si="36"/>
        <v>0</v>
      </c>
      <c r="AA67" s="124" t="e">
        <f t="shared" ca="1" si="36"/>
        <v>#NAME?</v>
      </c>
      <c r="AB67" s="15"/>
      <c r="AD67" s="124">
        <f>SUMIF($H$35:$H$64,"PAY_TAXES",AD$35:AD$64)+SUMIF($H$35:$H$64,"SUP_PAY",AD$35:AD$64)+SUMIF($H$35:$H$64,"EMP_BEN",AD$35:AD$64)-SUMIF($H$35:$H$64,"PAY_RELATED",AD$35:AD$64)</f>
        <v>1.0477378964424133E-9</v>
      </c>
      <c r="AE67" s="15"/>
      <c r="AF67" s="19"/>
      <c r="AG67" s="124">
        <f>SUMIF($H$35:$H$64,"PAY_TAXES",AG$35:AG$64)+SUMIF($H$35:$H$64,"SUP_PAY",AG$35:AG$64)+SUMIF($H$35:$H$64,"EMP_BEN",AG$35:AG$64)-SUMIF($H$35:$H$64,"PAY_RELATED",AG$35:AG$64)</f>
        <v>-9.3132257461547852E-10</v>
      </c>
      <c r="AH67" s="15"/>
      <c r="AI67" s="19"/>
    </row>
    <row r="68" spans="1:40" x14ac:dyDescent="0.2">
      <c r="I68" s="1"/>
      <c r="J68" s="1"/>
      <c r="L68" s="1"/>
      <c r="M68" s="1"/>
    </row>
    <row r="75" spans="1:40" x14ac:dyDescent="0.2">
      <c r="H75" s="11"/>
      <c r="J75" s="1"/>
    </row>
    <row r="76" spans="1:40" x14ac:dyDescent="0.2">
      <c r="H76" s="11"/>
      <c r="J76" s="1"/>
    </row>
    <row r="77" spans="1:40" x14ac:dyDescent="0.2">
      <c r="H77" s="11"/>
      <c r="J77" s="1"/>
    </row>
    <row r="78" spans="1:40" x14ac:dyDescent="0.2">
      <c r="H78" s="11"/>
      <c r="J78" s="1"/>
    </row>
    <row r="79" spans="1:40" x14ac:dyDescent="0.2">
      <c r="H79" s="11"/>
      <c r="J79" s="1"/>
    </row>
    <row r="80" spans="1:40" x14ac:dyDescent="0.2">
      <c r="H80" s="11"/>
      <c r="J80" s="1"/>
    </row>
    <row r="81" spans="8:10" x14ac:dyDescent="0.2">
      <c r="H81" s="11"/>
      <c r="J81" s="1"/>
    </row>
    <row r="82" spans="8:10" x14ac:dyDescent="0.2">
      <c r="H82" s="11"/>
      <c r="J82" s="1"/>
    </row>
    <row r="83" spans="8:10" x14ac:dyDescent="0.2">
      <c r="H83" s="11"/>
      <c r="J83" s="1"/>
    </row>
    <row r="84" spans="8:10" x14ac:dyDescent="0.2">
      <c r="H84" s="11"/>
      <c r="J84" s="1"/>
    </row>
    <row r="85" spans="8:10" x14ac:dyDescent="0.2">
      <c r="H85" s="11"/>
      <c r="J85" s="1"/>
    </row>
    <row r="86" spans="8:10" x14ac:dyDescent="0.2">
      <c r="H86" s="11"/>
      <c r="J86" s="1"/>
    </row>
    <row r="87" spans="8:10" x14ac:dyDescent="0.2">
      <c r="H87" s="11"/>
      <c r="J87" s="1"/>
    </row>
    <row r="88" spans="8:10" x14ac:dyDescent="0.2">
      <c r="H88" s="11"/>
      <c r="J88" s="1"/>
    </row>
    <row r="89" spans="8:10" x14ac:dyDescent="0.2">
      <c r="H89" s="11"/>
      <c r="J89" s="1"/>
    </row>
    <row r="90" spans="8:10" x14ac:dyDescent="0.2">
      <c r="H90" s="11"/>
      <c r="J90" s="1"/>
    </row>
    <row r="91" spans="8:10" x14ac:dyDescent="0.2">
      <c r="H91" s="11"/>
      <c r="J91" s="1"/>
    </row>
    <row r="92" spans="8:10" x14ac:dyDescent="0.2">
      <c r="H92" s="11"/>
      <c r="J92" s="1"/>
    </row>
    <row r="93" spans="8:10" x14ac:dyDescent="0.2">
      <c r="H93" s="11"/>
      <c r="J93" s="1"/>
    </row>
    <row r="94" spans="8:10" x14ac:dyDescent="0.2">
      <c r="H94" s="11"/>
      <c r="J94" s="1"/>
    </row>
    <row r="95" spans="8:10" x14ac:dyDescent="0.2">
      <c r="H95" s="11"/>
      <c r="J95" s="1"/>
    </row>
    <row r="96" spans="8:10" x14ac:dyDescent="0.2">
      <c r="H96" s="11"/>
      <c r="J96" s="1"/>
    </row>
    <row r="97" spans="8:10" x14ac:dyDescent="0.2">
      <c r="H97" s="11"/>
      <c r="J97" s="1"/>
    </row>
  </sheetData>
  <mergeCells count="2">
    <mergeCell ref="AD31:AE31"/>
    <mergeCell ref="AG31:AH31"/>
  </mergeCells>
  <dataValidations disablePrompts="1" count="2">
    <dataValidation type="list" allowBlank="1" sqref="B29" xr:uid="{00000000-0002-0000-6000-000000000000}">
      <formula1>"SELF,ALL,BAS,DEP,BASMEMBERS,MEMBERS,NOEXPAND,GDEP"</formula1>
    </dataValidation>
    <dataValidation type="list" allowBlank="1" sqref="B28" xr:uid="{00000000-0002-0000-60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98">
    <pageSetUpPr fitToPage="1"/>
  </sheetPr>
  <dimension ref="A1:AO97"/>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baseColWidth="10" defaultColWidth="9.1640625" defaultRowHeight="15" outlineLevelRow="1" outlineLevelCol="1" x14ac:dyDescent="0.2"/>
  <cols>
    <col min="1" max="1" width="17" style="1" hidden="1" customWidth="1" outlineLevel="1"/>
    <col min="2" max="2" width="20.33203125" style="1" hidden="1" customWidth="1" outlineLevel="1"/>
    <col min="3" max="6" width="12.83203125" style="1" hidden="1" customWidth="1" outlineLevel="1"/>
    <col min="7" max="7" width="17.83203125" style="1" hidden="1" customWidth="1" outlineLevel="1"/>
    <col min="8" max="8" width="13.1640625" style="1" hidden="1" customWidth="1" outlineLevel="1"/>
    <col min="9" max="10" width="4.6640625" style="11" hidden="1" customWidth="1" outlineLevel="1"/>
    <col min="11" max="11" width="3.6640625" style="1" customWidth="1" collapsed="1"/>
    <col min="12" max="12" width="9.6640625" style="11" hidden="1" customWidth="1" outlineLevel="1" collapsed="1"/>
    <col min="13" max="13" width="9.6640625" style="11" hidden="1" customWidth="1" outlineLevel="1"/>
    <col min="14" max="14" width="36.6640625" style="1" customWidth="1" collapsed="1"/>
    <col min="15" max="26" width="11.6640625" style="1" customWidth="1" outlineLevel="1"/>
    <col min="27" max="27" width="12.6640625" style="1" customWidth="1"/>
    <col min="28" max="28" width="7.6640625" style="1" customWidth="1"/>
    <col min="29" max="29" width="1.6640625" style="1" customWidth="1"/>
    <col min="30" max="30" width="12.6640625" style="1" customWidth="1"/>
    <col min="31" max="31" width="7.6640625" style="1" customWidth="1"/>
    <col min="32" max="32" width="11.6640625" style="1" customWidth="1"/>
    <col min="33" max="33" width="12.6640625" style="1" customWidth="1"/>
    <col min="34" max="34" width="7.6640625" style="1" customWidth="1"/>
    <col min="35" max="35" width="11.6640625" style="1" customWidth="1"/>
    <col min="36" max="40" width="0" style="1" hidden="1" customWidth="1" outlineLevel="1"/>
    <col min="41" max="41" width="9.1640625" style="1" collapsed="1"/>
    <col min="42" max="16384" width="9.1640625" style="1"/>
  </cols>
  <sheetData>
    <row r="1" spans="1:35" hidden="1" outlineLevel="1" x14ac:dyDescent="0.2">
      <c r="A1" s="8" t="s">
        <v>48</v>
      </c>
      <c r="B1" s="2" t="s">
        <v>49</v>
      </c>
      <c r="C1" s="8" t="s">
        <v>980</v>
      </c>
      <c r="I1" s="1"/>
      <c r="J1" s="1"/>
      <c r="L1" s="69"/>
      <c r="M1" s="69"/>
      <c r="N1" s="69"/>
    </row>
    <row r="2" spans="1:35" hidden="1" outlineLevel="1" x14ac:dyDescent="0.2">
      <c r="A2" s="8" t="s">
        <v>22</v>
      </c>
      <c r="B2" s="12" t="s">
        <v>56</v>
      </c>
      <c r="C2" s="1" t="s">
        <v>981</v>
      </c>
      <c r="I2" s="1"/>
      <c r="J2" s="1"/>
      <c r="L2" s="69"/>
      <c r="M2" s="69"/>
    </row>
    <row r="3" spans="1:35" hidden="1" outlineLevel="1" x14ac:dyDescent="0.2">
      <c r="A3" s="8" t="s">
        <v>50</v>
      </c>
      <c r="B3" s="9" t="s">
        <v>979</v>
      </c>
      <c r="C3" s="1" t="s">
        <v>982</v>
      </c>
      <c r="I3" s="1"/>
      <c r="J3" s="1"/>
    </row>
    <row r="4" spans="1:35" hidden="1" outlineLevel="1" x14ac:dyDescent="0.2">
      <c r="A4" s="8" t="s">
        <v>19</v>
      </c>
      <c r="B4" s="9" t="str">
        <f>SetUp!$D$6</f>
        <v>CURRENT</v>
      </c>
      <c r="C4" s="1" t="s">
        <v>960</v>
      </c>
      <c r="E4" s="46">
        <v>20250100</v>
      </c>
      <c r="F4" s="46">
        <v>20250100</v>
      </c>
    </row>
    <row r="5" spans="1:35" hidden="1" outlineLevel="1" x14ac:dyDescent="0.2">
      <c r="A5" s="8" t="s">
        <v>51</v>
      </c>
      <c r="B5" s="12" t="s">
        <v>59</v>
      </c>
      <c r="C5" s="1" t="s">
        <v>59</v>
      </c>
    </row>
    <row r="6" spans="1:35" hidden="1" outlineLevel="1" x14ac:dyDescent="0.2">
      <c r="A6" s="8" t="s">
        <v>52</v>
      </c>
      <c r="B6" s="12" t="s">
        <v>499</v>
      </c>
      <c r="C6" s="1" t="s">
        <v>983</v>
      </c>
      <c r="E6" s="46"/>
      <c r="F6" s="1" t="s">
        <v>278</v>
      </c>
    </row>
    <row r="7" spans="1:35" hidden="1" outlineLevel="1" x14ac:dyDescent="0.2">
      <c r="A7" s="8" t="s">
        <v>53</v>
      </c>
      <c r="B7" s="12" t="s">
        <v>61</v>
      </c>
      <c r="C7" s="1" t="s">
        <v>984</v>
      </c>
    </row>
    <row r="8" spans="1:35" hidden="1" outlineLevel="1" x14ac:dyDescent="0.2">
      <c r="A8" s="8" t="s">
        <v>20</v>
      </c>
      <c r="B8" s="12" t="s">
        <v>63</v>
      </c>
      <c r="C8" s="1" t="s">
        <v>985</v>
      </c>
    </row>
    <row r="9" spans="1:35" hidden="1" outlineLevel="1" x14ac:dyDescent="0.2">
      <c r="A9" s="8" t="s">
        <v>54</v>
      </c>
      <c r="B9" s="9" t="str">
        <f>SetUp!$D$10</f>
        <v>LC</v>
      </c>
      <c r="C9" s="1" t="s">
        <v>986</v>
      </c>
    </row>
    <row r="10" spans="1:35" hidden="1" outlineLevel="1" x14ac:dyDescent="0.2">
      <c r="A10" s="8" t="s">
        <v>18</v>
      </c>
      <c r="B10" s="9" t="str">
        <f>SetUp!$D$7</f>
        <v>2024.TOTAL</v>
      </c>
      <c r="C10" s="1" t="s">
        <v>987</v>
      </c>
      <c r="D10" s="212" t="s">
        <v>988</v>
      </c>
    </row>
    <row r="11" spans="1:35" hidden="1" outlineLevel="1" x14ac:dyDescent="0.2">
      <c r="B11" s="8"/>
      <c r="M11" s="46" t="str">
        <f>IF(LEFT(SetUp!$D$6,3)="ALT","Y","N")</f>
        <v>N</v>
      </c>
      <c r="N11" s="1" t="s">
        <v>800</v>
      </c>
      <c r="O11" s="2" t="s">
        <v>682</v>
      </c>
      <c r="P11" s="2" t="s">
        <v>682</v>
      </c>
      <c r="Q11" s="2" t="s">
        <v>682</v>
      </c>
      <c r="R11" s="2" t="s">
        <v>682</v>
      </c>
      <c r="S11" s="2" t="s">
        <v>682</v>
      </c>
      <c r="T11" s="2" t="s">
        <v>682</v>
      </c>
      <c r="U11" s="2" t="s">
        <v>682</v>
      </c>
      <c r="V11" s="2" t="s">
        <v>682</v>
      </c>
      <c r="W11" s="2" t="s">
        <v>682</v>
      </c>
      <c r="X11" s="2" t="s">
        <v>682</v>
      </c>
      <c r="Y11" s="2" t="s">
        <v>682</v>
      </c>
      <c r="Z11" s="2" t="s">
        <v>682</v>
      </c>
    </row>
    <row r="12" spans="1:35" hidden="1" outlineLevel="1" x14ac:dyDescent="0.2">
      <c r="A12" s="1" t="s">
        <v>115</v>
      </c>
      <c r="B12" s="46">
        <v>2024</v>
      </c>
      <c r="N12" s="1" t="s">
        <v>597</v>
      </c>
      <c r="O12" s="213" t="s">
        <v>78</v>
      </c>
      <c r="P12" s="213" t="s">
        <v>78</v>
      </c>
      <c r="Q12" s="213" t="s">
        <v>78</v>
      </c>
      <c r="R12" s="213" t="s">
        <v>78</v>
      </c>
      <c r="S12" s="213" t="s">
        <v>78</v>
      </c>
      <c r="T12" s="213" t="s">
        <v>78</v>
      </c>
      <c r="U12" s="213" t="s">
        <v>78</v>
      </c>
      <c r="V12" s="213" t="s">
        <v>78</v>
      </c>
      <c r="W12" s="213" t="s">
        <v>78</v>
      </c>
      <c r="X12" s="213" t="s">
        <v>78</v>
      </c>
      <c r="Y12" s="213" t="s">
        <v>78</v>
      </c>
      <c r="Z12" s="213" t="s">
        <v>78</v>
      </c>
      <c r="AA12" s="213"/>
      <c r="AD12" s="213"/>
      <c r="AG12" s="213"/>
    </row>
    <row r="13" spans="1:35" hidden="1" outlineLevel="1" x14ac:dyDescent="0.2">
      <c r="A13" s="1" t="s">
        <v>602</v>
      </c>
      <c r="B13" s="46">
        <v>2024</v>
      </c>
      <c r="N13" s="1" t="s">
        <v>598</v>
      </c>
      <c r="O13" s="53">
        <v>20240100</v>
      </c>
      <c r="P13" s="53">
        <v>20240200</v>
      </c>
      <c r="Q13" s="53">
        <v>20240300</v>
      </c>
      <c r="R13" s="53">
        <v>20240400</v>
      </c>
      <c r="S13" s="53">
        <v>20240500</v>
      </c>
      <c r="T13" s="53">
        <v>20240600</v>
      </c>
      <c r="U13" s="53">
        <v>20240700</v>
      </c>
      <c r="V13" s="53">
        <v>20240800</v>
      </c>
      <c r="W13" s="53">
        <v>20240900</v>
      </c>
      <c r="X13" s="53">
        <v>20241000</v>
      </c>
      <c r="Y13" s="53">
        <v>20241100</v>
      </c>
      <c r="Z13" s="53">
        <v>20241200</v>
      </c>
      <c r="AA13" s="53">
        <v>10000193</v>
      </c>
      <c r="AD13" s="53">
        <v>10000193</v>
      </c>
      <c r="AG13" s="53">
        <v>10000183</v>
      </c>
    </row>
    <row r="14" spans="1:35" hidden="1" outlineLevel="1" x14ac:dyDescent="0.2">
      <c r="A14" s="4" t="s">
        <v>989</v>
      </c>
      <c r="N14" s="1" t="s">
        <v>599</v>
      </c>
      <c r="O14" s="53" t="s">
        <v>603</v>
      </c>
      <c r="P14" s="53" t="s">
        <v>604</v>
      </c>
      <c r="Q14" s="53" t="s">
        <v>605</v>
      </c>
      <c r="R14" s="53" t="s">
        <v>606</v>
      </c>
      <c r="S14" s="53" t="s">
        <v>607</v>
      </c>
      <c r="T14" s="53" t="s">
        <v>608</v>
      </c>
      <c r="U14" s="53" t="s">
        <v>609</v>
      </c>
      <c r="V14" s="53" t="s">
        <v>610</v>
      </c>
      <c r="W14" s="53" t="s">
        <v>611</v>
      </c>
      <c r="X14" s="53" t="s">
        <v>612</v>
      </c>
      <c r="Y14" s="53" t="s">
        <v>613</v>
      </c>
      <c r="Z14" s="53" t="s">
        <v>614</v>
      </c>
      <c r="AA14" s="53" t="s">
        <v>116</v>
      </c>
      <c r="AD14" s="53" t="s">
        <v>116</v>
      </c>
      <c r="AG14" s="53" t="s">
        <v>116</v>
      </c>
    </row>
    <row r="15" spans="1:35" hidden="1" outlineLevel="1" x14ac:dyDescent="0.2">
      <c r="N15" s="1" t="s">
        <v>600</v>
      </c>
      <c r="O15" s="53" t="s">
        <v>615</v>
      </c>
      <c r="P15" s="53" t="s">
        <v>616</v>
      </c>
      <c r="Q15" s="214" t="s">
        <v>617</v>
      </c>
      <c r="R15" s="214" t="s">
        <v>618</v>
      </c>
      <c r="S15" s="214" t="s">
        <v>619</v>
      </c>
      <c r="T15" s="214" t="s">
        <v>620</v>
      </c>
      <c r="U15" s="214" t="s">
        <v>621</v>
      </c>
      <c r="V15" s="214" t="s">
        <v>622</v>
      </c>
      <c r="W15" s="214" t="s">
        <v>623</v>
      </c>
      <c r="X15" s="214" t="s">
        <v>624</v>
      </c>
      <c r="Y15" s="214" t="s">
        <v>625</v>
      </c>
      <c r="Z15" s="214" t="s">
        <v>626</v>
      </c>
      <c r="AA15" s="53" t="s">
        <v>116</v>
      </c>
      <c r="AD15" s="53" t="s">
        <v>116</v>
      </c>
      <c r="AG15" s="53" t="s">
        <v>116</v>
      </c>
    </row>
    <row r="16" spans="1:35" hidden="1" outlineLevel="1" x14ac:dyDescent="0.2">
      <c r="A16" s="3" t="s">
        <v>0</v>
      </c>
      <c r="B16" s="5" t="s">
        <v>1</v>
      </c>
      <c r="N16" s="1" t="s">
        <v>18</v>
      </c>
      <c r="O16" s="2" t="s">
        <v>990</v>
      </c>
      <c r="P16" s="2" t="s">
        <v>991</v>
      </c>
      <c r="Q16" s="2" t="s">
        <v>992</v>
      </c>
      <c r="R16" s="2" t="s">
        <v>993</v>
      </c>
      <c r="S16" s="2" t="s">
        <v>994</v>
      </c>
      <c r="T16" s="2" t="s">
        <v>995</v>
      </c>
      <c r="U16" s="2" t="s">
        <v>996</v>
      </c>
      <c r="V16" s="2" t="s">
        <v>997</v>
      </c>
      <c r="W16" s="2" t="s">
        <v>998</v>
      </c>
      <c r="X16" s="2" t="s">
        <v>999</v>
      </c>
      <c r="Y16" s="2" t="s">
        <v>1000</v>
      </c>
      <c r="Z16" s="2" t="str">
        <f>IF(SetUp!$O$1=TRUE,SetUp!$Q$6,IF($D$10="FY",LEFT($B$10,6)&amp;"."&amp;Z15,$B$12&amp;"."&amp;Z14))</f>
        <v>2024.DEC</v>
      </c>
      <c r="AA16" s="2" t="str">
        <f>IF($D$10="FY",LEFT($B$10,6)&amp;"."&amp;AA15,$B$12&amp;"."&amp;AA14)</f>
        <v>2024.TOTAL</v>
      </c>
      <c r="AB16" s="10"/>
      <c r="AC16" s="10"/>
      <c r="AD16" s="2" t="str">
        <f>IF(SetUp!$O$1=TRUE,SetUp!$Q$6,SetUp!$G$7)</f>
        <v>2024.TOTAL</v>
      </c>
      <c r="AE16" s="10"/>
      <c r="AF16" s="10"/>
      <c r="AG16" s="2" t="s">
        <v>955</v>
      </c>
      <c r="AH16" s="10"/>
      <c r="AI16" s="10"/>
    </row>
    <row r="17" spans="1:40" hidden="1" outlineLevel="1" x14ac:dyDescent="0.2">
      <c r="A17" s="6" t="s">
        <v>2</v>
      </c>
      <c r="B17" s="14" t="s">
        <v>1540</v>
      </c>
      <c r="N17" s="1" t="s">
        <v>19</v>
      </c>
      <c r="O17" s="2" t="s">
        <v>682</v>
      </c>
      <c r="P17" s="2" t="s">
        <v>682</v>
      </c>
      <c r="Q17" s="2" t="s">
        <v>682</v>
      </c>
      <c r="R17" s="2" t="s">
        <v>682</v>
      </c>
      <c r="S17" s="2" t="s">
        <v>682</v>
      </c>
      <c r="T17" s="2" t="s">
        <v>682</v>
      </c>
      <c r="U17" s="2" t="s">
        <v>682</v>
      </c>
      <c r="V17" s="2" t="s">
        <v>682</v>
      </c>
      <c r="W17" s="2" t="s">
        <v>682</v>
      </c>
      <c r="X17" s="2" t="s">
        <v>682</v>
      </c>
      <c r="Y17" s="2" t="s">
        <v>682</v>
      </c>
      <c r="Z17" s="2" t="s">
        <v>682</v>
      </c>
      <c r="AA17" s="2"/>
      <c r="AB17" s="10"/>
      <c r="AC17" s="10"/>
      <c r="AD17" s="2" t="str">
        <f>SetUp!$G$6</f>
        <v>BUDGET</v>
      </c>
      <c r="AE17" s="10"/>
      <c r="AF17" s="10"/>
      <c r="AG17" s="2" t="str">
        <f>SetUp!$J$6</f>
        <v>ACTUAL_CON</v>
      </c>
      <c r="AH17" s="10"/>
      <c r="AI17" s="10"/>
    </row>
    <row r="18" spans="1:40" hidden="1" outlineLevel="1" x14ac:dyDescent="0.2">
      <c r="A18" s="6" t="s">
        <v>3</v>
      </c>
      <c r="B18" s="14" t="s">
        <v>1541</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2" t="str">
        <f>IF(SetUp!$O$1=TRUE,"TRAILING12",IF(AD17="CURRENT","ROLLINGFORECAST","PERIODIC"))</f>
        <v>PERIODIC</v>
      </c>
      <c r="AE18" s="10"/>
      <c r="AF18" s="10"/>
      <c r="AG18" s="2" t="str">
        <f>IF(SetUp!$O$1=TRUE,"TRAILING12",IF(AG17="CURRENT","ROLLINGFORECAST","PERIODIC"))</f>
        <v>PERIODIC</v>
      </c>
      <c r="AH18" s="10"/>
      <c r="AI18" s="10"/>
    </row>
    <row r="19" spans="1:40" hidden="1" outlineLevel="1" x14ac:dyDescent="0.2">
      <c r="A19" s="6" t="s">
        <v>4</v>
      </c>
      <c r="B19" s="14" t="s">
        <v>1542</v>
      </c>
      <c r="G19" s="16" t="s">
        <v>499</v>
      </c>
      <c r="H19" s="16">
        <v>400000</v>
      </c>
      <c r="I19" s="17"/>
      <c r="J19" s="17"/>
      <c r="K19" s="16"/>
      <c r="L19" s="17"/>
      <c r="M19" s="17"/>
      <c r="N19" s="16" t="s">
        <v>1001</v>
      </c>
      <c r="O19" s="18">
        <v>1176929.01</v>
      </c>
      <c r="P19" s="18">
        <v>1356809.16</v>
      </c>
      <c r="Q19" s="18">
        <v>1295733.29</v>
      </c>
      <c r="R19" s="18">
        <v>1074347.0900000001</v>
      </c>
      <c r="S19" s="18">
        <v>894357.51</v>
      </c>
      <c r="T19" s="18">
        <v>630684.44999999995</v>
      </c>
      <c r="U19" s="18">
        <v>649800.93000000005</v>
      </c>
      <c r="V19" s="18">
        <v>589394.93999999994</v>
      </c>
      <c r="W19" s="18">
        <v>502527.81</v>
      </c>
      <c r="X19" s="18">
        <v>718138.97</v>
      </c>
      <c r="Y19" s="18">
        <v>816401.49</v>
      </c>
      <c r="Z19" s="18">
        <v>1134093.05</v>
      </c>
      <c r="AA19" s="18">
        <f>SUM(O19:Z19)</f>
        <v>10839217.699999999</v>
      </c>
      <c r="AB19" s="16"/>
      <c r="AC19" s="16"/>
      <c r="AD19" s="18">
        <v>11239182.24</v>
      </c>
      <c r="AE19" s="16"/>
      <c r="AF19" s="16"/>
      <c r="AG19" s="18">
        <v>12940207.16</v>
      </c>
      <c r="AH19" s="16"/>
      <c r="AI19" s="16"/>
    </row>
    <row r="20" spans="1:40" hidden="1" outlineLevel="1" x14ac:dyDescent="0.2">
      <c r="A20" s="6" t="s">
        <v>5</v>
      </c>
      <c r="B20" s="7"/>
      <c r="G20" s="16" t="s">
        <v>749</v>
      </c>
      <c r="H20" s="16">
        <v>904100</v>
      </c>
      <c r="I20" s="17"/>
      <c r="J20" s="17"/>
      <c r="K20" s="16"/>
      <c r="L20" s="17"/>
      <c r="M20" s="17"/>
      <c r="N20" s="16" t="s">
        <v>1008</v>
      </c>
      <c r="O20" s="18">
        <v>4092</v>
      </c>
      <c r="P20" s="18">
        <v>3828</v>
      </c>
      <c r="Q20" s="18">
        <v>4092</v>
      </c>
      <c r="R20" s="18">
        <v>3960</v>
      </c>
      <c r="S20" s="18">
        <v>4092</v>
      </c>
      <c r="T20" s="18">
        <v>3960</v>
      </c>
      <c r="U20" s="18">
        <v>4092</v>
      </c>
      <c r="V20" s="18">
        <v>4092</v>
      </c>
      <c r="W20" s="18">
        <v>3960</v>
      </c>
      <c r="X20" s="18">
        <v>4092</v>
      </c>
      <c r="Y20" s="18">
        <v>3960</v>
      </c>
      <c r="Z20" s="18">
        <v>4092</v>
      </c>
      <c r="AA20" s="18">
        <f>SUM(O20:Z20)</f>
        <v>48312</v>
      </c>
      <c r="AB20" s="16"/>
      <c r="AC20" s="16"/>
      <c r="AD20" s="18">
        <v>48312</v>
      </c>
      <c r="AE20" s="16"/>
      <c r="AF20" s="16"/>
      <c r="AG20" s="18">
        <v>48180</v>
      </c>
      <c r="AH20" s="16"/>
      <c r="AI20" s="16"/>
    </row>
    <row r="21" spans="1:40" hidden="1" outlineLevel="1" x14ac:dyDescent="0.2">
      <c r="A21" s="6" t="s">
        <v>6</v>
      </c>
      <c r="B21" s="7"/>
    </row>
    <row r="22" spans="1:40" hidden="1" outlineLevel="1" x14ac:dyDescent="0.2">
      <c r="A22" s="6" t="s">
        <v>7</v>
      </c>
      <c r="B22" s="14" t="s">
        <v>1543</v>
      </c>
    </row>
    <row r="23" spans="1:40" hidden="1" outlineLevel="1" x14ac:dyDescent="0.2">
      <c r="A23" s="6" t="s">
        <v>47</v>
      </c>
      <c r="B23" s="14" t="s">
        <v>1544</v>
      </c>
      <c r="K23" s="53"/>
    </row>
    <row r="24" spans="1:40" hidden="1" outlineLevel="1" x14ac:dyDescent="0.2">
      <c r="A24" s="6" t="s">
        <v>8</v>
      </c>
      <c r="B24" s="7"/>
    </row>
    <row r="25" spans="1:40" collapsed="1" x14ac:dyDescent="0.2"/>
    <row r="26" spans="1:40" ht="23" x14ac:dyDescent="0.25">
      <c r="A26" s="3" t="s">
        <v>9</v>
      </c>
      <c r="B26" s="5" t="s">
        <v>10</v>
      </c>
      <c r="N26" s="61" t="s">
        <v>982</v>
      </c>
    </row>
    <row r="27" spans="1:40" ht="18" x14ac:dyDescent="0.2">
      <c r="A27" s="6" t="s">
        <v>11</v>
      </c>
      <c r="B27" s="7" t="s">
        <v>21</v>
      </c>
      <c r="N27" s="66" t="s">
        <v>983</v>
      </c>
    </row>
    <row r="28" spans="1:40" ht="16" x14ac:dyDescent="0.2">
      <c r="A28" s="6" t="s">
        <v>12</v>
      </c>
      <c r="B28" s="7" t="s">
        <v>22</v>
      </c>
      <c r="N28" s="67" t="s">
        <v>1002</v>
      </c>
    </row>
    <row r="29" spans="1:40" ht="15" customHeight="1" x14ac:dyDescent="0.2">
      <c r="A29" s="6" t="s">
        <v>13</v>
      </c>
      <c r="B29" s="7" t="s">
        <v>741</v>
      </c>
      <c r="N29" s="67" t="s">
        <v>986</v>
      </c>
    </row>
    <row r="30" spans="1:40" x14ac:dyDescent="0.2">
      <c r="A30" s="6" t="s">
        <v>14</v>
      </c>
      <c r="B30" s="7"/>
      <c r="O30" s="208"/>
      <c r="P30" s="209"/>
      <c r="Q30" s="209"/>
      <c r="R30" s="209"/>
      <c r="S30" s="209"/>
      <c r="T30" s="209"/>
      <c r="U30" s="209"/>
      <c r="V30" s="209"/>
      <c r="W30" s="209"/>
      <c r="X30" s="209"/>
      <c r="Y30" s="209"/>
      <c r="Z30" s="209"/>
      <c r="AA30" s="209"/>
      <c r="AB30" s="210"/>
      <c r="AD30" s="209"/>
      <c r="AE30" s="209"/>
      <c r="AF30" s="209"/>
      <c r="AG30" s="209"/>
      <c r="AH30" s="209"/>
      <c r="AI30" s="209"/>
      <c r="AJ30" s="208" t="s">
        <v>752</v>
      </c>
      <c r="AK30" s="209"/>
      <c r="AL30" s="210"/>
      <c r="AM30" s="209" t="s">
        <v>750</v>
      </c>
      <c r="AN30" s="209"/>
    </row>
    <row r="31" spans="1:40" x14ac:dyDescent="0.2">
      <c r="A31" s="6" t="s">
        <v>15</v>
      </c>
      <c r="B31" s="7"/>
      <c r="G31" s="13"/>
      <c r="K31" s="52"/>
      <c r="O31" s="211" t="s">
        <v>603</v>
      </c>
      <c r="P31" s="211" t="s">
        <v>604</v>
      </c>
      <c r="Q31" s="211" t="s">
        <v>605</v>
      </c>
      <c r="R31" s="211" t="s">
        <v>606</v>
      </c>
      <c r="S31" s="211" t="s">
        <v>607</v>
      </c>
      <c r="T31" s="211" t="s">
        <v>608</v>
      </c>
      <c r="U31" s="211" t="s">
        <v>609</v>
      </c>
      <c r="V31" s="211" t="s">
        <v>610</v>
      </c>
      <c r="W31" s="211" t="s">
        <v>611</v>
      </c>
      <c r="X31" s="211" t="s">
        <v>612</v>
      </c>
      <c r="Y31" s="211" t="s">
        <v>613</v>
      </c>
      <c r="Z31" s="211" t="s">
        <v>614</v>
      </c>
      <c r="AA31" s="211" t="str">
        <f>AA14</f>
        <v>TOTAL</v>
      </c>
      <c r="AB31" s="207"/>
      <c r="AD31" s="540" t="s">
        <v>987</v>
      </c>
      <c r="AE31" s="541"/>
      <c r="AF31" s="211" t="s">
        <v>631</v>
      </c>
      <c r="AG31" s="540" t="s">
        <v>1003</v>
      </c>
      <c r="AH31" s="541"/>
      <c r="AI31" s="211" t="s">
        <v>631</v>
      </c>
      <c r="AJ31" s="211">
        <v>2024</v>
      </c>
      <c r="AK31" s="237">
        <v>2024</v>
      </c>
      <c r="AL31" s="237">
        <v>2023</v>
      </c>
      <c r="AM31" s="211" t="str">
        <f>"vs "&amp;AK31</f>
        <v>vs 2024</v>
      </c>
      <c r="AN31" s="211" t="str">
        <f>"vs "&amp;AL31</f>
        <v>vs 2023</v>
      </c>
    </row>
    <row r="32" spans="1:40" s="232" customFormat="1" ht="30" customHeight="1" x14ac:dyDescent="0.2">
      <c r="A32" s="230" t="s">
        <v>16</v>
      </c>
      <c r="B32" s="231" t="s">
        <v>78</v>
      </c>
      <c r="H32" s="233"/>
      <c r="I32" s="234"/>
      <c r="J32" s="234"/>
      <c r="K32" s="235" t="s">
        <v>117</v>
      </c>
      <c r="L32" s="234"/>
      <c r="M32" s="234"/>
      <c r="N32" s="236" t="s">
        <v>120</v>
      </c>
      <c r="O32" s="237" t="s">
        <v>957</v>
      </c>
      <c r="P32" s="237" t="s">
        <v>957</v>
      </c>
      <c r="Q32" s="237" t="s">
        <v>957</v>
      </c>
      <c r="R32" s="237" t="s">
        <v>957</v>
      </c>
      <c r="S32" s="237" t="s">
        <v>957</v>
      </c>
      <c r="T32" s="237" t="s">
        <v>957</v>
      </c>
      <c r="U32" s="237" t="s">
        <v>957</v>
      </c>
      <c r="V32" s="237" t="s">
        <v>957</v>
      </c>
      <c r="W32" s="237" t="s">
        <v>957</v>
      </c>
      <c r="X32" s="237" t="s">
        <v>957</v>
      </c>
      <c r="Y32" s="237" t="s">
        <v>957</v>
      </c>
      <c r="Z32" s="237" t="s">
        <v>957</v>
      </c>
      <c r="AA32" s="238"/>
      <c r="AB32" s="238" t="s">
        <v>58</v>
      </c>
      <c r="AD32" s="237" t="s">
        <v>959</v>
      </c>
      <c r="AE32" s="237" t="s">
        <v>58</v>
      </c>
      <c r="AF32" s="237" t="s">
        <v>57</v>
      </c>
      <c r="AG32" s="237" t="s">
        <v>957</v>
      </c>
      <c r="AH32" s="237" t="s">
        <v>58</v>
      </c>
      <c r="AI32" s="237" t="s">
        <v>57</v>
      </c>
      <c r="AJ32" s="237" t="str">
        <f>Z32</f>
        <v>Actual</v>
      </c>
      <c r="AK32" s="237" t="str">
        <f>AD32</f>
        <v>Budget</v>
      </c>
      <c r="AL32" s="237" t="str">
        <f>AG32</f>
        <v>Actual</v>
      </c>
      <c r="AM32" s="211" t="s">
        <v>747</v>
      </c>
      <c r="AN32" s="211" t="s">
        <v>747</v>
      </c>
    </row>
    <row r="33" spans="1:40" x14ac:dyDescent="0.2">
      <c r="A33" s="6" t="s">
        <v>17</v>
      </c>
      <c r="B33" s="7"/>
      <c r="H33" s="1" t="s">
        <v>553</v>
      </c>
      <c r="I33" s="11" t="s">
        <v>1006</v>
      </c>
      <c r="J33" s="11" t="s">
        <v>78</v>
      </c>
      <c r="N33" s="37" t="s">
        <v>1545</v>
      </c>
      <c r="O33" s="50"/>
      <c r="AB33" s="51"/>
      <c r="AD33" s="50"/>
      <c r="AF33" s="51"/>
      <c r="AG33" s="50"/>
      <c r="AI33" s="51"/>
    </row>
    <row r="34" spans="1:40" x14ac:dyDescent="0.2">
      <c r="N34" s="8" t="s">
        <v>561</v>
      </c>
      <c r="O34" s="40"/>
      <c r="P34" s="43"/>
      <c r="Q34" s="43"/>
      <c r="R34" s="43"/>
      <c r="S34" s="43"/>
      <c r="T34" s="43"/>
      <c r="U34" s="43"/>
      <c r="V34" s="43"/>
      <c r="W34" s="43"/>
      <c r="X34" s="43"/>
      <c r="Y34" s="43"/>
      <c r="Z34" s="43"/>
      <c r="AA34" s="43"/>
      <c r="AB34" s="41"/>
      <c r="AD34" s="40"/>
      <c r="AE34" s="43"/>
      <c r="AF34" s="41"/>
      <c r="AG34" s="40"/>
      <c r="AH34" s="43"/>
      <c r="AI34" s="41"/>
    </row>
    <row r="35" spans="1:40" x14ac:dyDescent="0.2">
      <c r="A35" s="20" t="s">
        <v>92</v>
      </c>
      <c r="B35" s="21" t="s">
        <v>93</v>
      </c>
      <c r="C35" s="21" t="s">
        <v>94</v>
      </c>
      <c r="D35" s="21" t="s">
        <v>95</v>
      </c>
      <c r="E35" s="21" t="s">
        <v>96</v>
      </c>
      <c r="F35" s="22" t="s">
        <v>97</v>
      </c>
      <c r="H35" s="10" t="s">
        <v>926</v>
      </c>
      <c r="I35" s="25" t="s">
        <v>1004</v>
      </c>
      <c r="J35" s="25" t="s">
        <v>1004</v>
      </c>
      <c r="K35" s="64" t="str">
        <f t="shared" ref="K35:K41" si="0">IF(AND(I35&gt;="T4"),"&gt;","")</f>
        <v/>
      </c>
      <c r="L35" s="24">
        <v>691100</v>
      </c>
      <c r="M35" s="24">
        <v>490250</v>
      </c>
      <c r="N35" s="24" t="s">
        <v>1546</v>
      </c>
      <c r="O35" s="19"/>
      <c r="P35" s="19"/>
      <c r="Q35" s="19"/>
      <c r="R35" s="19"/>
      <c r="S35" s="19"/>
      <c r="T35" s="19"/>
      <c r="U35" s="19"/>
      <c r="V35" s="19"/>
      <c r="W35" s="19"/>
      <c r="X35" s="19"/>
      <c r="Y35" s="19"/>
      <c r="Z35" s="19">
        <v>501.42</v>
      </c>
      <c r="AA35" s="35">
        <f t="shared" ref="AA35:AA41" si="1">IF($I35="B1","",SUM(O35:Z35))</f>
        <v>501.42</v>
      </c>
      <c r="AB35" s="15">
        <f t="shared" ref="AB35:AB41" si="2">IF(AA35=0,"",IFERROR(AA35/AA$19,""))</f>
        <v>4.6259796036756422E-5</v>
      </c>
      <c r="AD35" s="19"/>
      <c r="AE35" s="15" t="str">
        <f t="shared" ref="AE35:AE41" si="3">IF(AD35=0,"",IFERROR(AD35/AD$19,""))</f>
        <v/>
      </c>
      <c r="AF35" s="47">
        <f t="shared" ref="AF35:AF41" si="4">IF(AND($AA35="",AD35=""),"",$AA35-AD35)</f>
        <v>501.42</v>
      </c>
      <c r="AG35" s="19"/>
      <c r="AH35" s="15" t="str">
        <f t="shared" ref="AH35:AH41" si="5">IF(AG35=0,"",IFERROR(AG35/AG$19,""))</f>
        <v/>
      </c>
      <c r="AI35" s="47">
        <f t="shared" ref="AI35:AI41" si="6">IF(AND($AA35="",AG35=""),"",$AA35-AG35)</f>
        <v>501.42</v>
      </c>
      <c r="AJ35" s="371">
        <f t="shared" ref="AJ35:AJ41" si="7">IFERROR(AA35/AA$20,0)</f>
        <v>1.037878787878788E-2</v>
      </c>
      <c r="AK35" s="372">
        <f t="shared" ref="AK35:AK41" si="8">IFERROR(AD35/AD$20,0)</f>
        <v>0</v>
      </c>
      <c r="AL35" s="373">
        <f t="shared" ref="AL35:AL41" si="9">IFERROR(AG35/AG$20,0)</f>
        <v>0</v>
      </c>
      <c r="AM35" s="374">
        <f t="shared" ref="AM35:AM41" si="10">+IFERROR(ROUND(($AB35-AE35)*100,2)&amp;" pts.",0)</f>
        <v>0</v>
      </c>
      <c r="AN35" s="375">
        <f t="shared" ref="AN35:AN41" si="11">+IFERROR(ROUND(($AB35-AH35)*100,2)&amp;" pts.",0)</f>
        <v>0</v>
      </c>
    </row>
    <row r="36" spans="1:40" x14ac:dyDescent="0.2">
      <c r="H36" s="10" t="s">
        <v>927</v>
      </c>
      <c r="I36" s="25" t="s">
        <v>1058</v>
      </c>
      <c r="J36" s="25" t="s">
        <v>78</v>
      </c>
      <c r="K36" s="64" t="str">
        <f t="shared" si="0"/>
        <v>&gt;</v>
      </c>
      <c r="L36" s="24"/>
      <c r="M36" s="24"/>
      <c r="N36" s="24" t="s">
        <v>1547</v>
      </c>
      <c r="O36" s="19">
        <v>2241.73</v>
      </c>
      <c r="P36" s="19">
        <v>2032.86</v>
      </c>
      <c r="Q36" s="19">
        <v>2466.65</v>
      </c>
      <c r="R36" s="19">
        <v>2620.02</v>
      </c>
      <c r="S36" s="19">
        <v>2237.4499999999998</v>
      </c>
      <c r="T36" s="19">
        <v>2020.16</v>
      </c>
      <c r="U36" s="19">
        <v>2051.7399999999998</v>
      </c>
      <c r="V36" s="19">
        <v>2226.17</v>
      </c>
      <c r="W36" s="19">
        <v>2019.98</v>
      </c>
      <c r="X36" s="19">
        <v>2182.27</v>
      </c>
      <c r="Y36" s="19">
        <v>2310.16</v>
      </c>
      <c r="Z36" s="19">
        <v>2519.9499999999998</v>
      </c>
      <c r="AA36" s="35">
        <f t="shared" si="1"/>
        <v>26929.14</v>
      </c>
      <c r="AB36" s="15">
        <f t="shared" si="2"/>
        <v>2.4844173025512718E-3</v>
      </c>
      <c r="AD36" s="19">
        <v>28846.7522107201</v>
      </c>
      <c r="AE36" s="15">
        <f t="shared" si="3"/>
        <v>2.5666237627195998E-3</v>
      </c>
      <c r="AF36" s="47">
        <f t="shared" si="4"/>
        <v>-1917.6122107201008</v>
      </c>
      <c r="AG36" s="19">
        <v>32294.95</v>
      </c>
      <c r="AH36" s="15">
        <f t="shared" si="5"/>
        <v>2.4957057951767751E-3</v>
      </c>
      <c r="AI36" s="47">
        <f t="shared" si="6"/>
        <v>-5365.8100000000013</v>
      </c>
      <c r="AJ36" s="371">
        <f t="shared" si="7"/>
        <v>0.5574006458022851</v>
      </c>
      <c r="AK36" s="372">
        <f t="shared" si="8"/>
        <v>0.59709290053651476</v>
      </c>
      <c r="AL36" s="373">
        <f t="shared" si="9"/>
        <v>0.67029784142797844</v>
      </c>
      <c r="AM36" s="374" t="str">
        <f t="shared" si="10"/>
        <v>-0.01 pts.</v>
      </c>
      <c r="AN36" s="375" t="str">
        <f t="shared" si="11"/>
        <v>0 pts.</v>
      </c>
    </row>
    <row r="37" spans="1:40" x14ac:dyDescent="0.2">
      <c r="A37" s="1" t="s">
        <v>105</v>
      </c>
      <c r="C37" s="24" t="s">
        <v>101</v>
      </c>
      <c r="D37" s="1" t="s">
        <v>106</v>
      </c>
      <c r="F37" s="1" t="s">
        <v>98</v>
      </c>
      <c r="H37" s="10" t="s">
        <v>928</v>
      </c>
      <c r="I37" s="25" t="s">
        <v>1058</v>
      </c>
      <c r="J37" s="25" t="s">
        <v>78</v>
      </c>
      <c r="K37" s="64" t="str">
        <f t="shared" si="0"/>
        <v>&gt;</v>
      </c>
      <c r="L37" s="24"/>
      <c r="M37" s="24"/>
      <c r="N37" s="24" t="s">
        <v>1548</v>
      </c>
      <c r="O37" s="19">
        <v>9585.25</v>
      </c>
      <c r="P37" s="19">
        <v>10093.32</v>
      </c>
      <c r="Q37" s="19">
        <v>10174.19</v>
      </c>
      <c r="R37" s="19">
        <v>11185.22</v>
      </c>
      <c r="S37" s="19">
        <v>9514.94</v>
      </c>
      <c r="T37" s="19">
        <v>8554.68</v>
      </c>
      <c r="U37" s="19">
        <v>8596.83</v>
      </c>
      <c r="V37" s="19">
        <v>9279.1299999999992</v>
      </c>
      <c r="W37" s="19">
        <v>8333.52</v>
      </c>
      <c r="X37" s="19">
        <v>9027.5300000000007</v>
      </c>
      <c r="Y37" s="19">
        <v>9793.26</v>
      </c>
      <c r="Z37" s="19">
        <v>9510.6200000000008</v>
      </c>
      <c r="AA37" s="35">
        <f t="shared" si="1"/>
        <v>113648.49</v>
      </c>
      <c r="AB37" s="15">
        <f t="shared" si="2"/>
        <v>1.0484934719966E-2</v>
      </c>
      <c r="AD37" s="19">
        <v>73588.3015643869</v>
      </c>
      <c r="AE37" s="15">
        <f t="shared" si="3"/>
        <v>6.5474782767101832E-3</v>
      </c>
      <c r="AF37" s="47">
        <f t="shared" si="4"/>
        <v>40060.188435613105</v>
      </c>
      <c r="AG37" s="19">
        <v>129692.05</v>
      </c>
      <c r="AH37" s="15">
        <f t="shared" si="5"/>
        <v>1.0022409100288314E-2</v>
      </c>
      <c r="AI37" s="47">
        <f t="shared" si="6"/>
        <v>-16043.559999999998</v>
      </c>
      <c r="AJ37" s="371">
        <f t="shared" si="7"/>
        <v>2.3523863636363638</v>
      </c>
      <c r="AK37" s="372">
        <f t="shared" si="8"/>
        <v>1.5231888881517408</v>
      </c>
      <c r="AL37" s="373">
        <f t="shared" si="9"/>
        <v>2.6918233706932337</v>
      </c>
      <c r="AM37" s="374" t="str">
        <f t="shared" si="10"/>
        <v>0.39 pts.</v>
      </c>
      <c r="AN37" s="375" t="str">
        <f t="shared" si="11"/>
        <v>0.05 pts.</v>
      </c>
    </row>
    <row r="38" spans="1:40" x14ac:dyDescent="0.2">
      <c r="A38" s="1" t="s">
        <v>102</v>
      </c>
      <c r="C38" s="24" t="s">
        <v>101</v>
      </c>
      <c r="D38" s="1" t="s">
        <v>106</v>
      </c>
      <c r="F38" s="1" t="s">
        <v>98</v>
      </c>
      <c r="H38" s="10" t="s">
        <v>929</v>
      </c>
      <c r="I38" s="25" t="s">
        <v>1058</v>
      </c>
      <c r="J38" s="25" t="s">
        <v>78</v>
      </c>
      <c r="K38" s="64" t="str">
        <f t="shared" si="0"/>
        <v>&gt;</v>
      </c>
      <c r="L38" s="24"/>
      <c r="M38" s="24"/>
      <c r="N38" s="24" t="s">
        <v>1549</v>
      </c>
      <c r="O38" s="19">
        <v>635.05999999999995</v>
      </c>
      <c r="P38" s="19">
        <v>270.24</v>
      </c>
      <c r="Q38" s="19">
        <v>145.25</v>
      </c>
      <c r="R38" s="19">
        <v>152.9</v>
      </c>
      <c r="S38" s="19">
        <v>111.55</v>
      </c>
      <c r="T38" s="19">
        <v>49.55</v>
      </c>
      <c r="U38" s="19">
        <v>23.38</v>
      </c>
      <c r="V38" s="19">
        <v>18.52</v>
      </c>
      <c r="W38" s="19">
        <v>12.46</v>
      </c>
      <c r="X38" s="19">
        <v>65.75</v>
      </c>
      <c r="Y38" s="19">
        <v>46.11</v>
      </c>
      <c r="Z38" s="19">
        <v>534.13</v>
      </c>
      <c r="AA38" s="35">
        <f t="shared" si="1"/>
        <v>2064.9</v>
      </c>
      <c r="AB38" s="15">
        <f t="shared" si="2"/>
        <v>1.9050267806688671E-4</v>
      </c>
      <c r="AD38" s="19">
        <v>14783.319675131501</v>
      </c>
      <c r="AE38" s="15">
        <f t="shared" si="3"/>
        <v>1.3153376606456291E-3</v>
      </c>
      <c r="AF38" s="47">
        <f t="shared" si="4"/>
        <v>-12718.419675131501</v>
      </c>
      <c r="AG38" s="19">
        <v>1337.09</v>
      </c>
      <c r="AH38" s="15">
        <f t="shared" si="5"/>
        <v>1.0332833033254159E-4</v>
      </c>
      <c r="AI38" s="47">
        <f t="shared" si="6"/>
        <v>727.81000000000017</v>
      </c>
      <c r="AJ38" s="371">
        <f t="shared" si="7"/>
        <v>4.2740933929458519E-2</v>
      </c>
      <c r="AK38" s="372">
        <f t="shared" si="8"/>
        <v>0.30599684705935382</v>
      </c>
      <c r="AL38" s="373">
        <f t="shared" si="9"/>
        <v>2.7751971772519715E-2</v>
      </c>
      <c r="AM38" s="374" t="str">
        <f t="shared" si="10"/>
        <v>-0.11 pts.</v>
      </c>
      <c r="AN38" s="375" t="str">
        <f t="shared" si="11"/>
        <v>0.01 pts.</v>
      </c>
    </row>
    <row r="39" spans="1:40" x14ac:dyDescent="0.2">
      <c r="A39" s="1" t="s">
        <v>108</v>
      </c>
      <c r="C39" s="23" t="s">
        <v>101</v>
      </c>
      <c r="D39" s="1" t="s">
        <v>106</v>
      </c>
      <c r="F39" s="1" t="s">
        <v>98</v>
      </c>
      <c r="H39" s="10" t="s">
        <v>930</v>
      </c>
      <c r="I39" s="25" t="s">
        <v>1058</v>
      </c>
      <c r="J39" s="25" t="s">
        <v>78</v>
      </c>
      <c r="K39" s="64" t="str">
        <f t="shared" si="0"/>
        <v>&gt;</v>
      </c>
      <c r="L39" s="24"/>
      <c r="M39" s="24"/>
      <c r="N39" s="24" t="s">
        <v>1550</v>
      </c>
      <c r="O39" s="19">
        <v>170.31</v>
      </c>
      <c r="P39" s="19">
        <v>49.5</v>
      </c>
      <c r="Q39" s="19">
        <v>24.2</v>
      </c>
      <c r="R39" s="19">
        <v>25.51</v>
      </c>
      <c r="S39" s="19">
        <v>18.59</v>
      </c>
      <c r="T39" s="19">
        <v>8.26</v>
      </c>
      <c r="U39" s="19">
        <v>3.89</v>
      </c>
      <c r="V39" s="19">
        <v>3.09</v>
      </c>
      <c r="W39" s="19">
        <v>2.0699999999999998</v>
      </c>
      <c r="X39" s="19">
        <v>10.95</v>
      </c>
      <c r="Y39" s="19">
        <v>7.68</v>
      </c>
      <c r="Z39" s="19">
        <v>147.52000000000001</v>
      </c>
      <c r="AA39" s="35">
        <f t="shared" si="1"/>
        <v>471.56999999999994</v>
      </c>
      <c r="AB39" s="15">
        <f t="shared" si="2"/>
        <v>4.3505907257495155E-5</v>
      </c>
      <c r="AD39" s="19">
        <v>16060.495094076399</v>
      </c>
      <c r="AE39" s="15">
        <f t="shared" si="3"/>
        <v>1.4289736344800473E-3</v>
      </c>
      <c r="AF39" s="47">
        <f t="shared" si="4"/>
        <v>-15588.9250940764</v>
      </c>
      <c r="AG39" s="19">
        <v>531.45000000000005</v>
      </c>
      <c r="AH39" s="15">
        <f t="shared" si="5"/>
        <v>4.106966707942565E-5</v>
      </c>
      <c r="AI39" s="47">
        <f t="shared" si="6"/>
        <v>-59.880000000000109</v>
      </c>
      <c r="AJ39" s="371">
        <f t="shared" si="7"/>
        <v>9.7609289617486324E-3</v>
      </c>
      <c r="AK39" s="372">
        <f t="shared" si="8"/>
        <v>0.33243283436985427</v>
      </c>
      <c r="AL39" s="373">
        <f t="shared" si="9"/>
        <v>1.1030510585305107E-2</v>
      </c>
      <c r="AM39" s="374" t="str">
        <f t="shared" si="10"/>
        <v>-0.14 pts.</v>
      </c>
      <c r="AN39" s="375" t="str">
        <f t="shared" si="11"/>
        <v>0 pts.</v>
      </c>
    </row>
    <row r="40" spans="1:40" x14ac:dyDescent="0.2">
      <c r="A40" s="1" t="s">
        <v>108</v>
      </c>
      <c r="C40" s="27" t="s">
        <v>101</v>
      </c>
      <c r="D40" s="1" t="s">
        <v>107</v>
      </c>
      <c r="F40" s="1" t="s">
        <v>99</v>
      </c>
      <c r="H40" s="10" t="s">
        <v>931</v>
      </c>
      <c r="I40" s="25" t="s">
        <v>1058</v>
      </c>
      <c r="J40" s="25" t="s">
        <v>78</v>
      </c>
      <c r="K40" s="64" t="str">
        <f t="shared" si="0"/>
        <v>&gt;</v>
      </c>
      <c r="L40" s="24"/>
      <c r="M40" s="24"/>
      <c r="N40" s="24" t="s">
        <v>1551</v>
      </c>
      <c r="O40" s="28">
        <v>15.24</v>
      </c>
      <c r="P40" s="28"/>
      <c r="Q40" s="28"/>
      <c r="R40" s="28"/>
      <c r="S40" s="28"/>
      <c r="T40" s="28"/>
      <c r="U40" s="28"/>
      <c r="V40" s="28"/>
      <c r="W40" s="28"/>
      <c r="X40" s="28"/>
      <c r="Y40" s="28"/>
      <c r="Z40" s="28"/>
      <c r="AA40" s="44">
        <f t="shared" si="1"/>
        <v>15.24</v>
      </c>
      <c r="AB40" s="29">
        <f t="shared" si="2"/>
        <v>1.4060055275022293E-6</v>
      </c>
      <c r="AD40" s="28"/>
      <c r="AE40" s="29" t="str">
        <f t="shared" si="3"/>
        <v/>
      </c>
      <c r="AF40" s="48">
        <f t="shared" si="4"/>
        <v>15.24</v>
      </c>
      <c r="AG40" s="28">
        <v>34.24</v>
      </c>
      <c r="AH40" s="29">
        <f t="shared" si="5"/>
        <v>2.6460163718120877E-6</v>
      </c>
      <c r="AI40" s="48">
        <f t="shared" si="6"/>
        <v>-19</v>
      </c>
      <c r="AJ40" s="381">
        <f t="shared" si="7"/>
        <v>3.1544957774465971E-4</v>
      </c>
      <c r="AK40" s="382">
        <f t="shared" si="8"/>
        <v>0</v>
      </c>
      <c r="AL40" s="383">
        <f t="shared" si="9"/>
        <v>7.1066832710668334E-4</v>
      </c>
      <c r="AM40" s="384">
        <f t="shared" si="10"/>
        <v>0</v>
      </c>
      <c r="AN40" s="385" t="str">
        <f t="shared" si="11"/>
        <v>0 pts.</v>
      </c>
    </row>
    <row r="41" spans="1:40" x14ac:dyDescent="0.2">
      <c r="H41" s="10" t="s">
        <v>852</v>
      </c>
      <c r="I41" s="447" t="s">
        <v>1007</v>
      </c>
      <c r="J41" s="447" t="s">
        <v>78</v>
      </c>
      <c r="K41" s="448" t="str">
        <f t="shared" si="0"/>
        <v/>
      </c>
      <c r="L41" s="151"/>
      <c r="M41" s="151"/>
      <c r="N41" s="151" t="s">
        <v>561</v>
      </c>
      <c r="O41" s="30">
        <v>12647.59</v>
      </c>
      <c r="P41" s="30">
        <v>12445.92</v>
      </c>
      <c r="Q41" s="30">
        <v>12810.29</v>
      </c>
      <c r="R41" s="30">
        <v>13983.65</v>
      </c>
      <c r="S41" s="30">
        <v>11882.53</v>
      </c>
      <c r="T41" s="30">
        <v>10632.65</v>
      </c>
      <c r="U41" s="30">
        <v>10675.84</v>
      </c>
      <c r="V41" s="30">
        <v>11526.91</v>
      </c>
      <c r="W41" s="30">
        <v>10368.030000000001</v>
      </c>
      <c r="X41" s="30">
        <v>11286.5</v>
      </c>
      <c r="Y41" s="30">
        <v>12157.21</v>
      </c>
      <c r="Z41" s="30">
        <v>13213.64</v>
      </c>
      <c r="AA41" s="30">
        <f t="shared" si="1"/>
        <v>143630.76</v>
      </c>
      <c r="AB41" s="31">
        <f t="shared" si="2"/>
        <v>1.3251026409405913E-2</v>
      </c>
      <c r="AC41" s="32"/>
      <c r="AD41" s="30">
        <v>133278.86854431499</v>
      </c>
      <c r="AE41" s="31">
        <f t="shared" si="3"/>
        <v>1.1858413334555467E-2</v>
      </c>
      <c r="AF41" s="49">
        <f t="shared" si="4"/>
        <v>10351.891455685021</v>
      </c>
      <c r="AG41" s="30">
        <v>163889.78</v>
      </c>
      <c r="AH41" s="31">
        <f t="shared" si="5"/>
        <v>1.2665158909248868E-2</v>
      </c>
      <c r="AI41" s="49">
        <f t="shared" si="6"/>
        <v>-20259.01999999999</v>
      </c>
      <c r="AJ41" s="336">
        <f t="shared" si="7"/>
        <v>2.9729831097863886</v>
      </c>
      <c r="AK41" s="337">
        <f t="shared" si="8"/>
        <v>2.7587114701174653</v>
      </c>
      <c r="AL41" s="339">
        <f t="shared" si="9"/>
        <v>3.4016143628061437</v>
      </c>
      <c r="AM41" s="386" t="str">
        <f t="shared" si="10"/>
        <v>0.14 pts.</v>
      </c>
      <c r="AN41" s="407" t="str">
        <f t="shared" si="11"/>
        <v>0.06 pts.</v>
      </c>
    </row>
    <row r="42" spans="1:40" x14ac:dyDescent="0.2">
      <c r="I42" s="1"/>
      <c r="J42" s="1"/>
      <c r="L42" s="24"/>
      <c r="M42" s="24"/>
      <c r="N42" s="24"/>
      <c r="O42" s="38"/>
      <c r="P42" s="42"/>
      <c r="Q42" s="42"/>
      <c r="R42" s="42"/>
      <c r="S42" s="42"/>
      <c r="T42" s="42"/>
      <c r="U42" s="42"/>
      <c r="V42" s="42"/>
      <c r="W42" s="42"/>
      <c r="X42" s="42"/>
      <c r="Y42" s="42"/>
      <c r="Z42" s="42"/>
      <c r="AA42" s="42"/>
      <c r="AB42" s="39"/>
      <c r="AD42" s="38"/>
      <c r="AE42" s="42"/>
      <c r="AF42" s="39"/>
      <c r="AG42" s="38"/>
      <c r="AH42" s="42"/>
      <c r="AI42" s="39"/>
    </row>
    <row r="43" spans="1:40" x14ac:dyDescent="0.2">
      <c r="A43" s="3" t="s">
        <v>23</v>
      </c>
      <c r="B43" s="5" t="s">
        <v>24</v>
      </c>
      <c r="N43" s="8" t="s">
        <v>560</v>
      </c>
      <c r="O43" s="40"/>
      <c r="P43" s="43"/>
      <c r="Q43" s="43"/>
      <c r="R43" s="43"/>
      <c r="S43" s="43"/>
      <c r="T43" s="43"/>
      <c r="U43" s="43"/>
      <c r="V43" s="43"/>
      <c r="W43" s="43"/>
      <c r="X43" s="43"/>
      <c r="Y43" s="43"/>
      <c r="Z43" s="43"/>
      <c r="AA43" s="43"/>
      <c r="AB43" s="41"/>
      <c r="AD43" s="40"/>
      <c r="AE43" s="43"/>
      <c r="AF43" s="41"/>
      <c r="AG43" s="40"/>
      <c r="AH43" s="43"/>
      <c r="AI43" s="41"/>
    </row>
    <row r="44" spans="1:40" x14ac:dyDescent="0.2">
      <c r="A44" s="6" t="s">
        <v>25</v>
      </c>
      <c r="B44" s="7"/>
      <c r="H44" s="10" t="s">
        <v>920</v>
      </c>
      <c r="I44" s="25" t="s">
        <v>1004</v>
      </c>
      <c r="J44" s="25" t="s">
        <v>1004</v>
      </c>
      <c r="K44" s="64" t="str">
        <f t="shared" ref="K44:K50" si="12">IF(AND(I44&gt;="T4"),"&gt;","")</f>
        <v/>
      </c>
      <c r="L44" s="24">
        <v>692100</v>
      </c>
      <c r="M44" s="24">
        <v>490400</v>
      </c>
      <c r="N44" s="24" t="s">
        <v>1552</v>
      </c>
      <c r="O44" s="19"/>
      <c r="P44" s="19"/>
      <c r="Q44" s="19"/>
      <c r="R44" s="19"/>
      <c r="S44" s="19"/>
      <c r="T44" s="19"/>
      <c r="U44" s="19"/>
      <c r="V44" s="19"/>
      <c r="W44" s="19">
        <v>155.47</v>
      </c>
      <c r="X44" s="19"/>
      <c r="Y44" s="19"/>
      <c r="Z44" s="19">
        <v>356.54</v>
      </c>
      <c r="AA44" s="19">
        <f t="shared" ref="AA44:AA50" si="13">IF($I44="B1","",SUM(O44:Z44))</f>
        <v>512.01</v>
      </c>
      <c r="AB44" s="15">
        <f t="shared" ref="AB44:AB50" si="14">IF(AA44=0,"",IFERROR(AA44/AA$19,""))</f>
        <v>4.7236803814725487E-5</v>
      </c>
      <c r="AD44" s="19"/>
      <c r="AE44" s="15" t="str">
        <f t="shared" ref="AE44:AE50" si="15">IF(AD44=0,"",IFERROR(AD44/AD$19,""))</f>
        <v/>
      </c>
      <c r="AF44" s="47">
        <f t="shared" ref="AF44:AF50" si="16">IF(AND($AA44="",AD44=""),"",$AA44-AD44)</f>
        <v>512.01</v>
      </c>
      <c r="AG44" s="19">
        <v>809.08</v>
      </c>
      <c r="AH44" s="15">
        <f t="shared" ref="AH44:AH50" si="17">IF(AG44=0,"",IFERROR(AG44/AG$19,""))</f>
        <v>6.2524501346545685E-5</v>
      </c>
      <c r="AI44" s="47">
        <f t="shared" ref="AI44:AI50" si="18">IF(AND($AA44="",AG44=""),"",$AA44-AG44)</f>
        <v>-297.07000000000005</v>
      </c>
      <c r="AJ44" s="371">
        <f t="shared" ref="AJ44:AJ50" si="19">IFERROR(AA44/AA$20,0)</f>
        <v>1.0597988077496274E-2</v>
      </c>
      <c r="AK44" s="372">
        <f t="shared" ref="AK44:AK50" si="20">IFERROR(AD44/AD$20,0)</f>
        <v>0</v>
      </c>
      <c r="AL44" s="373">
        <f t="shared" ref="AL44:AL50" si="21">IFERROR(AG44/AG$20,0)</f>
        <v>1.6792860107928603E-2</v>
      </c>
      <c r="AM44" s="374">
        <f t="shared" ref="AM44:AM50" si="22">+IFERROR(ROUND(($AB44-AE44)*100,2)&amp;" pts.",0)</f>
        <v>0</v>
      </c>
      <c r="AN44" s="375" t="str">
        <f t="shared" ref="AN44:AN50" si="23">+IFERROR(ROUND(($AB44-AH44)*100,2)&amp;" pts.",0)</f>
        <v>0 pts.</v>
      </c>
    </row>
    <row r="45" spans="1:40" x14ac:dyDescent="0.2">
      <c r="A45" s="6" t="s">
        <v>26</v>
      </c>
      <c r="B45" s="7"/>
      <c r="H45" s="10" t="s">
        <v>921</v>
      </c>
      <c r="I45" s="25" t="s">
        <v>1004</v>
      </c>
      <c r="J45" s="25" t="s">
        <v>1004</v>
      </c>
      <c r="K45" s="64" t="str">
        <f t="shared" si="12"/>
        <v/>
      </c>
      <c r="L45" s="24">
        <v>692200</v>
      </c>
      <c r="M45" s="24">
        <v>490116</v>
      </c>
      <c r="N45" s="24" t="s">
        <v>1553</v>
      </c>
      <c r="O45" s="19"/>
      <c r="P45" s="19"/>
      <c r="Q45" s="19"/>
      <c r="R45" s="19"/>
      <c r="S45" s="19"/>
      <c r="T45" s="19">
        <v>556.32000000000005</v>
      </c>
      <c r="U45" s="19"/>
      <c r="V45" s="19"/>
      <c r="W45" s="19"/>
      <c r="X45" s="19">
        <v>342</v>
      </c>
      <c r="Y45" s="19">
        <v>1542.39</v>
      </c>
      <c r="Z45" s="19">
        <v>283.14</v>
      </c>
      <c r="AA45" s="19">
        <f t="shared" si="13"/>
        <v>2723.85</v>
      </c>
      <c r="AB45" s="15">
        <f t="shared" si="14"/>
        <v>2.5129581076686007E-4</v>
      </c>
      <c r="AD45" s="19"/>
      <c r="AE45" s="15" t="str">
        <f t="shared" si="15"/>
        <v/>
      </c>
      <c r="AF45" s="47">
        <f t="shared" si="16"/>
        <v>2723.85</v>
      </c>
      <c r="AG45" s="19">
        <v>4226.28</v>
      </c>
      <c r="AH45" s="15">
        <f t="shared" si="17"/>
        <v>3.2660064462213754E-4</v>
      </c>
      <c r="AI45" s="47">
        <f t="shared" si="18"/>
        <v>-1502.4299999999998</v>
      </c>
      <c r="AJ45" s="371">
        <f t="shared" si="19"/>
        <v>5.638040238450074E-2</v>
      </c>
      <c r="AK45" s="372">
        <f t="shared" si="20"/>
        <v>0</v>
      </c>
      <c r="AL45" s="373">
        <f t="shared" si="21"/>
        <v>8.7718555417185554E-2</v>
      </c>
      <c r="AM45" s="374">
        <f t="shared" si="22"/>
        <v>0</v>
      </c>
      <c r="AN45" s="375" t="str">
        <f t="shared" si="23"/>
        <v>-0.01 pts.</v>
      </c>
    </row>
    <row r="46" spans="1:40" x14ac:dyDescent="0.2">
      <c r="A46" s="6" t="s">
        <v>27</v>
      </c>
      <c r="B46" s="7"/>
      <c r="H46" s="10" t="s">
        <v>922</v>
      </c>
      <c r="I46" s="25" t="s">
        <v>1004</v>
      </c>
      <c r="J46" s="25" t="s">
        <v>1004</v>
      </c>
      <c r="K46" s="64" t="str">
        <f t="shared" si="12"/>
        <v/>
      </c>
      <c r="L46" s="24">
        <v>692300</v>
      </c>
      <c r="M46" s="24">
        <v>490111</v>
      </c>
      <c r="N46" s="24" t="s">
        <v>1554</v>
      </c>
      <c r="O46" s="19">
        <v>880</v>
      </c>
      <c r="P46" s="19">
        <v>1800</v>
      </c>
      <c r="Q46" s="19"/>
      <c r="R46" s="19"/>
      <c r="S46" s="19"/>
      <c r="T46" s="19"/>
      <c r="U46" s="19"/>
      <c r="V46" s="19"/>
      <c r="W46" s="19"/>
      <c r="X46" s="19"/>
      <c r="Y46" s="19"/>
      <c r="Z46" s="19"/>
      <c r="AA46" s="19">
        <f t="shared" si="13"/>
        <v>2680</v>
      </c>
      <c r="AB46" s="15">
        <f t="shared" si="14"/>
        <v>2.4725031585997209E-4</v>
      </c>
      <c r="AD46" s="19"/>
      <c r="AE46" s="15" t="str">
        <f t="shared" si="15"/>
        <v/>
      </c>
      <c r="AF46" s="47">
        <f t="shared" si="16"/>
        <v>2680</v>
      </c>
      <c r="AG46" s="19">
        <v>961.6</v>
      </c>
      <c r="AH46" s="15">
        <f t="shared" si="17"/>
        <v>7.4311020535470311E-5</v>
      </c>
      <c r="AI46" s="47">
        <f t="shared" si="18"/>
        <v>1718.4</v>
      </c>
      <c r="AJ46" s="371">
        <f t="shared" si="19"/>
        <v>5.5472760390793178E-2</v>
      </c>
      <c r="AK46" s="372">
        <f t="shared" si="20"/>
        <v>0</v>
      </c>
      <c r="AL46" s="373">
        <f t="shared" si="21"/>
        <v>1.995848899958489E-2</v>
      </c>
      <c r="AM46" s="374">
        <f t="shared" si="22"/>
        <v>0</v>
      </c>
      <c r="AN46" s="375" t="str">
        <f t="shared" si="23"/>
        <v>0.02 pts.</v>
      </c>
    </row>
    <row r="47" spans="1:40" x14ac:dyDescent="0.2">
      <c r="A47" s="6" t="s">
        <v>28</v>
      </c>
      <c r="B47" s="7"/>
      <c r="H47" s="10" t="s">
        <v>923</v>
      </c>
      <c r="I47" s="25" t="s">
        <v>1058</v>
      </c>
      <c r="J47" s="25" t="s">
        <v>78</v>
      </c>
      <c r="K47" s="64" t="str">
        <f t="shared" si="12"/>
        <v>&gt;</v>
      </c>
      <c r="L47" s="24"/>
      <c r="M47" s="24"/>
      <c r="N47" s="24" t="s">
        <v>1555</v>
      </c>
      <c r="O47" s="19">
        <v>2786.09</v>
      </c>
      <c r="P47" s="19">
        <v>3453.97</v>
      </c>
      <c r="Q47" s="19">
        <v>816.44</v>
      </c>
      <c r="R47" s="19">
        <v>2587.17</v>
      </c>
      <c r="S47" s="19">
        <v>3292.95</v>
      </c>
      <c r="T47" s="19">
        <v>1927.89</v>
      </c>
      <c r="U47" s="19">
        <v>3145.2</v>
      </c>
      <c r="V47" s="19">
        <v>6071.4</v>
      </c>
      <c r="W47" s="19">
        <v>2981.91</v>
      </c>
      <c r="X47" s="19">
        <v>1093.48</v>
      </c>
      <c r="Y47" s="19"/>
      <c r="Z47" s="19">
        <v>8870.02</v>
      </c>
      <c r="AA47" s="19">
        <f t="shared" si="13"/>
        <v>37026.520000000004</v>
      </c>
      <c r="AB47" s="15">
        <f t="shared" si="14"/>
        <v>3.4159771511923787E-3</v>
      </c>
      <c r="AD47" s="19">
        <v>37152.452351223597</v>
      </c>
      <c r="AE47" s="15">
        <f t="shared" si="15"/>
        <v>3.3056188215365742E-3</v>
      </c>
      <c r="AF47" s="47">
        <f t="shared" si="16"/>
        <v>-125.93235122359329</v>
      </c>
      <c r="AG47" s="19">
        <v>29234.12</v>
      </c>
      <c r="AH47" s="15">
        <f t="shared" si="17"/>
        <v>2.2591693964812845E-3</v>
      </c>
      <c r="AI47" s="47">
        <f t="shared" si="18"/>
        <v>7792.4000000000051</v>
      </c>
      <c r="AJ47" s="371">
        <f t="shared" si="19"/>
        <v>0.76640420599436998</v>
      </c>
      <c r="AK47" s="372">
        <f t="shared" si="20"/>
        <v>0.76901085343648778</v>
      </c>
      <c r="AL47" s="373">
        <f t="shared" si="21"/>
        <v>0.60676878372768783</v>
      </c>
      <c r="AM47" s="374" t="str">
        <f t="shared" si="22"/>
        <v>0.01 pts.</v>
      </c>
      <c r="AN47" s="375" t="str">
        <f t="shared" si="23"/>
        <v>0.12 pts.</v>
      </c>
    </row>
    <row r="48" spans="1:40" x14ac:dyDescent="0.2">
      <c r="A48" s="6" t="s">
        <v>29</v>
      </c>
      <c r="B48" s="7"/>
      <c r="H48" s="10" t="s">
        <v>924</v>
      </c>
      <c r="I48" s="25" t="s">
        <v>1004</v>
      </c>
      <c r="J48" s="25" t="s">
        <v>1004</v>
      </c>
      <c r="K48" s="64" t="str">
        <f t="shared" si="12"/>
        <v/>
      </c>
      <c r="L48" s="24">
        <v>692500</v>
      </c>
      <c r="M48" s="24">
        <v>490500</v>
      </c>
      <c r="N48" s="24" t="s">
        <v>1556</v>
      </c>
      <c r="O48" s="19">
        <v>13356.81</v>
      </c>
      <c r="P48" s="19">
        <v>983.23</v>
      </c>
      <c r="Q48" s="19">
        <v>613.99</v>
      </c>
      <c r="R48" s="19">
        <v>117.44</v>
      </c>
      <c r="S48" s="19">
        <v>6753.87</v>
      </c>
      <c r="T48" s="19"/>
      <c r="U48" s="19">
        <v>7040.35</v>
      </c>
      <c r="V48" s="19">
        <v>426</v>
      </c>
      <c r="W48" s="19">
        <v>7696.49</v>
      </c>
      <c r="X48" s="19">
        <v>114</v>
      </c>
      <c r="Y48" s="19">
        <v>7112.57</v>
      </c>
      <c r="Z48" s="19">
        <v>6963.52</v>
      </c>
      <c r="AA48" s="19">
        <f t="shared" si="13"/>
        <v>51178.270000000004</v>
      </c>
      <c r="AB48" s="15">
        <f t="shared" si="14"/>
        <v>4.7215833666667669E-3</v>
      </c>
      <c r="AD48" s="19">
        <v>44068.410350762599</v>
      </c>
      <c r="AE48" s="15">
        <f t="shared" si="15"/>
        <v>3.9209623449225784E-3</v>
      </c>
      <c r="AF48" s="47">
        <f t="shared" si="16"/>
        <v>7109.8596492374054</v>
      </c>
      <c r="AG48" s="19">
        <v>51719.96</v>
      </c>
      <c r="AH48" s="15">
        <f t="shared" si="17"/>
        <v>3.9968417321689922E-3</v>
      </c>
      <c r="AI48" s="47">
        <f t="shared" si="18"/>
        <v>-541.68999999999505</v>
      </c>
      <c r="AJ48" s="371">
        <f t="shared" si="19"/>
        <v>1.0593283242258653</v>
      </c>
      <c r="AK48" s="372">
        <f t="shared" si="20"/>
        <v>0.91216282395186699</v>
      </c>
      <c r="AL48" s="373">
        <f t="shared" si="21"/>
        <v>1.0734736405147365</v>
      </c>
      <c r="AM48" s="374" t="str">
        <f t="shared" si="22"/>
        <v>0.08 pts.</v>
      </c>
      <c r="AN48" s="375" t="str">
        <f t="shared" si="23"/>
        <v>0.07 pts.</v>
      </c>
    </row>
    <row r="49" spans="1:40" x14ac:dyDescent="0.2">
      <c r="A49" s="6" t="s">
        <v>30</v>
      </c>
      <c r="B49" s="7" t="s">
        <v>78</v>
      </c>
      <c r="H49" s="10" t="s">
        <v>925</v>
      </c>
      <c r="I49" s="25" t="s">
        <v>1058</v>
      </c>
      <c r="J49" s="25" t="s">
        <v>78</v>
      </c>
      <c r="K49" s="64" t="str">
        <f t="shared" si="12"/>
        <v>&gt;</v>
      </c>
      <c r="L49" s="24"/>
      <c r="M49" s="24"/>
      <c r="N49" s="24" t="s">
        <v>1557</v>
      </c>
      <c r="O49" s="28">
        <v>880.85</v>
      </c>
      <c r="P49" s="28">
        <v>8101.51</v>
      </c>
      <c r="Q49" s="28">
        <v>7650.67</v>
      </c>
      <c r="R49" s="28">
        <v>8915.01</v>
      </c>
      <c r="S49" s="28">
        <v>11026.84</v>
      </c>
      <c r="T49" s="28">
        <v>8110.61</v>
      </c>
      <c r="U49" s="28">
        <v>11678.84</v>
      </c>
      <c r="V49" s="28">
        <v>8084.55</v>
      </c>
      <c r="W49" s="28">
        <v>9410.52</v>
      </c>
      <c r="X49" s="28">
        <v>9051.85</v>
      </c>
      <c r="Y49" s="28"/>
      <c r="Z49" s="28">
        <v>-19030.98</v>
      </c>
      <c r="AA49" s="28">
        <f t="shared" si="13"/>
        <v>63880.270000000019</v>
      </c>
      <c r="AB49" s="29">
        <f t="shared" si="14"/>
        <v>5.8934391547463818E-3</v>
      </c>
      <c r="AD49" s="28">
        <v>84559.806440826898</v>
      </c>
      <c r="AE49" s="29">
        <f t="shared" si="15"/>
        <v>7.52366183189738E-3</v>
      </c>
      <c r="AF49" s="48">
        <f t="shared" si="16"/>
        <v>-20679.53644082688</v>
      </c>
      <c r="AG49" s="28">
        <v>108891.96</v>
      </c>
      <c r="AH49" s="29">
        <f t="shared" si="17"/>
        <v>8.4150090221584983E-3</v>
      </c>
      <c r="AI49" s="48">
        <f t="shared" si="18"/>
        <v>-45011.689999999988</v>
      </c>
      <c r="AJ49" s="381">
        <f t="shared" si="19"/>
        <v>1.3222443699287965</v>
      </c>
      <c r="AK49" s="382">
        <f t="shared" si="20"/>
        <v>1.7502857766357613</v>
      </c>
      <c r="AL49" s="383">
        <f t="shared" si="21"/>
        <v>2.2601070983810709</v>
      </c>
      <c r="AM49" s="384" t="str">
        <f t="shared" si="22"/>
        <v>-0.16 pts.</v>
      </c>
      <c r="AN49" s="385" t="str">
        <f t="shared" si="23"/>
        <v>-0.25 pts.</v>
      </c>
    </row>
    <row r="50" spans="1:40" x14ac:dyDescent="0.2">
      <c r="A50" s="6" t="s">
        <v>31</v>
      </c>
      <c r="B50" s="7" t="s">
        <v>78</v>
      </c>
      <c r="H50" s="10" t="s">
        <v>853</v>
      </c>
      <c r="I50" s="447" t="s">
        <v>1007</v>
      </c>
      <c r="J50" s="447" t="s">
        <v>78</v>
      </c>
      <c r="K50" s="448" t="str">
        <f t="shared" si="12"/>
        <v/>
      </c>
      <c r="L50" s="151"/>
      <c r="M50" s="151"/>
      <c r="N50" s="151" t="s">
        <v>560</v>
      </c>
      <c r="O50" s="30">
        <v>17903.75</v>
      </c>
      <c r="P50" s="30">
        <v>14338.71</v>
      </c>
      <c r="Q50" s="30">
        <v>9081.1</v>
      </c>
      <c r="R50" s="30">
        <v>11619.62</v>
      </c>
      <c r="S50" s="30">
        <v>21073.66</v>
      </c>
      <c r="T50" s="30">
        <v>10594.82</v>
      </c>
      <c r="U50" s="30">
        <v>21864.39</v>
      </c>
      <c r="V50" s="30">
        <v>14581.95</v>
      </c>
      <c r="W50" s="30">
        <v>20244.39</v>
      </c>
      <c r="X50" s="30">
        <v>10601.33</v>
      </c>
      <c r="Y50" s="30">
        <v>8654.9599999999991</v>
      </c>
      <c r="Z50" s="30">
        <v>-2557.7600000000002</v>
      </c>
      <c r="AA50" s="30">
        <f t="shared" si="13"/>
        <v>158000.91999999998</v>
      </c>
      <c r="AB50" s="31">
        <f t="shared" si="14"/>
        <v>1.4576782603047081E-2</v>
      </c>
      <c r="AC50" s="32"/>
      <c r="AD50" s="30">
        <v>165780.66914281301</v>
      </c>
      <c r="AE50" s="31">
        <f t="shared" si="15"/>
        <v>1.4750242998356526E-2</v>
      </c>
      <c r="AF50" s="49">
        <f t="shared" si="16"/>
        <v>-7779.7491428130306</v>
      </c>
      <c r="AG50" s="30">
        <v>195843</v>
      </c>
      <c r="AH50" s="31">
        <f t="shared" si="17"/>
        <v>1.5134456317312929E-2</v>
      </c>
      <c r="AI50" s="49">
        <f t="shared" si="18"/>
        <v>-37842.080000000016</v>
      </c>
      <c r="AJ50" s="336">
        <f t="shared" si="19"/>
        <v>3.2704280510018213</v>
      </c>
      <c r="AK50" s="337">
        <f t="shared" si="20"/>
        <v>3.4314594540241146</v>
      </c>
      <c r="AL50" s="339">
        <f t="shared" si="21"/>
        <v>4.0648194271481941</v>
      </c>
      <c r="AM50" s="386" t="str">
        <f t="shared" si="22"/>
        <v>-0.02 pts.</v>
      </c>
      <c r="AN50" s="407" t="str">
        <f t="shared" si="23"/>
        <v>-0.06 pts.</v>
      </c>
    </row>
    <row r="51" spans="1:40" x14ac:dyDescent="0.2">
      <c r="A51" s="6" t="s">
        <v>32</v>
      </c>
      <c r="B51" s="7"/>
      <c r="I51" s="1"/>
      <c r="J51" s="1"/>
      <c r="L51" s="1"/>
      <c r="M51" s="1"/>
      <c r="N51" s="24"/>
      <c r="O51" s="38"/>
      <c r="P51" s="42"/>
      <c r="Q51" s="42"/>
      <c r="R51" s="42"/>
      <c r="S51" s="42"/>
      <c r="T51" s="42"/>
      <c r="U51" s="42"/>
      <c r="V51" s="42"/>
      <c r="W51" s="42"/>
      <c r="X51" s="42"/>
      <c r="Y51" s="42"/>
      <c r="Z51" s="42"/>
      <c r="AA51" s="42"/>
      <c r="AB51" s="39"/>
      <c r="AD51" s="38"/>
      <c r="AE51" s="42"/>
      <c r="AF51" s="39"/>
      <c r="AG51" s="38"/>
      <c r="AH51" s="42"/>
      <c r="AI51" s="39"/>
    </row>
    <row r="52" spans="1:40" x14ac:dyDescent="0.2">
      <c r="A52" s="6" t="s">
        <v>33</v>
      </c>
      <c r="B52" s="7"/>
      <c r="N52" s="8" t="s">
        <v>562</v>
      </c>
      <c r="O52" s="40"/>
      <c r="P52" s="43"/>
      <c r="Q52" s="43"/>
      <c r="R52" s="43"/>
      <c r="S52" s="43"/>
      <c r="T52" s="43"/>
      <c r="U52" s="43"/>
      <c r="V52" s="43"/>
      <c r="W52" s="43"/>
      <c r="X52" s="43"/>
      <c r="Y52" s="43"/>
      <c r="Z52" s="43"/>
      <c r="AA52" s="43"/>
      <c r="AB52" s="41"/>
      <c r="AD52" s="40"/>
      <c r="AE52" s="43"/>
      <c r="AF52" s="41"/>
      <c r="AG52" s="40"/>
      <c r="AH52" s="43"/>
      <c r="AI52" s="41"/>
    </row>
    <row r="53" spans="1:40" x14ac:dyDescent="0.2">
      <c r="A53" s="6" t="s">
        <v>34</v>
      </c>
      <c r="B53" s="7"/>
      <c r="H53" s="10" t="s">
        <v>911</v>
      </c>
      <c r="I53" s="25" t="s">
        <v>1004</v>
      </c>
      <c r="J53" s="25" t="s">
        <v>1004</v>
      </c>
      <c r="K53" s="64" t="str">
        <f t="shared" ref="K53:K62" si="24">IF(AND(I53&gt;="T4"),"&gt;","")</f>
        <v/>
      </c>
      <c r="L53" s="24">
        <v>693040</v>
      </c>
      <c r="M53" s="24">
        <v>490120</v>
      </c>
      <c r="N53" s="24" t="s">
        <v>1558</v>
      </c>
      <c r="O53" s="19"/>
      <c r="P53" s="19"/>
      <c r="Q53" s="19"/>
      <c r="R53" s="19"/>
      <c r="S53" s="19"/>
      <c r="T53" s="19"/>
      <c r="U53" s="19"/>
      <c r="V53" s="19"/>
      <c r="W53" s="19"/>
      <c r="X53" s="19"/>
      <c r="Y53" s="19"/>
      <c r="Z53" s="19"/>
      <c r="AA53" s="19">
        <f t="shared" ref="AA53:AA62" si="25">IF($I53="B1","",SUM(O53:Z53))</f>
        <v>0</v>
      </c>
      <c r="AB53" s="15" t="str">
        <f t="shared" ref="AB53:AB62" si="26">IF(AA53=0,"",IFERROR(AA53/AA$19,""))</f>
        <v/>
      </c>
      <c r="AD53" s="19"/>
      <c r="AE53" s="15" t="str">
        <f t="shared" ref="AE53:AE62" si="27">IF(AD53=0,"",IFERROR(AD53/AD$19,""))</f>
        <v/>
      </c>
      <c r="AF53" s="47">
        <f t="shared" ref="AF53:AF62" si="28">IF(AND($AA53="",AD53=""),"",$AA53-AD53)</f>
        <v>0</v>
      </c>
      <c r="AG53" s="19">
        <v>20.46</v>
      </c>
      <c r="AH53" s="15">
        <f t="shared" ref="AH53:AH62" si="29">IF(AG53=0,"",IFERROR(AG53/AG$19,""))</f>
        <v>1.5811184277825736E-6</v>
      </c>
      <c r="AI53" s="47">
        <f t="shared" ref="AI53:AI62" si="30">IF(AND($AA53="",AG53=""),"",$AA53-AG53)</f>
        <v>-20.46</v>
      </c>
      <c r="AJ53" s="371">
        <f t="shared" ref="AJ53:AJ62" si="31">IFERROR(AA53/AA$20,0)</f>
        <v>0</v>
      </c>
      <c r="AK53" s="372">
        <f t="shared" ref="AK53:AK62" si="32">IFERROR(AD53/AD$20,0)</f>
        <v>0</v>
      </c>
      <c r="AL53" s="373">
        <f t="shared" ref="AL53:AL62" si="33">IFERROR(AG53/AG$20,0)</f>
        <v>4.2465753424657536E-4</v>
      </c>
      <c r="AM53" s="374">
        <f t="shared" ref="AM53:AM62" si="34">+IFERROR(ROUND(($AB53-AE53)*100,2)&amp;" pts.",0)</f>
        <v>0</v>
      </c>
      <c r="AN53" s="375">
        <f t="shared" ref="AN53:AN62" si="35">+IFERROR(ROUND(($AB53-AH53)*100,2)&amp;" pts.",0)</f>
        <v>0</v>
      </c>
    </row>
    <row r="54" spans="1:40" x14ac:dyDescent="0.2">
      <c r="A54" s="6" t="s">
        <v>35</v>
      </c>
      <c r="B54" s="7"/>
      <c r="H54" s="10" t="s">
        <v>912</v>
      </c>
      <c r="I54" s="25" t="s">
        <v>1058</v>
      </c>
      <c r="J54" s="25" t="s">
        <v>78</v>
      </c>
      <c r="K54" s="64" t="str">
        <f t="shared" si="24"/>
        <v>&gt;</v>
      </c>
      <c r="L54" s="24"/>
      <c r="M54" s="24"/>
      <c r="N54" s="24" t="s">
        <v>1559</v>
      </c>
      <c r="O54" s="19">
        <v>6650.21</v>
      </c>
      <c r="P54" s="19">
        <v>6529.34</v>
      </c>
      <c r="Q54" s="19">
        <v>2808.59</v>
      </c>
      <c r="R54" s="19">
        <v>3112.01</v>
      </c>
      <c r="S54" s="19">
        <v>2684.89</v>
      </c>
      <c r="T54" s="19">
        <v>2439.02</v>
      </c>
      <c r="U54" s="19">
        <v>2552.64</v>
      </c>
      <c r="V54" s="19">
        <v>2608.59</v>
      </c>
      <c r="W54" s="19">
        <v>2109.87</v>
      </c>
      <c r="X54" s="19">
        <v>2328.6799999999998</v>
      </c>
      <c r="Y54" s="19">
        <v>2500.86</v>
      </c>
      <c r="Z54" s="19">
        <v>2719.74</v>
      </c>
      <c r="AA54" s="19">
        <f t="shared" si="25"/>
        <v>39044.439999999995</v>
      </c>
      <c r="AB54" s="15">
        <f t="shared" si="26"/>
        <v>3.6021455681252714E-3</v>
      </c>
      <c r="AD54" s="19">
        <v>17061.6585594401</v>
      </c>
      <c r="AE54" s="15">
        <f t="shared" si="27"/>
        <v>1.5180515979817497E-3</v>
      </c>
      <c r="AF54" s="47">
        <f t="shared" si="28"/>
        <v>21982.781440559895</v>
      </c>
      <c r="AG54" s="19">
        <v>70290.59</v>
      </c>
      <c r="AH54" s="15">
        <f t="shared" si="29"/>
        <v>5.431952451061069E-3</v>
      </c>
      <c r="AI54" s="47">
        <f t="shared" si="30"/>
        <v>-31246.15</v>
      </c>
      <c r="AJ54" s="371">
        <f t="shared" si="31"/>
        <v>0.80817271071369423</v>
      </c>
      <c r="AK54" s="372">
        <f t="shared" si="32"/>
        <v>0.35315570788706946</v>
      </c>
      <c r="AL54" s="373">
        <f t="shared" si="33"/>
        <v>1.4589163553341635</v>
      </c>
      <c r="AM54" s="374" t="str">
        <f t="shared" si="34"/>
        <v>0.21 pts.</v>
      </c>
      <c r="AN54" s="375" t="str">
        <f t="shared" si="35"/>
        <v>-0.18 pts.</v>
      </c>
    </row>
    <row r="55" spans="1:40" x14ac:dyDescent="0.2">
      <c r="A55" s="6" t="s">
        <v>36</v>
      </c>
      <c r="B55" s="7"/>
      <c r="H55" s="10" t="s">
        <v>913</v>
      </c>
      <c r="I55" s="25" t="s">
        <v>1004</v>
      </c>
      <c r="J55" s="25" t="s">
        <v>1004</v>
      </c>
      <c r="K55" s="64" t="str">
        <f t="shared" si="24"/>
        <v/>
      </c>
      <c r="L55" s="24">
        <v>693160</v>
      </c>
      <c r="M55" s="24">
        <v>490700</v>
      </c>
      <c r="N55" s="24" t="s">
        <v>1560</v>
      </c>
      <c r="O55" s="19">
        <v>625.23</v>
      </c>
      <c r="P55" s="19">
        <v>278.83999999999997</v>
      </c>
      <c r="Q55" s="19">
        <v>300.57</v>
      </c>
      <c r="R55" s="19">
        <v>310.64</v>
      </c>
      <c r="S55" s="19">
        <v>402.01</v>
      </c>
      <c r="T55" s="19">
        <v>194.23</v>
      </c>
      <c r="U55" s="19">
        <v>236.23</v>
      </c>
      <c r="V55" s="19">
        <v>194.17</v>
      </c>
      <c r="W55" s="19">
        <v>273.68</v>
      </c>
      <c r="X55" s="19">
        <v>241.39</v>
      </c>
      <c r="Y55" s="19">
        <v>239.3</v>
      </c>
      <c r="Z55" s="19">
        <v>264.45</v>
      </c>
      <c r="AA55" s="19">
        <f t="shared" si="25"/>
        <v>3560.7399999999993</v>
      </c>
      <c r="AB55" s="15">
        <f t="shared" si="26"/>
        <v>3.28505257348969E-4</v>
      </c>
      <c r="AD55" s="19">
        <v>7512</v>
      </c>
      <c r="AE55" s="15">
        <f t="shared" si="27"/>
        <v>6.6837602946457784E-4</v>
      </c>
      <c r="AF55" s="47">
        <f t="shared" si="28"/>
        <v>-3951.2600000000007</v>
      </c>
      <c r="AG55" s="19">
        <v>7418.59</v>
      </c>
      <c r="AH55" s="15">
        <f t="shared" si="29"/>
        <v>5.7329762253976156E-4</v>
      </c>
      <c r="AI55" s="47">
        <f t="shared" si="30"/>
        <v>-3857.8500000000008</v>
      </c>
      <c r="AJ55" s="371">
        <f t="shared" si="31"/>
        <v>7.3703013743997334E-2</v>
      </c>
      <c r="AK55" s="372">
        <f t="shared" si="32"/>
        <v>0.15548931942374566</v>
      </c>
      <c r="AL55" s="373">
        <f t="shared" si="33"/>
        <v>0.15397654628476545</v>
      </c>
      <c r="AM55" s="374" t="str">
        <f t="shared" si="34"/>
        <v>-0.03 pts.</v>
      </c>
      <c r="AN55" s="375" t="str">
        <f t="shared" si="35"/>
        <v>-0.02 pts.</v>
      </c>
    </row>
    <row r="56" spans="1:40" x14ac:dyDescent="0.2">
      <c r="A56" s="6" t="s">
        <v>37</v>
      </c>
      <c r="B56" s="7"/>
      <c r="H56" s="10" t="s">
        <v>914</v>
      </c>
      <c r="I56" s="25" t="s">
        <v>1004</v>
      </c>
      <c r="J56" s="25" t="s">
        <v>1004</v>
      </c>
      <c r="K56" s="64" t="str">
        <f t="shared" si="24"/>
        <v/>
      </c>
      <c r="L56" s="24">
        <v>693200</v>
      </c>
      <c r="M56" s="24">
        <v>490046</v>
      </c>
      <c r="N56" s="24" t="s">
        <v>1561</v>
      </c>
      <c r="O56" s="19">
        <v>698.51</v>
      </c>
      <c r="P56" s="19">
        <v>339.53</v>
      </c>
      <c r="Q56" s="19">
        <v>368.02</v>
      </c>
      <c r="R56" s="19">
        <v>376.53</v>
      </c>
      <c r="S56" s="19">
        <v>369.5</v>
      </c>
      <c r="T56" s="19">
        <v>311.83999999999997</v>
      </c>
      <c r="U56" s="19">
        <v>294.22000000000003</v>
      </c>
      <c r="V56" s="19">
        <v>255.05</v>
      </c>
      <c r="W56" s="19">
        <v>260.44</v>
      </c>
      <c r="X56" s="19">
        <v>227.17</v>
      </c>
      <c r="Y56" s="19">
        <v>212.11</v>
      </c>
      <c r="Z56" s="19">
        <v>158.06</v>
      </c>
      <c r="AA56" s="19">
        <f t="shared" si="25"/>
        <v>3870.9800000000009</v>
      </c>
      <c r="AB56" s="15">
        <f t="shared" si="26"/>
        <v>3.5712724913717725E-4</v>
      </c>
      <c r="AD56" s="19"/>
      <c r="AE56" s="15" t="str">
        <f t="shared" si="27"/>
        <v/>
      </c>
      <c r="AF56" s="47">
        <f t="shared" si="28"/>
        <v>3870.9800000000009</v>
      </c>
      <c r="AG56" s="19">
        <v>7575.16</v>
      </c>
      <c r="AH56" s="15">
        <f t="shared" si="29"/>
        <v>5.8539711971659035E-4</v>
      </c>
      <c r="AI56" s="47">
        <f t="shared" si="30"/>
        <v>-3704.1799999999989</v>
      </c>
      <c r="AJ56" s="371">
        <f t="shared" si="31"/>
        <v>8.0124606722967395E-2</v>
      </c>
      <c r="AK56" s="372">
        <f t="shared" si="32"/>
        <v>0</v>
      </c>
      <c r="AL56" s="373">
        <f t="shared" si="33"/>
        <v>0.15722623495226234</v>
      </c>
      <c r="AM56" s="374">
        <f t="shared" si="34"/>
        <v>0</v>
      </c>
      <c r="AN56" s="375" t="str">
        <f t="shared" si="35"/>
        <v>-0.02 pts.</v>
      </c>
    </row>
    <row r="57" spans="1:40" x14ac:dyDescent="0.2">
      <c r="A57" s="6" t="s">
        <v>38</v>
      </c>
      <c r="B57" s="7"/>
      <c r="H57" s="10" t="s">
        <v>915</v>
      </c>
      <c r="I57" s="25" t="s">
        <v>1004</v>
      </c>
      <c r="J57" s="25" t="s">
        <v>1004</v>
      </c>
      <c r="K57" s="64" t="str">
        <f t="shared" si="24"/>
        <v/>
      </c>
      <c r="L57" s="24">
        <v>693280</v>
      </c>
      <c r="M57" s="24">
        <v>490043</v>
      </c>
      <c r="N57" s="24" t="s">
        <v>1562</v>
      </c>
      <c r="O57" s="19">
        <v>280.77999999999997</v>
      </c>
      <c r="P57" s="19">
        <v>187.15</v>
      </c>
      <c r="Q57" s="19">
        <v>188.53</v>
      </c>
      <c r="R57" s="19">
        <v>188.52</v>
      </c>
      <c r="S57" s="19">
        <v>187.27</v>
      </c>
      <c r="T57" s="19">
        <v>140.5</v>
      </c>
      <c r="U57" s="19">
        <v>140.5</v>
      </c>
      <c r="V57" s="19">
        <v>138.74</v>
      </c>
      <c r="W57" s="19">
        <v>158.84</v>
      </c>
      <c r="X57" s="19">
        <v>176.88</v>
      </c>
      <c r="Y57" s="19">
        <v>176.88</v>
      </c>
      <c r="Z57" s="19">
        <v>180.3</v>
      </c>
      <c r="AA57" s="19">
        <f t="shared" si="25"/>
        <v>2144.8900000000003</v>
      </c>
      <c r="AB57" s="15">
        <f t="shared" si="26"/>
        <v>1.9788236193466255E-4</v>
      </c>
      <c r="AD57" s="19">
        <v>889.56</v>
      </c>
      <c r="AE57" s="15">
        <f t="shared" si="27"/>
        <v>7.9148107131324518E-5</v>
      </c>
      <c r="AF57" s="47">
        <f t="shared" si="28"/>
        <v>1255.3300000000004</v>
      </c>
      <c r="AG57" s="19">
        <v>3674.62</v>
      </c>
      <c r="AH57" s="15">
        <f t="shared" si="29"/>
        <v>2.839691787438123E-4</v>
      </c>
      <c r="AI57" s="47">
        <f t="shared" si="30"/>
        <v>-1529.7299999999996</v>
      </c>
      <c r="AJ57" s="371">
        <f t="shared" si="31"/>
        <v>4.4396630236794181E-2</v>
      </c>
      <c r="AK57" s="372">
        <f t="shared" si="32"/>
        <v>1.8412816691505216E-2</v>
      </c>
      <c r="AL57" s="373">
        <f t="shared" si="33"/>
        <v>7.6268576172685759E-2</v>
      </c>
      <c r="AM57" s="374" t="str">
        <f t="shared" si="34"/>
        <v>0.01 pts.</v>
      </c>
      <c r="AN57" s="375" t="str">
        <f t="shared" si="35"/>
        <v>-0.01 pts.</v>
      </c>
    </row>
    <row r="58" spans="1:40" x14ac:dyDescent="0.2">
      <c r="A58" s="6" t="s">
        <v>39</v>
      </c>
      <c r="B58" s="7"/>
      <c r="H58" s="10" t="s">
        <v>916</v>
      </c>
      <c r="I58" s="25" t="s">
        <v>1058</v>
      </c>
      <c r="J58" s="25" t="s">
        <v>78</v>
      </c>
      <c r="K58" s="64" t="str">
        <f t="shared" si="24"/>
        <v>&gt;</v>
      </c>
      <c r="L58" s="24"/>
      <c r="M58" s="24"/>
      <c r="N58" s="24" t="s">
        <v>1563</v>
      </c>
      <c r="O58" s="19">
        <v>16926.099999999999</v>
      </c>
      <c r="P58" s="19">
        <v>12870.88</v>
      </c>
      <c r="Q58" s="19">
        <v>14974.43</v>
      </c>
      <c r="R58" s="19">
        <v>12023</v>
      </c>
      <c r="S58" s="19">
        <v>12620</v>
      </c>
      <c r="T58" s="19">
        <v>6577.44</v>
      </c>
      <c r="U58" s="19">
        <v>10133.629999999999</v>
      </c>
      <c r="V58" s="19">
        <v>10095.99</v>
      </c>
      <c r="W58" s="19">
        <v>10201.040000000001</v>
      </c>
      <c r="X58" s="19">
        <v>11709.3</v>
      </c>
      <c r="Y58" s="19">
        <v>11689.11</v>
      </c>
      <c r="Z58" s="19">
        <v>13078.73</v>
      </c>
      <c r="AA58" s="19">
        <f t="shared" si="25"/>
        <v>142899.65000000002</v>
      </c>
      <c r="AB58" s="15">
        <f t="shared" si="26"/>
        <v>1.318357596969383E-2</v>
      </c>
      <c r="AD58" s="19">
        <v>244093.92</v>
      </c>
      <c r="AE58" s="15">
        <f t="shared" si="27"/>
        <v>2.1718121015181616E-2</v>
      </c>
      <c r="AF58" s="47">
        <f t="shared" si="28"/>
        <v>-101194.26999999999</v>
      </c>
      <c r="AG58" s="19">
        <v>219691.83</v>
      </c>
      <c r="AH58" s="15">
        <f t="shared" si="29"/>
        <v>1.6977458496885454E-2</v>
      </c>
      <c r="AI58" s="47">
        <f t="shared" si="30"/>
        <v>-76792.179999999964</v>
      </c>
      <c r="AJ58" s="371">
        <f t="shared" si="31"/>
        <v>2.9578500165590333</v>
      </c>
      <c r="AK58" s="372">
        <f t="shared" si="32"/>
        <v>5.0524490809736715</v>
      </c>
      <c r="AL58" s="373">
        <f t="shared" si="33"/>
        <v>4.5598138231631378</v>
      </c>
      <c r="AM58" s="374" t="str">
        <f t="shared" si="34"/>
        <v>-0.85 pts.</v>
      </c>
      <c r="AN58" s="375" t="str">
        <f t="shared" si="35"/>
        <v>-0.38 pts.</v>
      </c>
    </row>
    <row r="59" spans="1:40" x14ac:dyDescent="0.2">
      <c r="A59" s="6" t="s">
        <v>40</v>
      </c>
      <c r="B59" s="7"/>
      <c r="H59" s="10" t="s">
        <v>917</v>
      </c>
      <c r="I59" s="25" t="s">
        <v>1058</v>
      </c>
      <c r="J59" s="25" t="s">
        <v>78</v>
      </c>
      <c r="K59" s="64" t="str">
        <f t="shared" si="24"/>
        <v>&gt;</v>
      </c>
      <c r="L59" s="24"/>
      <c r="M59" s="24"/>
      <c r="N59" s="24" t="s">
        <v>1564</v>
      </c>
      <c r="O59" s="19">
        <v>4000</v>
      </c>
      <c r="P59" s="19">
        <v>4900</v>
      </c>
      <c r="Q59" s="19">
        <v>5270</v>
      </c>
      <c r="R59" s="19">
        <v>5100</v>
      </c>
      <c r="S59" s="19">
        <v>5100</v>
      </c>
      <c r="T59" s="19">
        <v>5100</v>
      </c>
      <c r="U59" s="19">
        <v>5270</v>
      </c>
      <c r="V59" s="19">
        <v>5270</v>
      </c>
      <c r="W59" s="19">
        <v>5100</v>
      </c>
      <c r="X59" s="19">
        <v>5200</v>
      </c>
      <c r="Y59" s="19">
        <v>5100</v>
      </c>
      <c r="Z59" s="19">
        <v>5305</v>
      </c>
      <c r="AA59" s="19">
        <f t="shared" si="25"/>
        <v>60715</v>
      </c>
      <c r="AB59" s="15">
        <f t="shared" si="26"/>
        <v>5.6014190027754499E-3</v>
      </c>
      <c r="AD59" s="19">
        <v>23791.6623591141</v>
      </c>
      <c r="AE59" s="15">
        <f t="shared" si="27"/>
        <v>2.1168499496733938E-3</v>
      </c>
      <c r="AF59" s="47">
        <f t="shared" si="28"/>
        <v>36923.337640885904</v>
      </c>
      <c r="AG59" s="19">
        <v>49468.6</v>
      </c>
      <c r="AH59" s="15">
        <f t="shared" si="29"/>
        <v>3.8228599734411051E-3</v>
      </c>
      <c r="AI59" s="47">
        <f t="shared" si="30"/>
        <v>11246.400000000001</v>
      </c>
      <c r="AJ59" s="371">
        <f t="shared" si="31"/>
        <v>1.2567271071369432</v>
      </c>
      <c r="AK59" s="372">
        <f t="shared" si="32"/>
        <v>0.49245865124842897</v>
      </c>
      <c r="AL59" s="373">
        <f t="shared" si="33"/>
        <v>1.0267455375674552</v>
      </c>
      <c r="AM59" s="374" t="str">
        <f t="shared" si="34"/>
        <v>0.35 pts.</v>
      </c>
      <c r="AN59" s="375" t="str">
        <f t="shared" si="35"/>
        <v>0.18 pts.</v>
      </c>
    </row>
    <row r="60" spans="1:40" x14ac:dyDescent="0.2">
      <c r="A60" s="6" t="s">
        <v>41</v>
      </c>
      <c r="B60" s="7"/>
      <c r="H60" s="10" t="s">
        <v>918</v>
      </c>
      <c r="I60" s="25" t="s">
        <v>1004</v>
      </c>
      <c r="J60" s="25" t="s">
        <v>1004</v>
      </c>
      <c r="K60" s="64" t="str">
        <f t="shared" si="24"/>
        <v/>
      </c>
      <c r="L60" s="24">
        <v>693480</v>
      </c>
      <c r="M60" s="24">
        <v>490750</v>
      </c>
      <c r="N60" s="24" t="s">
        <v>1565</v>
      </c>
      <c r="O60" s="19">
        <v>3.71</v>
      </c>
      <c r="P60" s="19">
        <v>379.31</v>
      </c>
      <c r="Q60" s="19">
        <v>-4.32</v>
      </c>
      <c r="R60" s="19">
        <v>9.14</v>
      </c>
      <c r="S60" s="19">
        <v>27.78</v>
      </c>
      <c r="T60" s="19">
        <v>-6.51</v>
      </c>
      <c r="U60" s="19">
        <v>-15.37</v>
      </c>
      <c r="V60" s="19">
        <v>-35.49</v>
      </c>
      <c r="W60" s="19">
        <v>-15.37</v>
      </c>
      <c r="X60" s="19">
        <v>-45.41</v>
      </c>
      <c r="Y60" s="19">
        <v>-44.35</v>
      </c>
      <c r="Z60" s="19">
        <v>-35.97</v>
      </c>
      <c r="AA60" s="19">
        <f t="shared" si="25"/>
        <v>217.15000000000003</v>
      </c>
      <c r="AB60" s="15">
        <f t="shared" si="26"/>
        <v>2.0033733615295874E-5</v>
      </c>
      <c r="AD60" s="19">
        <v>-30576</v>
      </c>
      <c r="AE60" s="15">
        <f t="shared" si="27"/>
        <v>-2.7204826247216362E-3</v>
      </c>
      <c r="AF60" s="47">
        <f t="shared" si="28"/>
        <v>30793.15</v>
      </c>
      <c r="AG60" s="19">
        <v>2079.48</v>
      </c>
      <c r="AH60" s="15">
        <f t="shared" si="29"/>
        <v>1.6069912747826518E-4</v>
      </c>
      <c r="AI60" s="47">
        <f t="shared" si="30"/>
        <v>-1862.33</v>
      </c>
      <c r="AJ60" s="371">
        <f t="shared" si="31"/>
        <v>4.4947425070375894E-3</v>
      </c>
      <c r="AK60" s="372">
        <f t="shared" si="32"/>
        <v>-0.63288623944361644</v>
      </c>
      <c r="AL60" s="373">
        <f t="shared" si="33"/>
        <v>4.3160647571606474E-2</v>
      </c>
      <c r="AM60" s="374" t="str">
        <f t="shared" si="34"/>
        <v>0.27 pts.</v>
      </c>
      <c r="AN60" s="375" t="str">
        <f t="shared" si="35"/>
        <v>-0.01 pts.</v>
      </c>
    </row>
    <row r="61" spans="1:40" x14ac:dyDescent="0.2">
      <c r="A61" s="6" t="s">
        <v>42</v>
      </c>
      <c r="B61" s="7"/>
      <c r="H61" s="10" t="s">
        <v>919</v>
      </c>
      <c r="I61" s="25" t="s">
        <v>1058</v>
      </c>
      <c r="J61" s="25" t="s">
        <v>78</v>
      </c>
      <c r="K61" s="64" t="str">
        <f t="shared" si="24"/>
        <v>&gt;</v>
      </c>
      <c r="L61" s="24"/>
      <c r="M61" s="24"/>
      <c r="N61" s="24" t="s">
        <v>1566</v>
      </c>
      <c r="O61" s="28">
        <v>1813</v>
      </c>
      <c r="P61" s="28">
        <v>2803.11</v>
      </c>
      <c r="Q61" s="28">
        <v>3945.33</v>
      </c>
      <c r="R61" s="28">
        <v>3945.33</v>
      </c>
      <c r="S61" s="28">
        <v>3951.79</v>
      </c>
      <c r="T61" s="28">
        <v>3951.79</v>
      </c>
      <c r="U61" s="28">
        <v>3951.79</v>
      </c>
      <c r="V61" s="28">
        <v>2733.22</v>
      </c>
      <c r="W61" s="28">
        <v>2733.22</v>
      </c>
      <c r="X61" s="28">
        <v>2733.22</v>
      </c>
      <c r="Y61" s="28">
        <v>2733.22</v>
      </c>
      <c r="Z61" s="28">
        <v>2304</v>
      </c>
      <c r="AA61" s="28">
        <f t="shared" si="25"/>
        <v>37599.020000000004</v>
      </c>
      <c r="AB61" s="29">
        <f t="shared" si="26"/>
        <v>3.468794616054257E-3</v>
      </c>
      <c r="AD61" s="28">
        <v>38325.1399148126</v>
      </c>
      <c r="AE61" s="29">
        <f t="shared" si="27"/>
        <v>3.4099580464505928E-3</v>
      </c>
      <c r="AF61" s="48">
        <f t="shared" si="28"/>
        <v>-726.11991481259611</v>
      </c>
      <c r="AG61" s="28">
        <v>50013.98</v>
      </c>
      <c r="AH61" s="29">
        <f t="shared" si="29"/>
        <v>3.8650061302418904E-3</v>
      </c>
      <c r="AI61" s="48">
        <f t="shared" si="30"/>
        <v>-12414.96</v>
      </c>
      <c r="AJ61" s="381">
        <f t="shared" si="31"/>
        <v>0.77825426395098529</v>
      </c>
      <c r="AK61" s="382">
        <f t="shared" si="32"/>
        <v>0.79328406844702348</v>
      </c>
      <c r="AL61" s="383">
        <f t="shared" si="33"/>
        <v>1.0380651722706518</v>
      </c>
      <c r="AM61" s="384" t="str">
        <f t="shared" si="34"/>
        <v>0.01 pts.</v>
      </c>
      <c r="AN61" s="385" t="str">
        <f t="shared" si="35"/>
        <v>-0.04 pts.</v>
      </c>
    </row>
    <row r="62" spans="1:40" x14ac:dyDescent="0.2">
      <c r="A62" s="6" t="s">
        <v>43</v>
      </c>
      <c r="B62" s="7"/>
      <c r="H62" s="10" t="s">
        <v>854</v>
      </c>
      <c r="I62" s="447" t="s">
        <v>1007</v>
      </c>
      <c r="J62" s="447" t="s">
        <v>78</v>
      </c>
      <c r="K62" s="448" t="str">
        <f t="shared" si="24"/>
        <v/>
      </c>
      <c r="L62" s="151"/>
      <c r="M62" s="151"/>
      <c r="N62" s="151" t="s">
        <v>562</v>
      </c>
      <c r="O62" s="30">
        <v>30997.54</v>
      </c>
      <c r="P62" s="30">
        <v>28288.16</v>
      </c>
      <c r="Q62" s="30">
        <v>27851.15</v>
      </c>
      <c r="R62" s="30">
        <v>25065.17</v>
      </c>
      <c r="S62" s="30">
        <v>25343.24</v>
      </c>
      <c r="T62" s="30">
        <v>18708.310000000001</v>
      </c>
      <c r="U62" s="30">
        <v>22563.64</v>
      </c>
      <c r="V62" s="30">
        <v>21260.27</v>
      </c>
      <c r="W62" s="30">
        <v>20821.72</v>
      </c>
      <c r="X62" s="30">
        <v>22571.23</v>
      </c>
      <c r="Y62" s="30">
        <v>22607.13</v>
      </c>
      <c r="Z62" s="30">
        <v>23974.31</v>
      </c>
      <c r="AA62" s="30">
        <f t="shared" si="25"/>
        <v>290051.87</v>
      </c>
      <c r="AB62" s="31">
        <f t="shared" si="26"/>
        <v>2.6759483758684911E-2</v>
      </c>
      <c r="AC62" s="32"/>
      <c r="AD62" s="30">
        <v>301097.940833367</v>
      </c>
      <c r="AE62" s="31">
        <f t="shared" si="27"/>
        <v>2.6790022121161636E-2</v>
      </c>
      <c r="AF62" s="49">
        <f t="shared" si="28"/>
        <v>-11046.070833367005</v>
      </c>
      <c r="AG62" s="30">
        <v>410233.31</v>
      </c>
      <c r="AH62" s="31">
        <f t="shared" si="29"/>
        <v>3.1702221218535734E-2</v>
      </c>
      <c r="AI62" s="49">
        <f t="shared" si="30"/>
        <v>-120181.44</v>
      </c>
      <c r="AJ62" s="336">
        <f t="shared" si="31"/>
        <v>6.0037230915714526</v>
      </c>
      <c r="AK62" s="337">
        <f t="shared" si="32"/>
        <v>6.2323634052278312</v>
      </c>
      <c r="AL62" s="339">
        <f t="shared" si="33"/>
        <v>8.5145975508509757</v>
      </c>
      <c r="AM62" s="386" t="str">
        <f t="shared" si="34"/>
        <v>0 pts.</v>
      </c>
      <c r="AN62" s="407" t="str">
        <f t="shared" si="35"/>
        <v>-0.49 pts.</v>
      </c>
    </row>
    <row r="63" spans="1:40" x14ac:dyDescent="0.2">
      <c r="A63" s="6" t="s">
        <v>44</v>
      </c>
      <c r="B63" s="7"/>
      <c r="H63" s="23"/>
      <c r="I63" s="23"/>
      <c r="J63" s="23"/>
      <c r="K63" s="23"/>
      <c r="L63" s="23"/>
      <c r="M63" s="23"/>
      <c r="N63" s="23"/>
      <c r="O63" s="50"/>
      <c r="AB63" s="51"/>
      <c r="AD63" s="50"/>
      <c r="AF63" s="51"/>
      <c r="AG63" s="50"/>
      <c r="AI63" s="51"/>
    </row>
    <row r="64" spans="1:40" ht="16" thickBot="1" x14ac:dyDescent="0.25">
      <c r="A64" s="6" t="s">
        <v>45</v>
      </c>
      <c r="B64" s="7"/>
      <c r="H64" s="10" t="s">
        <v>855</v>
      </c>
      <c r="I64" s="25" t="s">
        <v>1005</v>
      </c>
      <c r="J64" s="25" t="s">
        <v>78</v>
      </c>
      <c r="K64" s="23"/>
      <c r="N64" s="23" t="s">
        <v>1084</v>
      </c>
      <c r="O64" s="58">
        <v>61548.88</v>
      </c>
      <c r="P64" s="58">
        <v>55072.79</v>
      </c>
      <c r="Q64" s="58">
        <v>49742.54</v>
      </c>
      <c r="R64" s="58">
        <v>50668.44</v>
      </c>
      <c r="S64" s="58">
        <v>58299.43</v>
      </c>
      <c r="T64" s="58">
        <v>39935.78</v>
      </c>
      <c r="U64" s="58">
        <v>55103.87</v>
      </c>
      <c r="V64" s="58">
        <v>47369.13</v>
      </c>
      <c r="W64" s="58">
        <v>51434.14</v>
      </c>
      <c r="X64" s="58">
        <v>44459.06</v>
      </c>
      <c r="Y64" s="58">
        <v>43419.3</v>
      </c>
      <c r="Z64" s="58">
        <v>34630.19</v>
      </c>
      <c r="AA64" s="58">
        <f>IF($I64="B1","",SUM(O64:Z64))</f>
        <v>591683.55000000005</v>
      </c>
      <c r="AB64" s="59">
        <f>IF(AA64=0,"",IFERROR(AA64/AA$19,""))</f>
        <v>5.4587292771137913E-2</v>
      </c>
      <c r="AD64" s="58">
        <v>600157.47852049395</v>
      </c>
      <c r="AE64" s="59">
        <f>IF(AD64=0,"",IFERROR(AD64/AD$19,""))</f>
        <v>5.3398678454073534E-2</v>
      </c>
      <c r="AF64" s="60">
        <f>IF(AND($AA64="",AD64=""),"",$AA64-AD64)</f>
        <v>-8473.9285204939079</v>
      </c>
      <c r="AG64" s="58">
        <v>769966.09000000102</v>
      </c>
      <c r="AH64" s="59">
        <f>IF(AG64=0,"",IFERROR(AG64/AG$19,""))</f>
        <v>5.9501836445097607E-2</v>
      </c>
      <c r="AI64" s="60">
        <f>IF(AND($AA64="",AG64=""),"",$AA64-AG64)</f>
        <v>-178282.54000000097</v>
      </c>
      <c r="AJ64" s="402">
        <f>IFERROR(AA64/AA$20,0)</f>
        <v>12.247134252359663</v>
      </c>
      <c r="AK64" s="403">
        <f>IFERROR(AD64/AD$20,0)</f>
        <v>12.422534329369389</v>
      </c>
      <c r="AL64" s="404">
        <f>IFERROR(AG64/AG$20,0)</f>
        <v>15.981031340805334</v>
      </c>
      <c r="AM64" s="405" t="str">
        <f>+IFERROR(ROUND(($AB64-AE64)*100,2)&amp;" pts.",0)</f>
        <v>0.12 pts.</v>
      </c>
      <c r="AN64" s="410" t="str">
        <f>+IFERROR(ROUND(($AB64-AH64)*100,2)&amp;" pts.",0)</f>
        <v>-0.49 pts.</v>
      </c>
    </row>
    <row r="65" spans="1:40" ht="17" hidden="1" thickTop="1" thickBot="1" x14ac:dyDescent="0.25">
      <c r="A65" s="6" t="s">
        <v>46</v>
      </c>
      <c r="B65" s="7"/>
      <c r="H65" s="10"/>
      <c r="I65" s="25"/>
      <c r="J65" s="25"/>
      <c r="K65" s="23"/>
      <c r="N65" s="23"/>
      <c r="O65" s="58"/>
      <c r="P65" s="58"/>
      <c r="Q65" s="58"/>
      <c r="R65" s="58"/>
      <c r="S65" s="58"/>
      <c r="T65" s="58"/>
      <c r="U65" s="58"/>
      <c r="V65" s="58"/>
      <c r="W65" s="58"/>
      <c r="X65" s="58"/>
      <c r="Y65" s="58"/>
      <c r="Z65" s="58"/>
      <c r="AA65" s="58">
        <f>IF($I65="B1","",SUM(O65:Z65))</f>
        <v>0</v>
      </c>
      <c r="AB65" s="59" t="str">
        <f>IF(AA65=0,"",IFERROR(AA65/AA$19,""))</f>
        <v/>
      </c>
      <c r="AD65" s="58"/>
      <c r="AE65" s="59" t="str">
        <f>IF(AD65=0,"",IFERROR(AD65/AD$19,""))</f>
        <v/>
      </c>
      <c r="AF65" s="60">
        <f>IF(AND($AA65="",AD65=""),"",$AA65-AD65)</f>
        <v>0</v>
      </c>
      <c r="AG65" s="58"/>
      <c r="AH65" s="59" t="str">
        <f>IF(AG65=0,"",IFERROR(AG65/AG$19,""))</f>
        <v/>
      </c>
      <c r="AI65" s="60">
        <f>IF(AND($AA65="",AG65=""),"",$AA65-AG65)</f>
        <v>0</v>
      </c>
      <c r="AJ65" s="402">
        <f>IFERROR(AA65/AA$20,0)</f>
        <v>0</v>
      </c>
      <c r="AK65" s="403">
        <f>IFERROR(AD65/AD$20,0)</f>
        <v>0</v>
      </c>
      <c r="AL65" s="404">
        <f>IFERROR(AG65/AG$20,0)</f>
        <v>0</v>
      </c>
      <c r="AM65" s="405">
        <f>+IFERROR(ROUND(($AB65-AE65)*100,2)&amp;" pts.",0)</f>
        <v>0</v>
      </c>
      <c r="AN65" s="410">
        <f>+IFERROR(ROUND(($AB65-AH65)*100,2)&amp;" pts.",0)</f>
        <v>0</v>
      </c>
    </row>
    <row r="66" spans="1:40" ht="16" thickTop="1" x14ac:dyDescent="0.2">
      <c r="I66" s="1"/>
      <c r="J66" s="1"/>
      <c r="L66" s="1"/>
      <c r="M66" s="1"/>
    </row>
    <row r="67" spans="1:40" x14ac:dyDescent="0.2">
      <c r="N67" s="24" t="str">
        <f>N64&amp;" - Check"</f>
        <v>Total Payroll Related - Check</v>
      </c>
      <c r="O67" s="124">
        <f t="shared" ref="O67:AA67" si="36">SUMIF($H$35:$H$64,"PAY_TAXES",O$35:O$64)+SUMIF($H$35:$H$64,"SUP_PAY",O$35:O$64)+SUMIF($H$35:$H$64,"EMP_BEN",O$35:O$64)-SUMIF($H$35:$H$64,"PAY_RELATED",O$35:O$64)</f>
        <v>0</v>
      </c>
      <c r="P67" s="124">
        <f t="shared" si="36"/>
        <v>0</v>
      </c>
      <c r="Q67" s="124">
        <f t="shared" si="36"/>
        <v>0</v>
      </c>
      <c r="R67" s="124">
        <f t="shared" si="36"/>
        <v>0</v>
      </c>
      <c r="S67" s="124">
        <f t="shared" si="36"/>
        <v>0</v>
      </c>
      <c r="T67" s="124">
        <f t="shared" si="36"/>
        <v>0</v>
      </c>
      <c r="U67" s="124">
        <f t="shared" si="36"/>
        <v>0</v>
      </c>
      <c r="V67" s="124">
        <f t="shared" si="36"/>
        <v>0</v>
      </c>
      <c r="W67" s="124">
        <f t="shared" si="36"/>
        <v>0</v>
      </c>
      <c r="X67" s="124">
        <f t="shared" si="36"/>
        <v>0</v>
      </c>
      <c r="Y67" s="124">
        <f t="shared" si="36"/>
        <v>0</v>
      </c>
      <c r="Z67" s="124">
        <f t="shared" si="36"/>
        <v>0</v>
      </c>
      <c r="AA67" s="124">
        <f t="shared" si="36"/>
        <v>0</v>
      </c>
      <c r="AB67" s="15"/>
      <c r="AD67" s="124">
        <f>SUMIF($H$35:$H$64,"PAY_TAXES",AD$35:AD$64)+SUMIF($H$35:$H$64,"SUP_PAY",AD$35:AD$64)+SUMIF($H$35:$H$64,"EMP_BEN",AD$35:AD$64)-SUMIF($H$35:$H$64,"PAY_RELATED",AD$35:AD$64)</f>
        <v>1.0477378964424133E-9</v>
      </c>
      <c r="AE67" s="15"/>
      <c r="AF67" s="19"/>
      <c r="AG67" s="124">
        <f>SUMIF($H$35:$H$64,"PAY_TAXES",AG$35:AG$64)+SUMIF($H$35:$H$64,"SUP_PAY",AG$35:AG$64)+SUMIF($H$35:$H$64,"EMP_BEN",AG$35:AG$64)-SUMIF($H$35:$H$64,"PAY_RELATED",AG$35:AG$64)</f>
        <v>-9.3132257461547852E-10</v>
      </c>
      <c r="AH67" s="15"/>
      <c r="AI67" s="19"/>
    </row>
    <row r="68" spans="1:40" x14ac:dyDescent="0.2">
      <c r="I68" s="1"/>
      <c r="J68" s="1"/>
      <c r="L68" s="1"/>
      <c r="M68" s="1"/>
    </row>
    <row r="75" spans="1:40" x14ac:dyDescent="0.2">
      <c r="H75" s="11"/>
      <c r="J75" s="1"/>
    </row>
    <row r="76" spans="1:40" x14ac:dyDescent="0.2">
      <c r="H76" s="11"/>
      <c r="J76" s="1"/>
    </row>
    <row r="77" spans="1:40" x14ac:dyDescent="0.2">
      <c r="H77" s="11"/>
      <c r="J77" s="1"/>
    </row>
    <row r="78" spans="1:40" x14ac:dyDescent="0.2">
      <c r="H78" s="11"/>
      <c r="J78" s="1"/>
    </row>
    <row r="79" spans="1:40" x14ac:dyDescent="0.2">
      <c r="H79" s="11"/>
      <c r="J79" s="1"/>
    </row>
    <row r="80" spans="1:40" x14ac:dyDescent="0.2">
      <c r="H80" s="11"/>
      <c r="J80" s="1"/>
    </row>
    <row r="81" spans="8:10" x14ac:dyDescent="0.2">
      <c r="H81" s="11"/>
      <c r="J81" s="1"/>
    </row>
    <row r="82" spans="8:10" x14ac:dyDescent="0.2">
      <c r="H82" s="11"/>
      <c r="J82" s="1"/>
    </row>
    <row r="83" spans="8:10" x14ac:dyDescent="0.2">
      <c r="H83" s="11"/>
      <c r="J83" s="1"/>
    </row>
    <row r="84" spans="8:10" x14ac:dyDescent="0.2">
      <c r="H84" s="11"/>
      <c r="J84" s="1"/>
    </row>
    <row r="85" spans="8:10" x14ac:dyDescent="0.2">
      <c r="H85" s="11"/>
      <c r="J85" s="1"/>
    </row>
    <row r="86" spans="8:10" x14ac:dyDescent="0.2">
      <c r="H86" s="11"/>
      <c r="J86" s="1"/>
    </row>
    <row r="87" spans="8:10" x14ac:dyDescent="0.2">
      <c r="H87" s="11"/>
      <c r="J87" s="1"/>
    </row>
    <row r="88" spans="8:10" x14ac:dyDescent="0.2">
      <c r="H88" s="11"/>
      <c r="J88" s="1"/>
    </row>
    <row r="89" spans="8:10" x14ac:dyDescent="0.2">
      <c r="H89" s="11"/>
      <c r="J89" s="1"/>
    </row>
    <row r="90" spans="8:10" x14ac:dyDescent="0.2">
      <c r="H90" s="11"/>
      <c r="J90" s="1"/>
    </row>
    <row r="91" spans="8:10" x14ac:dyDescent="0.2">
      <c r="H91" s="11"/>
      <c r="J91" s="1"/>
    </row>
    <row r="92" spans="8:10" x14ac:dyDescent="0.2">
      <c r="H92" s="11"/>
      <c r="J92" s="1"/>
    </row>
    <row r="93" spans="8:10" x14ac:dyDescent="0.2">
      <c r="H93" s="11"/>
      <c r="J93" s="1"/>
    </row>
    <row r="94" spans="8:10" x14ac:dyDescent="0.2">
      <c r="H94" s="11"/>
      <c r="J94" s="1"/>
    </row>
    <row r="95" spans="8:10" x14ac:dyDescent="0.2">
      <c r="H95" s="11"/>
      <c r="J95" s="1"/>
    </row>
    <row r="96" spans="8:10" x14ac:dyDescent="0.2">
      <c r="H96" s="11"/>
      <c r="J96" s="1"/>
    </row>
    <row r="97" spans="8:10" x14ac:dyDescent="0.2">
      <c r="H97" s="11"/>
      <c r="J97" s="1"/>
    </row>
  </sheetData>
  <mergeCells count="2">
    <mergeCell ref="AD31:AE31"/>
    <mergeCell ref="AG31:AH31"/>
  </mergeCells>
  <dataValidations count="2">
    <dataValidation type="list" allowBlank="1" sqref="B28" xr:uid="{00000000-0002-0000-6100-000000000000}">
      <formula1>"ACCOUNT,BUSINESSUNIT,CATEGORY,DATASRC,DEPARTMENT,INTCO,MEASURES,RPTCURRENCY,TIME"</formula1>
    </dataValidation>
    <dataValidation type="list" allowBlank="1" sqref="B29" xr:uid="{00000000-0002-0000-61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22099B2AEBB7A41BBC656D90C1AA9A5" ma:contentTypeVersion="15" ma:contentTypeDescription="Create a new document." ma:contentTypeScope="" ma:versionID="bb3881f6094c1f598a7dbbe8d33938cf">
  <xsd:schema xmlns:xsd="http://www.w3.org/2001/XMLSchema" xmlns:xs="http://www.w3.org/2001/XMLSchema" xmlns:p="http://schemas.microsoft.com/office/2006/metadata/properties" xmlns:ns2="26295a75-7a26-4dde-a0be-9ad761cc2267" xmlns:ns3="7718487c-e776-454d-a639-eb9aead2126b" targetNamespace="http://schemas.microsoft.com/office/2006/metadata/properties" ma:root="true" ma:fieldsID="36e6dc4031dd7657d8b881dfda8107d1" ns2:_="" ns3:_="">
    <xsd:import namespace="26295a75-7a26-4dde-a0be-9ad761cc2267"/>
    <xsd:import namespace="7718487c-e776-454d-a639-eb9aead2126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Location"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6295a75-7a26-4dde-a0be-9ad761cc22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Location" ma:index="12" nillable="true" ma:displayName="Location" ma:description="" ma:indexed="true" ma:internalName="MediaServiceLocatio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316342d7-b869-4e4f-a795-37ec82058f61"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718487c-e776-454d-a639-eb9aead2126b"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0b609af9-6321-4330-965e-059433c62eca}" ma:internalName="TaxCatchAll" ma:showField="CatchAllData" ma:web="7718487c-e776-454d-a639-eb9aead2126b">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6295a75-7a26-4dde-a0be-9ad761cc2267">
      <Terms xmlns="http://schemas.microsoft.com/office/infopath/2007/PartnerControls"/>
    </lcf76f155ced4ddcb4097134ff3c332f>
    <TaxCatchAll xmlns="7718487c-e776-454d-a639-eb9aead2126b" xsi:nil="true"/>
  </documentManagement>
</p:properties>
</file>

<file path=customXml/itemProps1.xml><?xml version="1.0" encoding="utf-8"?>
<ds:datastoreItem xmlns:ds="http://schemas.openxmlformats.org/officeDocument/2006/customXml" ds:itemID="{2CB010B7-FE2A-457A-BA81-CF6B5BC693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6295a75-7a26-4dde-a0be-9ad761cc2267"/>
    <ds:schemaRef ds:uri="7718487c-e776-454d-a639-eb9aead2126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76E9625-8823-4A7D-8C5F-C4C89775DF37}">
  <ds:schemaRefs>
    <ds:schemaRef ds:uri="http://schemas.microsoft.com/sharepoint/v3/contenttype/forms"/>
  </ds:schemaRefs>
</ds:datastoreItem>
</file>

<file path=customXml/itemProps3.xml><?xml version="1.0" encoding="utf-8"?>
<ds:datastoreItem xmlns:ds="http://schemas.openxmlformats.org/officeDocument/2006/customXml" ds:itemID="{A776FEF2-AB9B-4396-A598-F08E926AF8FC}">
  <ds:schemaRefs>
    <ds:schemaRef ds:uri="http://schemas.microsoft.com/office/2006/metadata/properties"/>
    <ds:schemaRef ds:uri="http://schemas.microsoft.com/office/infopath/2007/PartnerControls"/>
    <ds:schemaRef ds:uri="26295a75-7a26-4dde-a0be-9ad761cc2267"/>
    <ds:schemaRef ds:uri="7718487c-e776-454d-a639-eb9aead2126b"/>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127</vt:i4>
      </vt:variant>
    </vt:vector>
  </HeadingPairs>
  <TitlesOfParts>
    <vt:vector size="152" baseType="lpstr">
      <vt:lpstr>SetUp</vt:lpstr>
      <vt:lpstr>Summary</vt:lpstr>
      <vt:lpstr>Rooms</vt:lpstr>
      <vt:lpstr>MMA</vt:lpstr>
      <vt:lpstr>Resv</vt:lpstr>
      <vt:lpstr>FB_Cons</vt:lpstr>
      <vt:lpstr>OTH_OP</vt:lpstr>
      <vt:lpstr>Telcom_Legacy</vt:lpstr>
      <vt:lpstr>HC_SPA</vt:lpstr>
      <vt:lpstr>Parking</vt:lpstr>
      <vt:lpstr>Retail</vt:lpstr>
      <vt:lpstr>FB_Retail</vt:lpstr>
      <vt:lpstr>Minor_Op</vt:lpstr>
      <vt:lpstr>MISC_INC</vt:lpstr>
      <vt:lpstr>AG</vt:lpstr>
      <vt:lpstr>IT</vt:lpstr>
      <vt:lpstr>HR_Detail</vt:lpstr>
      <vt:lpstr>SM</vt:lpstr>
      <vt:lpstr>POM</vt:lpstr>
      <vt:lpstr>EC</vt:lpstr>
      <vt:lpstr>Mgt_Fees</vt:lpstr>
      <vt:lpstr>Non_Op</vt:lpstr>
      <vt:lpstr>Laundry</vt:lpstr>
      <vt:lpstr>Dining</vt:lpstr>
      <vt:lpstr>PR_Related</vt:lpstr>
      <vt:lpstr>'_dv5TzhKgEmBJy1iLpRPIA=='!Print_Area</vt:lpstr>
      <vt:lpstr>'+J++T8iebEmQRHQBQbskvQ=='!Print_Area</vt:lpstr>
      <vt:lpstr>'0_snXtuSTUWNI3_4pUbkrg=='!Print_Area</vt:lpstr>
      <vt:lpstr>'0rjpnXheOkGjC+P_AmqM7g=='!Print_Area</vt:lpstr>
      <vt:lpstr>'3uEOQqnLz0WEj01WLZePMA=='!Print_Area</vt:lpstr>
      <vt:lpstr>'4YPTAMm3BE6g8OgC2E+oJA=='!Print_Area</vt:lpstr>
      <vt:lpstr>'5zTse0v7KE2TMiuCP61ndA=='!Print_Area</vt:lpstr>
      <vt:lpstr>'6YAooQ2zG06RabxmXZbjzw=='!Print_Area</vt:lpstr>
      <vt:lpstr>'76TTIBOJA02jD3Q18eFxMg=='!Print_Area</vt:lpstr>
      <vt:lpstr>'80rXvpVVqE+kLTBSLKMPEg=='!Print_Area</vt:lpstr>
      <vt:lpstr>'989jUuxYzkG810mRnBoPtA=='!Print_Area</vt:lpstr>
      <vt:lpstr>'AP2y9kEZIUOS3024oUkDZw=='!Print_Area</vt:lpstr>
      <vt:lpstr>'bTP3cAHQYUa5ZlhJSIC+vA=='!Print_Area</vt:lpstr>
      <vt:lpstr>'CKkrCwTeO02egxjzlWr7fQ=='!Print_Area</vt:lpstr>
      <vt:lpstr>'CpDBdyUtEkKzRudEFXKMDQ=='!Print_Area</vt:lpstr>
      <vt:lpstr>'DghisZAX30yMVMeLB6kHyw=='!Print_Area</vt:lpstr>
      <vt:lpstr>'DGkF+9z2e0muE_Q9pwVEjw=='!Print_Area</vt:lpstr>
      <vt:lpstr>Dining!Print_Area</vt:lpstr>
      <vt:lpstr>'EETjXJIQQkWtPchdwHUfew=='!Print_Area</vt:lpstr>
      <vt:lpstr>FB_Retail!Print_Area</vt:lpstr>
      <vt:lpstr>'fORCvcCubkmtj1mwfGkniA=='!Print_Area</vt:lpstr>
      <vt:lpstr>'FWlM+MMqVEi3q2BtJrMqZQ=='!Print_Area</vt:lpstr>
      <vt:lpstr>'gfsa23AWLUasHo3IHBY55w=='!Print_Area</vt:lpstr>
      <vt:lpstr>'gnh1benLx0+b2_noJWpVbQ=='!Print_Area</vt:lpstr>
      <vt:lpstr>'gXklmCuLAUCPV4A0vc5XsQ=='!Print_Area</vt:lpstr>
      <vt:lpstr>'H7ex38sMH0C2Ea9J_Fj9lA=='!Print_Area</vt:lpstr>
      <vt:lpstr>HC_SPA!Print_Area</vt:lpstr>
      <vt:lpstr>HR_Detail!Print_Area</vt:lpstr>
      <vt:lpstr>IT!Print_Area</vt:lpstr>
      <vt:lpstr>'KGGppncgtkaFGfG+Mo1_AA=='!Print_Area</vt:lpstr>
      <vt:lpstr>'KNXDeWIpjUqDbbeYeMIiRA=='!Print_Area</vt:lpstr>
      <vt:lpstr>Laundry!Print_Area</vt:lpstr>
      <vt:lpstr>'LHcHZTh0fk2qIKbepKmmRg=='!Print_Area</vt:lpstr>
      <vt:lpstr>'lt2I6MkWykSAZkA76q6tqg=='!Print_Area</vt:lpstr>
      <vt:lpstr>'lTY+EZuh50eBlRDOZLKuqA=='!Print_Area</vt:lpstr>
      <vt:lpstr>'lZswHSX9z0WodCFYZPsU_g=='!Print_Area</vt:lpstr>
      <vt:lpstr>Minor_Op!Print_Area</vt:lpstr>
      <vt:lpstr>MISC_INC!Print_Area</vt:lpstr>
      <vt:lpstr>MMA!Print_Area</vt:lpstr>
      <vt:lpstr>'n_dm_sBWZE6psB0vosAz1Q=='!Print_Area</vt:lpstr>
      <vt:lpstr>'nkm7+A1rAEaSlqjY3NA14g=='!Print_Area</vt:lpstr>
      <vt:lpstr>OTH_OP!Print_Area</vt:lpstr>
      <vt:lpstr>Parking!Print_Area</vt:lpstr>
      <vt:lpstr>PR_Related!Print_Area</vt:lpstr>
      <vt:lpstr>'pXdfkLBBDUmKpB6ic+Lqsg=='!Print_Area</vt:lpstr>
      <vt:lpstr>'q+7yCdhj2kaVIAcvsZXZtg=='!Print_Area</vt:lpstr>
      <vt:lpstr>'qZ8LUr1h8kGMwIzchI163A=='!Print_Area</vt:lpstr>
      <vt:lpstr>'R+EwkMTdu06NARpgDrBzuQ=='!Print_Area</vt:lpstr>
      <vt:lpstr>'R7CUAR0T6UGxhXEjNHO+8Q=='!Print_Area</vt:lpstr>
      <vt:lpstr>'R893yzqfMUOrUK6CHRYw9A=='!Print_Area</vt:lpstr>
      <vt:lpstr>'rcb_K41VPEiD78AKGwdnMQ=='!Print_Area</vt:lpstr>
      <vt:lpstr>'reBJVPj5TUCcqCAMw2lgkg=='!Print_Area</vt:lpstr>
      <vt:lpstr>Resv!Print_Area</vt:lpstr>
      <vt:lpstr>Retail!Print_Area</vt:lpstr>
      <vt:lpstr>Rooms!Print_Area</vt:lpstr>
      <vt:lpstr>'s4RryB0aVEmArvsx5IO4vg=='!Print_Area</vt:lpstr>
      <vt:lpstr>Telcom_Legacy!Print_Area</vt:lpstr>
      <vt:lpstr>'U7EqG2Be1EmA9Mmab95Ymg=='!Print_Area</vt:lpstr>
      <vt:lpstr>'uGc7eZ8wXky3IzrH91nTFQ=='!Print_Area</vt:lpstr>
      <vt:lpstr>'uO8gmYSHLkCps67oY9Oh7g=='!Print_Area</vt:lpstr>
      <vt:lpstr>'ux3QkSX6v0y5Funa6amBfA=='!Print_Area</vt:lpstr>
      <vt:lpstr>'wwcXak0520qpT4K9TgcLVA=='!Print_Area</vt:lpstr>
      <vt:lpstr>'YahapHnPmUqjw_d31NPOWw=='!Print_Area</vt:lpstr>
      <vt:lpstr>'YohATNUe5UGPqdNsFUsWuw=='!Print_Area</vt:lpstr>
      <vt:lpstr>'_dv5TzhKgEmBJy1iLpRPIA=='!Print_Titles</vt:lpstr>
      <vt:lpstr>'+J++T8iebEmQRHQBQbskvQ=='!Print_Titles</vt:lpstr>
      <vt:lpstr>'0_snXtuSTUWNI3_4pUbkrg=='!Print_Titles</vt:lpstr>
      <vt:lpstr>'0rjpnXheOkGjC+P_AmqM7g=='!Print_Titles</vt:lpstr>
      <vt:lpstr>'3uEOQqnLz0WEj01WLZePMA=='!Print_Titles</vt:lpstr>
      <vt:lpstr>'4YPTAMm3BE6g8OgC2E+oJA=='!Print_Titles</vt:lpstr>
      <vt:lpstr>'5zTse0v7KE2TMiuCP61ndA=='!Print_Titles</vt:lpstr>
      <vt:lpstr>'6YAooQ2zG06RabxmXZbjzw=='!Print_Titles</vt:lpstr>
      <vt:lpstr>'76TTIBOJA02jD3Q18eFxMg=='!Print_Titles</vt:lpstr>
      <vt:lpstr>'80rXvpVVqE+kLTBSLKMPEg=='!Print_Titles</vt:lpstr>
      <vt:lpstr>'989jUuxYzkG810mRnBoPtA=='!Print_Titles</vt:lpstr>
      <vt:lpstr>'AP2y9kEZIUOS3024oUkDZw=='!Print_Titles</vt:lpstr>
      <vt:lpstr>'bTP3cAHQYUa5ZlhJSIC+vA=='!Print_Titles</vt:lpstr>
      <vt:lpstr>'CKkrCwTeO02egxjzlWr7fQ=='!Print_Titles</vt:lpstr>
      <vt:lpstr>'CpDBdyUtEkKzRudEFXKMDQ=='!Print_Titles</vt:lpstr>
      <vt:lpstr>'DghisZAX30yMVMeLB6kHyw=='!Print_Titles</vt:lpstr>
      <vt:lpstr>'DGkF+9z2e0muE_Q9pwVEjw=='!Print_Titles</vt:lpstr>
      <vt:lpstr>Dining!Print_Titles</vt:lpstr>
      <vt:lpstr>'EETjXJIQQkWtPchdwHUfew=='!Print_Titles</vt:lpstr>
      <vt:lpstr>FB_Retail!Print_Titles</vt:lpstr>
      <vt:lpstr>'FWlM+MMqVEi3q2BtJrMqZQ=='!Print_Titles</vt:lpstr>
      <vt:lpstr>'gfsa23AWLUasHo3IHBY55w=='!Print_Titles</vt:lpstr>
      <vt:lpstr>'gnh1benLx0+b2_noJWpVbQ=='!Print_Titles</vt:lpstr>
      <vt:lpstr>'gXklmCuLAUCPV4A0vc5XsQ=='!Print_Titles</vt:lpstr>
      <vt:lpstr>'H7ex38sMH0C2Ea9J_Fj9lA=='!Print_Titles</vt:lpstr>
      <vt:lpstr>HC_SPA!Print_Titles</vt:lpstr>
      <vt:lpstr>HR_Detail!Print_Titles</vt:lpstr>
      <vt:lpstr>IT!Print_Titles</vt:lpstr>
      <vt:lpstr>'KGGppncgtkaFGfG+Mo1_AA=='!Print_Titles</vt:lpstr>
      <vt:lpstr>'KNXDeWIpjUqDbbeYeMIiRA=='!Print_Titles</vt:lpstr>
      <vt:lpstr>Laundry!Print_Titles</vt:lpstr>
      <vt:lpstr>'LHcHZTh0fk2qIKbepKmmRg=='!Print_Titles</vt:lpstr>
      <vt:lpstr>'lt2I6MkWykSAZkA76q6tqg=='!Print_Titles</vt:lpstr>
      <vt:lpstr>'lTY+EZuh50eBlRDOZLKuqA=='!Print_Titles</vt:lpstr>
      <vt:lpstr>'lZswHSX9z0WodCFYZPsU_g=='!Print_Titles</vt:lpstr>
      <vt:lpstr>Minor_Op!Print_Titles</vt:lpstr>
      <vt:lpstr>MISC_INC!Print_Titles</vt:lpstr>
      <vt:lpstr>MMA!Print_Titles</vt:lpstr>
      <vt:lpstr>'n_dm_sBWZE6psB0vosAz1Q=='!Print_Titles</vt:lpstr>
      <vt:lpstr>'nkm7+A1rAEaSlqjY3NA14g=='!Print_Titles</vt:lpstr>
      <vt:lpstr>OTH_OP!Print_Titles</vt:lpstr>
      <vt:lpstr>Parking!Print_Titles</vt:lpstr>
      <vt:lpstr>PR_Related!Print_Titles</vt:lpstr>
      <vt:lpstr>'pXdfkLBBDUmKpB6ic+Lqsg=='!Print_Titles</vt:lpstr>
      <vt:lpstr>'q+7yCdhj2kaVIAcvsZXZtg=='!Print_Titles</vt:lpstr>
      <vt:lpstr>'qZ8LUr1h8kGMwIzchI163A=='!Print_Titles</vt:lpstr>
      <vt:lpstr>'R+EwkMTdu06NARpgDrBzuQ=='!Print_Titles</vt:lpstr>
      <vt:lpstr>'R7CUAR0T6UGxhXEjNHO+8Q=='!Print_Titles</vt:lpstr>
      <vt:lpstr>'R893yzqfMUOrUK6CHRYw9A=='!Print_Titles</vt:lpstr>
      <vt:lpstr>'rcb_K41VPEiD78AKGwdnMQ=='!Print_Titles</vt:lpstr>
      <vt:lpstr>'reBJVPj5TUCcqCAMw2lgkg=='!Print_Titles</vt:lpstr>
      <vt:lpstr>Resv!Print_Titles</vt:lpstr>
      <vt:lpstr>Retail!Print_Titles</vt:lpstr>
      <vt:lpstr>Rooms!Print_Titles</vt:lpstr>
      <vt:lpstr>'s4RryB0aVEmArvsx5IO4vg=='!Print_Titles</vt:lpstr>
      <vt:lpstr>Telcom_Legacy!Print_Titles</vt:lpstr>
      <vt:lpstr>'U7EqG2Be1EmA9Mmab95Ymg=='!Print_Titles</vt:lpstr>
      <vt:lpstr>'uGc7eZ8wXky3IzrH91nTFQ=='!Print_Titles</vt:lpstr>
      <vt:lpstr>'uO8gmYSHLkCps67oY9Oh7g=='!Print_Titles</vt:lpstr>
      <vt:lpstr>'ux3QkSX6v0y5Funa6amBfA=='!Print_Titles</vt:lpstr>
      <vt:lpstr>'wwcXak0520qpT4K9TgcLVA=='!Print_Titles</vt:lpstr>
      <vt:lpstr>'YahapHnPmUqjw_d31NPOWw=='!Print_Titles</vt:lpstr>
      <vt:lpstr>'YohATNUe5UGPqdNsFUsWuw=='!Print_Titles</vt:lpstr>
    </vt:vector>
  </TitlesOfParts>
  <Company>Kimpton Hotels &amp; Restaurants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Kaitlyn Pressley</dc:creator>
  <cp:lastModifiedBy>Lauren Habig</cp:lastModifiedBy>
  <cp:lastPrinted>2020-07-07T15:00:22Z</cp:lastPrinted>
  <dcterms:created xsi:type="dcterms:W3CDTF">2014-09-26T18:28:08Z</dcterms:created>
  <dcterms:modified xsi:type="dcterms:W3CDTF">2025-02-11T16:02:06Z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0x010100D22099B2AEBB7A41BBC656D90C1AA9A5</vt:lpwstr>
  </property>
</Properties>
</file>